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2.xml" ContentType="application/vnd.ms-excel.threadedcomments+xml"/>
  <Override PartName="/xl/comments4.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1"/>
  <workbookPr codeName="ThisWorkbook" defaultThemeVersion="124226"/>
  <mc:AlternateContent xmlns:mc="http://schemas.openxmlformats.org/markup-compatibility/2006">
    <mc:Choice Requires="x15">
      <x15ac:absPath xmlns:x15ac="http://schemas.microsoft.com/office/spreadsheetml/2010/11/ac" url="/Users/twigjib/Downloads/"/>
    </mc:Choice>
  </mc:AlternateContent>
  <xr:revisionPtr revIDLastSave="0" documentId="8_{FD59C019-D33B-0D4B-AC18-80011DEC249B}" xr6:coauthVersionLast="46" xr6:coauthVersionMax="46" xr10:uidLastSave="{00000000-0000-0000-0000-000000000000}"/>
  <bookViews>
    <workbookView xWindow="340" yWindow="500" windowWidth="28100" windowHeight="16360" tabRatio="893" xr2:uid="{00000000-000D-0000-FFFF-FFFF00000000}"/>
  </bookViews>
  <sheets>
    <sheet name="Intro &amp; Instructions" sheetId="36" r:id="rId1"/>
    <sheet name="Contact Information" sheetId="30" state="hidden" r:id="rId2"/>
    <sheet name="Contact Information " sheetId="45" r:id="rId3"/>
    <sheet name="EO 594" sheetId="44" r:id="rId4"/>
    <sheet name="Contacts Source" sheetId="34" state="hidden" r:id="rId5"/>
    <sheet name="Square Footage" sheetId="19" r:id="rId6"/>
    <sheet name="Electricity Consumption" sheetId="3" r:id="rId7"/>
    <sheet name="Building Fuel Consumption" sheetId="4" r:id="rId8"/>
    <sheet name="Vehicle&amp;Other Fuel Consumption" sheetId="5" r:id="rId9"/>
    <sheet name="Installed Clean Power &amp; Storage" sheetId="15" r:id="rId10"/>
    <sheet name="Energy Storage Source" sheetId="43" state="hidden" r:id="rId11"/>
    <sheet name="Renewable &amp; Onsite Gen Sites" sheetId="16" state="hidden" r:id="rId12"/>
    <sheet name="Renewable Thermal Sites" sheetId="17" state="hidden" r:id="rId13"/>
    <sheet name="Vehicle Fleet" sheetId="32" r:id="rId14"/>
    <sheet name="EV Charging Stations" sheetId="23" r:id="rId15"/>
    <sheet name="Potential EV Stations source" sheetId="38" state="hidden" r:id="rId16"/>
    <sheet name="EV Charging Stations source" sheetId="24" state="hidden" r:id="rId17"/>
    <sheet name="EE Projects" sheetId="10" r:id="rId18"/>
    <sheet name="Source Water" sheetId="31" state="hidden" r:id="rId19"/>
    <sheet name="Sustainability" sheetId="33" r:id="rId20"/>
    <sheet name="(OLD) Landscaping" sheetId="37" state="hidden" r:id="rId21"/>
    <sheet name="Landscaping Source" sheetId="42" state="hidden" r:id="rId22"/>
    <sheet name="Source" sheetId="8" state="hidden" r:id="rId23"/>
  </sheets>
  <externalReferences>
    <externalReference r:id="rId24"/>
    <externalReference r:id="rId25"/>
  </externalReferences>
  <definedNames>
    <definedName name="_xlnm._FilterDatabase" localSheetId="4" hidden="1">'Contacts Source'!$A$1:$M$53</definedName>
    <definedName name="_xlnm._FilterDatabase" localSheetId="16" hidden="1">'EV Charging Stations source'!$A$1:$AB$161</definedName>
    <definedName name="_xlnm._FilterDatabase" localSheetId="21" hidden="1">'Landscaping Source'!$A$1:$P$78</definedName>
    <definedName name="_xlnm._FilterDatabase" localSheetId="11" hidden="1">'Renewable &amp; Onsite Gen Sites'!$A$1:$AA$146</definedName>
    <definedName name="_xlnm._FilterDatabase" localSheetId="22" hidden="1">Source!#REF!</definedName>
    <definedName name="_xlnm._FilterDatabase" localSheetId="18" hidden="1">'Source Water'!$A$1:$H$239</definedName>
    <definedName name="AgencyCampus">Source!$F$2:$F$55</definedName>
    <definedName name="Independent_Verifier">'[1]Drop-Down Lists'!$H$2</definedName>
    <definedName name="Names">'EV Charging Stations source'!$F$2:$F$57</definedName>
    <definedName name="Official_Names">'[1]Drop-Down Lists'!$F$2:$F$352</definedName>
    <definedName name="State_Abbreviations">'[1]Drop-Down Lists'!$E$2:$E$51</definedName>
    <definedName name="Utility_Providers">'[1]Drop-Down Lists'!$G$2:$G$6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5" i="33" l="1"/>
  <c r="G7" i="23"/>
  <c r="G7" i="15"/>
  <c r="I12" i="19"/>
  <c r="L18" i="30"/>
  <c r="D18" i="30"/>
  <c r="L17" i="30"/>
  <c r="D17" i="30"/>
  <c r="L15" i="30"/>
  <c r="D15" i="30"/>
  <c r="L14" i="30"/>
  <c r="D14" i="30"/>
  <c r="L12" i="30"/>
  <c r="D12" i="30"/>
  <c r="L11" i="30"/>
  <c r="D11" i="30"/>
  <c r="L18" i="45"/>
  <c r="D18" i="45"/>
  <c r="L17" i="45"/>
  <c r="D17" i="45"/>
  <c r="L15" i="45"/>
  <c r="D15" i="45"/>
  <c r="L14" i="45"/>
  <c r="D14" i="45"/>
  <c r="L12" i="45"/>
  <c r="D12" i="45"/>
  <c r="L11" i="45"/>
  <c r="D11" i="45"/>
  <c r="AB18" i="24"/>
  <c r="A18" i="24"/>
  <c r="AB96" i="24"/>
  <c r="AB95" i="24"/>
  <c r="AB94" i="24"/>
  <c r="AB93" i="24"/>
  <c r="AB92" i="24"/>
  <c r="A92" i="24"/>
  <c r="A93" i="24"/>
  <c r="A94" i="24"/>
  <c r="A95" i="24"/>
  <c r="A96" i="24"/>
  <c r="AB91" i="24"/>
  <c r="A91" i="24"/>
  <c r="A16" i="17"/>
  <c r="AA137" i="16"/>
  <c r="A137" i="16"/>
  <c r="M135" i="16"/>
  <c r="M136" i="16"/>
  <c r="M134" i="16"/>
  <c r="P59" i="42"/>
  <c r="A59" i="42"/>
  <c r="AB81" i="24"/>
  <c r="A81" i="24"/>
  <c r="A98" i="24"/>
  <c r="AB98" i="24"/>
  <c r="A97" i="24"/>
  <c r="AB97" i="24"/>
  <c r="A9" i="31"/>
  <c r="AB16" i="24"/>
  <c r="A16" i="24"/>
  <c r="AB161" i="24"/>
  <c r="AB162" i="24"/>
  <c r="AB163" i="24"/>
  <c r="AB164" i="24"/>
  <c r="AB165" i="24"/>
  <c r="AB166" i="24"/>
  <c r="AB167" i="24"/>
  <c r="A162" i="24"/>
  <c r="A163" i="24"/>
  <c r="A164" i="24"/>
  <c r="A165" i="24"/>
  <c r="A166" i="24"/>
  <c r="A167" i="24"/>
  <c r="A25" i="17"/>
  <c r="Q24" i="17"/>
  <c r="Q25" i="17"/>
  <c r="AA127" i="16"/>
  <c r="A127" i="16"/>
  <c r="A128" i="16"/>
  <c r="A129" i="16"/>
  <c r="A19" i="42"/>
  <c r="P31" i="42"/>
  <c r="A31" i="42"/>
  <c r="A57" i="16"/>
  <c r="V57" i="16"/>
  <c r="AA57" i="16"/>
  <c r="P73" i="42"/>
  <c r="P74" i="42"/>
  <c r="A73" i="42"/>
  <c r="A74" i="42"/>
  <c r="A156" i="24"/>
  <c r="A157" i="24"/>
  <c r="A158" i="24"/>
  <c r="A159" i="24"/>
  <c r="AB159" i="24"/>
  <c r="AB158" i="24"/>
  <c r="AB157" i="24"/>
  <c r="AB156" i="24"/>
  <c r="AB149" i="24"/>
  <c r="AB150" i="24"/>
  <c r="AB151" i="24"/>
  <c r="AB152" i="24"/>
  <c r="AB153" i="24"/>
  <c r="AB154" i="24"/>
  <c r="AB155" i="24"/>
  <c r="A149" i="24"/>
  <c r="A150" i="24"/>
  <c r="A151" i="24"/>
  <c r="A152" i="24"/>
  <c r="A153" i="24"/>
  <c r="A154" i="24"/>
  <c r="A155" i="24"/>
  <c r="AA95" i="16"/>
  <c r="A95" i="16"/>
  <c r="K19" i="33"/>
  <c r="A69" i="42"/>
  <c r="A70" i="42"/>
  <c r="A71" i="42"/>
  <c r="B71" i="23"/>
  <c r="AB117" i="24"/>
  <c r="AB118" i="24"/>
  <c r="AB119" i="24"/>
  <c r="A117" i="24"/>
  <c r="A118" i="24"/>
  <c r="A119" i="24"/>
  <c r="AB113" i="24"/>
  <c r="AB114" i="24"/>
  <c r="AB115" i="24"/>
  <c r="AB116" i="24"/>
  <c r="A113" i="24"/>
  <c r="A114" i="24"/>
  <c r="A115" i="24"/>
  <c r="A116" i="24"/>
  <c r="H239" i="31"/>
  <c r="H17" i="31"/>
  <c r="H18" i="31"/>
  <c r="H19" i="31"/>
  <c r="H20" i="31"/>
  <c r="H21" i="31"/>
  <c r="H22" i="31"/>
  <c r="H23" i="31"/>
  <c r="H24" i="31"/>
  <c r="H25" i="31"/>
  <c r="H26" i="31"/>
  <c r="H27" i="31"/>
  <c r="H28" i="31"/>
  <c r="H29" i="31"/>
  <c r="H30" i="31"/>
  <c r="H31" i="31"/>
  <c r="H32" i="31"/>
  <c r="H33" i="31"/>
  <c r="H34" i="31"/>
  <c r="H35" i="31"/>
  <c r="H36" i="31"/>
  <c r="H37" i="31"/>
  <c r="H38" i="31"/>
  <c r="H39" i="31"/>
  <c r="H40" i="31"/>
  <c r="H41" i="31"/>
  <c r="H42" i="31"/>
  <c r="H43" i="31"/>
  <c r="H44" i="31"/>
  <c r="H45" i="31"/>
  <c r="H46" i="31"/>
  <c r="H47" i="31"/>
  <c r="H48" i="31"/>
  <c r="H49" i="31"/>
  <c r="H50" i="31"/>
  <c r="H51" i="31"/>
  <c r="H52" i="31"/>
  <c r="H53" i="31"/>
  <c r="H54" i="31"/>
  <c r="H55" i="31"/>
  <c r="H56" i="31"/>
  <c r="H57" i="31"/>
  <c r="H58" i="31"/>
  <c r="H59" i="31"/>
  <c r="H60" i="31"/>
  <c r="H61" i="31"/>
  <c r="H62" i="31"/>
  <c r="H63" i="31"/>
  <c r="H64" i="31"/>
  <c r="H65" i="31"/>
  <c r="H66" i="31"/>
  <c r="H67" i="31"/>
  <c r="H68" i="31"/>
  <c r="H69" i="31"/>
  <c r="H70" i="31"/>
  <c r="H71" i="31"/>
  <c r="H72" i="31"/>
  <c r="H73" i="31"/>
  <c r="H74" i="31"/>
  <c r="H75" i="31"/>
  <c r="H76" i="31"/>
  <c r="H77" i="31"/>
  <c r="H78" i="31"/>
  <c r="H79" i="31"/>
  <c r="H80" i="31"/>
  <c r="H81" i="31"/>
  <c r="H82" i="31"/>
  <c r="H83" i="31"/>
  <c r="H84" i="31"/>
  <c r="H85" i="31"/>
  <c r="H86" i="31"/>
  <c r="H87" i="31"/>
  <c r="H88" i="31"/>
  <c r="H89" i="31"/>
  <c r="H90" i="31"/>
  <c r="H91" i="31"/>
  <c r="H92" i="31"/>
  <c r="H93" i="31"/>
  <c r="H94" i="31"/>
  <c r="H95" i="31"/>
  <c r="H96" i="31"/>
  <c r="H97" i="31"/>
  <c r="H98" i="31"/>
  <c r="H99" i="31"/>
  <c r="H100" i="31"/>
  <c r="H101" i="31"/>
  <c r="H102" i="31"/>
  <c r="H103" i="31"/>
  <c r="H104" i="31"/>
  <c r="H105" i="31"/>
  <c r="H106" i="31"/>
  <c r="H107" i="31"/>
  <c r="H108" i="31"/>
  <c r="H109" i="31"/>
  <c r="H110" i="31"/>
  <c r="H111" i="31"/>
  <c r="H112" i="31"/>
  <c r="H113" i="31"/>
  <c r="H114" i="31"/>
  <c r="H115" i="31"/>
  <c r="H116" i="31"/>
  <c r="H117" i="31"/>
  <c r="H118" i="31"/>
  <c r="H119" i="31"/>
  <c r="H120" i="31"/>
  <c r="H121" i="31"/>
  <c r="H122" i="31"/>
  <c r="H123" i="31"/>
  <c r="H124" i="31"/>
  <c r="H125" i="31"/>
  <c r="H126" i="31"/>
  <c r="H127" i="31"/>
  <c r="H128" i="31"/>
  <c r="H129" i="31"/>
  <c r="H130" i="31"/>
  <c r="H131" i="31"/>
  <c r="H132" i="31"/>
  <c r="H133" i="31"/>
  <c r="H134" i="31"/>
  <c r="H135" i="31"/>
  <c r="H136" i="31"/>
  <c r="H137" i="31"/>
  <c r="H138" i="31"/>
  <c r="H139" i="31"/>
  <c r="H140" i="31"/>
  <c r="H141" i="31"/>
  <c r="H142" i="31"/>
  <c r="H143" i="31"/>
  <c r="H144" i="31"/>
  <c r="H145" i="31"/>
  <c r="H146" i="31"/>
  <c r="H147" i="31"/>
  <c r="H148" i="31"/>
  <c r="H149" i="31"/>
  <c r="H150" i="31"/>
  <c r="H151" i="31"/>
  <c r="H152" i="31"/>
  <c r="H153" i="31"/>
  <c r="H154" i="31"/>
  <c r="H155" i="31"/>
  <c r="H156" i="31"/>
  <c r="H157" i="31"/>
  <c r="H158" i="31"/>
  <c r="H159" i="31"/>
  <c r="H160" i="31"/>
  <c r="H161" i="31"/>
  <c r="H162" i="31"/>
  <c r="H163" i="31"/>
  <c r="H164" i="31"/>
  <c r="H165" i="31"/>
  <c r="H166" i="31"/>
  <c r="H167" i="31"/>
  <c r="H168" i="31"/>
  <c r="H169" i="31"/>
  <c r="H170" i="31"/>
  <c r="H171" i="31"/>
  <c r="H172" i="31"/>
  <c r="H173" i="31"/>
  <c r="H174" i="31"/>
  <c r="H175" i="31"/>
  <c r="H176" i="31"/>
  <c r="H177" i="31"/>
  <c r="H178" i="31"/>
  <c r="H179" i="31"/>
  <c r="H180" i="31"/>
  <c r="H181" i="31"/>
  <c r="H182" i="31"/>
  <c r="H183" i="31"/>
  <c r="H184" i="31"/>
  <c r="H185" i="31"/>
  <c r="H186" i="31"/>
  <c r="H187" i="31"/>
  <c r="H188" i="31"/>
  <c r="H189" i="31"/>
  <c r="H190" i="31"/>
  <c r="H191" i="31"/>
  <c r="H192" i="31"/>
  <c r="H193" i="31"/>
  <c r="H194" i="31"/>
  <c r="H195" i="31"/>
  <c r="H196" i="31"/>
  <c r="H197" i="31"/>
  <c r="H198" i="31"/>
  <c r="H199" i="31"/>
  <c r="H200" i="31"/>
  <c r="H201" i="31"/>
  <c r="H202" i="31"/>
  <c r="H203" i="31"/>
  <c r="H204" i="31"/>
  <c r="H205" i="31"/>
  <c r="H206" i="31"/>
  <c r="H207" i="31"/>
  <c r="H208" i="31"/>
  <c r="H209" i="31"/>
  <c r="H210" i="31"/>
  <c r="H211" i="31"/>
  <c r="H212" i="31"/>
  <c r="H213" i="31"/>
  <c r="H214" i="31"/>
  <c r="H215" i="31"/>
  <c r="H216" i="31"/>
  <c r="H217" i="31"/>
  <c r="H218" i="31"/>
  <c r="H219" i="31"/>
  <c r="H220" i="31"/>
  <c r="H221" i="31"/>
  <c r="H222" i="31"/>
  <c r="H223" i="31"/>
  <c r="H224" i="31"/>
  <c r="H225" i="31"/>
  <c r="H226" i="31"/>
  <c r="H227" i="31"/>
  <c r="H228" i="31"/>
  <c r="H229" i="31"/>
  <c r="H230" i="31"/>
  <c r="H231" i="31"/>
  <c r="H232" i="31"/>
  <c r="H233" i="31"/>
  <c r="H234" i="31"/>
  <c r="H235" i="31"/>
  <c r="H236" i="31"/>
  <c r="H237" i="31"/>
  <c r="H238" i="31"/>
  <c r="H3" i="31"/>
  <c r="H4" i="31"/>
  <c r="H5" i="31"/>
  <c r="H6" i="31"/>
  <c r="H7" i="31"/>
  <c r="H8" i="31"/>
  <c r="H9" i="31"/>
  <c r="H10" i="31"/>
  <c r="H11" i="31"/>
  <c r="H12" i="31"/>
  <c r="H13" i="31"/>
  <c r="H14" i="31"/>
  <c r="H15" i="31"/>
  <c r="H16" i="31"/>
  <c r="A239" i="31"/>
  <c r="A232" i="31"/>
  <c r="A227" i="31"/>
  <c r="A219" i="31"/>
  <c r="A211" i="31"/>
  <c r="A203" i="31"/>
  <c r="A195" i="31"/>
  <c r="A187" i="31"/>
  <c r="A179" i="31"/>
  <c r="A171" i="31"/>
  <c r="A164" i="31"/>
  <c r="A159" i="31"/>
  <c r="A152" i="31"/>
  <c r="A144" i="31"/>
  <c r="A136" i="31"/>
  <c r="A128" i="31"/>
  <c r="A120" i="31"/>
  <c r="A112" i="31"/>
  <c r="A105" i="31"/>
  <c r="A97" i="31"/>
  <c r="A89" i="31"/>
  <c r="A81" i="31"/>
  <c r="A73" i="31"/>
  <c r="A66" i="31"/>
  <c r="A58" i="31"/>
  <c r="A50" i="31"/>
  <c r="A42" i="31"/>
  <c r="A34" i="31"/>
  <c r="A30" i="31"/>
  <c r="A22" i="31"/>
  <c r="A17" i="31"/>
  <c r="A233" i="31"/>
  <c r="A234" i="31"/>
  <c r="A235" i="31"/>
  <c r="A236" i="31"/>
  <c r="A237" i="31"/>
  <c r="A228" i="31"/>
  <c r="A229" i="31"/>
  <c r="A230" i="31"/>
  <c r="A220" i="31"/>
  <c r="A221" i="31"/>
  <c r="A222" i="31"/>
  <c r="A223" i="31"/>
  <c r="A224" i="31"/>
  <c r="A225" i="31"/>
  <c r="A212" i="31"/>
  <c r="A213" i="31"/>
  <c r="A214" i="31"/>
  <c r="A215" i="31"/>
  <c r="A216" i="31"/>
  <c r="A217" i="31"/>
  <c r="A204" i="31"/>
  <c r="A205" i="31"/>
  <c r="A206" i="31"/>
  <c r="A207" i="31"/>
  <c r="A208" i="31"/>
  <c r="A209" i="31"/>
  <c r="A196" i="31"/>
  <c r="A197" i="31"/>
  <c r="A198" i="31"/>
  <c r="A199" i="31"/>
  <c r="A200" i="31"/>
  <c r="A201" i="31"/>
  <c r="A188" i="31"/>
  <c r="A189" i="31"/>
  <c r="A190" i="31"/>
  <c r="A191" i="31"/>
  <c r="A192" i="31"/>
  <c r="A193" i="31"/>
  <c r="A180" i="31"/>
  <c r="A181" i="31"/>
  <c r="A182" i="31"/>
  <c r="A183" i="31"/>
  <c r="A184" i="31"/>
  <c r="A185" i="31"/>
  <c r="A172" i="31"/>
  <c r="A173" i="31"/>
  <c r="A174" i="31"/>
  <c r="A175" i="31"/>
  <c r="A176" i="31"/>
  <c r="A177" i="31"/>
  <c r="A165" i="31"/>
  <c r="A166" i="31"/>
  <c r="A167" i="31"/>
  <c r="A168" i="31"/>
  <c r="A169" i="31"/>
  <c r="A160" i="31"/>
  <c r="A161" i="31"/>
  <c r="A162" i="31"/>
  <c r="A153" i="31"/>
  <c r="A154" i="31"/>
  <c r="A155" i="31"/>
  <c r="A156" i="31"/>
  <c r="A157" i="31"/>
  <c r="A145" i="31"/>
  <c r="A146" i="31"/>
  <c r="A147" i="31"/>
  <c r="A148" i="31"/>
  <c r="A149" i="31"/>
  <c r="A150" i="31"/>
  <c r="A137" i="31"/>
  <c r="A138" i="31"/>
  <c r="A139" i="31"/>
  <c r="A140" i="31"/>
  <c r="A141" i="31"/>
  <c r="A142" i="31"/>
  <c r="A129" i="31"/>
  <c r="A130" i="31"/>
  <c r="A131" i="31"/>
  <c r="A132" i="31"/>
  <c r="A133" i="31"/>
  <c r="A134" i="31"/>
  <c r="A121" i="31"/>
  <c r="A122" i="31"/>
  <c r="A123" i="31"/>
  <c r="A124" i="31"/>
  <c r="A125" i="31"/>
  <c r="A126" i="31"/>
  <c r="A113" i="31"/>
  <c r="A114" i="31"/>
  <c r="A115" i="31"/>
  <c r="A116" i="31"/>
  <c r="A117" i="31"/>
  <c r="A118" i="31"/>
  <c r="A106" i="31"/>
  <c r="A107" i="31"/>
  <c r="A108" i="31"/>
  <c r="A109" i="31"/>
  <c r="A110" i="31"/>
  <c r="A98" i="31"/>
  <c r="A99" i="31"/>
  <c r="A100" i="31"/>
  <c r="A101" i="31"/>
  <c r="A102" i="31"/>
  <c r="A103" i="31"/>
  <c r="A90" i="31"/>
  <c r="A91" i="31"/>
  <c r="A92" i="31"/>
  <c r="A93" i="31"/>
  <c r="A94" i="31"/>
  <c r="A95" i="31"/>
  <c r="A82" i="31"/>
  <c r="A83" i="31"/>
  <c r="A84" i="31"/>
  <c r="A85" i="31"/>
  <c r="A86" i="31"/>
  <c r="A87" i="31"/>
  <c r="A74" i="31"/>
  <c r="A75" i="31"/>
  <c r="A76" i="31"/>
  <c r="A77" i="31"/>
  <c r="A78" i="31"/>
  <c r="A79" i="31"/>
  <c r="A67" i="31"/>
  <c r="A68" i="31"/>
  <c r="A69" i="31"/>
  <c r="A70" i="31"/>
  <c r="A71" i="31"/>
  <c r="A59" i="31"/>
  <c r="A60" i="31"/>
  <c r="A61" i="31"/>
  <c r="A62" i="31"/>
  <c r="A63" i="31"/>
  <c r="A64" i="31"/>
  <c r="A51" i="31"/>
  <c r="A52" i="31"/>
  <c r="A53" i="31"/>
  <c r="A54" i="31"/>
  <c r="A55" i="31"/>
  <c r="A56" i="31"/>
  <c r="A43" i="31"/>
  <c r="A44" i="31"/>
  <c r="A45" i="31"/>
  <c r="A46" i="31"/>
  <c r="A47" i="31"/>
  <c r="A48" i="31"/>
  <c r="A35" i="31"/>
  <c r="A36" i="31"/>
  <c r="A37" i="31"/>
  <c r="A38" i="31"/>
  <c r="A39" i="31"/>
  <c r="A40" i="31"/>
  <c r="A31" i="31"/>
  <c r="A32" i="31"/>
  <c r="A23" i="31"/>
  <c r="A24" i="31"/>
  <c r="A25" i="31"/>
  <c r="A26" i="31"/>
  <c r="A27" i="31"/>
  <c r="A28" i="31"/>
  <c r="A18" i="31"/>
  <c r="A19" i="31"/>
  <c r="A20" i="31"/>
  <c r="A10" i="31"/>
  <c r="A11" i="31"/>
  <c r="A12" i="31"/>
  <c r="A13" i="31"/>
  <c r="A14" i="31"/>
  <c r="A15" i="31"/>
  <c r="A2" i="31"/>
  <c r="H2" i="31"/>
  <c r="A3" i="31"/>
  <c r="A4" i="31"/>
  <c r="A5" i="31"/>
  <c r="A6" i="31"/>
  <c r="A7" i="31"/>
  <c r="AB80" i="24"/>
  <c r="AB79" i="24"/>
  <c r="AB78" i="24"/>
  <c r="A78" i="24"/>
  <c r="A79" i="24"/>
  <c r="A80" i="24"/>
  <c r="AB73" i="24"/>
  <c r="AB74" i="24"/>
  <c r="AB75" i="24"/>
  <c r="AB76" i="24"/>
  <c r="AB77" i="24"/>
  <c r="A73" i="24"/>
  <c r="A74" i="24"/>
  <c r="A75" i="24"/>
  <c r="A76" i="24"/>
  <c r="A77" i="24"/>
  <c r="AA73" i="16"/>
  <c r="A73" i="16"/>
  <c r="B75" i="23"/>
  <c r="B72" i="33"/>
  <c r="B79" i="33"/>
  <c r="C17" i="19"/>
  <c r="I34" i="32"/>
  <c r="J34" i="32"/>
  <c r="P29" i="42"/>
  <c r="AA110" i="16" l="1"/>
  <c r="A110" i="16"/>
  <c r="K4" i="43"/>
  <c r="A4" i="43"/>
  <c r="K3" i="43"/>
  <c r="A3" i="43"/>
  <c r="AB132" i="24"/>
  <c r="AB133" i="24"/>
  <c r="AB134" i="24"/>
  <c r="AB135" i="24"/>
  <c r="AB136" i="24"/>
  <c r="AB137" i="24"/>
  <c r="A132" i="24"/>
  <c r="A133" i="24"/>
  <c r="A134" i="24"/>
  <c r="A135" i="24"/>
  <c r="A136" i="24"/>
  <c r="A137" i="24"/>
  <c r="AB131" i="24"/>
  <c r="A131" i="24"/>
  <c r="Q19" i="17"/>
  <c r="Q20" i="17"/>
  <c r="Q21" i="17"/>
  <c r="A20" i="17"/>
  <c r="A21" i="17"/>
  <c r="AA145" i="16"/>
  <c r="A145" i="16"/>
  <c r="AB110" i="24"/>
  <c r="AB111" i="24"/>
  <c r="AB112" i="24"/>
  <c r="A110" i="24"/>
  <c r="A111" i="24"/>
  <c r="A112" i="24"/>
  <c r="G16" i="37"/>
  <c r="G17" i="37"/>
  <c r="G18" i="37"/>
  <c r="G19" i="37"/>
  <c r="H34" i="32"/>
  <c r="A231" i="31"/>
  <c r="A226" i="31"/>
  <c r="A218" i="31"/>
  <c r="A210" i="31"/>
  <c r="A202" i="31"/>
  <c r="A194" i="31"/>
  <c r="A186" i="31"/>
  <c r="A178" i="31"/>
  <c r="A170" i="31"/>
  <c r="A163" i="31"/>
  <c r="A158" i="31"/>
  <c r="A151" i="31"/>
  <c r="A143" i="31"/>
  <c r="A135" i="31"/>
  <c r="A127" i="31"/>
  <c r="A119" i="31"/>
  <c r="A111" i="31"/>
  <c r="A104" i="31"/>
  <c r="A96" i="31"/>
  <c r="A88" i="31"/>
  <c r="A80" i="31"/>
  <c r="A72" i="31"/>
  <c r="A65" i="31"/>
  <c r="A57" i="31"/>
  <c r="A49" i="31"/>
  <c r="A41" i="31"/>
  <c r="A33" i="31"/>
  <c r="A29" i="31"/>
  <c r="A21" i="31"/>
  <c r="A16" i="31"/>
  <c r="A8" i="31"/>
  <c r="F30" i="33" l="1"/>
  <c r="D30" i="33"/>
  <c r="D31" i="33"/>
  <c r="F31" i="33"/>
  <c r="A238" i="31"/>
  <c r="E69" i="3" l="1"/>
  <c r="E68" i="3"/>
  <c r="E66" i="3"/>
  <c r="E65" i="3"/>
  <c r="E63" i="3"/>
  <c r="E62" i="3"/>
  <c r="E60" i="3"/>
  <c r="E59" i="3"/>
  <c r="E57" i="3"/>
  <c r="E56" i="3"/>
  <c r="E54" i="3"/>
  <c r="E53" i="3"/>
  <c r="AB107" i="24" l="1"/>
  <c r="AB108" i="24"/>
  <c r="AB109" i="24"/>
  <c r="A107" i="24" l="1"/>
  <c r="A108" i="24"/>
  <c r="A109" i="24"/>
  <c r="A5" i="43" l="1"/>
  <c r="A6" i="43"/>
  <c r="A7" i="43"/>
  <c r="A8" i="43"/>
  <c r="A9" i="43"/>
  <c r="A10" i="43"/>
  <c r="A11" i="43"/>
  <c r="A12" i="43"/>
  <c r="A13" i="43"/>
  <c r="A14" i="43"/>
  <c r="A15" i="43"/>
  <c r="A16" i="43"/>
  <c r="A17" i="43"/>
  <c r="A18" i="43"/>
  <c r="A19" i="43"/>
  <c r="K5" i="43" l="1"/>
  <c r="K6" i="43"/>
  <c r="K7" i="43"/>
  <c r="K8" i="43"/>
  <c r="K9" i="43"/>
  <c r="K10" i="43"/>
  <c r="K11" i="43"/>
  <c r="K12" i="43"/>
  <c r="K13" i="43"/>
  <c r="K14" i="43"/>
  <c r="K15" i="43"/>
  <c r="K16" i="43"/>
  <c r="K17" i="43"/>
  <c r="K18" i="43"/>
  <c r="K19" i="43"/>
  <c r="K20" i="43"/>
  <c r="K21" i="43"/>
  <c r="K22" i="43"/>
  <c r="K23" i="43"/>
  <c r="K24" i="43"/>
  <c r="K25" i="43"/>
  <c r="K26" i="43"/>
  <c r="K27" i="43"/>
  <c r="K28" i="43"/>
  <c r="K29" i="43"/>
  <c r="K30" i="43"/>
  <c r="K31" i="43"/>
  <c r="K32" i="43"/>
  <c r="K33" i="43"/>
  <c r="K34" i="43"/>
  <c r="K35" i="43"/>
  <c r="K36" i="43"/>
  <c r="K37" i="43"/>
  <c r="K38" i="43"/>
  <c r="K39" i="43"/>
  <c r="K40" i="43"/>
  <c r="K41" i="43"/>
  <c r="K42" i="43"/>
  <c r="K43" i="43"/>
  <c r="K44" i="43"/>
  <c r="K45" i="43"/>
  <c r="K46" i="43"/>
  <c r="K47" i="43"/>
  <c r="K48" i="43"/>
  <c r="K49" i="43"/>
  <c r="K50" i="43"/>
  <c r="K51" i="43"/>
  <c r="K52" i="43"/>
  <c r="K53" i="43"/>
  <c r="K54" i="43"/>
  <c r="K55" i="43"/>
  <c r="K56" i="43"/>
  <c r="K57" i="43"/>
  <c r="K58" i="43"/>
  <c r="K2" i="43"/>
  <c r="A2" i="43"/>
  <c r="AA2" i="16"/>
  <c r="AB65" i="24" l="1"/>
  <c r="AB66" i="24"/>
  <c r="AB67" i="24"/>
  <c r="A65" i="24"/>
  <c r="A66" i="24"/>
  <c r="A67" i="24"/>
  <c r="A160" i="24"/>
  <c r="AB68" i="24"/>
  <c r="AB69" i="24"/>
  <c r="AB70" i="24"/>
  <c r="A68" i="24"/>
  <c r="A69" i="24"/>
  <c r="A70" i="24"/>
  <c r="AB13" i="24"/>
  <c r="AB14" i="24"/>
  <c r="AB15" i="24"/>
  <c r="A13" i="24"/>
  <c r="A14" i="24"/>
  <c r="A15" i="24"/>
  <c r="AB72" i="24"/>
  <c r="AB71" i="24"/>
  <c r="A72" i="24"/>
  <c r="A71" i="24"/>
  <c r="A3" i="42" l="1"/>
  <c r="A4" i="42"/>
  <c r="A5" i="42"/>
  <c r="A6" i="42"/>
  <c r="A7" i="42"/>
  <c r="A8" i="42"/>
  <c r="A9" i="42"/>
  <c r="A10" i="42"/>
  <c r="A11" i="42"/>
  <c r="A12" i="42"/>
  <c r="A13" i="42"/>
  <c r="A14" i="42"/>
  <c r="A15" i="42"/>
  <c r="A16" i="42"/>
  <c r="A17" i="42"/>
  <c r="A18" i="42"/>
  <c r="A20" i="42"/>
  <c r="A21" i="42"/>
  <c r="A22" i="42"/>
  <c r="A23" i="42"/>
  <c r="A24" i="42"/>
  <c r="A25" i="42"/>
  <c r="A26" i="42"/>
  <c r="A27" i="42"/>
  <c r="A28" i="42"/>
  <c r="A29" i="42"/>
  <c r="A30" i="42"/>
  <c r="A32" i="42"/>
  <c r="A33" i="42"/>
  <c r="A34" i="42"/>
  <c r="A35" i="42"/>
  <c r="A36" i="42"/>
  <c r="A37" i="42"/>
  <c r="A38" i="42"/>
  <c r="A39" i="42"/>
  <c r="A40" i="42"/>
  <c r="A41" i="42"/>
  <c r="A42" i="42"/>
  <c r="A43" i="42"/>
  <c r="A44" i="42"/>
  <c r="A45" i="42"/>
  <c r="A46" i="42"/>
  <c r="A47" i="42"/>
  <c r="A48" i="42"/>
  <c r="A49" i="42"/>
  <c r="A50" i="42"/>
  <c r="A51" i="42"/>
  <c r="A52" i="42"/>
  <c r="A53" i="42"/>
  <c r="A54" i="42"/>
  <c r="A56" i="42"/>
  <c r="A57" i="42"/>
  <c r="A58" i="42"/>
  <c r="A60" i="42"/>
  <c r="A61" i="42"/>
  <c r="A62" i="42"/>
  <c r="A63" i="42"/>
  <c r="A64" i="42"/>
  <c r="A65" i="42"/>
  <c r="A66" i="42"/>
  <c r="A67" i="42"/>
  <c r="A68" i="42"/>
  <c r="A72" i="42"/>
  <c r="A75" i="42"/>
  <c r="A76" i="42"/>
  <c r="A77" i="42"/>
  <c r="A78" i="42"/>
  <c r="O6" i="37"/>
  <c r="P3" i="42"/>
  <c r="P4" i="42"/>
  <c r="P5" i="42"/>
  <c r="P6" i="42"/>
  <c r="P7" i="42"/>
  <c r="P8" i="42"/>
  <c r="P9" i="42"/>
  <c r="P10" i="42"/>
  <c r="P11" i="42"/>
  <c r="P12" i="42"/>
  <c r="P13" i="42"/>
  <c r="P14" i="42"/>
  <c r="P15" i="42"/>
  <c r="P16" i="42"/>
  <c r="P17" i="42"/>
  <c r="P18" i="42"/>
  <c r="P20" i="42"/>
  <c r="P21" i="42"/>
  <c r="P22" i="42"/>
  <c r="P23" i="42"/>
  <c r="P24" i="42"/>
  <c r="P25" i="42"/>
  <c r="P26" i="42"/>
  <c r="P27" i="42"/>
  <c r="P28" i="42"/>
  <c r="P30" i="42"/>
  <c r="P32" i="42"/>
  <c r="P33" i="42"/>
  <c r="P34" i="42"/>
  <c r="P35" i="42"/>
  <c r="P36" i="42"/>
  <c r="P37" i="42"/>
  <c r="P38" i="42"/>
  <c r="P39" i="42"/>
  <c r="P40" i="42"/>
  <c r="P41" i="42"/>
  <c r="P42" i="42"/>
  <c r="P43" i="42"/>
  <c r="P44" i="42"/>
  <c r="P45" i="42"/>
  <c r="P46" i="42"/>
  <c r="P47" i="42"/>
  <c r="P48" i="42"/>
  <c r="P49" i="42"/>
  <c r="P50" i="42"/>
  <c r="P51" i="42"/>
  <c r="P52" i="42"/>
  <c r="P53" i="42"/>
  <c r="P54" i="42"/>
  <c r="P56" i="42"/>
  <c r="P57" i="42"/>
  <c r="P58" i="42"/>
  <c r="P60" i="42"/>
  <c r="P61" i="42"/>
  <c r="P62" i="42"/>
  <c r="P63" i="42"/>
  <c r="P64" i="42"/>
  <c r="P65" i="42"/>
  <c r="P66" i="42"/>
  <c r="P67" i="42"/>
  <c r="P68" i="42"/>
  <c r="P72" i="42"/>
  <c r="P75" i="42"/>
  <c r="P76" i="42"/>
  <c r="P77" i="42"/>
  <c r="P78" i="42"/>
  <c r="P2" i="42"/>
  <c r="A2" i="42"/>
  <c r="D33" i="42"/>
  <c r="D32" i="42"/>
  <c r="J46" i="33" l="1"/>
  <c r="J54" i="33"/>
  <c r="I48" i="33"/>
  <c r="I56" i="33"/>
  <c r="H50" i="33"/>
  <c r="H58" i="33"/>
  <c r="F52" i="33"/>
  <c r="C46" i="33"/>
  <c r="C54" i="33"/>
  <c r="F57" i="33"/>
  <c r="H56" i="33"/>
  <c r="J47" i="33"/>
  <c r="J55" i="33"/>
  <c r="I49" i="33"/>
  <c r="I57" i="33"/>
  <c r="H51" i="33"/>
  <c r="H59" i="33"/>
  <c r="F53" i="33"/>
  <c r="C47" i="33"/>
  <c r="C55" i="33"/>
  <c r="H55" i="33"/>
  <c r="I54" i="33"/>
  <c r="J48" i="33"/>
  <c r="J56" i="33"/>
  <c r="I50" i="33"/>
  <c r="I58" i="33"/>
  <c r="H52" i="33"/>
  <c r="F46" i="33"/>
  <c r="F54" i="33"/>
  <c r="C48" i="33"/>
  <c r="C56" i="33"/>
  <c r="H47" i="33"/>
  <c r="F50" i="33"/>
  <c r="J49" i="33"/>
  <c r="J57" i="33"/>
  <c r="I51" i="33"/>
  <c r="I59" i="33"/>
  <c r="H53" i="33"/>
  <c r="F47" i="33"/>
  <c r="F55" i="33"/>
  <c r="C49" i="33"/>
  <c r="C57" i="33"/>
  <c r="I53" i="33"/>
  <c r="C59" i="33"/>
  <c r="C52" i="33"/>
  <c r="J50" i="33"/>
  <c r="J58" i="33"/>
  <c r="I52" i="33"/>
  <c r="H46" i="33"/>
  <c r="H54" i="33"/>
  <c r="F48" i="33"/>
  <c r="F56" i="33"/>
  <c r="C50" i="33"/>
  <c r="C58" i="33"/>
  <c r="J59" i="33"/>
  <c r="H48" i="33"/>
  <c r="J51" i="33"/>
  <c r="C51" i="33"/>
  <c r="J52" i="33"/>
  <c r="I46" i="33"/>
  <c r="F58" i="33"/>
  <c r="J53" i="33"/>
  <c r="I47" i="33"/>
  <c r="I55" i="33"/>
  <c r="H49" i="33"/>
  <c r="H57" i="33"/>
  <c r="F51" i="33"/>
  <c r="F59" i="33"/>
  <c r="C53" i="33"/>
  <c r="F49" i="33"/>
  <c r="J45" i="33"/>
  <c r="I45" i="33"/>
  <c r="H45" i="33"/>
  <c r="F45" i="33"/>
  <c r="C45" i="33"/>
  <c r="D80" i="42"/>
  <c r="AB16" i="37"/>
  <c r="Q25" i="37"/>
  <c r="Q17" i="37"/>
  <c r="T24" i="37"/>
  <c r="T15" i="37"/>
  <c r="X22" i="37"/>
  <c r="Z15" i="37"/>
  <c r="Z22" i="37"/>
  <c r="AB29" i="37"/>
  <c r="AB21" i="37"/>
  <c r="Q24" i="37"/>
  <c r="Q16" i="37"/>
  <c r="T23" i="37"/>
  <c r="X29" i="37"/>
  <c r="X21" i="37"/>
  <c r="Z29" i="37"/>
  <c r="Z21" i="37"/>
  <c r="AB28" i="37"/>
  <c r="AB20" i="37"/>
  <c r="AB18" i="37"/>
  <c r="Q29" i="37"/>
  <c r="Q21" i="37"/>
  <c r="T28" i="37"/>
  <c r="T20" i="37"/>
  <c r="X26" i="37"/>
  <c r="X18" i="37"/>
  <c r="Z26" i="37"/>
  <c r="Z18" i="37"/>
  <c r="AB25" i="37"/>
  <c r="AB17" i="37"/>
  <c r="Q28" i="37"/>
  <c r="Q20" i="37"/>
  <c r="T27" i="37"/>
  <c r="T19" i="37"/>
  <c r="X25" i="37"/>
  <c r="X17" i="37"/>
  <c r="Z25" i="37"/>
  <c r="Z17" i="37"/>
  <c r="AB24" i="37"/>
  <c r="Q27" i="37"/>
  <c r="Q23" i="37"/>
  <c r="Q19" i="37"/>
  <c r="T16" i="37"/>
  <c r="T26" i="37"/>
  <c r="T22" i="37"/>
  <c r="T18" i="37"/>
  <c r="X28" i="37"/>
  <c r="X24" i="37"/>
  <c r="X20" i="37"/>
  <c r="X16" i="37"/>
  <c r="Z28" i="37"/>
  <c r="Z24" i="37"/>
  <c r="Z20" i="37"/>
  <c r="Z16" i="37"/>
  <c r="AB27" i="37"/>
  <c r="AB23" i="37"/>
  <c r="AB19" i="37"/>
  <c r="Q15" i="37"/>
  <c r="Q26" i="37"/>
  <c r="Q22" i="37"/>
  <c r="Q18" i="37"/>
  <c r="T29" i="37"/>
  <c r="T25" i="37"/>
  <c r="T21" i="37"/>
  <c r="T17" i="37"/>
  <c r="X27" i="37"/>
  <c r="X23" i="37"/>
  <c r="X19" i="37"/>
  <c r="X15" i="37"/>
  <c r="Z27" i="37"/>
  <c r="Z23" i="37"/>
  <c r="Z19" i="37"/>
  <c r="AB15" i="37"/>
  <c r="AB26" i="37"/>
  <c r="AB22" i="37"/>
  <c r="F79" i="3"/>
  <c r="AB130" i="24" l="1"/>
  <c r="A130" i="24"/>
  <c r="A22" i="24" l="1"/>
  <c r="A23" i="24"/>
  <c r="A24" i="24"/>
  <c r="A25" i="24"/>
  <c r="AB22" i="24"/>
  <c r="AB23" i="24"/>
  <c r="AB24" i="24"/>
  <c r="AB25" i="24"/>
  <c r="A2" i="38" l="1"/>
  <c r="AB2" i="38"/>
  <c r="AB2" i="24"/>
  <c r="AB17" i="24" l="1"/>
  <c r="AA51" i="16"/>
  <c r="A51" i="16"/>
  <c r="I25" i="37" l="1"/>
  <c r="I26" i="37"/>
  <c r="I27" i="37"/>
  <c r="I24" i="37"/>
  <c r="A24" i="17" l="1"/>
  <c r="Q22" i="17"/>
  <c r="A22" i="17"/>
  <c r="Q17" i="17"/>
  <c r="A17" i="17"/>
  <c r="Q14" i="17"/>
  <c r="Q15" i="17"/>
  <c r="A14" i="17"/>
  <c r="A15" i="17"/>
  <c r="Q6" i="17"/>
  <c r="A6" i="17"/>
  <c r="Q4" i="17" l="1"/>
  <c r="A4" i="17"/>
  <c r="A3" i="17" l="1"/>
  <c r="A5" i="17"/>
  <c r="A7" i="17"/>
  <c r="A8" i="17"/>
  <c r="A9" i="17"/>
  <c r="A10" i="17"/>
  <c r="A11" i="17"/>
  <c r="A12" i="17"/>
  <c r="A13" i="17"/>
  <c r="A18" i="17"/>
  <c r="A19" i="17"/>
  <c r="A23" i="17"/>
  <c r="A2" i="17"/>
  <c r="Q3" i="17"/>
  <c r="Q5" i="17"/>
  <c r="Q7" i="17"/>
  <c r="Q8" i="17"/>
  <c r="Q9" i="17"/>
  <c r="Q10" i="17"/>
  <c r="Q11" i="17"/>
  <c r="Q12" i="17"/>
  <c r="Q13" i="17"/>
  <c r="Q16" i="17"/>
  <c r="Q18" i="17"/>
  <c r="Q23" i="17"/>
  <c r="Q2" i="17"/>
  <c r="A1" i="17"/>
  <c r="V146" i="16" l="1"/>
  <c r="V12" i="16"/>
  <c r="AA146" i="16"/>
  <c r="A146" i="16"/>
  <c r="A12" i="16"/>
  <c r="A144" i="16" l="1"/>
  <c r="A143" i="16"/>
  <c r="A142" i="16"/>
  <c r="A141" i="16"/>
  <c r="A140" i="16"/>
  <c r="A139" i="16"/>
  <c r="A138" i="16"/>
  <c r="AA144" i="16"/>
  <c r="AA143" i="16"/>
  <c r="AA142" i="16"/>
  <c r="AA141" i="16"/>
  <c r="AA140" i="16"/>
  <c r="AA139" i="16"/>
  <c r="AA138" i="16"/>
  <c r="V144" i="16"/>
  <c r="V143" i="16"/>
  <c r="V142" i="16"/>
  <c r="V141" i="16"/>
  <c r="V140" i="16"/>
  <c r="V139" i="16"/>
  <c r="V138" i="16"/>
  <c r="V108" i="16"/>
  <c r="B23" i="37" l="1"/>
  <c r="B15" i="37"/>
  <c r="B31" i="37"/>
  <c r="V136" i="16" l="1"/>
  <c r="V135" i="16"/>
  <c r="V134" i="16"/>
  <c r="AA136" i="16"/>
  <c r="AA135" i="16"/>
  <c r="AA134" i="16"/>
  <c r="A136" i="16"/>
  <c r="A135" i="16"/>
  <c r="A134" i="16"/>
  <c r="A133" i="16" l="1"/>
  <c r="A132" i="16"/>
  <c r="A131" i="16"/>
  <c r="A130" i="16"/>
  <c r="AA133" i="16"/>
  <c r="AA132" i="16"/>
  <c r="AA131" i="16"/>
  <c r="AA130" i="16"/>
  <c r="B78" i="3" l="1"/>
  <c r="B76" i="3"/>
  <c r="L14" i="19" l="1"/>
  <c r="I69" i="15" l="1"/>
  <c r="G69" i="15"/>
  <c r="E69" i="15"/>
  <c r="J69" i="15"/>
  <c r="G70" i="15"/>
  <c r="E70" i="15"/>
  <c r="J70" i="15"/>
  <c r="E72" i="15"/>
  <c r="I70" i="15"/>
  <c r="I71" i="15"/>
  <c r="G71" i="15"/>
  <c r="E71" i="15"/>
  <c r="J71" i="15"/>
  <c r="I72" i="15"/>
  <c r="H69" i="15"/>
  <c r="F69" i="15"/>
  <c r="C69" i="15"/>
  <c r="J68" i="15"/>
  <c r="F70" i="15"/>
  <c r="C70" i="15"/>
  <c r="F71" i="15"/>
  <c r="C71" i="15"/>
  <c r="C72" i="15"/>
  <c r="H70" i="15"/>
  <c r="F72" i="15"/>
  <c r="G72" i="15"/>
  <c r="J72" i="15"/>
  <c r="H71" i="15"/>
  <c r="H72" i="15"/>
  <c r="I68" i="15"/>
  <c r="G68" i="15"/>
  <c r="C68" i="15"/>
  <c r="F68" i="15"/>
  <c r="E68" i="15"/>
  <c r="H68" i="15"/>
  <c r="C51" i="15"/>
  <c r="C50" i="15"/>
  <c r="AA56" i="16" l="1"/>
  <c r="A56" i="16"/>
  <c r="E34" i="32" l="1"/>
  <c r="F34" i="32"/>
  <c r="G34" i="32"/>
  <c r="D34" i="32"/>
  <c r="J36" i="32" l="1"/>
  <c r="AB160" i="24"/>
  <c r="A161" i="24"/>
  <c r="AB148" i="24"/>
  <c r="A148" i="24"/>
  <c r="AB147" i="24"/>
  <c r="A147" i="24"/>
  <c r="AB146" i="24"/>
  <c r="A146" i="24"/>
  <c r="AB145" i="24"/>
  <c r="A145" i="24"/>
  <c r="AB144" i="24"/>
  <c r="A144" i="24"/>
  <c r="AB143" i="24"/>
  <c r="A143" i="24"/>
  <c r="AB142" i="24"/>
  <c r="A142" i="24"/>
  <c r="AB141" i="24"/>
  <c r="A141" i="24"/>
  <c r="AB140" i="24"/>
  <c r="A140" i="24"/>
  <c r="AB139" i="24"/>
  <c r="A139" i="24"/>
  <c r="AB138" i="24"/>
  <c r="A138" i="24"/>
  <c r="AB129" i="24"/>
  <c r="A129" i="24"/>
  <c r="AB128" i="24"/>
  <c r="A128" i="24"/>
  <c r="AB127" i="24"/>
  <c r="A127" i="24"/>
  <c r="AB126" i="24"/>
  <c r="A126" i="24"/>
  <c r="AB125" i="24"/>
  <c r="A125" i="24"/>
  <c r="AB124" i="24"/>
  <c r="A124" i="24"/>
  <c r="AB123" i="24"/>
  <c r="A123" i="24"/>
  <c r="AB122" i="24"/>
  <c r="A122" i="24"/>
  <c r="AB121" i="24"/>
  <c r="A121" i="24"/>
  <c r="AB120" i="24"/>
  <c r="A120" i="24"/>
  <c r="AB106" i="24"/>
  <c r="A106" i="24"/>
  <c r="AB105" i="24"/>
  <c r="A105" i="24"/>
  <c r="AB104" i="24"/>
  <c r="A104" i="24"/>
  <c r="AB103" i="24"/>
  <c r="A103" i="24"/>
  <c r="AB102" i="24"/>
  <c r="A102" i="24"/>
  <c r="AB101" i="24"/>
  <c r="A101" i="24"/>
  <c r="AB100" i="24"/>
  <c r="A100" i="24"/>
  <c r="AB99" i="24"/>
  <c r="A99" i="24"/>
  <c r="AB90" i="24"/>
  <c r="A90" i="24"/>
  <c r="AB89" i="24"/>
  <c r="A89" i="24"/>
  <c r="AB88" i="24"/>
  <c r="A88" i="24"/>
  <c r="AB87" i="24"/>
  <c r="A87" i="24"/>
  <c r="AB86" i="24"/>
  <c r="A86" i="24"/>
  <c r="AB85" i="24"/>
  <c r="A85" i="24"/>
  <c r="AB84" i="24"/>
  <c r="A84" i="24"/>
  <c r="AB83" i="24"/>
  <c r="A83" i="24"/>
  <c r="AB82" i="24"/>
  <c r="A82" i="24"/>
  <c r="AB64" i="24"/>
  <c r="A64" i="24"/>
  <c r="AB63" i="24"/>
  <c r="A63" i="24"/>
  <c r="AB62" i="24"/>
  <c r="A62" i="24"/>
  <c r="AB61" i="24"/>
  <c r="A61" i="24"/>
  <c r="AB60" i="24"/>
  <c r="A60" i="24"/>
  <c r="AB59" i="24"/>
  <c r="A59" i="24"/>
  <c r="AB58" i="24"/>
  <c r="A58" i="24"/>
  <c r="AB57" i="24"/>
  <c r="A57" i="24"/>
  <c r="AB56" i="24"/>
  <c r="A56" i="24"/>
  <c r="AB55" i="24"/>
  <c r="A55" i="24"/>
  <c r="AB54" i="24"/>
  <c r="A54" i="24"/>
  <c r="AB53" i="24"/>
  <c r="A53" i="24"/>
  <c r="AB52" i="24"/>
  <c r="A52" i="24"/>
  <c r="AB51" i="24"/>
  <c r="A51" i="24"/>
  <c r="AB50" i="24"/>
  <c r="A50" i="24"/>
  <c r="AB49" i="24"/>
  <c r="A49" i="24"/>
  <c r="AB48" i="24"/>
  <c r="A48" i="24"/>
  <c r="AB47" i="24"/>
  <c r="A47" i="24"/>
  <c r="AB46" i="24"/>
  <c r="A46" i="24"/>
  <c r="AB45" i="24"/>
  <c r="A45" i="24"/>
  <c r="AB44" i="24"/>
  <c r="A44" i="24"/>
  <c r="AB43" i="24"/>
  <c r="A43" i="24"/>
  <c r="AB42" i="24"/>
  <c r="A42" i="24"/>
  <c r="AB41" i="24"/>
  <c r="A41" i="24"/>
  <c r="AB40" i="24"/>
  <c r="A40" i="24"/>
  <c r="AB39" i="24"/>
  <c r="A39" i="24"/>
  <c r="AB38" i="24"/>
  <c r="A38" i="24"/>
  <c r="AB37" i="24"/>
  <c r="A37" i="24"/>
  <c r="AB36" i="24"/>
  <c r="A36" i="24"/>
  <c r="AB35" i="24"/>
  <c r="A35" i="24"/>
  <c r="AB34" i="24"/>
  <c r="A34" i="24"/>
  <c r="AB33" i="24"/>
  <c r="A33" i="24"/>
  <c r="AB32" i="24"/>
  <c r="A32" i="24"/>
  <c r="AB31" i="24"/>
  <c r="A31" i="24"/>
  <c r="AB30" i="24"/>
  <c r="A30" i="24"/>
  <c r="AB29" i="24"/>
  <c r="A29" i="24"/>
  <c r="AB28" i="24"/>
  <c r="A28" i="24"/>
  <c r="AB27" i="24"/>
  <c r="A27" i="24"/>
  <c r="AB26" i="24"/>
  <c r="A26" i="24"/>
  <c r="AB21" i="24"/>
  <c r="A21" i="24"/>
  <c r="AB20" i="24"/>
  <c r="A20" i="24"/>
  <c r="AB19" i="24"/>
  <c r="A19" i="24"/>
  <c r="A17" i="24"/>
  <c r="AB12" i="24"/>
  <c r="A12" i="24"/>
  <c r="AB11" i="24"/>
  <c r="A11" i="24"/>
  <c r="AB10" i="24"/>
  <c r="A10" i="24"/>
  <c r="AB9" i="24"/>
  <c r="A9" i="24"/>
  <c r="AB8" i="24"/>
  <c r="A8" i="24"/>
  <c r="AB7" i="24"/>
  <c r="A7" i="24"/>
  <c r="AB6" i="24"/>
  <c r="A6" i="24"/>
  <c r="AB5" i="24"/>
  <c r="A5" i="24"/>
  <c r="AB4" i="24"/>
  <c r="A4" i="24"/>
  <c r="AB3" i="24"/>
  <c r="A3" i="24"/>
  <c r="A2" i="24"/>
  <c r="I40" i="23" l="1"/>
  <c r="I42" i="23"/>
  <c r="I44" i="23"/>
  <c r="C42" i="23"/>
  <c r="F41" i="23"/>
  <c r="F43" i="23"/>
  <c r="E40" i="23"/>
  <c r="C43" i="23"/>
  <c r="C19" i="23"/>
  <c r="G41" i="23"/>
  <c r="G43" i="23"/>
  <c r="E41" i="23"/>
  <c r="C44" i="23"/>
  <c r="H41" i="23"/>
  <c r="H43" i="23"/>
  <c r="E42" i="23"/>
  <c r="I41" i="23"/>
  <c r="I43" i="23"/>
  <c r="E43" i="23"/>
  <c r="F40" i="23"/>
  <c r="F42" i="23"/>
  <c r="F44" i="23"/>
  <c r="E44" i="23"/>
  <c r="G40" i="23"/>
  <c r="G42" i="23"/>
  <c r="G44" i="23"/>
  <c r="C40" i="23"/>
  <c r="H40" i="23"/>
  <c r="H42" i="23"/>
  <c r="H44" i="23"/>
  <c r="C41" i="23"/>
  <c r="C38" i="23"/>
  <c r="E39" i="23"/>
  <c r="C39" i="23"/>
  <c r="F39" i="23"/>
  <c r="G39" i="23"/>
  <c r="H39" i="23"/>
  <c r="I39" i="23"/>
  <c r="C28" i="23"/>
  <c r="C33" i="23"/>
  <c r="C34" i="23"/>
  <c r="C32" i="23"/>
  <c r="C37" i="23"/>
  <c r="C35" i="23"/>
  <c r="C36" i="23"/>
  <c r="C26" i="23"/>
  <c r="C27" i="23"/>
  <c r="C29" i="23"/>
  <c r="C30" i="23"/>
  <c r="C31" i="23"/>
  <c r="C22" i="23"/>
  <c r="C24" i="23"/>
  <c r="C23" i="23"/>
  <c r="C21" i="23"/>
  <c r="C25" i="23"/>
  <c r="C20" i="23"/>
  <c r="H25" i="23"/>
  <c r="E38" i="23"/>
  <c r="E34" i="23"/>
  <c r="E30" i="23"/>
  <c r="E26" i="23"/>
  <c r="E22" i="23"/>
  <c r="F38" i="23"/>
  <c r="F34" i="23"/>
  <c r="F30" i="23"/>
  <c r="F26" i="23"/>
  <c r="F22" i="23"/>
  <c r="G38" i="23"/>
  <c r="G34" i="23"/>
  <c r="G30" i="23"/>
  <c r="G26" i="23"/>
  <c r="G22" i="23"/>
  <c r="H38" i="23"/>
  <c r="H34" i="23"/>
  <c r="H30" i="23"/>
  <c r="H26" i="23"/>
  <c r="H21" i="23"/>
  <c r="I37" i="23"/>
  <c r="I33" i="23"/>
  <c r="I29" i="23"/>
  <c r="I25" i="23"/>
  <c r="I21" i="23"/>
  <c r="E37" i="23"/>
  <c r="E33" i="23"/>
  <c r="E29" i="23"/>
  <c r="E25" i="23"/>
  <c r="E21" i="23"/>
  <c r="F37" i="23"/>
  <c r="F33" i="23"/>
  <c r="F29" i="23"/>
  <c r="F25" i="23"/>
  <c r="F21" i="23"/>
  <c r="G37" i="23"/>
  <c r="G33" i="23"/>
  <c r="G29" i="23"/>
  <c r="G25" i="23"/>
  <c r="G21" i="23"/>
  <c r="H37" i="23"/>
  <c r="H33" i="23"/>
  <c r="H29" i="23"/>
  <c r="H24" i="23"/>
  <c r="H20" i="23"/>
  <c r="I36" i="23"/>
  <c r="I32" i="23"/>
  <c r="I28" i="23"/>
  <c r="I24" i="23"/>
  <c r="I20" i="23"/>
  <c r="E36" i="23"/>
  <c r="E32" i="23"/>
  <c r="E28" i="23"/>
  <c r="E24" i="23"/>
  <c r="E20" i="23"/>
  <c r="F36" i="23"/>
  <c r="F32" i="23"/>
  <c r="F28" i="23"/>
  <c r="F24" i="23"/>
  <c r="F20" i="23"/>
  <c r="G36" i="23"/>
  <c r="G32" i="23"/>
  <c r="G28" i="23"/>
  <c r="G24" i="23"/>
  <c r="G20" i="23"/>
  <c r="H36" i="23"/>
  <c r="H32" i="23"/>
  <c r="H28" i="23"/>
  <c r="H23" i="23"/>
  <c r="I19" i="23"/>
  <c r="I35" i="23"/>
  <c r="I31" i="23"/>
  <c r="I27" i="23"/>
  <c r="I23" i="23"/>
  <c r="E19" i="23"/>
  <c r="E35" i="23"/>
  <c r="E31" i="23"/>
  <c r="E27" i="23"/>
  <c r="E23" i="23"/>
  <c r="F19" i="23"/>
  <c r="F35" i="23"/>
  <c r="F31" i="23"/>
  <c r="F27" i="23"/>
  <c r="F23" i="23"/>
  <c r="G19" i="23"/>
  <c r="G35" i="23"/>
  <c r="G31" i="23"/>
  <c r="G27" i="23"/>
  <c r="G23" i="23"/>
  <c r="H19" i="23"/>
  <c r="H35" i="23"/>
  <c r="H31" i="23"/>
  <c r="H27" i="23"/>
  <c r="H22" i="23"/>
  <c r="I38" i="23"/>
  <c r="I34" i="23"/>
  <c r="I30" i="23"/>
  <c r="I26" i="23"/>
  <c r="I22" i="23"/>
  <c r="AA108" i="16"/>
  <c r="A108" i="16"/>
  <c r="AA129" i="16" l="1"/>
  <c r="V129" i="16"/>
  <c r="AA128" i="16"/>
  <c r="V128" i="16"/>
  <c r="AA126" i="16"/>
  <c r="A126" i="16"/>
  <c r="AA125" i="16"/>
  <c r="V125" i="16"/>
  <c r="A125" i="16"/>
  <c r="AA124" i="16"/>
  <c r="V124" i="16"/>
  <c r="A124" i="16"/>
  <c r="AA123" i="16"/>
  <c r="A123" i="16"/>
  <c r="AA122" i="16"/>
  <c r="A122" i="16"/>
  <c r="AA121" i="16"/>
  <c r="A121" i="16"/>
  <c r="AA120" i="16"/>
  <c r="V120" i="16"/>
  <c r="A120" i="16"/>
  <c r="AA119" i="16"/>
  <c r="V119" i="16"/>
  <c r="A119" i="16"/>
  <c r="AA118" i="16"/>
  <c r="V118" i="16"/>
  <c r="A118" i="16"/>
  <c r="AA117" i="16"/>
  <c r="V117" i="16"/>
  <c r="A117" i="16"/>
  <c r="AA116" i="16"/>
  <c r="A116" i="16"/>
  <c r="AA115" i="16"/>
  <c r="V115" i="16"/>
  <c r="A115" i="16"/>
  <c r="AA114" i="16"/>
  <c r="V114" i="16"/>
  <c r="A114" i="16"/>
  <c r="AA113" i="16"/>
  <c r="V113" i="16"/>
  <c r="A113" i="16"/>
  <c r="AA112" i="16"/>
  <c r="V112" i="16"/>
  <c r="A112" i="16"/>
  <c r="AA111" i="16"/>
  <c r="V111" i="16"/>
  <c r="A111" i="16"/>
  <c r="AA109" i="16"/>
  <c r="V109" i="16"/>
  <c r="A109" i="16"/>
  <c r="AA107" i="16"/>
  <c r="V107" i="16"/>
  <c r="A107" i="16"/>
  <c r="AA106" i="16"/>
  <c r="A106" i="16"/>
  <c r="AA105" i="16"/>
  <c r="V105" i="16"/>
  <c r="A105" i="16"/>
  <c r="AA104" i="16"/>
  <c r="V104" i="16"/>
  <c r="A104" i="16"/>
  <c r="AA103" i="16"/>
  <c r="V103" i="16"/>
  <c r="A103" i="16"/>
  <c r="AA102" i="16"/>
  <c r="A102" i="16"/>
  <c r="AA101" i="16"/>
  <c r="V101" i="16"/>
  <c r="A101" i="16"/>
  <c r="AA100" i="16"/>
  <c r="V100" i="16"/>
  <c r="A100" i="16"/>
  <c r="AA99" i="16"/>
  <c r="V99" i="16"/>
  <c r="A99" i="16"/>
  <c r="AA98" i="16"/>
  <c r="A98" i="16"/>
  <c r="AA97" i="16"/>
  <c r="V97" i="16"/>
  <c r="A97" i="16"/>
  <c r="AA96" i="16"/>
  <c r="V96" i="16"/>
  <c r="A96" i="16"/>
  <c r="AA94" i="16"/>
  <c r="V94" i="16"/>
  <c r="A94" i="16"/>
  <c r="AA93" i="16"/>
  <c r="V93" i="16"/>
  <c r="A93" i="16"/>
  <c r="AA92" i="16"/>
  <c r="V92" i="16"/>
  <c r="A92" i="16"/>
  <c r="AA91" i="16"/>
  <c r="V91" i="16"/>
  <c r="A91" i="16"/>
  <c r="AA90" i="16"/>
  <c r="V90" i="16"/>
  <c r="A90" i="16"/>
  <c r="AA89" i="16"/>
  <c r="V89" i="16"/>
  <c r="A89" i="16"/>
  <c r="AA88" i="16"/>
  <c r="V88" i="16"/>
  <c r="A88" i="16"/>
  <c r="AA87" i="16"/>
  <c r="V87" i="16"/>
  <c r="A87" i="16"/>
  <c r="AA86" i="16"/>
  <c r="V86" i="16"/>
  <c r="A86" i="16"/>
  <c r="AA85" i="16"/>
  <c r="V85" i="16"/>
  <c r="A85" i="16"/>
  <c r="AA84" i="16"/>
  <c r="V84" i="16"/>
  <c r="A84" i="16"/>
  <c r="AA83" i="16"/>
  <c r="V83" i="16"/>
  <c r="A83" i="16"/>
  <c r="AA82" i="16"/>
  <c r="V82" i="16"/>
  <c r="A82" i="16"/>
  <c r="AA81" i="16"/>
  <c r="V81" i="16"/>
  <c r="A81" i="16"/>
  <c r="AA80" i="16"/>
  <c r="V80" i="16"/>
  <c r="A80" i="16"/>
  <c r="AA79" i="16"/>
  <c r="V79" i="16"/>
  <c r="A79" i="16"/>
  <c r="AA78" i="16"/>
  <c r="V78" i="16"/>
  <c r="A78" i="16"/>
  <c r="AA77" i="16"/>
  <c r="V77" i="16"/>
  <c r="A77" i="16"/>
  <c r="AA76" i="16"/>
  <c r="V76" i="16"/>
  <c r="A76" i="16"/>
  <c r="AA75" i="16"/>
  <c r="V75" i="16"/>
  <c r="A75" i="16"/>
  <c r="AA74" i="16"/>
  <c r="V74" i="16"/>
  <c r="A74" i="16"/>
  <c r="AA69" i="16"/>
  <c r="V69" i="16"/>
  <c r="A69" i="16"/>
  <c r="AA68" i="16"/>
  <c r="V68" i="16"/>
  <c r="A68" i="16"/>
  <c r="AA66" i="16"/>
  <c r="A66" i="16"/>
  <c r="AA65" i="16"/>
  <c r="A65" i="16"/>
  <c r="AA70" i="16"/>
  <c r="V70" i="16"/>
  <c r="A70" i="16"/>
  <c r="AA64" i="16"/>
  <c r="A64" i="16"/>
  <c r="AA63" i="16"/>
  <c r="A63" i="16"/>
  <c r="AA62" i="16"/>
  <c r="A62" i="16"/>
  <c r="AA72" i="16"/>
  <c r="V72" i="16"/>
  <c r="A72" i="16"/>
  <c r="AA67" i="16"/>
  <c r="V67" i="16"/>
  <c r="A67" i="16"/>
  <c r="AA71" i="16"/>
  <c r="V71" i="16"/>
  <c r="A71" i="16"/>
  <c r="AA61" i="16"/>
  <c r="A61" i="16"/>
  <c r="AA60" i="16"/>
  <c r="V60" i="16"/>
  <c r="A60" i="16"/>
  <c r="AA59" i="16"/>
  <c r="V59" i="16"/>
  <c r="A59" i="16"/>
  <c r="AA58" i="16"/>
  <c r="V58" i="16"/>
  <c r="A58" i="16"/>
  <c r="AA55" i="16"/>
  <c r="A55" i="16"/>
  <c r="AA54" i="16"/>
  <c r="V54" i="16"/>
  <c r="A54" i="16"/>
  <c r="AA53" i="16"/>
  <c r="V53" i="16"/>
  <c r="A53" i="16"/>
  <c r="AA52" i="16"/>
  <c r="V52" i="16"/>
  <c r="A52" i="16"/>
  <c r="V51" i="16"/>
  <c r="AA50" i="16"/>
  <c r="V50" i="16"/>
  <c r="A50" i="16"/>
  <c r="AA49" i="16"/>
  <c r="V49" i="16"/>
  <c r="A49" i="16"/>
  <c r="AA48" i="16"/>
  <c r="A48" i="16"/>
  <c r="AA47" i="16"/>
  <c r="V47" i="16"/>
  <c r="A47" i="16"/>
  <c r="AA46" i="16"/>
  <c r="V46" i="16"/>
  <c r="A46" i="16"/>
  <c r="AA45" i="16"/>
  <c r="V45" i="16"/>
  <c r="A45" i="16"/>
  <c r="AA44" i="16"/>
  <c r="V44" i="16"/>
  <c r="A44" i="16"/>
  <c r="AA43" i="16"/>
  <c r="A43" i="16"/>
  <c r="AA42" i="16"/>
  <c r="V42" i="16"/>
  <c r="A42" i="16"/>
  <c r="AA41" i="16"/>
  <c r="V41" i="16"/>
  <c r="A41" i="16"/>
  <c r="AA40" i="16"/>
  <c r="V40" i="16"/>
  <c r="A40" i="16"/>
  <c r="AA39" i="16"/>
  <c r="A39" i="16"/>
  <c r="AA38" i="16"/>
  <c r="V38" i="16"/>
  <c r="A38" i="16"/>
  <c r="AA37" i="16"/>
  <c r="V37" i="16"/>
  <c r="A37" i="16"/>
  <c r="AA36" i="16"/>
  <c r="V36" i="16"/>
  <c r="A36" i="16"/>
  <c r="AA35" i="16"/>
  <c r="V35" i="16"/>
  <c r="A35" i="16"/>
  <c r="AA34" i="16"/>
  <c r="V34" i="16"/>
  <c r="A34" i="16"/>
  <c r="AA33" i="16"/>
  <c r="V33" i="16"/>
  <c r="A33" i="16"/>
  <c r="AA32" i="16"/>
  <c r="V32" i="16"/>
  <c r="A32" i="16"/>
  <c r="AA31" i="16"/>
  <c r="A31" i="16"/>
  <c r="AA30" i="16"/>
  <c r="V30" i="16"/>
  <c r="A30" i="16"/>
  <c r="AA29" i="16"/>
  <c r="V29" i="16"/>
  <c r="A29" i="16"/>
  <c r="AA28" i="16"/>
  <c r="V28" i="16"/>
  <c r="A28" i="16"/>
  <c r="AA27" i="16"/>
  <c r="V27" i="16"/>
  <c r="A27" i="16"/>
  <c r="AA26" i="16"/>
  <c r="V26" i="16"/>
  <c r="A26" i="16"/>
  <c r="AA25" i="16"/>
  <c r="V25" i="16"/>
  <c r="A25" i="16"/>
  <c r="AA24" i="16"/>
  <c r="V24" i="16"/>
  <c r="A24" i="16"/>
  <c r="AA23" i="16"/>
  <c r="V23" i="16"/>
  <c r="A23" i="16"/>
  <c r="AA22" i="16"/>
  <c r="V22" i="16"/>
  <c r="A22" i="16"/>
  <c r="AA21" i="16"/>
  <c r="V21" i="16"/>
  <c r="A21" i="16"/>
  <c r="AA20" i="16"/>
  <c r="V20" i="16"/>
  <c r="A20" i="16"/>
  <c r="AA19" i="16"/>
  <c r="V19" i="16"/>
  <c r="A19" i="16"/>
  <c r="AA18" i="16"/>
  <c r="V18" i="16"/>
  <c r="A18" i="16"/>
  <c r="AA17" i="16"/>
  <c r="V17" i="16"/>
  <c r="A17" i="16"/>
  <c r="AA16" i="16"/>
  <c r="V16" i="16"/>
  <c r="A16" i="16"/>
  <c r="AA15" i="16"/>
  <c r="V15" i="16"/>
  <c r="A15" i="16"/>
  <c r="AA14" i="16"/>
  <c r="V14" i="16"/>
  <c r="A14" i="16"/>
  <c r="AA13" i="16"/>
  <c r="A13" i="16"/>
  <c r="AA12" i="16"/>
  <c r="AA11" i="16"/>
  <c r="V11" i="16"/>
  <c r="A11" i="16"/>
  <c r="AA10" i="16"/>
  <c r="V10" i="16"/>
  <c r="A10" i="16"/>
  <c r="AA9" i="16"/>
  <c r="V9" i="16"/>
  <c r="A9" i="16"/>
  <c r="AA8" i="16"/>
  <c r="A8" i="16"/>
  <c r="AA7" i="16"/>
  <c r="V7" i="16"/>
  <c r="A7" i="16"/>
  <c r="AA6" i="16"/>
  <c r="V6" i="16"/>
  <c r="A6" i="16"/>
  <c r="AA5" i="16"/>
  <c r="V5" i="16"/>
  <c r="A5" i="16"/>
  <c r="AA4" i="16"/>
  <c r="V4" i="16"/>
  <c r="A4" i="16"/>
  <c r="AA3" i="16"/>
  <c r="V3" i="16"/>
  <c r="A3" i="16"/>
  <c r="V2" i="16"/>
  <c r="A2" i="16"/>
  <c r="A1" i="16"/>
  <c r="I30" i="5"/>
  <c r="F30" i="5"/>
  <c r="I29" i="5"/>
  <c r="F29" i="5"/>
  <c r="I28" i="5"/>
  <c r="F28" i="5"/>
  <c r="F27" i="5"/>
  <c r="I26" i="5"/>
  <c r="F26" i="5"/>
  <c r="I25" i="5"/>
  <c r="F25" i="5"/>
  <c r="I19" i="5"/>
  <c r="F19" i="5"/>
  <c r="I18" i="5"/>
  <c r="F18" i="5"/>
  <c r="I17" i="5"/>
  <c r="F17" i="5"/>
  <c r="I16" i="5"/>
  <c r="F16" i="5"/>
  <c r="I15" i="5"/>
  <c r="F15" i="5"/>
  <c r="I14" i="5"/>
  <c r="F14" i="5"/>
  <c r="I13" i="5"/>
  <c r="F13" i="5"/>
  <c r="I12" i="5"/>
  <c r="F12" i="5"/>
  <c r="I11" i="5"/>
  <c r="F11" i="5"/>
  <c r="F24" i="4"/>
  <c r="F23" i="4"/>
  <c r="F22" i="4"/>
  <c r="F21" i="4"/>
  <c r="I19" i="4"/>
  <c r="F19" i="4"/>
  <c r="I18" i="4"/>
  <c r="F18" i="4"/>
  <c r="I17" i="4"/>
  <c r="F17" i="4"/>
  <c r="I16" i="4"/>
  <c r="F16" i="4"/>
  <c r="I15" i="4"/>
  <c r="F15" i="4"/>
  <c r="I14" i="4"/>
  <c r="F14" i="4"/>
  <c r="I12" i="4"/>
  <c r="F12" i="4"/>
  <c r="I11" i="4"/>
  <c r="F11" i="4"/>
  <c r="F81" i="3"/>
  <c r="F77" i="3"/>
  <c r="F75" i="3"/>
  <c r="F19" i="3"/>
  <c r="C23" i="15" l="1"/>
  <c r="H54" i="15"/>
  <c r="H50" i="15"/>
  <c r="F52" i="15"/>
  <c r="C54" i="15"/>
  <c r="F54" i="15"/>
  <c r="H52" i="15"/>
  <c r="G51" i="15"/>
  <c r="E53" i="15"/>
  <c r="F50" i="15"/>
  <c r="C52" i="15"/>
  <c r="G53" i="15"/>
  <c r="E54" i="15"/>
  <c r="E51" i="15"/>
  <c r="F26" i="15"/>
  <c r="F30" i="15"/>
  <c r="F27" i="15"/>
  <c r="F31" i="15"/>
  <c r="F28" i="15"/>
  <c r="F29" i="15"/>
  <c r="G31" i="15"/>
  <c r="F32" i="15"/>
  <c r="C26" i="15"/>
  <c r="C32" i="15"/>
  <c r="C33" i="15"/>
  <c r="J36" i="15"/>
  <c r="J31" i="15"/>
  <c r="H23" i="15"/>
  <c r="C30" i="15"/>
  <c r="C29" i="15"/>
  <c r="C35" i="15"/>
  <c r="J24" i="15"/>
  <c r="J30" i="15"/>
  <c r="C34" i="15"/>
  <c r="C37" i="15"/>
  <c r="C28" i="15"/>
  <c r="J28" i="15"/>
  <c r="J37" i="15"/>
  <c r="J35" i="15"/>
  <c r="C38" i="15"/>
  <c r="C27" i="15"/>
  <c r="C36" i="15"/>
  <c r="J32" i="15"/>
  <c r="J34" i="15"/>
  <c r="J33" i="15"/>
  <c r="J38" i="15"/>
  <c r="C31" i="15"/>
  <c r="J29" i="15"/>
  <c r="J27" i="15"/>
  <c r="J25" i="15"/>
  <c r="C24" i="15"/>
  <c r="G30" i="15"/>
  <c r="C25" i="15"/>
  <c r="H24" i="15"/>
  <c r="G24" i="15"/>
  <c r="F36" i="15"/>
  <c r="E32" i="15"/>
  <c r="H29" i="15"/>
  <c r="G29" i="15"/>
  <c r="F25" i="15"/>
  <c r="E37" i="15"/>
  <c r="H26" i="15"/>
  <c r="G26" i="15"/>
  <c r="F38" i="15"/>
  <c r="H43" i="15"/>
  <c r="G23" i="15"/>
  <c r="F35" i="15"/>
  <c r="E31" i="15"/>
  <c r="F34" i="15"/>
  <c r="E42" i="15"/>
  <c r="H28" i="15"/>
  <c r="G28" i="15"/>
  <c r="F24" i="15"/>
  <c r="E36" i="15"/>
  <c r="H33" i="15"/>
  <c r="G33" i="15"/>
  <c r="E25" i="15"/>
  <c r="H30" i="15"/>
  <c r="E26" i="15"/>
  <c r="H42" i="15"/>
  <c r="H27" i="15"/>
  <c r="G27" i="15"/>
  <c r="F43" i="15"/>
  <c r="F23" i="15"/>
  <c r="E35" i="15"/>
  <c r="G34" i="15"/>
  <c r="H32" i="15"/>
  <c r="G32" i="15"/>
  <c r="E24" i="15"/>
  <c r="H41" i="15"/>
  <c r="H37" i="15"/>
  <c r="G37" i="15"/>
  <c r="F33" i="15"/>
  <c r="E29" i="15"/>
  <c r="H34" i="15"/>
  <c r="G38" i="15"/>
  <c r="E30" i="15"/>
  <c r="H31" i="15"/>
  <c r="E43" i="15"/>
  <c r="E23" i="15"/>
  <c r="E34" i="15"/>
  <c r="H40" i="15"/>
  <c r="H36" i="15"/>
  <c r="G36" i="15"/>
  <c r="E28" i="15"/>
  <c r="H25" i="15"/>
  <c r="G25" i="15"/>
  <c r="F37" i="15"/>
  <c r="E33" i="15"/>
  <c r="H38" i="15"/>
  <c r="E38" i="15"/>
  <c r="H35" i="15"/>
  <c r="G35" i="15"/>
  <c r="E27" i="15"/>
  <c r="F42" i="15"/>
  <c r="G50" i="15"/>
  <c r="F51" i="15"/>
  <c r="E52" i="15"/>
  <c r="C53" i="15"/>
  <c r="H53" i="15"/>
  <c r="G54" i="15"/>
  <c r="E50" i="15"/>
  <c r="H51" i="15"/>
  <c r="G52" i="15"/>
  <c r="F53"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tc={A1C5A8F0-6D0C-43BB-8556-04D73B8F6214}</author>
  </authors>
  <commentList>
    <comment ref="B17" authorId="0" shapeId="0" xr:uid="{A1C5A8F0-6D0C-43BB-8556-04D73B8F6214}">
      <text>
        <t>[Threaded comment]
Your version of Excel allows you to read this threaded comment; however, any edits to it will get removed if the file is opened in a newer version of Excel. Learn more: https://go.microsoft.com/fwlink/?linkid=870924
Comment:
    I think this one might be missing the header - is this Section 1(a)? Should there also be a 1(b) on this sheet?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murrutia</author>
  </authors>
  <commentList>
    <comment ref="M106" authorId="0" shapeId="0" xr:uid="{00000000-0006-0000-0D00-000001000000}">
      <text>
        <r>
          <rPr>
            <b/>
            <sz val="9"/>
            <color indexed="81"/>
            <rFont val="Tahoma"/>
            <family val="2"/>
          </rPr>
          <t>murrutia:</t>
        </r>
        <r>
          <rPr>
            <sz val="9"/>
            <color indexed="81"/>
            <rFont val="Tahoma"/>
            <family val="2"/>
          </rPr>
          <t xml:space="preserve">
is it 16,000?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tc={745DA904-F801-40A8-B3BA-B7D6D1F7004F}</author>
  </authors>
  <commentList>
    <comment ref="AD31" authorId="0" shapeId="0" xr:uid="{745DA904-F801-40A8-B3BA-B7D6D1F7004F}">
      <text>
        <t>[Threaded comment]
Your version of Excel allows you to read this threaded comment; however, any edits to it will get removed if the file is opened in a newer version of Excel. Learn more: https://go.microsoft.com/fwlink/?linkid=870924
Comment:
    Add "including seed mix or species planted, if applicable"</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tc={221ECB09-67B0-462E-8126-B49A172D4D54}</author>
  </authors>
  <commentList>
    <comment ref="D21" authorId="0" shapeId="0" xr:uid="{00000000-0006-0000-1900-000001000000}">
      <text>
        <t>[Threaded comment]
Your version of Excel allows you to read this threaded comment; however, any edits to it will get removed if the file is opened in a newer version of Excel. Learn more: https://go.microsoft.com/fwlink/?linkid=870924
Comment:
    Exact size TBD; likely 4-4.5</t>
      </text>
    </comment>
  </commentList>
</comments>
</file>

<file path=xl/sharedStrings.xml><?xml version="1.0" encoding="utf-8"?>
<sst xmlns="http://schemas.openxmlformats.org/spreadsheetml/2006/main" count="7336" uniqueCount="1646">
  <si>
    <t>EXECUTIVE OFFICE OF ENERGY AND ENVIRONMENTAL AFFAIRS</t>
  </si>
  <si>
    <t>DEPARTMENT OF ENERGY RESOURCES</t>
  </si>
  <si>
    <t>Leading by Example Program</t>
  </si>
  <si>
    <t>General</t>
  </si>
  <si>
    <t>Building Fuel Consumption</t>
  </si>
  <si>
    <t>Vehicle Fleet</t>
  </si>
  <si>
    <t>Contact Info</t>
  </si>
  <si>
    <t xml:space="preserve">Select your agency/campus from the dropdown list provided and contact information will autpopulate. Additional fields are available for contact information that is incorrect or not listed. </t>
  </si>
  <si>
    <t>Square Footage</t>
  </si>
  <si>
    <t xml:space="preserve">Agency/campus square footage is pre-populated using your FY19 reported data.  If square footage has changed from last year or is incorrect, please provide new/corrected square footage in the space provided.  If you have added a new building or demolished an existing building, please provide as much information as possible in the fields provided.  </t>
  </si>
  <si>
    <t>Electricity Consumption</t>
  </si>
  <si>
    <t>This tab includes electricity consumption and costs associated with grid electricity purchases, on-site generation, and net meter credit agreements. Please fill out electricity data for all the sources that apply to your facilities. Please note that we also ask for data on Renewable Energy Certificates and Alternative Energy Credits purchased/sold separate from the DCAMM state contract.</t>
  </si>
  <si>
    <t xml:space="preserve">This tab includes energy data associated with all building fuels except for electricity and on-site generation at buildings.  Please enter consumption information all non-electric building energy use in this tab, including natural gas, oil, propane, etc. </t>
  </si>
  <si>
    <t>Vehicle &amp; Other Fuel Consumption</t>
  </si>
  <si>
    <t xml:space="preserve">This tab includes vehicle energy data, as well as energy data associated with any facility operations not attributed to building or vehicle use (e.g. fuel for boats/aircraft, landscaping equipment, etc.). </t>
  </si>
  <si>
    <t>Installed Clean Power</t>
  </si>
  <si>
    <t>On this tab you will find a pre-populated list of renewable, onsite generation, energy storage, and renewable thermal projects that have been reported to LBE for your agency/campus, along with their installed capacity. Please make any corrections, where necessary, and enter any additional renewable projects that you have installed.</t>
  </si>
  <si>
    <t>EE Projects</t>
  </si>
  <si>
    <t>This tab includes a request for information on energy efficiency projects that have moved forward without DOER or DCAMM involvement.</t>
  </si>
  <si>
    <t>EV Charging Stations</t>
  </si>
  <si>
    <t>Sustainability</t>
  </si>
  <si>
    <t>Landscaping</t>
  </si>
  <si>
    <t>If a cell is highlighted in yellow, please make sure to check the values.  If the highlighted data is correct, please include explanation if possible for any discrepancies.</t>
  </si>
  <si>
    <t>INSTRUCTIONS ON FILLING OUT TAB</t>
  </si>
  <si>
    <t>Select your agency/campus from a dropdown list provided and contact information will auto-populate.  If contact information is incorrect, please note changes where appropriate. If additional contacts should be included for your campus, please list them in the yellow boxes.</t>
  </si>
  <si>
    <t xml:space="preserve">Note: If your agency/campus is not selected from the dropdown menu below, subsequent tabs will not display any pre-populated data. </t>
  </si>
  <si>
    <t>Please answer all items in yellow, where appropriate.</t>
  </si>
  <si>
    <t>Contact Information</t>
  </si>
  <si>
    <t>Agency/Campus:</t>
  </si>
  <si>
    <t>Please select your answer from the dropdown</t>
  </si>
  <si>
    <t>Contact Name 1:</t>
  </si>
  <si>
    <t xml:space="preserve">Email: </t>
  </si>
  <si>
    <t xml:space="preserve"> Title:</t>
  </si>
  <si>
    <t>Phone:</t>
  </si>
  <si>
    <t>Contact Name 2:</t>
  </si>
  <si>
    <t xml:space="preserve">Contact Name 3: </t>
  </si>
  <si>
    <t xml:space="preserve">Contact Name 4: </t>
  </si>
  <si>
    <t xml:space="preserve">Agency </t>
  </si>
  <si>
    <t>Contact</t>
  </si>
  <si>
    <t>Contact Title</t>
  </si>
  <si>
    <t xml:space="preserve">Email </t>
  </si>
  <si>
    <t>Phone</t>
  </si>
  <si>
    <t>Alternate Contact</t>
  </si>
  <si>
    <t>Alternate Contact Title</t>
  </si>
  <si>
    <t xml:space="preserve">Alternate Email </t>
  </si>
  <si>
    <t>Alternate Phone</t>
  </si>
  <si>
    <t>Alternate Contact 2</t>
  </si>
  <si>
    <t>Alternate Contact Title 2</t>
  </si>
  <si>
    <t>Alternate Email 2</t>
  </si>
  <si>
    <t>Alternate Phone 2</t>
  </si>
  <si>
    <t>-</t>
  </si>
  <si>
    <t>Berkshire Comm. College</t>
  </si>
  <si>
    <t>David Moran</t>
  </si>
  <si>
    <t>Director of Facilities</t>
  </si>
  <si>
    <t>dmoran@berkshirecc.edu</t>
  </si>
  <si>
    <t>(413) 236-3028</t>
  </si>
  <si>
    <t>Bridgewater State University</t>
  </si>
  <si>
    <t>Patricia Delaney</t>
  </si>
  <si>
    <t>Asst. Director EH&amp;S Officer</t>
  </si>
  <si>
    <t>PDELANEY@bridgew.edu</t>
  </si>
  <si>
    <t>508-531-2751</t>
  </si>
  <si>
    <t>Karen Jason</t>
  </si>
  <si>
    <t>Vice President Operations</t>
  </si>
  <si>
    <t>kjason@bridgew.edu</t>
  </si>
  <si>
    <t>508-531-2750</t>
  </si>
  <si>
    <t>Keith MacDonald</t>
  </si>
  <si>
    <t>Asst. Vice President Facilities Mgmt</t>
  </si>
  <si>
    <t>kcmacdonald@bridgew.edu</t>
  </si>
  <si>
    <t>508-531-1296</t>
  </si>
  <si>
    <t>Bristol Comm. College</t>
  </si>
  <si>
    <t xml:space="preserve">Mark Carmody </t>
  </si>
  <si>
    <t>Asst. VP of Administration &amp; Finance</t>
  </si>
  <si>
    <t>mark.carmody@bristolcc.edu</t>
  </si>
  <si>
    <t>508-678-2811 x3058</t>
  </si>
  <si>
    <t>Barbara Cadima</t>
  </si>
  <si>
    <t>Facilities</t>
  </si>
  <si>
    <t>Barbara.Cadima@bristolcc.edu</t>
  </si>
  <si>
    <t>774-357-2533</t>
  </si>
  <si>
    <t>Bunker Hill Comm. College</t>
  </si>
  <si>
    <t>Gary Bigelow</t>
  </si>
  <si>
    <t>Executive Director of Facilities</t>
  </si>
  <si>
    <t>gbigelow@bhcc.mass.edu</t>
  </si>
  <si>
    <t>617-936-1985</t>
  </si>
  <si>
    <t>Bureau of the State House</t>
  </si>
  <si>
    <t>Cape Cod Comm. College</t>
  </si>
  <si>
    <t>Joseph MacKinnon</t>
  </si>
  <si>
    <t>Director, Facilities Management</t>
  </si>
  <si>
    <t>jmackinnon@capecod.edu</t>
  </si>
  <si>
    <t xml:space="preserve"> -</t>
  </si>
  <si>
    <t>Mark Waldruff</t>
  </si>
  <si>
    <t>Facilities Associate</t>
  </si>
  <si>
    <t>mwaldruff@capecod.edu</t>
  </si>
  <si>
    <t>508-362-2131 x4324</t>
  </si>
  <si>
    <t>Steve Zazzera</t>
  </si>
  <si>
    <t>Project Specialist</t>
  </si>
  <si>
    <t>szazzera@capecod.edu</t>
  </si>
  <si>
    <t>774-330-4411</t>
  </si>
  <si>
    <t>Chelsea Soldier's Home</t>
  </si>
  <si>
    <t>Dept. of Conservation and Recreation</t>
  </si>
  <si>
    <t>Dept. of Correction</t>
  </si>
  <si>
    <t>Andy Bakinowski</t>
  </si>
  <si>
    <t>Environmental Consultant</t>
  </si>
  <si>
    <t>Andrew.W.Bakinowski@doc.state.ma.us</t>
  </si>
  <si>
    <t>(508)422-3660</t>
  </si>
  <si>
    <t>Sean Foley</t>
  </si>
  <si>
    <t>Construction Cooridnator</t>
  </si>
  <si>
    <t>Sean.Foley@doc.state.ma.us</t>
  </si>
  <si>
    <t>508-422-3669</t>
  </si>
  <si>
    <t>Dept. of Developmental Services</t>
  </si>
  <si>
    <t>Dept. of Fire Services</t>
  </si>
  <si>
    <t>Dept. of Fish and Game</t>
  </si>
  <si>
    <t>Dept. of Mental Health</t>
  </si>
  <si>
    <t>Dept. of Public Health</t>
  </si>
  <si>
    <t>Dept. of State Police</t>
  </si>
  <si>
    <t>Dept. of Youth Services</t>
  </si>
  <si>
    <t>Div. of Capital Asset Management</t>
  </si>
  <si>
    <t>Environmental Police</t>
  </si>
  <si>
    <t>Fitchburg State University</t>
  </si>
  <si>
    <t>Leah Fernandes</t>
  </si>
  <si>
    <t>EHS Officer</t>
  </si>
  <si>
    <t>Lfernan7@fitchburgstate.edu</t>
  </si>
  <si>
    <t>978-665-3756</t>
  </si>
  <si>
    <t>Joseph LoBuono</t>
  </si>
  <si>
    <t>Assistant VP of CPM</t>
  </si>
  <si>
    <t>jlobuono@fitchburgstate.edu</t>
  </si>
  <si>
    <t>978-665-4614</t>
  </si>
  <si>
    <t>Mary Beth McKenzie</t>
  </si>
  <si>
    <t>Asst. VP for Finance and Administration</t>
  </si>
  <si>
    <t>memckenzie@fitchburgstate.edu</t>
  </si>
  <si>
    <t>978-665-3123</t>
  </si>
  <si>
    <t>Framingham State University</t>
  </si>
  <si>
    <t>Ken Brasili</t>
  </si>
  <si>
    <t>Director, Power Plant and Support Services</t>
  </si>
  <si>
    <t>kbrasili@framingham.edu</t>
  </si>
  <si>
    <t>508-626-4086</t>
  </si>
  <si>
    <t>Patricia Whitney</t>
  </si>
  <si>
    <t>Assistant VP of Facilities</t>
  </si>
  <si>
    <t>pwhitney@framingham.edu</t>
  </si>
  <si>
    <t>(508) 626-4590</t>
  </si>
  <si>
    <t>Maureen Fowler</t>
  </si>
  <si>
    <t>Director, Environmental Health &amp; Safety Coordinator</t>
  </si>
  <si>
    <t>mfowler@framingham.edu</t>
  </si>
  <si>
    <t>508-626-4633</t>
  </si>
  <si>
    <t>Greenfield Comm. College</t>
  </si>
  <si>
    <t>Jeffrey Marques</t>
  </si>
  <si>
    <t>marquesj@gcc.mass.edu</t>
  </si>
  <si>
    <t>413-775-1700</t>
  </si>
  <si>
    <t>Rebecca Devino</t>
  </si>
  <si>
    <t>Administrative Asst.</t>
  </si>
  <si>
    <t>facilitiesmanagement@gcc.mass.edu</t>
  </si>
  <si>
    <t>Holyoke Comm. College</t>
  </si>
  <si>
    <t>Daniel Campbell</t>
  </si>
  <si>
    <t>dcampbell@hcc.edu</t>
  </si>
  <si>
    <t>(413-552-2705)</t>
  </si>
  <si>
    <t>Holyoke Soldier's Home</t>
  </si>
  <si>
    <t xml:space="preserve">John Crotty </t>
  </si>
  <si>
    <t>Deputy Superintendent</t>
  </si>
  <si>
    <t>John.Crotty@statemail.state.ma.us</t>
  </si>
  <si>
    <t>413 552 4701</t>
  </si>
  <si>
    <t>Bennett Walsh</t>
  </si>
  <si>
    <t>Superintendent</t>
  </si>
  <si>
    <t>Bennett.Walsh@MassMail.State.MA.US</t>
  </si>
  <si>
    <t>(413) 552-4700</t>
  </si>
  <si>
    <t>MA Data Centers</t>
  </si>
  <si>
    <t>Mass. Bay Comm. College</t>
  </si>
  <si>
    <t>Joe DeLisle</t>
  </si>
  <si>
    <t>jdelisle@massbay.edu</t>
  </si>
  <si>
    <t>781-239-2571</t>
  </si>
  <si>
    <t>Mass. College of Art &amp; Design</t>
  </si>
  <si>
    <t>Howard Larosee</t>
  </si>
  <si>
    <t>Asst. VP for Facilities &amp; Planning</t>
  </si>
  <si>
    <t>hlarosee@massart.edu</t>
  </si>
  <si>
    <t>617-879-7938</t>
  </si>
  <si>
    <t>Mass. College of Liberal Arts</t>
  </si>
  <si>
    <t>Joe Santucci</t>
  </si>
  <si>
    <t>Energy Manager</t>
  </si>
  <si>
    <t>g.santucci@mcla.edu</t>
  </si>
  <si>
    <t>413-662-5559</t>
  </si>
  <si>
    <t>Bill Norcross</t>
  </si>
  <si>
    <t>Accounts Payable Manager</t>
  </si>
  <si>
    <t>b.norcross@mcla.edu</t>
  </si>
  <si>
    <t>413-662-5529</t>
  </si>
  <si>
    <t>Mass. Maritime Academy</t>
  </si>
  <si>
    <t>Kathy Driscoll</t>
  </si>
  <si>
    <t>EH&amp;S / Sustainability</t>
  </si>
  <si>
    <t>kdriscoll@maritime.edu</t>
  </si>
  <si>
    <t>508-830-5235</t>
  </si>
  <si>
    <t>Paul O'Keefe</t>
  </si>
  <si>
    <t>VP of Operations</t>
  </si>
  <si>
    <t>pokeefe@maritime.edu</t>
  </si>
  <si>
    <t>508-830-5063</t>
  </si>
  <si>
    <t>Mass. Water Resources Authority</t>
  </si>
  <si>
    <t>Jonathan Sycamore</t>
  </si>
  <si>
    <t>Sr. Financial Analyst</t>
  </si>
  <si>
    <t>jonathan.sycamore@mwra.com</t>
  </si>
  <si>
    <t>617 788 2269</t>
  </si>
  <si>
    <t>Denise Breiteneicher</t>
  </si>
  <si>
    <t>Program Energy Management</t>
  </si>
  <si>
    <t>denise.breiteneicher@mwra.com</t>
  </si>
  <si>
    <t>617 305 5925</t>
  </si>
  <si>
    <t>Massasoit Comm. College</t>
  </si>
  <si>
    <t>Greg Haberek</t>
  </si>
  <si>
    <t>Director of Facilities &amp; Capital Planning</t>
  </si>
  <si>
    <t>ghaberek@massasoit.mass.edu</t>
  </si>
  <si>
    <t>508-588-9100 x1168</t>
  </si>
  <si>
    <t xml:space="preserve">William Mitchell </t>
  </si>
  <si>
    <t>VP of Administration/CFO</t>
  </si>
  <si>
    <t>wamitchell@massasoit.mass.edu</t>
  </si>
  <si>
    <t>508-588-9100 x1510</t>
  </si>
  <si>
    <t>Jennifer Holbrook</t>
  </si>
  <si>
    <t>Staff Associate to the V.P. for Administration/CFO</t>
  </si>
  <si>
    <t>jholbroo2@massasoit.mass.edu</t>
  </si>
  <si>
    <t>508-588-9100 x1501</t>
  </si>
  <si>
    <t>MassDEP - leased</t>
  </si>
  <si>
    <t>MassDEP - owned</t>
  </si>
  <si>
    <t>MassDOT - Highway &amp; Turnpike Divisions</t>
  </si>
  <si>
    <t>MassPort Authority</t>
  </si>
  <si>
    <t>Peter DeBruin</t>
  </si>
  <si>
    <t>Climate Mitgation &amp; Resiliency Manager</t>
  </si>
  <si>
    <t>pdebruin@massport.com</t>
  </si>
  <si>
    <t>617-568-9583</t>
  </si>
  <si>
    <t>Lauren Laskey</t>
  </si>
  <si>
    <t>Sustainability Planner</t>
  </si>
  <si>
    <t>llaskey@massport.com</t>
  </si>
  <si>
    <t>617-568-3542</t>
  </si>
  <si>
    <t>Middlesex Comm. College</t>
  </si>
  <si>
    <t>Brian Butler</t>
  </si>
  <si>
    <t>Director of Facilities Management</t>
  </si>
  <si>
    <t>butlerb@middlesex.mass.edu</t>
  </si>
  <si>
    <t>(781) 280-3523</t>
  </si>
  <si>
    <t>Military Division</t>
  </si>
  <si>
    <t>Mount Wachusett Comm. College</t>
  </si>
  <si>
    <t>Robert LaBonte</t>
  </si>
  <si>
    <t>VP of Administration &amp; Finance</t>
  </si>
  <si>
    <t>r_labonte@mwcc.mass.edu</t>
  </si>
  <si>
    <t>978-630-9272</t>
  </si>
  <si>
    <t>Bill Swift</t>
  </si>
  <si>
    <t>Director of Facilites Management</t>
  </si>
  <si>
    <t>W_Swift@mwcc.mass.edu</t>
  </si>
  <si>
    <t>978-630-9267</t>
  </si>
  <si>
    <t>North Shore Comm. College</t>
  </si>
  <si>
    <t>Rick Reney</t>
  </si>
  <si>
    <t>Asst. VP of Facilities Operations &amp; Services</t>
  </si>
  <si>
    <t>rreney@northshore.edu</t>
  </si>
  <si>
    <t>978-762-4040</t>
  </si>
  <si>
    <t>Jamieson Wicks</t>
  </si>
  <si>
    <t>Facilities Director</t>
  </si>
  <si>
    <t>jwicks@northshore.edu</t>
  </si>
  <si>
    <t>(617) 879-7939</t>
  </si>
  <si>
    <t>Scott Davidson</t>
  </si>
  <si>
    <t>scott.davidson@northshore.edu</t>
  </si>
  <si>
    <t>978-762-4371</t>
  </si>
  <si>
    <t>Northern Essex Comm. College</t>
  </si>
  <si>
    <t>Paul Miedzionoski</t>
  </si>
  <si>
    <t>pmiedzionoski@necc.mass.edu</t>
  </si>
  <si>
    <t>978-556-3921</t>
  </si>
  <si>
    <t>Quinsigamond Comm. College</t>
  </si>
  <si>
    <t>Stephen Zisk</t>
  </si>
  <si>
    <t>Director of Engineering, Energy &amp; Environment</t>
  </si>
  <si>
    <t>szisk@qcc.mass.edu</t>
  </si>
  <si>
    <t>508.854.4424</t>
  </si>
  <si>
    <t>Roxbury Comm. College</t>
  </si>
  <si>
    <t>Kevin Hepner</t>
  </si>
  <si>
    <t>Khepner@rcc.mass.edu</t>
  </si>
  <si>
    <t>857-701-1258</t>
  </si>
  <si>
    <t>Michelle Barnes</t>
  </si>
  <si>
    <t>Asst. to VP of Administration &amp; Finance</t>
  </si>
  <si>
    <t>Mbarnes@rcc.mass.edu</t>
  </si>
  <si>
    <t>857-701-1259</t>
  </si>
  <si>
    <t>Ken Hall</t>
  </si>
  <si>
    <t>Khall@rcc.mass.edu</t>
  </si>
  <si>
    <t>857-701-1671</t>
  </si>
  <si>
    <t>Salem State University</t>
  </si>
  <si>
    <t>Ben Szalewicz</t>
  </si>
  <si>
    <t>Asst. VP, Campus Planning &amp; Facitilies Mgmt</t>
  </si>
  <si>
    <t>bszalewicz@salemstate.edu</t>
  </si>
  <si>
    <t>978-542-7115</t>
  </si>
  <si>
    <t>Tara Gallagher</t>
  </si>
  <si>
    <t>Sustainability &amp; EH&amp;S Coordinator</t>
  </si>
  <si>
    <t>tgallagher@salemstate.edu</t>
  </si>
  <si>
    <t>978-542-3073</t>
  </si>
  <si>
    <t>scott.davidson@salemstate.edu</t>
  </si>
  <si>
    <t>Springfield Technical Comm. College</t>
  </si>
  <si>
    <t>Thomas Therrien</t>
  </si>
  <si>
    <t>Director of Operations</t>
  </si>
  <si>
    <t>twtherrien@stcc.edu</t>
  </si>
  <si>
    <t>413-755-4688</t>
  </si>
  <si>
    <t>Debra Avery</t>
  </si>
  <si>
    <t>Senior Director of Facilities</t>
  </si>
  <si>
    <t>ddavery@stcc.edu</t>
  </si>
  <si>
    <t>413-755-4607</t>
  </si>
  <si>
    <t>Trial Court</t>
  </si>
  <si>
    <t>John Bello</t>
  </si>
  <si>
    <t>Director, Facilites Mgmt &amp; Capital Planning</t>
  </si>
  <si>
    <t>john.bello@jud.state.ma.us</t>
  </si>
  <si>
    <t>617 725-8787</t>
  </si>
  <si>
    <t>Anthony Duros</t>
  </si>
  <si>
    <t>Deputy Director, Facilities Mgmt &amp; Capital Planning</t>
  </si>
  <si>
    <t>anthony.duros@jud.state.ma.us</t>
  </si>
  <si>
    <t>UMass Amherst</t>
  </si>
  <si>
    <t>Ezra Small</t>
  </si>
  <si>
    <t>Campus Sustainability Manager</t>
  </si>
  <si>
    <t>esmall@umass.edu</t>
  </si>
  <si>
    <t>413-545-0799</t>
  </si>
  <si>
    <t>UMass Boston</t>
  </si>
  <si>
    <t>Aditi Pain</t>
  </si>
  <si>
    <t>Sustainability Manager</t>
  </si>
  <si>
    <t>UMBe.GREEN@umb.edu</t>
  </si>
  <si>
    <t>617-287-5083</t>
  </si>
  <si>
    <t>Diane D'Arrigo</t>
  </si>
  <si>
    <t>Asst. VC Campus Services</t>
  </si>
  <si>
    <t>diane.darrigo@umb.edu</t>
  </si>
  <si>
    <t>617-287-5052</t>
  </si>
  <si>
    <t>UMass Dartmouth</t>
  </si>
  <si>
    <t>Greg Walters</t>
  </si>
  <si>
    <t xml:space="preserve"> Assistant Vice Chancellor of Capital Planning &amp; Facilities Operations					</t>
  </si>
  <si>
    <t>greg.walters@umassd.edu</t>
  </si>
  <si>
    <t>508-999-8058</t>
  </si>
  <si>
    <t>Derek Costa</t>
  </si>
  <si>
    <t>Director of Strategic Initiatives</t>
  </si>
  <si>
    <t>dcosta1@umassd.edu</t>
  </si>
  <si>
    <t>508-999-8188</t>
  </si>
  <si>
    <t>Jamie Jacquart</t>
  </si>
  <si>
    <t>Asst. Director of Campus Sustainability</t>
  </si>
  <si>
    <t>jjacquart@umassd.edu</t>
  </si>
  <si>
    <t>508-999-8880</t>
  </si>
  <si>
    <t>UMass Lowell</t>
  </si>
  <si>
    <t>Ruairi O'Mahoney</t>
  </si>
  <si>
    <t>Director, Office of Sustainability</t>
  </si>
  <si>
    <t>Ruairi_OMahony@uml.edu</t>
  </si>
  <si>
    <t>978-934-1866</t>
  </si>
  <si>
    <t>Daniel Abrahamson</t>
  </si>
  <si>
    <t>Energy Manager, Facilities Operations &amp; Services</t>
  </si>
  <si>
    <t>Daniel_Abrahamson@uml.edu</t>
  </si>
  <si>
    <t>978-934-4823</t>
  </si>
  <si>
    <t>UMass Medical</t>
  </si>
  <si>
    <t xml:space="preserve">Suzanne Wood </t>
  </si>
  <si>
    <t>Sustainability &amp; Energy Manager</t>
  </si>
  <si>
    <t>suzanne.wood@umassmed.edu</t>
  </si>
  <si>
    <t>508-856-6324</t>
  </si>
  <si>
    <t>John Baker</t>
  </si>
  <si>
    <t>AVC Facilities Management</t>
  </si>
  <si>
    <t>john.baker@umassmed.edu</t>
  </si>
  <si>
    <t>Westfield State University</t>
  </si>
  <si>
    <t>Andrew Montanaro</t>
  </si>
  <si>
    <t>Facilities &amp; Operations</t>
  </si>
  <si>
    <t>amontanaro@westfield.ma.edu</t>
  </si>
  <si>
    <t>413-572-8018</t>
  </si>
  <si>
    <t>Maureen Socha</t>
  </si>
  <si>
    <t>Exec. Director, Facilities &amp; Operations</t>
  </si>
  <si>
    <t>msocha@westfield.ma.edu</t>
  </si>
  <si>
    <t>413-572-5205</t>
  </si>
  <si>
    <t>Worcester State University</t>
  </si>
  <si>
    <t>Steven Banderra</t>
  </si>
  <si>
    <t>Sustainability Coordinator</t>
  </si>
  <si>
    <t>sbandarra@worcester.edu</t>
  </si>
  <si>
    <t>508-929-8332</t>
  </si>
  <si>
    <t>Robert Daniels</t>
  </si>
  <si>
    <t>Associate Director of Facilities</t>
  </si>
  <si>
    <t>rdaniels@worcester.edu</t>
  </si>
  <si>
    <t>508-929-8099</t>
  </si>
  <si>
    <t xml:space="preserve">Select your agency/campus from a dropdown list provided and provide square footage and space optimization information.  If you have added a new building or demolished an existing building, please provide an occupancy date.  </t>
  </si>
  <si>
    <t>Please answer items in yellow, where applicable.</t>
  </si>
  <si>
    <t>Square Footage &amp; Space Optimization</t>
  </si>
  <si>
    <t>Please Select</t>
  </si>
  <si>
    <t>Name of Building</t>
  </si>
  <si>
    <t>Building Type</t>
  </si>
  <si>
    <t>Type of Change (+/-)</t>
  </si>
  <si>
    <t>Date of Change</t>
  </si>
  <si>
    <t>Approximate Date of Change</t>
  </si>
  <si>
    <t>Please provide any additional notes regarding square footage changes below:</t>
  </si>
  <si>
    <t xml:space="preserve">Electricity </t>
  </si>
  <si>
    <r>
      <t xml:space="preserve">This tab includes electricity consumption and costs associated with grid electricity purchases, on-site generation, and net meter credit agreements. Please fill out electricity data for all the sources that apply to your facilities. 
Please note that we also ask for data on Renewable Energy Certificates, Alternative Energy Credits and SMART incentives. If these incentives are managed by DCAMM, you do not need to report as part of this tracking form submission. If these incentives are managed by your agency/campus or another entity separate from DCAMM, please report any available information in Section V below. 
</t>
    </r>
    <r>
      <rPr>
        <b/>
        <sz val="11"/>
        <color rgb="FFFF0000"/>
        <rFont val="Calibri"/>
        <family val="2"/>
        <scheme val="minor"/>
      </rPr>
      <t>If "Calculated Rate" cell is highlighted, please verify the total consumption and cost.</t>
    </r>
  </si>
  <si>
    <t>Please answer all items in yellow if applicable.</t>
  </si>
  <si>
    <t>Electricity Purchases, On-site Generation, Net-metering &amp; RECs/AECs</t>
  </si>
  <si>
    <t>Section I(a): Grid electricity purchases</t>
  </si>
  <si>
    <t xml:space="preserve">Section I(b): Electricity accounts </t>
  </si>
  <si>
    <t>Section II: On-site power generation owned and operated by Commonwealth</t>
  </si>
  <si>
    <t>Section III: On-site power generation through power purchase agreement</t>
  </si>
  <si>
    <t>Section IV: Net metering credit purchase agreements</t>
  </si>
  <si>
    <t>Section V: Energy credits. Please include RECs/AECs sold or purchased through state contract vendors or others</t>
  </si>
  <si>
    <t>Section I(a)</t>
  </si>
  <si>
    <t>Grid Electricity Purchases</t>
  </si>
  <si>
    <t>CATEGORY</t>
  </si>
  <si>
    <t>UNIT*</t>
  </si>
  <si>
    <t>TOTAL COST
(Include Supply + T&amp;D)</t>
  </si>
  <si>
    <t>CALCULATED RATE</t>
  </si>
  <si>
    <t>NOTES</t>
  </si>
  <si>
    <t xml:space="preserve">Grid Electricity </t>
  </si>
  <si>
    <t>kWh</t>
  </si>
  <si>
    <t>Section II</t>
  </si>
  <si>
    <t>OnSite Generation - State Owned</t>
  </si>
  <si>
    <t>On-site power generation owned and operated by Commonwealth</t>
  </si>
  <si>
    <r>
      <t xml:space="preserve">REQUESTED INFORMATION
</t>
    </r>
    <r>
      <rPr>
        <sz val="10"/>
        <color rgb="FFFFFFFF"/>
        <rFont val="Calibri"/>
        <family val="2"/>
        <scheme val="minor"/>
      </rPr>
      <t>(highlighted cells only)</t>
    </r>
  </si>
  <si>
    <t xml:space="preserve">CHP/ Co-Generation </t>
  </si>
  <si>
    <t>Onsite Electricity Generation</t>
  </si>
  <si>
    <t>List fuel used for equipment</t>
  </si>
  <si>
    <t>Onsite Thermal Output</t>
  </si>
  <si>
    <t>kBtu</t>
  </si>
  <si>
    <t>Solar PV</t>
  </si>
  <si>
    <t>Generation consumed on site</t>
  </si>
  <si>
    <t>Excess Generation to Grid</t>
  </si>
  <si>
    <t>Wind</t>
  </si>
  <si>
    <t>Hydro</t>
  </si>
  <si>
    <t>Anaerobic Digestion (AD)</t>
  </si>
  <si>
    <t>Other Renewables</t>
  </si>
  <si>
    <t>List renewable type</t>
  </si>
  <si>
    <t>Section III</t>
  </si>
  <si>
    <t>OnSite Generation - PPA</t>
  </si>
  <si>
    <r>
      <t xml:space="preserve">Power generation through </t>
    </r>
    <r>
      <rPr>
        <b/>
        <sz val="12"/>
        <color rgb="FFFFFFFF"/>
        <rFont val="Calibri"/>
        <family val="2"/>
        <scheme val="minor"/>
      </rPr>
      <t>power purchase agreement</t>
    </r>
  </si>
  <si>
    <t xml:space="preserve"> RATE</t>
  </si>
  <si>
    <r>
      <t xml:space="preserve">TOTAL </t>
    </r>
    <r>
      <rPr>
        <b/>
        <sz val="11"/>
        <color theme="0"/>
        <rFont val="Calibri"/>
        <family val="2"/>
        <scheme val="minor"/>
      </rPr>
      <t>EXPENDITURES</t>
    </r>
  </si>
  <si>
    <t>Section IV</t>
  </si>
  <si>
    <t>Net metering credit purchase agreements (off-take only)</t>
  </si>
  <si>
    <t>Project Name</t>
  </si>
  <si>
    <t>Net Metering Generation (kWh)</t>
  </si>
  <si>
    <t>Net-metering Credit ($)</t>
  </si>
  <si>
    <t>Net Savings (S)</t>
  </si>
  <si>
    <t>Renewable Technology Type</t>
  </si>
  <si>
    <t>Size of Installation 
Off-Take Portion Only (MW)</t>
  </si>
  <si>
    <t>Select Technology</t>
  </si>
  <si>
    <t>Section V</t>
  </si>
  <si>
    <t>AECs, RECs and SMART Incentives</t>
  </si>
  <si>
    <t xml:space="preserve">If incentives are managed by DCAMM, you do not need to report as part of this tracking form submission. </t>
  </si>
  <si>
    <t xml:space="preserve">If managed by your agency/campus or another entity separate from DCAMM, please report any available information below. </t>
  </si>
  <si>
    <t>Category</t>
  </si>
  <si>
    <t>Total Revenue/Cost  (S)</t>
  </si>
  <si>
    <t>Notes</t>
  </si>
  <si>
    <t>Alternative Energy Certificates</t>
  </si>
  <si>
    <t>AECs Sold</t>
  </si>
  <si>
    <t>AEC</t>
  </si>
  <si>
    <t>Renewable Energy Certificates</t>
  </si>
  <si>
    <t>MA Class I Sold</t>
  </si>
  <si>
    <t>REC</t>
  </si>
  <si>
    <t>MA Class II Sold</t>
  </si>
  <si>
    <t>MA SRECs  Sold</t>
  </si>
  <si>
    <t>Other RECs Sold</t>
  </si>
  <si>
    <t>Additional RECs Purchased</t>
  </si>
  <si>
    <t>REC details (certified by, technology, location of installation):</t>
  </si>
  <si>
    <t>Total Revenue ($)</t>
  </si>
  <si>
    <t>Installation Size</t>
  </si>
  <si>
    <t>Project Type</t>
  </si>
  <si>
    <t>SMART Incentives</t>
  </si>
  <si>
    <t xml:space="preserve"> </t>
  </si>
  <si>
    <t>Select System Type</t>
  </si>
  <si>
    <t>Agency</t>
  </si>
  <si>
    <t>#</t>
  </si>
  <si>
    <t>State House</t>
  </si>
  <si>
    <t>Mass. Department of Environmental Protection</t>
  </si>
  <si>
    <t>Wall Experiment Station</t>
  </si>
  <si>
    <t>Umass Medical</t>
  </si>
  <si>
    <t>Taunton State Hospital</t>
  </si>
  <si>
    <t>Worcester Recovery Center and Hospital</t>
  </si>
  <si>
    <t>MASSPORT</t>
  </si>
  <si>
    <t>Section I</t>
  </si>
  <si>
    <t>Other Building Fuels</t>
  </si>
  <si>
    <r>
      <t xml:space="preserve">This tab includes energy data associated with all building fuels except for electricity and on-site generation at buildings.  Please enter consumption information all non-electric building energy use in this tab, including natural gas, oil, propane, etc. 
</t>
    </r>
    <r>
      <rPr>
        <b/>
        <sz val="11"/>
        <color rgb="FFFF0000"/>
        <rFont val="Calibri"/>
        <family val="2"/>
        <scheme val="minor"/>
      </rPr>
      <t>If "Calculated Rate" cell is highlighted, please verify the total consumption and cost.</t>
    </r>
  </si>
  <si>
    <t>Please answer all items in yellow, if applicable.</t>
  </si>
  <si>
    <t>Building Energy Use (Fuels other than Electricity)</t>
  </si>
  <si>
    <t>UNIT</t>
  </si>
  <si>
    <t>TOTAL COST</t>
  </si>
  <si>
    <t xml:space="preserve">CALCULATED RATE </t>
  </si>
  <si>
    <t>ADDITIONAL INFORMATION</t>
  </si>
  <si>
    <t>Natural Gas</t>
  </si>
  <si>
    <t>therms</t>
  </si>
  <si>
    <t>Liquid Natural Gas</t>
  </si>
  <si>
    <t>gallons</t>
  </si>
  <si>
    <t>Diesel/ Fuel Oil #2 for Emergency Generators</t>
  </si>
  <si>
    <t>Fuel Oil #4</t>
  </si>
  <si>
    <t>Fuel Oil #6</t>
  </si>
  <si>
    <t>Propane (cooking and/or heating)</t>
  </si>
  <si>
    <t>Purchased Steam</t>
  </si>
  <si>
    <t>mlbs</t>
  </si>
  <si>
    <t>Wood Chips</t>
  </si>
  <si>
    <t>tons</t>
  </si>
  <si>
    <t>Pellets</t>
  </si>
  <si>
    <t>Other (please list)</t>
  </si>
  <si>
    <t>Select Units</t>
  </si>
  <si>
    <t>For purchased bioheat, please provide any available information below:</t>
  </si>
  <si>
    <t>Vendor Name</t>
  </si>
  <si>
    <t>Blend (e.g. B5, B10, B20, etc.)</t>
  </si>
  <si>
    <t>Bioheat source (e.g. soy, cooking oil, etc.)</t>
  </si>
  <si>
    <t>Associated emission reductions</t>
  </si>
  <si>
    <t>Do you know if the fuel meets APS eligibility requirements?</t>
  </si>
  <si>
    <t>Vehicle &amp; Other Fuels</t>
  </si>
  <si>
    <r>
      <t xml:space="preserve">This tab includes vehicle energy data, as well as energy data associated with any facility operations not attributed to building or vehicle use (e.g. fuel for boats/aircraft, landscaping equipment, etc.). 
</t>
    </r>
    <r>
      <rPr>
        <b/>
        <sz val="11"/>
        <color rgb="FFFF0000"/>
        <rFont val="Calibri"/>
        <family val="2"/>
        <scheme val="minor"/>
      </rPr>
      <t>If an "Calculated Rate" cell is highlighted, please verify the total consumption and cost.</t>
    </r>
  </si>
  <si>
    <t>Vehicle Energy Use</t>
  </si>
  <si>
    <t>FUEL TYPE</t>
  </si>
  <si>
    <t>Gasoline</t>
  </si>
  <si>
    <t xml:space="preserve">Diesel </t>
  </si>
  <si>
    <t>Biodiesel blend</t>
  </si>
  <si>
    <t>Ethanol (E85)</t>
  </si>
  <si>
    <t>Compressed Natural Gas (CNG)</t>
  </si>
  <si>
    <t>Propane</t>
  </si>
  <si>
    <t>Jet Fuel</t>
  </si>
  <si>
    <t>Electric</t>
  </si>
  <si>
    <t>Is this kWh included in your overall grid electricity value?</t>
  </si>
  <si>
    <t>Other</t>
  </si>
  <si>
    <t>Other Fuel Energy Use</t>
  </si>
  <si>
    <t xml:space="preserve">Please provide below consumption data for fuels use to provide power, heat or other energy to needs that are not associated with the day to day operations and building maintenance of state facilities.   Examples of this may include, but are not limited to, fuel used for training, industrial, grounds maintenance, or maritime purposes. </t>
  </si>
  <si>
    <t xml:space="preserve">FUEL TYPE </t>
  </si>
  <si>
    <t>FUEL PURPOSE</t>
  </si>
  <si>
    <t>Clean Power</t>
  </si>
  <si>
    <t xml:space="preserve">Formerly "Installed Capacity", on this tab you will find a list of renewable, onsite generation, renewable thermal, and storage projects that have been reported to LBE for your agency/campus, along with their installed capacity. Please make any corrections where necessary and enter any additional renewable projects that you have installed. </t>
  </si>
  <si>
    <t xml:space="preserve">Note: A dropdown list will provide the various technologies that LBE is tracking.  If you have a technology not included in the list, please make a note of this in the "Notes" section. </t>
  </si>
  <si>
    <t>Please answer all items in yellow where applicable.</t>
  </si>
  <si>
    <t>Installed Clean Power &amp; Storage</t>
  </si>
  <si>
    <t xml:space="preserve">Onsite Renewable &amp; Electricity Generation Installed at State Agencies/Campuses: Installations on record with LBE are pre-populated, please verify and correct. If there are additional installations, please enter in the yellow fields below the pre-populated data. </t>
  </si>
  <si>
    <t xml:space="preserve">Section II </t>
  </si>
  <si>
    <t xml:space="preserve">Renewable Thermal Installed at State Agencies/Campuses: Installations on record with LBE are pre-populated, please verify and correct. If there are additional installations, please enter in the yellow fields below the pre-populated data. </t>
  </si>
  <si>
    <t xml:space="preserve">Energy Storage Installed at State Agencies/Campuses: Installations on record with LBE are pre-populated, please verify and correct. If there are additional installations, please enter in the yellow fields below the pre-populated data. </t>
  </si>
  <si>
    <t>SECTION I</t>
  </si>
  <si>
    <t>On-site Renewable &amp; Electricity Generation Installed at State Agencies/Campuses</t>
  </si>
  <si>
    <t>Please review the pre-populated list, where applicable note corrections in Column H.</t>
  </si>
  <si>
    <t>If you have additional projects that are not in the pre-populated list, please add them in yellow fields below.</t>
  </si>
  <si>
    <t>Site/Facility Name</t>
  </si>
  <si>
    <t>City/Town</t>
  </si>
  <si>
    <t>Capacity (kW)</t>
  </si>
  <si>
    <t>Technology</t>
  </si>
  <si>
    <t>Ownership Model</t>
  </si>
  <si>
    <t>Corrections/Notes</t>
  </si>
  <si>
    <r>
      <t>Please add any installations that are</t>
    </r>
    <r>
      <rPr>
        <b/>
        <sz val="12"/>
        <color rgb="FF00B050"/>
        <rFont val="Calibri"/>
        <family val="2"/>
        <scheme val="minor"/>
      </rPr>
      <t xml:space="preserve"> </t>
    </r>
    <r>
      <rPr>
        <b/>
        <u/>
        <sz val="12"/>
        <color theme="0"/>
        <rFont val="Calibri"/>
        <family val="2"/>
        <scheme val="minor"/>
      </rPr>
      <t>currently installed or in progress</t>
    </r>
    <r>
      <rPr>
        <b/>
        <sz val="12"/>
        <color theme="0"/>
        <rFont val="Calibri"/>
        <family val="2"/>
        <scheme val="minor"/>
      </rPr>
      <t>, bu</t>
    </r>
    <r>
      <rPr>
        <b/>
        <sz val="12"/>
        <color rgb="FFFFFFFF"/>
        <rFont val="Calibri"/>
        <family val="2"/>
        <scheme val="minor"/>
      </rPr>
      <t>t NOT listed above.</t>
    </r>
  </si>
  <si>
    <t>Please enter additional installations</t>
  </si>
  <si>
    <t>SECTION II</t>
  </si>
  <si>
    <r>
      <t>Renewable Thermal Installed at State Agencies/Ca</t>
    </r>
    <r>
      <rPr>
        <b/>
        <sz val="14"/>
        <color theme="0"/>
        <rFont val="Calibri"/>
        <family val="2"/>
        <scheme val="minor"/>
      </rPr>
      <t xml:space="preserve">mpuses (e.g. solar thermal, air-source heat pumps, ground-source heat pumps, </t>
    </r>
    <r>
      <rPr>
        <b/>
        <sz val="14"/>
        <color rgb="FFFFFFFF"/>
        <rFont val="Calibri"/>
        <family val="2"/>
        <scheme val="minor"/>
      </rPr>
      <t>biomass, clean CHP, etc.)</t>
    </r>
  </si>
  <si>
    <t>Please review the pre-populated list, where applicable make corrections in Column I</t>
  </si>
  <si>
    <t>If you have addition projects that are not in the pre-populated list, please add them in yellow fields below.</t>
  </si>
  <si>
    <t>Capacity</t>
  </si>
  <si>
    <t>Capacity Units</t>
  </si>
  <si>
    <r>
      <t xml:space="preserve">Please add any installations that are </t>
    </r>
    <r>
      <rPr>
        <b/>
        <u/>
        <sz val="12"/>
        <color rgb="FFFFFFFF"/>
        <rFont val="Calibri"/>
        <family val="2"/>
        <scheme val="minor"/>
      </rPr>
      <t>currently installed or in progress</t>
    </r>
    <r>
      <rPr>
        <b/>
        <sz val="12"/>
        <color rgb="FFFFFFFF"/>
        <rFont val="Calibri"/>
        <family val="2"/>
        <scheme val="minor"/>
      </rPr>
      <t xml:space="preserve"> but NOT listed above.</t>
    </r>
  </si>
  <si>
    <t>SECTION III</t>
  </si>
  <si>
    <t>Energy Storage Installed at State Agencies/Campuses</t>
  </si>
  <si>
    <t>Please review the pre-populated list, where applicable make corrections in Column K</t>
  </si>
  <si>
    <t xml:space="preserve">Type of System </t>
  </si>
  <si>
    <t>Rated Power Capacity (kW)</t>
  </si>
  <si>
    <t>Useful Energy Capacity (kWh)</t>
  </si>
  <si>
    <t>Expected cycling per year</t>
  </si>
  <si>
    <t>Select All Applicable Objectives</t>
  </si>
  <si>
    <t>Peak demand mgmt/energy cost savings</t>
  </si>
  <si>
    <t xml:space="preserve">Integration with on-site renewables </t>
  </si>
  <si>
    <t>Resilience &amp; power backup</t>
  </si>
  <si>
    <t>Revenue generation</t>
  </si>
  <si>
    <r>
      <t xml:space="preserve">Please add any installations that are </t>
    </r>
    <r>
      <rPr>
        <b/>
        <u/>
        <sz val="12"/>
        <color rgb="FFFFFFFF"/>
        <rFont val="Calibri"/>
        <family val="2"/>
        <scheme val="minor"/>
      </rPr>
      <t>currently installed, planned or in progress</t>
    </r>
    <r>
      <rPr>
        <b/>
        <sz val="12"/>
        <color rgb="FFFFFFFF"/>
        <rFont val="Calibri"/>
        <family val="2"/>
        <scheme val="minor"/>
      </rPr>
      <t xml:space="preserve"> but NOT listed above.</t>
    </r>
  </si>
  <si>
    <t>Select Ownership Model</t>
  </si>
  <si>
    <t>Agency &amp; Number</t>
  </si>
  <si>
    <t>Energy Storage (Standalone)</t>
  </si>
  <si>
    <t>Energy Storage &amp; Battery Storage</t>
  </si>
  <si>
    <t>System Type</t>
  </si>
  <si>
    <t>PTS ID/ APS ID/ NEPOOL GIS ID</t>
  </si>
  <si>
    <t>Site Name</t>
  </si>
  <si>
    <t>Capacity (kW DC)</t>
  </si>
  <si>
    <t>Address</t>
  </si>
  <si>
    <t>City</t>
  </si>
  <si>
    <t>State</t>
  </si>
  <si>
    <t>Zip</t>
  </si>
  <si>
    <t>COD</t>
  </si>
  <si>
    <t>FY Complete</t>
  </si>
  <si>
    <t>EO</t>
  </si>
  <si>
    <t>Ownerhsip Model</t>
  </si>
  <si>
    <t>Site Details</t>
  </si>
  <si>
    <t>Project Cost ($)</t>
  </si>
  <si>
    <t>Est. Electricity Rate</t>
  </si>
  <si>
    <t>Est. Reduced Annual Energy Costs ($)</t>
  </si>
  <si>
    <t>Status (Comp., Const., Award, Bid, Design, Study)</t>
  </si>
  <si>
    <t>Capacity Factor</t>
  </si>
  <si>
    <t>Potential Annual Generation (kWh)</t>
  </si>
  <si>
    <t>Details</t>
  </si>
  <si>
    <t>Monitoring System?</t>
  </si>
  <si>
    <t>Renewable</t>
  </si>
  <si>
    <t>Solar PV (Building)</t>
  </si>
  <si>
    <t>NFG-NN1981-05161</t>
  </si>
  <si>
    <t>Berkshire Community College - Field /Library/Arts Building</t>
  </si>
  <si>
    <t>1350 West Street</t>
  </si>
  <si>
    <t>Pittsfield</t>
  </si>
  <si>
    <t>MA</t>
  </si>
  <si>
    <t>BHE</t>
  </si>
  <si>
    <t>Agency/State-owned</t>
  </si>
  <si>
    <t>complete</t>
  </si>
  <si>
    <t>NFG-NN1981-05162</t>
  </si>
  <si>
    <t>Berkshire Community College - Hawthorne Hall</t>
  </si>
  <si>
    <t>NFG-NN1981-05163</t>
  </si>
  <si>
    <t>Berkshire Community College - Melville Hall</t>
  </si>
  <si>
    <t>NFG-NN1981-05165</t>
  </si>
  <si>
    <t>Berkshire Community College - Stanley</t>
  </si>
  <si>
    <t>NFG-NN1981-05164</t>
  </si>
  <si>
    <t>Berkshire Community College - Susan B Anthony College Center</t>
  </si>
  <si>
    <t>NFG-NN1981-04660</t>
  </si>
  <si>
    <t>131 Summer St </t>
  </si>
  <si>
    <t>Bridgewater</t>
  </si>
  <si>
    <t>PPA</t>
  </si>
  <si>
    <t>On-site Generation</t>
  </si>
  <si>
    <t>CHP</t>
  </si>
  <si>
    <t>Bridgewater State University CHP</t>
  </si>
  <si>
    <t>NON39007</t>
  </si>
  <si>
    <t xml:space="preserve">Bristol Comm College </t>
  </si>
  <si>
    <t>777 Elsbree Street</t>
  </si>
  <si>
    <t>Fall River</t>
  </si>
  <si>
    <t>Elsbree Street Campus</t>
  </si>
  <si>
    <t>Solar PV (Canopy)</t>
  </si>
  <si>
    <t>NFG-SR25630-36377</t>
  </si>
  <si>
    <t>Bristol Community College - Canopy</t>
  </si>
  <si>
    <t>NON39415</t>
  </si>
  <si>
    <t>Bunker Hill Community College</t>
  </si>
  <si>
    <t>250 Rutherford Ave</t>
  </si>
  <si>
    <t>Boston</t>
  </si>
  <si>
    <t>24 Beacon St</t>
  </si>
  <si>
    <t>EOANF</t>
  </si>
  <si>
    <t>CWS-CS1275-01507</t>
  </si>
  <si>
    <t>Cape Cod Community College</t>
  </si>
  <si>
    <t>2240 Iyannough Road</t>
  </si>
  <si>
    <t>Barnstable</t>
  </si>
  <si>
    <t>Solar PV (Ground)</t>
  </si>
  <si>
    <t>NFG-NN1981-10136</t>
  </si>
  <si>
    <t>SRI-PV392-00357</t>
  </si>
  <si>
    <t>Cape Cod Community College1 - PV</t>
  </si>
  <si>
    <t>SRI-RS714-01206</t>
  </si>
  <si>
    <t>Cape Cod Community College2 - PV</t>
  </si>
  <si>
    <t>GBI-JL963-00846</t>
  </si>
  <si>
    <t>CCCC Loruso Applied Tech Bldg PV</t>
  </si>
  <si>
    <t>NON39009</t>
  </si>
  <si>
    <t>Chelsea Soldiers Home - Solar PV Installation- Crebs 1</t>
  </si>
  <si>
    <t>91 Crest Ave, Chelsea</t>
  </si>
  <si>
    <t>Chelsea</t>
  </si>
  <si>
    <t>EOHHS</t>
  </si>
  <si>
    <t>DCR George's Island</t>
  </si>
  <si>
    <t>Boston Harbor Islands</t>
  </si>
  <si>
    <t>EOEEA</t>
  </si>
  <si>
    <t>DCR Spectacle Island</t>
  </si>
  <si>
    <t xml:space="preserve">DCR Waquoit Bay Reserve </t>
  </si>
  <si>
    <t>149 Waquoit Highway</t>
  </si>
  <si>
    <t>East Falmouth</t>
  </si>
  <si>
    <t>NFG-NN1981-05166</t>
  </si>
  <si>
    <t>Chickatawbut Hill - Mass Dept. of Conservation &amp; Recreation</t>
  </si>
  <si>
    <t>1904 Canton Avenue</t>
  </si>
  <si>
    <t>Milton</t>
  </si>
  <si>
    <t>DCR Walden Pond Canopy</t>
  </si>
  <si>
    <t>915 Walden St</t>
  </si>
  <si>
    <t>Concord</t>
  </si>
  <si>
    <t xml:space="preserve">MCI Bridgewater </t>
  </si>
  <si>
    <t>Administration Road</t>
  </si>
  <si>
    <t>EOPS</t>
  </si>
  <si>
    <t>MCI Bridgewater PV Installation</t>
  </si>
  <si>
    <t xml:space="preserve">MCI Norfolk  </t>
  </si>
  <si>
    <t>10 Old Campbell Road</t>
  </si>
  <si>
    <t>Norfolk</t>
  </si>
  <si>
    <t>MCI Norfolk - PV Installation</t>
  </si>
  <si>
    <t>NFG-NN1981-04433</t>
  </si>
  <si>
    <t>1486 Harvard Road</t>
  </si>
  <si>
    <t>Shirley</t>
  </si>
  <si>
    <t>NFG-NN1981-04431</t>
  </si>
  <si>
    <t>DOC Cedar Junction - Industries Building (2)</t>
  </si>
  <si>
    <t>Route 1A</t>
  </si>
  <si>
    <t>Walpole</t>
  </si>
  <si>
    <t>2405 Main St</t>
  </si>
  <si>
    <t>MCI Cedar Junction - Photovoltaic Installation</t>
  </si>
  <si>
    <t>Bridgewater Correctional Complex Kawasaki Gas Turbines</t>
  </si>
  <si>
    <t>NFG-NN1981-04430</t>
  </si>
  <si>
    <t>DOC Northeast Correctional - Barretts Mill</t>
  </si>
  <si>
    <t>1 Barretts Mill Road</t>
  </si>
  <si>
    <t xml:space="preserve">MCI Concord  </t>
  </si>
  <si>
    <t xml:space="preserve"> 965 Elm St</t>
  </si>
  <si>
    <t>MCI Concord - PV Installation</t>
  </si>
  <si>
    <t xml:space="preserve">MCI Framingham </t>
  </si>
  <si>
    <t>99 Loring Dr</t>
  </si>
  <si>
    <t>Framingham</t>
  </si>
  <si>
    <t>MCI Framingham Solar PV</t>
  </si>
  <si>
    <t>135 Western Ave</t>
  </si>
  <si>
    <t>MCI South Middlesex Correctional Center - PV Installation</t>
  </si>
  <si>
    <t>NON38942</t>
  </si>
  <si>
    <t>NCCI Gardner</t>
  </si>
  <si>
    <t xml:space="preserve"> 500 Colony Rd</t>
  </si>
  <si>
    <t>Gardner</t>
  </si>
  <si>
    <t>2-1.65 MW turbines</t>
  </si>
  <si>
    <t>NFG-NN1981-04429</t>
  </si>
  <si>
    <t>DOC Bay State Correctional</t>
  </si>
  <si>
    <t>28 Clark Street</t>
  </si>
  <si>
    <t>NFG-NN1981-04432</t>
  </si>
  <si>
    <t>DOC Norfolk #1 - Waste Water Treatment Plant</t>
  </si>
  <si>
    <t>NON34523</t>
  </si>
  <si>
    <t>DDS Wrentham Developmental</t>
  </si>
  <si>
    <t>Emerald Street</t>
  </si>
  <si>
    <t>Wrentham</t>
  </si>
  <si>
    <t>DDS Wrentham Developmental CHP</t>
  </si>
  <si>
    <t>NON32888</t>
  </si>
  <si>
    <t xml:space="preserve">DFS Stow </t>
  </si>
  <si>
    <t>1 State Road</t>
  </si>
  <si>
    <t>Stow</t>
  </si>
  <si>
    <t>DFW Headquarters</t>
  </si>
  <si>
    <t>1 Rabbit Hill Road</t>
  </si>
  <si>
    <t>Westborough</t>
  </si>
  <si>
    <t>NON34592</t>
  </si>
  <si>
    <t>309 Belmont Street</t>
  </si>
  <si>
    <t>Worcester</t>
  </si>
  <si>
    <t>NFG-NN1981-07378</t>
  </si>
  <si>
    <t>Canton Housing Authority</t>
  </si>
  <si>
    <t>660 Washington St</t>
  </si>
  <si>
    <t>Canton</t>
  </si>
  <si>
    <t>DHCD Canton Housing Authority</t>
  </si>
  <si>
    <t>NFG-NN1981-07348</t>
  </si>
  <si>
    <t>DCAMM Surplus Property Office</t>
  </si>
  <si>
    <t>220 Old Common Road</t>
  </si>
  <si>
    <t>Lancaster</t>
  </si>
  <si>
    <t>NFG-NN1981-05168</t>
  </si>
  <si>
    <t>Fitchburg State College - Anthony Building</t>
  </si>
  <si>
    <t>160 Pearl Street</t>
  </si>
  <si>
    <t>Fitchburg</t>
  </si>
  <si>
    <t>NFG-NN1981-05167</t>
  </si>
  <si>
    <t>Fitchburg State College - Sanders Admin Building</t>
  </si>
  <si>
    <t>120,000 BTU system</t>
  </si>
  <si>
    <t>NFG-NN1981-05169</t>
  </si>
  <si>
    <t>Framingham State College - Athletic Center</t>
  </si>
  <si>
    <t>100 State Street</t>
  </si>
  <si>
    <t>NFG-NN1981-05170</t>
  </si>
  <si>
    <t>Framingham State College - McCarthy Student Center</t>
  </si>
  <si>
    <t>NFG-NN1981-07345</t>
  </si>
  <si>
    <t>Greenfield Community College - East Building</t>
  </si>
  <si>
    <t>One College Drive</t>
  </si>
  <si>
    <t>Greenfield</t>
  </si>
  <si>
    <t>Mass College of Liberal Arts (Venable Hall)</t>
  </si>
  <si>
    <t>375 Church St</t>
  </si>
  <si>
    <t>North Adams</t>
  </si>
  <si>
    <t>MCLA/Venable Hall</t>
  </si>
  <si>
    <t>CPV-NN18-00276</t>
  </si>
  <si>
    <t>Mass College of Liberal Arts (Feigenbaum Center)</t>
  </si>
  <si>
    <t>MCLA/Feigenbaum</t>
  </si>
  <si>
    <t>Mass College of Liberal Arts - Science Center</t>
  </si>
  <si>
    <t>Mass College of Liberal Arts</t>
  </si>
  <si>
    <t>MCLA/Campus Center</t>
  </si>
  <si>
    <t>376 Church St</t>
  </si>
  <si>
    <t>NON32626</t>
  </si>
  <si>
    <t>Mass Maritime Academy</t>
  </si>
  <si>
    <t>101 Academy Dr</t>
  </si>
  <si>
    <t>Bourne</t>
  </si>
  <si>
    <t>Mass. Maritime Academy Dorm PV 81 kW Solar PV</t>
  </si>
  <si>
    <t>Mass Maritime Academy -  ABS</t>
  </si>
  <si>
    <t>Off-grid Solar pathway lighting</t>
  </si>
  <si>
    <t>NON32596</t>
  </si>
  <si>
    <t>Mass Maritime Academy - Wind Turbine Project</t>
  </si>
  <si>
    <t>NON33813</t>
  </si>
  <si>
    <t>AD - Steam Turbine Generator</t>
  </si>
  <si>
    <t>MWRA Deer Island</t>
  </si>
  <si>
    <t>190 Tafts Ave.</t>
  </si>
  <si>
    <t>Winthrop</t>
  </si>
  <si>
    <t>AUTHORITY</t>
  </si>
  <si>
    <t>Deer Island WWTP 6000 kW Cogeneration Engine for AD</t>
  </si>
  <si>
    <t>NON39003</t>
  </si>
  <si>
    <t>Deer Island WWTP 2 x 1000 kW Inline Hydro Turbines</t>
  </si>
  <si>
    <t>MSS1062</t>
  </si>
  <si>
    <t>MWRA Wachusett Reservoir Cosgrove</t>
  </si>
  <si>
    <t>Clinton</t>
  </si>
  <si>
    <t>Wachusett Resevoir Cosgrove 3400 kW Inline Hydro Turbine</t>
  </si>
  <si>
    <t>MSS857</t>
  </si>
  <si>
    <t>MWRA Wachusett Reservoir Oakdale</t>
  </si>
  <si>
    <t>West Boylston</t>
  </si>
  <si>
    <t>Wachusett Resevoir Oakdale 3500 kW Inline Hydro Turbine</t>
  </si>
  <si>
    <t>NON38939</t>
  </si>
  <si>
    <t>MWRA Loring Road</t>
  </si>
  <si>
    <t>Weston</t>
  </si>
  <si>
    <t>Loring Road 200 kW Inline Hydro Turbine</t>
  </si>
  <si>
    <t>NFG-NN1981-04762</t>
  </si>
  <si>
    <t>MWRA Deer Island Solar 2</t>
  </si>
  <si>
    <t>NFG-NN1981-04840</t>
  </si>
  <si>
    <t>MWRA Deer Island 456 kW PV</t>
  </si>
  <si>
    <t>NFG-NN1981-04761</t>
  </si>
  <si>
    <t>MWRA Deer Island Solar 1</t>
  </si>
  <si>
    <t>NON38938</t>
  </si>
  <si>
    <t>MWRA J.C. Carroll</t>
  </si>
  <si>
    <t>86 D’Angelo Drive</t>
  </si>
  <si>
    <t>Marlborough</t>
  </si>
  <si>
    <t>J.C. Carroll DWTP 496 kW Solar PV</t>
  </si>
  <si>
    <t>NON38970</t>
  </si>
  <si>
    <t>MWRA Charlestown DeLauri</t>
  </si>
  <si>
    <t>172 Alford St</t>
  </si>
  <si>
    <t>NON39006</t>
  </si>
  <si>
    <t>NFG-NN1981-05171</t>
  </si>
  <si>
    <t>Massasoit Community College - Humanities Building</t>
  </si>
  <si>
    <t>One Massasoit Blvd</t>
  </si>
  <si>
    <t>Brockton</t>
  </si>
  <si>
    <t>NFG-NN1981-05172</t>
  </si>
  <si>
    <t>Massasoit Community College - Liberal Arts Building</t>
  </si>
  <si>
    <t>NFG-NN1981-05173</t>
  </si>
  <si>
    <t>Massasoit Community College - Science Building</t>
  </si>
  <si>
    <t>NFG-NN1981-05174</t>
  </si>
  <si>
    <t>Massasoit Community College - Student Center</t>
  </si>
  <si>
    <t>NFG-NN1981-05175</t>
  </si>
  <si>
    <t>Massasoit Community College - Technology Building</t>
  </si>
  <si>
    <t>NON33903</t>
  </si>
  <si>
    <t>DEP Wall Laboratory</t>
  </si>
  <si>
    <t>37 Shattuck Street</t>
  </si>
  <si>
    <t>Lawrence</t>
  </si>
  <si>
    <t>DEP Wall Laboratory - Solar PV Project</t>
  </si>
  <si>
    <t>NFG-NN1981-07347</t>
  </si>
  <si>
    <t>Springfield Recycling Facility Complex</t>
  </si>
  <si>
    <t>84 Birnie Avenue</t>
  </si>
  <si>
    <t>Springfield</t>
  </si>
  <si>
    <t>MassDOT District 2 Highway Office</t>
  </si>
  <si>
    <t>811 North King St.</t>
  </si>
  <si>
    <t>Northampton</t>
  </si>
  <si>
    <t>MASSDOT</t>
  </si>
  <si>
    <t>Ground (RoW)</t>
  </si>
  <si>
    <t>District 2 Highway Administration Building</t>
  </si>
  <si>
    <t>MassDOT Framingham I-90 Interchange 13 North</t>
  </si>
  <si>
    <t>I-90 interchange</t>
  </si>
  <si>
    <t>MassDOT Phase 1a</t>
  </si>
  <si>
    <t>MassDOT Framingham I-90 Interchange 13 South</t>
  </si>
  <si>
    <t>MassDOT Framingham I-90 WB Service Plaza</t>
  </si>
  <si>
    <t>I-90 plaza</t>
  </si>
  <si>
    <t>MassDOT Natick I-90 WB Embankment</t>
  </si>
  <si>
    <t>I-90 Embankment</t>
  </si>
  <si>
    <t>Natick</t>
  </si>
  <si>
    <t>MassDOT Plymouth Route 3 Exit 5</t>
  </si>
  <si>
    <t>Route 3 exit 5</t>
  </si>
  <si>
    <t>Plymouth</t>
  </si>
  <si>
    <t>MassPort Hanscom Civil Air Terminal</t>
  </si>
  <si>
    <t>200 Hanscom Drive</t>
  </si>
  <si>
    <t>Bedford</t>
  </si>
  <si>
    <t>Hanscom Civil Air Terminal</t>
  </si>
  <si>
    <t>NFG-NN1981-07383</t>
  </si>
  <si>
    <t>Massport Logan - Terminal A</t>
  </si>
  <si>
    <t>1 Harborside Drive </t>
  </si>
  <si>
    <t>NFG-NN1981-07384</t>
  </si>
  <si>
    <t>Massport Logan - Terminal A Satellite</t>
  </si>
  <si>
    <t>MassPort Logan Airport  Terminal B Parking Garage</t>
  </si>
  <si>
    <t>MassPort Logan Airport - Terminal B Parking Garage</t>
  </si>
  <si>
    <t>MassPort Green Bus Depot</t>
  </si>
  <si>
    <t xml:space="preserve">Boston </t>
  </si>
  <si>
    <t>Green Bus Depot - 50 kW system</t>
  </si>
  <si>
    <t>MassPort Logan Airport</t>
  </si>
  <si>
    <t>1 Harborside Drive</t>
  </si>
  <si>
    <t>Economy Parking Garage - 81 kW system</t>
  </si>
  <si>
    <t>MassPort Rental Car Center</t>
  </si>
  <si>
    <t>Rental Car Center (RCC) Garage</t>
  </si>
  <si>
    <t>OFG-JI1239-01150</t>
  </si>
  <si>
    <t>Mt. Wachusett CC</t>
  </si>
  <si>
    <t>444 Green Street</t>
  </si>
  <si>
    <t>NON39005</t>
  </si>
  <si>
    <t>Mt. Wachusett Comm College</t>
  </si>
  <si>
    <t>WasteHeat to Power</t>
  </si>
  <si>
    <t xml:space="preserve">Mount Wachusett Community College  </t>
  </si>
  <si>
    <t>NON39017</t>
  </si>
  <si>
    <t>North Shore Comm College - McGee Building</t>
  </si>
  <si>
    <t>1 Ferncroft Road</t>
  </si>
  <si>
    <t>Danvers</t>
  </si>
  <si>
    <t>North Shore CC - Solar PV Project</t>
  </si>
  <si>
    <t>NFG-NN1981-08282</t>
  </si>
  <si>
    <t>North Shore Community College - Health Professions &amp; Student Success Center</t>
  </si>
  <si>
    <t>NFG-NN1981-05176</t>
  </si>
  <si>
    <t>North Shore Community College - Berry Bldg</t>
  </si>
  <si>
    <t xml:space="preserve">Roxbury Community College - Parking Lot 1 </t>
  </si>
  <si>
    <t>1234 Columbus Ave</t>
  </si>
  <si>
    <t>NFG-NN1981-07346</t>
  </si>
  <si>
    <t>Salem State College - O'Keefe</t>
  </si>
  <si>
    <t>352 Lafayette Street</t>
  </si>
  <si>
    <t>Salem</t>
  </si>
  <si>
    <t>OFG-PF1130-01052</t>
  </si>
  <si>
    <t xml:space="preserve">Salem State College Residence Hall Village </t>
  </si>
  <si>
    <t>71 Loring Avenue</t>
  </si>
  <si>
    <t>N/A</t>
  </si>
  <si>
    <t>OFGI-JI1237-01149</t>
  </si>
  <si>
    <t>Springfield Tech CC</t>
  </si>
  <si>
    <t>1 Armory Square, Building 20</t>
  </si>
  <si>
    <t>NON32845</t>
  </si>
  <si>
    <t>Umass Amherst</t>
  </si>
  <si>
    <t>300 Massachusetts Ave</t>
  </si>
  <si>
    <t>Amherst</t>
  </si>
  <si>
    <t>UMASS</t>
  </si>
  <si>
    <t>UMass Research Farm</t>
  </si>
  <si>
    <t>Deerfield</t>
  </si>
  <si>
    <t>Umass center for agriculture (Deerfield Farm PV Array)</t>
  </si>
  <si>
    <t>http://www.powerdash.com/systems/1000367/</t>
  </si>
  <si>
    <t>UMass Amherst Visitor Center</t>
  </si>
  <si>
    <t>NFG-NN1981-05616</t>
  </si>
  <si>
    <t>UMass Boston -Wheatley Hall</t>
  </si>
  <si>
    <t>100 Morrissey Blvd</t>
  </si>
  <si>
    <t>Umass Boston - Parking Garage Canopy</t>
  </si>
  <si>
    <t>101 Morrissey Blvd</t>
  </si>
  <si>
    <t>NFG-NN1981-05177</t>
  </si>
  <si>
    <t>UMass Dartmouth - Tripp Athletic Center</t>
  </si>
  <si>
    <t>285 Old Westport Road</t>
  </si>
  <si>
    <t>Dartmouth</t>
  </si>
  <si>
    <t>NFG-NN1981-05178</t>
  </si>
  <si>
    <t>UMass Dartmouth - Woodland Common Evergreen Dormitory</t>
  </si>
  <si>
    <t>NFG-NN1981-05179</t>
  </si>
  <si>
    <t>UMass Dartmouth - Woodland Common Hickory Dormitory</t>
  </si>
  <si>
    <t>NFG-NN1981-05180</t>
  </si>
  <si>
    <t>UMass Dartmouth - Woodland Common Ivy Dormitory</t>
  </si>
  <si>
    <t>NFG-NN1981-05181</t>
  </si>
  <si>
    <t>UMass Dartmouth - Woodland Common Willow Dormitory</t>
  </si>
  <si>
    <t>NON36166</t>
  </si>
  <si>
    <t>NFG-NN1981-05617</t>
  </si>
  <si>
    <t>UMass Lowell - Bourgeois Hall</t>
  </si>
  <si>
    <t>One University Avenue</t>
  </si>
  <si>
    <t>Lowell</t>
  </si>
  <si>
    <t>NFG-NN1981-05618</t>
  </si>
  <si>
    <t>UMass Lowell - Costello Gym</t>
  </si>
  <si>
    <t>NFG-NN1981-05619</t>
  </si>
  <si>
    <t>UMass Lowell - Dugan</t>
  </si>
  <si>
    <t>NFG-NN1981-05620</t>
  </si>
  <si>
    <t>UMass Lowell - Leitch</t>
  </si>
  <si>
    <t>UMass Lowell - South Garage</t>
  </si>
  <si>
    <t>NON34176</t>
  </si>
  <si>
    <t>55 N Lake Ave</t>
  </si>
  <si>
    <t>NFG-NN1981-05182</t>
  </si>
  <si>
    <t>Westfield State College - Bates Hall</t>
  </si>
  <si>
    <t>577 Western Avenue</t>
  </si>
  <si>
    <t>Westfield</t>
  </si>
  <si>
    <t>NFG-NN1981-05183</t>
  </si>
  <si>
    <t>Westfield State College - Wilson Hall</t>
  </si>
  <si>
    <t>NON32922</t>
  </si>
  <si>
    <t>Worcester State University - Dowden Hall</t>
  </si>
  <si>
    <t>286 Chandler St</t>
  </si>
  <si>
    <t>NFG-NN1981-05482</t>
  </si>
  <si>
    <t>Worcester State University -Wasylean Hall</t>
  </si>
  <si>
    <t>NON39013</t>
  </si>
  <si>
    <t>Worcester State University - LRC</t>
  </si>
  <si>
    <t>MassDOT West Stockbridge RoW</t>
  </si>
  <si>
    <t>West Stockbridge</t>
  </si>
  <si>
    <t>MassDOT Phase 1b</t>
  </si>
  <si>
    <t>MassDOT Salisbury RoW</t>
  </si>
  <si>
    <t>105 Rabbit Road, Depot</t>
  </si>
  <si>
    <t>Salisbury</t>
  </si>
  <si>
    <t>MassDOT Hopkinton Canopy</t>
  </si>
  <si>
    <t>Hopkinton</t>
  </si>
  <si>
    <t>Canopy</t>
  </si>
  <si>
    <t>MassDOT Phase II</t>
  </si>
  <si>
    <t>MassDOT Hopkinton Rooftop</t>
  </si>
  <si>
    <t>Roof</t>
  </si>
  <si>
    <t xml:space="preserve">Salem State Berry Library </t>
  </si>
  <si>
    <t>4 College Drive</t>
  </si>
  <si>
    <t>$0.081/kWh</t>
  </si>
  <si>
    <t>Salem State Marsh Hall (PPA)</t>
  </si>
  <si>
    <t>71B Loring Avenue</t>
  </si>
  <si>
    <t>$0.076/kWh</t>
  </si>
  <si>
    <t>Salem State Gassett Fitness Center (PPA)</t>
  </si>
  <si>
    <t>225 A Canal Street</t>
  </si>
  <si>
    <t>$0.084/kWh</t>
  </si>
  <si>
    <t>UMass Amherst Lot 25</t>
  </si>
  <si>
    <t>UMass Amherst Lot 44</t>
  </si>
  <si>
    <t>UMass Amherst--Champion Center</t>
  </si>
  <si>
    <t>UMass Amherst--Computer Science</t>
  </si>
  <si>
    <t>UMass Amherst--Fine Arts Center</t>
  </si>
  <si>
    <t>UMass Amherst--Police Station</t>
  </si>
  <si>
    <t>UMass Amherst--Rec Center</t>
  </si>
  <si>
    <t>UMass Amherst--Crotty Hall</t>
  </si>
  <si>
    <t>Solar pV (Roof)</t>
  </si>
  <si>
    <t>Bristol Community College - Sbrega Building</t>
  </si>
  <si>
    <t>Site</t>
  </si>
  <si>
    <t>Location</t>
  </si>
  <si>
    <t>Renewable Thermal</t>
  </si>
  <si>
    <t>Solar Thermal</t>
  </si>
  <si>
    <t>BSU</t>
  </si>
  <si>
    <t>Bridgewater State - Science and Mathematics Center</t>
  </si>
  <si>
    <t>Unknown</t>
  </si>
  <si>
    <t>On North Wing</t>
  </si>
  <si>
    <t>Ground Source Heat Pump</t>
  </si>
  <si>
    <t>BCC</t>
  </si>
  <si>
    <t>Sbrega Health and Sciences Building</t>
  </si>
  <si>
    <t>Air Source Heat Pump</t>
  </si>
  <si>
    <t>Sbrega Health and Sciences Building (181 MMBtu)</t>
  </si>
  <si>
    <t>BTU</t>
  </si>
  <si>
    <t>GCC</t>
  </si>
  <si>
    <t>Main Building/Library Addition</t>
  </si>
  <si>
    <t>125-150 tons cooling</t>
  </si>
  <si>
    <t>HCC</t>
  </si>
  <si>
    <t>Holyoke CC Bartley Center</t>
  </si>
  <si>
    <t>Holyoke</t>
  </si>
  <si>
    <t>MMA</t>
  </si>
  <si>
    <t>Ton</t>
  </si>
  <si>
    <r>
      <t>Mass Maritime</t>
    </r>
    <r>
      <rPr>
        <sz val="11"/>
        <color theme="1"/>
        <rFont val="Calibri"/>
        <family val="2"/>
        <scheme val="minor"/>
      </rPr>
      <t xml:space="preserve">    Natatorium</t>
    </r>
  </si>
  <si>
    <t>MiCC</t>
  </si>
  <si>
    <t>Middlesex Community College Ground Source Heat Pump</t>
  </si>
  <si>
    <t>Biomass</t>
  </si>
  <si>
    <t>MWCC</t>
  </si>
  <si>
    <t xml:space="preserve">Biomass </t>
  </si>
  <si>
    <t>kW</t>
  </si>
  <si>
    <t>NSCC</t>
  </si>
  <si>
    <t>Health Professions &amp; Student Success Center</t>
  </si>
  <si>
    <t>Heat Rejection 1,832,000 btu/hr, 153 tons, 536kw. Total Heat Gain 1,402,000btu/hr, 411kw</t>
  </si>
  <si>
    <t>QCC</t>
  </si>
  <si>
    <t>Quinsigamond Community College</t>
  </si>
  <si>
    <t>RCC</t>
  </si>
  <si>
    <t>RCC Parking Lot</t>
  </si>
  <si>
    <t>115 wells</t>
  </si>
  <si>
    <t>RCC Building 3 Roof</t>
  </si>
  <si>
    <t>16 units</t>
  </si>
  <si>
    <t>SSU</t>
  </si>
  <si>
    <t>Salem State Berry Library and Learning Commons</t>
  </si>
  <si>
    <t xml:space="preserve">closed-loop geothermal system comprised of 48 6-inch diameter wells </t>
  </si>
  <si>
    <t>STCC</t>
  </si>
  <si>
    <t>Building #1</t>
  </si>
  <si>
    <t>UMass</t>
  </si>
  <si>
    <t>UMass Amherst Research Admin Building</t>
  </si>
  <si>
    <t>no information on the system provided (not available)</t>
  </si>
  <si>
    <t>UMass Amherst Police Station</t>
  </si>
  <si>
    <t>There are 5 pump units, each ranging from 5 MBH (1.5 kW) to 25 MBH (7.4 kW.)</t>
  </si>
  <si>
    <t>UMass Amherst Crotty Hall</t>
  </si>
  <si>
    <t>2 WW180</t>
  </si>
  <si>
    <t>I am told that we have two Bosch WW180 Heat Pumps. This system is not earning any AEC's.</t>
  </si>
  <si>
    <t>UMass Amherst CHP</t>
  </si>
  <si>
    <t>Hadley</t>
  </si>
  <si>
    <t>bhe</t>
  </si>
  <si>
    <t>Tripp Athletic Center</t>
  </si>
  <si>
    <t>?</t>
  </si>
  <si>
    <t>UMass Lowell Inn &amp; Conference Center</t>
  </si>
  <si>
    <t xml:space="preserve">Lowell </t>
  </si>
  <si>
    <t>UMass Lowell Bellegrade Boathouse</t>
  </si>
  <si>
    <t>For agencies/campuses that do not purchase/lease through OVM please provide data, when available, for yellow sections below.</t>
  </si>
  <si>
    <t>Fuel Type</t>
  </si>
  <si>
    <t>Passenger Cars</t>
  </si>
  <si>
    <t>Passenger Vans</t>
  </si>
  <si>
    <t>Cargo Vans</t>
  </si>
  <si>
    <t>Diesel</t>
  </si>
  <si>
    <t>TOTAL</t>
  </si>
  <si>
    <t>If possible, please provide any available details below</t>
  </si>
  <si>
    <t xml:space="preserve"> Note: Dropdown lists will help to populate fields.  If you have additional information not included in the lists, please make a note of this in the "Notes" section. </t>
  </si>
  <si>
    <t xml:space="preserve"> Existing EV Charging Stations. This EV charging stations section is pre-populated, please verify and correct.</t>
  </si>
  <si>
    <t>Expected EV Charging Stations. Please add any EV charging stations that are planned or in progress.</t>
  </si>
  <si>
    <t>EV Charging Stations at State Facilities</t>
  </si>
  <si>
    <t>Please review the pre-populated list, where applicable enter details in Corrections/Notes column.</t>
  </si>
  <si>
    <t xml:space="preserve">If you have additional EV charging stations that are not in the pre-populated list, please add them in yellow rows below. </t>
  </si>
  <si>
    <t>Type of Charger</t>
  </si>
  <si>
    <t>Single or Dual Head?</t>
  </si>
  <si>
    <t>Installation Date</t>
  </si>
  <si>
    <t xml:space="preserve">Access </t>
  </si>
  <si>
    <t xml:space="preserve">Corrections/Notes </t>
  </si>
  <si>
    <t>Add any EV charging stations that are currently installed but NOT listed in Section I. Please create a separate line for each station, even if multiple stations are at one location.</t>
  </si>
  <si>
    <t>EV Charging Stations in progress or planned</t>
  </si>
  <si>
    <r>
      <t xml:space="preserve">If you have additional EV charging station installation projects that are in progress or </t>
    </r>
    <r>
      <rPr>
        <b/>
        <sz val="12"/>
        <color theme="0"/>
        <rFont val="Calibri"/>
        <family val="2"/>
        <scheme val="minor"/>
      </rPr>
      <t>planned within</t>
    </r>
    <r>
      <rPr>
        <sz val="12"/>
        <color theme="0"/>
        <rFont val="Calibri"/>
        <family val="2"/>
        <scheme val="minor"/>
      </rPr>
      <t xml:space="preserve"> the next year,  please list them below. </t>
    </r>
  </si>
  <si>
    <t>Expected Installation Date</t>
  </si>
  <si>
    <t>Access</t>
  </si>
  <si>
    <t>Agency #</t>
  </si>
  <si>
    <t>Entity</t>
  </si>
  <si>
    <t>ZIP</t>
  </si>
  <si>
    <t>Plus4</t>
  </si>
  <si>
    <t>Status Code</t>
  </si>
  <si>
    <t>Expected Date</t>
  </si>
  <si>
    <t>Utility</t>
  </si>
  <si>
    <t>Status</t>
  </si>
  <si>
    <t>EV Level1 EVSE Num</t>
  </si>
  <si>
    <t># Level2 EV Stations</t>
  </si>
  <si>
    <t># EV DC Fast Stations</t>
  </si>
  <si>
    <t>SUM of EV Charging Stations</t>
  </si>
  <si>
    <t># of Ports</t>
  </si>
  <si>
    <t>ID</t>
  </si>
  <si>
    <t>Open Date</t>
  </si>
  <si>
    <t>EV Connector Types</t>
  </si>
  <si>
    <t>EV Charging Station</t>
  </si>
  <si>
    <t>DCAMM</t>
  </si>
  <si>
    <t>HOLYOKE COMMUNITY COLLEGE</t>
  </si>
  <si>
    <t>Campus Center (Lot S)</t>
  </si>
  <si>
    <t>01040</t>
  </si>
  <si>
    <t>MLP</t>
  </si>
  <si>
    <t>Active</t>
  </si>
  <si>
    <t>Public</t>
  </si>
  <si>
    <t>Level 2</t>
  </si>
  <si>
    <t xml:space="preserve">Dual </t>
  </si>
  <si>
    <t>BRIDGEWATER STATE UNIVERSITY</t>
  </si>
  <si>
    <t xml:space="preserve">Great Hill Drive: Parking Garage </t>
  </si>
  <si>
    <t>02324</t>
  </si>
  <si>
    <t>National Grid</t>
  </si>
  <si>
    <t xml:space="preserve">Single </t>
  </si>
  <si>
    <t xml:space="preserve">BRISTOL COMMUNITY COLLEGE </t>
  </si>
  <si>
    <t>777 Elsbree Street; located at solar canopy, across from Sbrega building</t>
  </si>
  <si>
    <t>02720</t>
  </si>
  <si>
    <t>J1772</t>
  </si>
  <si>
    <t>DCR</t>
  </si>
  <si>
    <t>DCR WALDEN POND</t>
  </si>
  <si>
    <t>915 Walden St (solar canopy and visitor center)</t>
  </si>
  <si>
    <t>01742</t>
  </si>
  <si>
    <t>916 Walden St (solar canopy and visitor center)</t>
  </si>
  <si>
    <t>01743</t>
  </si>
  <si>
    <t>J1773</t>
  </si>
  <si>
    <t xml:space="preserve">DPH TEWKSBURY HOSPITAL </t>
  </si>
  <si>
    <t>B Lot 365 East Street</t>
  </si>
  <si>
    <t>Tewksbury</t>
  </si>
  <si>
    <t>01876</t>
  </si>
  <si>
    <t>E</t>
  </si>
  <si>
    <t>DIVISION OF CAPITAL ASSET MANAGEMENT</t>
  </si>
  <si>
    <t>436 Dwight Street</t>
  </si>
  <si>
    <t>01103</t>
  </si>
  <si>
    <t>Eversource</t>
  </si>
  <si>
    <t>MCCORMACK BUILDING</t>
  </si>
  <si>
    <t>1 Ashburton Place</t>
  </si>
  <si>
    <t>02108</t>
  </si>
  <si>
    <t>2 Ashburton Place</t>
  </si>
  <si>
    <t>02109</t>
  </si>
  <si>
    <t>3 Ashburton Place</t>
  </si>
  <si>
    <t>02110</t>
  </si>
  <si>
    <t>01701</t>
  </si>
  <si>
    <t>GREENFIELD COMMUNITY COLLEGE</t>
  </si>
  <si>
    <t>One College Dr</t>
  </si>
  <si>
    <t>01301</t>
  </si>
  <si>
    <t>4040 Jarvis Avenue</t>
  </si>
  <si>
    <t>MASS COLLEGE OF ART &amp; DESIGN</t>
  </si>
  <si>
    <t>Ward Street Garage -- Ground level</t>
  </si>
  <si>
    <t>02115</t>
  </si>
  <si>
    <t>Level 1</t>
  </si>
  <si>
    <t>Outlet</t>
  </si>
  <si>
    <t>Ward Street Garage --Basement</t>
  </si>
  <si>
    <t>MCLA</t>
  </si>
  <si>
    <t>MASS. COLLEGE OF LIBERAL ARTS</t>
  </si>
  <si>
    <t>71 Blackinton St - FEIGENBAUM</t>
  </si>
  <si>
    <t>01247</t>
  </si>
  <si>
    <t>DEP</t>
  </si>
  <si>
    <t>MASSDEP - CERO</t>
  </si>
  <si>
    <t>8 New Bond Street</t>
  </si>
  <si>
    <t>01606</t>
  </si>
  <si>
    <t>MASSDEP (Lakeville)</t>
  </si>
  <si>
    <t>20 Riverside Drive</t>
  </si>
  <si>
    <t>Lakeville</t>
  </si>
  <si>
    <t>02347</t>
  </si>
  <si>
    <t>MASSDEP (Wilmington)</t>
  </si>
  <si>
    <t>205B Lowell Street</t>
  </si>
  <si>
    <t>Wilmington</t>
  </si>
  <si>
    <t>01887</t>
  </si>
  <si>
    <t>MASSDOT WESTON</t>
  </si>
  <si>
    <t>Weston Maintenance Facility , I-90, Weston (just west of I-95)</t>
  </si>
  <si>
    <t>Fleet Charging Only</t>
  </si>
  <si>
    <t>MASSDOT District Office #4</t>
  </si>
  <si>
    <t>511-525 Appleton St</t>
  </si>
  <si>
    <t>Arlington</t>
  </si>
  <si>
    <t>02476</t>
  </si>
  <si>
    <t>MASSDOT District Office #6</t>
  </si>
  <si>
    <t>185 Kneeland St</t>
  </si>
  <si>
    <t>02111</t>
  </si>
  <si>
    <t>MASSDOT HQ</t>
  </si>
  <si>
    <t>10 Park Plaza</t>
  </si>
  <si>
    <t>02116</t>
  </si>
  <si>
    <t>MASSDOT District Office #5</t>
  </si>
  <si>
    <t>1000 County Street MA-140</t>
  </si>
  <si>
    <t>Taunton</t>
  </si>
  <si>
    <t>02780</t>
  </si>
  <si>
    <t>MASSDOT District Office #3</t>
  </si>
  <si>
    <t>403 Belmont Street</t>
  </si>
  <si>
    <t>01604</t>
  </si>
  <si>
    <t xml:space="preserve">MASSDOT FRAMINGHAM </t>
  </si>
  <si>
    <t>MassPike Rest Areas Natick East</t>
  </si>
  <si>
    <t>01760</t>
  </si>
  <si>
    <t xml:space="preserve">Public </t>
  </si>
  <si>
    <t>Fast Charger</t>
  </si>
  <si>
    <t>CHAdeMO</t>
  </si>
  <si>
    <t>MassPike Rest Areas Framingham West</t>
  </si>
  <si>
    <t>MASSDOT HOPKINTON</t>
  </si>
  <si>
    <t xml:space="preserve">Macadam Road </t>
  </si>
  <si>
    <t>01748</t>
  </si>
  <si>
    <t>MASSDOT LEE</t>
  </si>
  <si>
    <t xml:space="preserve">MassPike Rest Areas Lee East </t>
  </si>
  <si>
    <t>Lee</t>
  </si>
  <si>
    <t>01238</t>
  </si>
  <si>
    <t>MassPike Rest Areas Lee West</t>
  </si>
  <si>
    <t>01239</t>
  </si>
  <si>
    <t>MASSDOT CHARLETON</t>
  </si>
  <si>
    <t>MassPike Rest Areas Charleton East</t>
  </si>
  <si>
    <t>Charleton</t>
  </si>
  <si>
    <t>01507</t>
  </si>
  <si>
    <t>MassPike Rest Areas Charleton West</t>
  </si>
  <si>
    <t>01508</t>
  </si>
  <si>
    <t>Framingham Logan Express #1</t>
  </si>
  <si>
    <t>888-758-4389</t>
  </si>
  <si>
    <t>Framingham Logan Express #2</t>
  </si>
  <si>
    <t>LOGAN AIRPORT</t>
  </si>
  <si>
    <t>Central Parking - Northeast (Floor 6)</t>
  </si>
  <si>
    <t>02128</t>
  </si>
  <si>
    <t>Central Parking - Southeast (Floor 6)</t>
  </si>
  <si>
    <t>Terminal B Garage (Floor 3)</t>
  </si>
  <si>
    <t>West Garage - Northwest (Floor 6)</t>
  </si>
  <si>
    <t>02129</t>
  </si>
  <si>
    <t>West Garage - Southhwest (Floor 6)</t>
  </si>
  <si>
    <t>TNC Lot</t>
  </si>
  <si>
    <t>02125</t>
  </si>
  <si>
    <t>02126</t>
  </si>
  <si>
    <t>02127</t>
  </si>
  <si>
    <t>Limo Lot A</t>
  </si>
  <si>
    <t>Limo Lot B</t>
  </si>
  <si>
    <t>MWRA</t>
  </si>
  <si>
    <t>Chelsea Field Operations Facility</t>
  </si>
  <si>
    <t>2 Griffin Way</t>
  </si>
  <si>
    <t>02150</t>
  </si>
  <si>
    <t>QUINSIGAMOND COMMUNITY COLLEGE</t>
  </si>
  <si>
    <t xml:space="preserve">Surprenant Building </t>
  </si>
  <si>
    <t>East side of parking lot #2</t>
  </si>
  <si>
    <t>01607</t>
  </si>
  <si>
    <t>ROXBURY COMMUNITY COLLEGE</t>
  </si>
  <si>
    <t>1234 Columbus Ave: at solar canopy</t>
  </si>
  <si>
    <t>02120</t>
  </si>
  <si>
    <t xml:space="preserve">SALEM STATE </t>
  </si>
  <si>
    <t xml:space="preserve">73 Loring Avenue, Viking Hall </t>
  </si>
  <si>
    <t>01970</t>
  </si>
  <si>
    <t>1 College Drive: North Campus Parking Garage</t>
  </si>
  <si>
    <t>UMASS AMHERST</t>
  </si>
  <si>
    <t>Campus Center Parking Garage Campus Center Way, 4th level</t>
  </si>
  <si>
    <t>01003</t>
  </si>
  <si>
    <t xml:space="preserve">Holdsworth Way &amp; Commonwealth Ave: Lot 41 </t>
  </si>
  <si>
    <t>300 Massachusetts Ave -- VISITOR CTR Robshawl3; Located behind the Robshaw VC, off Mass Ave/Swift Way</t>
  </si>
  <si>
    <t>300 Massachusetts Avenue 
VISITOR CTR L21-22; Located behind the RobshawVC, off Mass Ave/Swift Way</t>
  </si>
  <si>
    <t>300 Massachusetts Avenue 
VISITOR CTR L23-24; Located behind the Robshaw VC, off Mass Ave/Swift Way</t>
  </si>
  <si>
    <t>301 Massachusetts Avenue 
Lot 71</t>
  </si>
  <si>
    <t>302 Massachusetts Avenue 
Lot 71</t>
  </si>
  <si>
    <t>Mullins Center Lot 25</t>
  </si>
  <si>
    <t>400 Venture Way, Hadley MA</t>
  </si>
  <si>
    <t>Lot 52 Thatcher Road</t>
  </si>
  <si>
    <t>UMASS DARTMOUTH</t>
  </si>
  <si>
    <t>Parking Lot 13</t>
  </si>
  <si>
    <t>02747</t>
  </si>
  <si>
    <t>SMAST East Campus</t>
  </si>
  <si>
    <t>New Bedford</t>
  </si>
  <si>
    <t>UMASS LOWELL</t>
  </si>
  <si>
    <t>910 Broadway (South Garage)</t>
  </si>
  <si>
    <t>01854</t>
  </si>
  <si>
    <t>293 Riverside Street (North Garage)</t>
  </si>
  <si>
    <t>220 Pawtucket Street</t>
  </si>
  <si>
    <t>288-298 Salem St University Crossing Admissions entrance</t>
  </si>
  <si>
    <t>East Garage</t>
  </si>
  <si>
    <t>2-98 Standish St (Pulichino Tong Business Building)</t>
  </si>
  <si>
    <t>Hall Street</t>
  </si>
  <si>
    <t>300 Martin Luther King Jr. Way (Tsongas Center)</t>
  </si>
  <si>
    <t>UMASS MEDICAL</t>
  </si>
  <si>
    <t>01655</t>
  </si>
  <si>
    <t>WORCESTER STATE UNIVERSITY</t>
  </si>
  <si>
    <t>01601</t>
  </si>
  <si>
    <t>J1771</t>
  </si>
  <si>
    <t>486 Chandler St</t>
  </si>
  <si>
    <t>01602</t>
  </si>
  <si>
    <t>Energy Efficiency Projects at State Facilities</t>
  </si>
  <si>
    <t>Site/Location</t>
  </si>
  <si>
    <t xml:space="preserve">Energy Efficiency Project Description </t>
  </si>
  <si>
    <t>Total Cost of Project</t>
  </si>
  <si>
    <t>Electricity
Est. Energy Savings 
(kWh)</t>
  </si>
  <si>
    <t>Natural Gas
Est. Energy Savings
(kWh)</t>
  </si>
  <si>
    <t>Fuel Oil
Est. Energy Savings
(gallons)</t>
  </si>
  <si>
    <t xml:space="preserve">Total Cost Savings </t>
  </si>
  <si>
    <t>Please provide any additional notes regarding energy efficiency projects below:</t>
  </si>
  <si>
    <t>Fiscal Year</t>
  </si>
  <si>
    <t>Total Gallons</t>
  </si>
  <si>
    <t>Total Cost</t>
  </si>
  <si>
    <t>Agency#</t>
  </si>
  <si>
    <t>FiscalYear</t>
  </si>
  <si>
    <t>EOName</t>
  </si>
  <si>
    <t>Cost</t>
  </si>
  <si>
    <t>COURTS</t>
  </si>
  <si>
    <t>Recycling</t>
  </si>
  <si>
    <t>Please answer all items in yellow, where applicable.</t>
  </si>
  <si>
    <r>
      <t xml:space="preserve"> If available, please provide total tonnage diverted from waste stream </t>
    </r>
    <r>
      <rPr>
        <i/>
        <sz val="11"/>
        <color theme="3"/>
        <rFont val="Calibri"/>
        <family val="2"/>
        <scheme val="minor"/>
      </rPr>
      <t/>
    </r>
  </si>
  <si>
    <r>
      <t xml:space="preserve"> If available, please provide total tonnage of materials disposed of in the solid waste stream </t>
    </r>
    <r>
      <rPr>
        <i/>
        <sz val="11"/>
        <color theme="3"/>
        <rFont val="Calibri"/>
        <family val="2"/>
        <scheme val="minor"/>
      </rPr>
      <t>(not including diverted materials)</t>
    </r>
  </si>
  <si>
    <t xml:space="preserve">Calculated Waste Diversion Rate </t>
  </si>
  <si>
    <t>Please discuss any new or innovative programs in place to reduce waste/expand recycling programs that you have implemented in the last year</t>
  </si>
  <si>
    <t>This landscaping tab is voluntary to complete. The Leading by Example Program appreciates any information and feedback related to your landscaping practices as we work to advance the progress of sustainability initiatives across the Commonwealth.</t>
  </si>
  <si>
    <t>Pollinator Habitat</t>
  </si>
  <si>
    <t xml:space="preserve">If your campus/agency employs any of the folllowing landscaping practices, 
please provide details in the spaces provided  below each question. </t>
  </si>
  <si>
    <t xml:space="preserve">If your campus/agency employs any of the folllowing practices to support pollinator habitats and species, 
please provide details in the spaces provided  below each question. </t>
  </si>
  <si>
    <t xml:space="preserve">Do you maintain your own landscape? </t>
  </si>
  <si>
    <t>Strategy</t>
  </si>
  <si>
    <t>Est. Size 
(Acres)</t>
  </si>
  <si>
    <t>Year Established</t>
  </si>
  <si>
    <t>Implementation Status</t>
  </si>
  <si>
    <t>à</t>
  </si>
  <si>
    <t>Zero-Turn Riding Mowers</t>
  </si>
  <si>
    <t>Push Mowers</t>
  </si>
  <si>
    <t>Leaf Blowers, String Trimmers</t>
  </si>
  <si>
    <t>Do  you currently/plan to implement any sustainable landscaping practices (e.g. reduction/elimination of pest management, use of environmentally preferrable products, battery-powered landscape equipment)?</t>
  </si>
  <si>
    <t>Reduction/elimination of pest management</t>
  </si>
  <si>
    <t>Use of environmentally preferrable products</t>
  </si>
  <si>
    <t>Use of battery-powered landscape equipment</t>
  </si>
  <si>
    <t xml:space="preserve">Do you use potable water for landscaping purposes? </t>
  </si>
  <si>
    <t>If your campus/agency has existing, in progress or expected pollinator habitat efforts not listed above, please provide any available details below</t>
  </si>
  <si>
    <t>Est. Size (Acres)</t>
  </si>
  <si>
    <t xml:space="preserve">Year </t>
  </si>
  <si>
    <t>On-Site Signage</t>
  </si>
  <si>
    <t>Photos?</t>
  </si>
  <si>
    <t>On LBE Map?</t>
  </si>
  <si>
    <t>Third-Party Certification or Program?</t>
  </si>
  <si>
    <t>Status Update</t>
  </si>
  <si>
    <t>Agency/Campus</t>
  </si>
  <si>
    <t>Conant Science and Mathematics Center</t>
  </si>
  <si>
    <t>Green Roof</t>
  </si>
  <si>
    <t>Implemented</t>
  </si>
  <si>
    <t>No</t>
  </si>
  <si>
    <t>Yes</t>
  </si>
  <si>
    <t>Bristol Community College</t>
  </si>
  <si>
    <t>Managed Wildflower Meadow</t>
  </si>
  <si>
    <t>In Progress</t>
  </si>
  <si>
    <t xml:space="preserve">
Joe Desa </t>
  </si>
  <si>
    <r>
      <t xml:space="preserve">College planted seeds spring 2019 for an approximately 2500 square foot section of grassy area adjacent to a pond and forest. </t>
    </r>
    <r>
      <rPr>
        <b/>
        <sz val="11"/>
        <rFont val="Calibri"/>
        <family val="2"/>
        <scheme val="minor"/>
      </rPr>
      <t>Update status to implemented when blooming confirmed (May/June 2019)</t>
    </r>
  </si>
  <si>
    <t>6/18/2019 -- Joe will send photos once in bloom. Also interested in support regarding signage</t>
  </si>
  <si>
    <t>Limited Mow Zone</t>
  </si>
  <si>
    <r>
      <t xml:space="preserve">No/limited mow areas around Sbrega Building. Previously this area was mowed </t>
    </r>
    <r>
      <rPr>
        <sz val="11"/>
        <color rgb="FFFF0000"/>
        <rFont val="Calibri"/>
        <family val="2"/>
        <scheme val="minor"/>
      </rPr>
      <t>#</t>
    </r>
    <r>
      <rPr>
        <sz val="11"/>
        <rFont val="Calibri"/>
        <family val="2"/>
        <scheme val="minor"/>
      </rPr>
      <t xml:space="preserve"> times annually and is now mowed </t>
    </r>
    <r>
      <rPr>
        <sz val="11"/>
        <color rgb="FFFF0000"/>
        <rFont val="Calibri"/>
        <family val="2"/>
        <scheme val="minor"/>
      </rPr>
      <t>#</t>
    </r>
    <r>
      <rPr>
        <sz val="11"/>
        <rFont val="Calibri"/>
        <family val="2"/>
        <scheme val="minor"/>
      </rPr>
      <t xml:space="preserve"> times annually. </t>
    </r>
    <r>
      <rPr>
        <sz val="11"/>
        <color rgb="FFFF0000"/>
        <rFont val="Calibri"/>
        <family val="2"/>
        <scheme val="minor"/>
      </rPr>
      <t>(Checking w/ BCC)</t>
    </r>
  </si>
  <si>
    <t>Sbrega Health and Science Building</t>
  </si>
  <si>
    <t>190 sq. ft green roof on north side of Sbrega Building</t>
  </si>
  <si>
    <t>no pictures (asling Joe)</t>
  </si>
  <si>
    <t>Middlesex Fells Reservation (Botume House Visitor Center)</t>
  </si>
  <si>
    <t>Pollinator Garden</t>
  </si>
  <si>
    <t>Planted wildflowers Middlesex Fells State Reservation (Botume House Visitor Center)</t>
  </si>
  <si>
    <t>Waquoit Bay</t>
  </si>
  <si>
    <t>Joan Muller</t>
  </si>
  <si>
    <t xml:space="preserve">Before 1994, the front fields of the Reserve were mowed several times annually, and they are now a no/limited mow area to encourage growth of endangered plant sandplain gerardia. This limited mowing also reduces fuel use and greenhouse gas emissions. Rare plants in the meadow were restored in 1994 with seeds collected from a nearby natural population through a MA Natural Heritage and Endangered Species program.  The meadow includes a diversity of native grasses and forbes including:  little bluestem, Indian grass, tufted hairgrass, false indigo, bird’s foot violet, asters, and goldenrod.  The meadow also supports sandplain gerardia and other rare flora native to the Cape. </t>
  </si>
  <si>
    <t>These stormwater/Pollinator Gardens include swamp milkweed, common milkweed, butterfly weed, and a diverse array of pollinator-friendly plants..Previously, the area was parking lot and is not mowed.</t>
  </si>
  <si>
    <t>Senator Joseph Finnegan Park (Port Norfolk)</t>
  </si>
  <si>
    <t>Ruth Helfeld</t>
  </si>
  <si>
    <t>The  former industrial site was completely restored, which included 2 acres of Managed Wildflower Meadow seed mix plantings. 
In addition, large expanses of salt marsh restoration (hundreds of low marsh and upper marsh grass plugs, and transplanting a healthy section of salt marsh grass growing on pavement).   Completed in 2017, the 2 acre Managed Wildflower Meadow as part of the 12 acre park was a brownfield site which was cleaned up,  capped with clean soil, and vegetated.</t>
  </si>
  <si>
    <t>Purgatory Chasm Visitor Center</t>
  </si>
  <si>
    <t>Pollinator-friendly and butterfly garden at DCR Purgatory Chasm Visitor Center in Sutton . Was this area previously mowed regularly?</t>
  </si>
  <si>
    <t>Greenough Boulevard multi-purpose trail</t>
  </si>
  <si>
    <t>Checking w/ DCR</t>
  </si>
  <si>
    <t>Myles Standish</t>
  </si>
  <si>
    <t>Wachusett Reservoir Regional Office - West Boylston</t>
  </si>
  <si>
    <t>Ken MacKenzie</t>
  </si>
  <si>
    <t xml:space="preserve">2 areas (1.87 and 0.25-acres) around the Admin building on Beaman Street to support monarch butterflies.  Fields are filled with milkweed. </t>
  </si>
  <si>
    <t>In Progress (DCR to send in spring)</t>
  </si>
  <si>
    <t>Wachusett Reservoir - South Dike</t>
  </si>
  <si>
    <t>Partnership with DCR-DWSP, MassWildlife and MA DOT.  Area was set aside on the dike to be planted with native  tree/shrubs and tall native grasses and wildflowers for help form a living snow-fence to keep show off of Rt 70 and provide habitat and forage for wildlife.</t>
  </si>
  <si>
    <t>Wachusett Reservoir - North Dike</t>
  </si>
  <si>
    <t>35 acre grassland and other no-mow area(s) at Quabbin</t>
  </si>
  <si>
    <r>
      <t xml:space="preserve">From Ken on 7/24/19: "35-acre plot is a </t>
    </r>
    <r>
      <rPr>
        <b/>
        <sz val="11"/>
        <color theme="1" tint="0.499984740745262"/>
        <rFont val="Calibri"/>
        <family val="2"/>
        <scheme val="minor"/>
      </rPr>
      <t>delayed</t>
    </r>
    <r>
      <rPr>
        <sz val="11"/>
        <color theme="1" tint="0.499984740745262"/>
        <rFont val="Calibri"/>
        <family val="2"/>
        <scheme val="minor"/>
      </rPr>
      <t xml:space="preserve"> mow area that is scheduled to be mowed the 1st week in August.  It is primarily set up for the benefit of grassland nesting birds- specifically meadowlarks, kestrels and bobolinks.  These birds have had their clutches of eggs and the young birds have fledged by this point in the summer.  But because of the delay in mowing, many wildflowers have been allowed to grow up and go to seed.  What once was 90% grass is now pretty forby."</t>
    </r>
  </si>
  <si>
    <t>Olmsted Park, Emerald Necklace, Boston</t>
  </si>
  <si>
    <t>Olmsted Park and Pollinator Meadow:  This is a partnership project with the Emerald Necklace Conservancy.  DCR is in the process of restoring an area that has a high number of invasive species. The upland area of Olmsted park that used to be home to the Kelly Rink is being restored with a new meadow seed mix in combination with lawn area.</t>
  </si>
  <si>
    <t>DOC Bridgewater (West)</t>
  </si>
  <si>
    <t>Sean Foley and Andy Bakinowski</t>
  </si>
  <si>
    <t>In 2017, tilled area in summer and planted northeast wildflower mix in fall</t>
  </si>
  <si>
    <t>Site visit Aug 2019. They are interested in creating new gardens in public-facing spaces, which would include signs. They may also create limited-mow zone around solar installation. Eric sent next-steps email to them 8.26.19</t>
  </si>
  <si>
    <t>DOC Bridgewater (East)</t>
  </si>
  <si>
    <t>Site visit Aug 2019. They are interested in creating new gardens in public-facing spaces, which would include signs. They may also create limited-mow zone around solar installation. Eric sent next-steps email to them 8.26.20</t>
  </si>
  <si>
    <t>Rick Navarro</t>
  </si>
  <si>
    <t xml:space="preserve">Tilled 2.7 acre site several times in spring of 2017, seeded northeast wildflower mix in late spring. </t>
  </si>
  <si>
    <t>New photos provided June 2019</t>
  </si>
  <si>
    <t>The site of a former hospital building has been fenced in for years, and is only accessed by landscapping staff once or twice per year to mow. This limited mow plan has unintentionally benefited pollinators and wildlife, while staff limit mowing simply because it isn't an accessible space. Unsure of start year.</t>
  </si>
  <si>
    <t>REQUESTED</t>
  </si>
  <si>
    <t>Police Academy (New Braintree)</t>
  </si>
  <si>
    <t>Paul Hession</t>
  </si>
  <si>
    <t>DFW Westborough Field Headquarters</t>
  </si>
  <si>
    <t>Dave Paulson</t>
  </si>
  <si>
    <t xml:space="preserve">In 2016, MassWildlife planted a pollinator-friendly habitat at the Westborough Field Headquarters.  A 2017 survey of the planting  identified 10 species of butterflies: Black Swallowtail, Spicebush Swallowtail, Cabbage White, Orange Sulphur, Gray Hairstreak, Pearl Crescent, Common Buckeye, Common Ringlet, Monarch, and Wild Indigo Duskywing. At the time of the survey, the ground cover is dominated by the soil-stabilizing rye, but some wildflowers  are starting to appear, including Common Milkweed, Partridge Pea, and New York Ironweed. </t>
  </si>
  <si>
    <t>Kittredge Center for Business and
Workforce Development</t>
  </si>
  <si>
    <t>Blue Line, Orient Heights Station</t>
  </si>
  <si>
    <t>Sean Donaghy</t>
  </si>
  <si>
    <t xml:space="preserve">On the Blue Line, this station's green roof helps stabilize temperatures and improve stormwater management.
</t>
  </si>
  <si>
    <t>Mass. Bay Transportation Authority</t>
  </si>
  <si>
    <t>Hingham Ferry Terminal</t>
  </si>
  <si>
    <t xml:space="preserve">The terminal's green roof helps stabilize temperatures and responsibly manage rainwater and snowmelt.
</t>
  </si>
  <si>
    <t>South Hall</t>
  </si>
  <si>
    <t>TBD</t>
  </si>
  <si>
    <t>Planned</t>
  </si>
  <si>
    <t>Claudine Ellyin</t>
  </si>
  <si>
    <t>Current construction of South Hall is setting up for approx. 2000 sqft of new landscaping which supports pollination</t>
  </si>
  <si>
    <t>Feigenbaum Center for Science and Innovation</t>
  </si>
  <si>
    <t xml:space="preserve">LBE requested information </t>
  </si>
  <si>
    <t>Student led effort (&amp; Joe Santucci is a staff contact)</t>
  </si>
  <si>
    <t>http://www.mcla.edu/news1/2017-Nov/sophomore-spearheads-save-the-bees-campaign
LBE requested information</t>
  </si>
  <si>
    <t>Brockton Campus</t>
  </si>
  <si>
    <t>Andrew Oguma and Michael Bankson</t>
  </si>
  <si>
    <t>Massasoit has for several years been converting traditional gardens and lawns to sustainable landscapes with non-invasive plants native to New England. These efforts conserve water, mitigate stormwater run-off; reduce the use of pesticides, fertilizers, and fossil fuels; and increase wildlife habitat, including habitat for native pollinators. Massasoit's sustainable landscaping efforts have led to an ongoing faculty-student research project focused on native pollinators, which not only helps advance research in this field but also provides students with hands-on educational experiences.</t>
  </si>
  <si>
    <t>Ryan talked to Andrew on 9/5/19 to get overview of the work. Professors and students manage the 'sustainable landscapes,' landscape crew manages the rest. Capacity is limited to grow program as facilities team isn't fully engaged. Pollinator habitats act as research stations - students conduct surveys of bees in the area, compare to other locations, and present data at conferences.</t>
  </si>
  <si>
    <t xml:space="preserve"> In 2009, the Massasoit CC stopped weekly mowing in spring, summer, and fall in this area to mowing just once a year \This initiative reduces the use of pesticides, fertilizers, and fossil fuels. This area provides habitat for wildlife including eastern cottontails, bees, butterflies, a wide variety of song birds, plus wildflowers</t>
  </si>
  <si>
    <t xml:space="preserve"> Massasoit's meadow provides an ecological benefit as habitat for birds and insects, a social benefit to students engaging in land-use research, and an economic benefit by cutting the costs of fertilizing, mowing, and watering an area that used to be lawn. The meadow is mowed annually to mimic the effects of wildfires and grazing that would naturally keep this habitat from becoming forest</t>
  </si>
  <si>
    <t>Brookfield - Bridge Project</t>
  </si>
  <si>
    <t>Tara Mitchell</t>
  </si>
  <si>
    <t>Added by MassDOT in 2014, this is pollinator-friendly meadow that included native New England wildflowers as part of the seed mix (as part of a Quabog River Bridge project).</t>
  </si>
  <si>
    <t>Duxbury Roundabout</t>
  </si>
  <si>
    <t>Pollinator-friendly planting that included native New England wildflowers as part of the seed mix</t>
  </si>
  <si>
    <t>Leominster - Route 2 &amp; 12 Interchange</t>
  </si>
  <si>
    <t>Pollinator-friendly meadow that included native New England wildflowers as part of the seed mix</t>
  </si>
  <si>
    <t>Lynnfield Wake - Basins</t>
  </si>
  <si>
    <t>Newton</t>
  </si>
  <si>
    <t>Converted from a parking lot in 2006 (and reseeded in 2011 and 2015), MassDOT added this  pollinator-friendly meadow that included native New England wildflowers as part of the seed mix.</t>
  </si>
  <si>
    <t>Plymouth Native Seed</t>
  </si>
  <si>
    <t>&lt;.5</t>
  </si>
  <si>
    <t>Uxbridge Exit 4 - Basins</t>
  </si>
  <si>
    <t>Waltham I-95</t>
  </si>
  <si>
    <t>Whittier Bridge Bike Path: Newburyport &amp; Amesbury</t>
  </si>
  <si>
    <t>In 2016, MassDOT planted this pollinator-friendly meadow that included native New England wildflowers as part of the seed mix on the Whittier Bridge Bike Path from Newburyport to Amesbury.</t>
  </si>
  <si>
    <t>MassDOT District 3: Along I-290</t>
  </si>
  <si>
    <t xml:space="preserve">MassDOT planning to seed area with plants specific to pollinator habitat and such that it provides seasonal habitat. Planning to plant in May 2019, and intends to seed a section that currently has bare, gravel soil - so it will include experimental native meadow seed as well. </t>
  </si>
  <si>
    <t>Route 146: Uxbridge Exit 3 - On Ramp from Route 16 to 146N</t>
  </si>
  <si>
    <t xml:space="preserve">	
12-mile corridor along Route 146, these areas are mowed only once a year (in the spring). Previously, the areas were mowed 2 - 4 times annually.</t>
  </si>
  <si>
    <t>Route 146: Uxbridge Exit 4 - Top of off Ramp to Lackey Dam Road</t>
  </si>
  <si>
    <t>Route 146: Uxbridge Median SB between Exit 3&amp;4</t>
  </si>
  <si>
    <t>Route 146: Sutton Exit 7 off ramp NB</t>
  </si>
  <si>
    <t>I-190: Leominster w/ tree barrier planting</t>
  </si>
  <si>
    <t>3 mile corridor</t>
  </si>
  <si>
    <t>I-190: Leominster - basin</t>
  </si>
  <si>
    <t>I-190: Lancaster</t>
  </si>
  <si>
    <t>Plymouth Route 3 Rest Area</t>
  </si>
  <si>
    <t>Starting in 2015, this area is mowed only once a year (in the spring) - previously, the area was mowed 2 - 4 times annually.</t>
  </si>
  <si>
    <t xml:space="preserve">Plymouth Commerce Way </t>
  </si>
  <si>
    <t>Starting in 2011, this area has become a no mow zone to restore vegetation. Previously, the area was mowed 2 - 4 times annually.</t>
  </si>
  <si>
    <t>Nut Island Headworks
(47 Sea Ave, Quincy, MA 02169)</t>
  </si>
  <si>
    <t xml:space="preserve">MWRA Information in Progress </t>
  </si>
  <si>
    <t>Health Professions and Student Services Building</t>
  </si>
  <si>
    <t>Front area of campus (between Administration Building and Boylston Street)</t>
  </si>
  <si>
    <t>Steve Zisk</t>
  </si>
  <si>
    <r>
      <t xml:space="preserve">Collaboration between Phi Theta Kappa student group and QCC Facilities Department. QCC partnered with MassWildlife, </t>
    </r>
    <r>
      <rPr>
        <sz val="11"/>
        <color rgb="FFFF0000"/>
        <rFont val="Calibri"/>
        <family val="2"/>
        <scheme val="minor"/>
      </rPr>
      <t>seed mix information in progress from Steve</t>
    </r>
  </si>
  <si>
    <t>Marsh Hall</t>
  </si>
  <si>
    <t>• Marsh Hall's green roof hosts seven varieties of drought-resistant sedum and grasses. 
• The vegetation reduces storm water run-off and helps moderate building temperature.</t>
  </si>
  <si>
    <t>Governor's Drive</t>
  </si>
  <si>
    <t>Integrative Learning Center</t>
  </si>
  <si>
    <t>15,000SF of the Integrative Learning Center (ILC) roof has provided space for planting hardy native plants. This green roof provides an educational opportunity to the campus community, reduces the heat island effect, creates a pleasing view for the surrounding buildings, absorbs CO2, reduces glare and retains 1,825 CF of storm water. Additionally, a green roof protects the roof membrane from the elements, including UV light, extending the life expectancy of the membrane and leading to lower life cycle costs. An extensive green roof with some type of sedum which requires very little maintenance was the chosen type of green roof for the ILC.</t>
  </si>
  <si>
    <t>John W. Olver Design Building</t>
  </si>
  <si>
    <t>Completed in January 2017, the courtyard garden at the John W. Olver Design Building contains a variety of soil depths and plantings which were selected to mitigate heat island effects, promote biodiversity, and improve storm water quality. Rooftop vegetation utilizes a drip irrigation system, where water is withheld and gradually delivered to plants as needed. This irrigation method promotes plant health and reduces water consumption.</t>
  </si>
  <si>
    <t>360 View</t>
  </si>
  <si>
    <t>Eastman Lane Low Mow</t>
  </si>
  <si>
    <t xml:space="preserve">Lee Michalopoulos </t>
  </si>
  <si>
    <t>Area includes a roadside bank (0.3 acres) and a grassland buffer zone (0.5 acres) along the treeline. 
Both areas were previously mowed on a weekly basis. Beginning in 2019, both are now mowed once annually in the late fall. Signs have been placed along the bank but are often hit by cars and/or removed.</t>
  </si>
  <si>
    <t>Stadium Drive Meadow Ribbon</t>
  </si>
  <si>
    <t>Previous mowing regime was on a weekly basis, new regime beginning 2019  is one annual scheduled fall mowing. 
On site signage says “Area maintained as meadow habitat. Please do not disturb”</t>
  </si>
  <si>
    <t>Gunness Bank</t>
  </si>
  <si>
    <t>Previously mowed weekly. Beginning in 2019 mowed once every fall.</t>
  </si>
  <si>
    <t>Department Headquarters Meadow Ribbon</t>
  </si>
  <si>
    <t>Integrated Sciences Complex</t>
  </si>
  <si>
    <t>University Crossing</t>
  </si>
  <si>
    <t>Erik Shaw</t>
  </si>
  <si>
    <t>Three separate green roof sections across UML University Crossing Building absorb rainwater, provide insulation, and reduce the heat island effect</t>
  </si>
  <si>
    <t xml:space="preserve">Sheehy/Allen House </t>
  </si>
  <si>
    <t>Planted daisies, snapdragons, lupine and baby’s breath, and more</t>
  </si>
  <si>
    <t>Coburn Hall</t>
  </si>
  <si>
    <t>UML discussing adding a Managed Wildflower Meadow/or Pollinator Garden in the Coburn Hall area as the renovation project comes to completion in late 2019/2020</t>
  </si>
  <si>
    <t>Joel Moser</t>
  </si>
  <si>
    <r>
      <t xml:space="preserve">Bee Campus USA Certified | </t>
    </r>
    <r>
      <rPr>
        <sz val="11"/>
        <color rgb="FFFF0000"/>
        <rFont val="Calibri"/>
        <family val="2"/>
        <scheme val="minor"/>
      </rPr>
      <t>LBE requested information</t>
    </r>
  </si>
  <si>
    <t>NG Units</t>
  </si>
  <si>
    <t>Fuel Oil Units</t>
  </si>
  <si>
    <t>Woods</t>
  </si>
  <si>
    <t>Steam</t>
  </si>
  <si>
    <t>other</t>
  </si>
  <si>
    <t>Please Select from the Dropdown</t>
  </si>
  <si>
    <t>Anaerobic Digestion</t>
  </si>
  <si>
    <t>Air source heat pump</t>
  </si>
  <si>
    <t>MMBtu</t>
  </si>
  <si>
    <t xml:space="preserve">Yes </t>
  </si>
  <si>
    <t>1 station</t>
  </si>
  <si>
    <t>3 Heads</t>
  </si>
  <si>
    <t xml:space="preserve">Single Head </t>
  </si>
  <si>
    <t>Agency/State Owned</t>
  </si>
  <si>
    <t>No Changes, Please Use Last Year's Data</t>
  </si>
  <si>
    <t>Energy Storage (Stand alone)</t>
  </si>
  <si>
    <t>Site owned &amp; operated</t>
  </si>
  <si>
    <t>Behind-the-Meter</t>
  </si>
  <si>
    <t>Single stream</t>
  </si>
  <si>
    <t>Clean Combined Heat and Power (CHP)/Co-Generation</t>
  </si>
  <si>
    <t>MW</t>
  </si>
  <si>
    <t>CCF</t>
  </si>
  <si>
    <t>barrels</t>
  </si>
  <si>
    <t>Btu</t>
  </si>
  <si>
    <t>2-5 stations</t>
  </si>
  <si>
    <t>Plugs</t>
  </si>
  <si>
    <t>Dual Head</t>
  </si>
  <si>
    <t>Power Purchase Agreement</t>
  </si>
  <si>
    <t>Some Changes, Please See Updates Below</t>
  </si>
  <si>
    <t>Energy Storage (Paired w/ RPS Class 1 resource)</t>
  </si>
  <si>
    <t xml:space="preserve">3rd part-owned &amp; operated </t>
  </si>
  <si>
    <t>Standalone (w/ off-takers)</t>
  </si>
  <si>
    <t xml:space="preserve">Multi-stream </t>
  </si>
  <si>
    <t>Clean Combined Heat and Power (CHP)</t>
  </si>
  <si>
    <t>Not sure</t>
  </si>
  <si>
    <t>Do Not Generate</t>
  </si>
  <si>
    <t>Not Sure</t>
  </si>
  <si>
    <t>5-8 stations</t>
  </si>
  <si>
    <t>Fast Charge</t>
  </si>
  <si>
    <t>Never Reported, All New Data</t>
  </si>
  <si>
    <t>Energy Storage (Paired w/ RPS Class 2 resource)</t>
  </si>
  <si>
    <t>Other (please describe in notes)</t>
  </si>
  <si>
    <t>Standalone (w/o off-takers)</t>
  </si>
  <si>
    <t>Ground source heat pump</t>
  </si>
  <si>
    <t>kBtu/hr</t>
  </si>
  <si>
    <t>Do Not Know</t>
  </si>
  <si>
    <t>n/a</t>
  </si>
  <si>
    <t>more than 5 stations</t>
  </si>
  <si>
    <t>Gallons</t>
  </si>
  <si>
    <t>Leading by Example Program FY21 Energy Tracking and Reporting Form</t>
  </si>
  <si>
    <t>NEW &amp; UPDATED ELEMENTS OF FY21 TRACKING FORM</t>
  </si>
  <si>
    <t>Please include only EE Projects that have occurred during FY21.</t>
  </si>
  <si>
    <t>If your agency/campus submitted answers to the below questions in past years and you would like LBE to use al or some of this data for your FY21 submission,
 please note this in the dropdown to the right.</t>
  </si>
  <si>
    <t>Fiscal Year 2021 Energy Tracking and Reporting Form</t>
  </si>
  <si>
    <t>Please discuss any new or innovative water conservation measures that you have implemented in the last year</t>
  </si>
  <si>
    <t>This tab requests information on waste management, water use and converation, and other sustainability efforts at your facilities.  If you have more than one facility you would like to track separately, feel free to contact Chelsea Kehne (chelsea.kehne@mass.gov)</t>
  </si>
  <si>
    <t>Please discuss any significant sustainability efforts implemented this past year</t>
  </si>
  <si>
    <t>Other Sustainability</t>
  </si>
  <si>
    <t>SUVs</t>
  </si>
  <si>
    <t>Pickup Trucks</t>
  </si>
  <si>
    <t>Minivans</t>
  </si>
  <si>
    <t>Hybrid Electric (HEV)</t>
  </si>
  <si>
    <t>Plug-in Hybrid Electric (PHEV)</t>
  </si>
  <si>
    <t>Battery Electric (BEV)</t>
  </si>
  <si>
    <t>Other - Please Select</t>
  </si>
  <si>
    <t>Do you expect to purchase any zero-emission vehicles (BEV or PHEV) in FY22?</t>
  </si>
  <si>
    <t>CNG</t>
  </si>
  <si>
    <t>LNG</t>
  </si>
  <si>
    <t>LPG</t>
  </si>
  <si>
    <t>Dual-fuel/Bi-fuel</t>
  </si>
  <si>
    <t>Total Fleet Vehicles (&lt;14,000 lbs)</t>
  </si>
  <si>
    <t>If calculated fleet total is incorrect, please indicate below</t>
  </si>
  <si>
    <t>Section I: Fleet Questions</t>
  </si>
  <si>
    <t>Please answer the related fleet questions below before proceeding to the next section.</t>
  </si>
  <si>
    <t>Would you like assistance with planning or purchasing of zero-emissions assets for your fleet (e.g. fleet analysis, ZEV model information, grant application support, etc)?</t>
  </si>
  <si>
    <t>If possible, please indicate any assitance you are seeking</t>
  </si>
  <si>
    <t>If possible, please provide total number and any asset types below</t>
  </si>
  <si>
    <t>Section III: Detailed Fleet Invetory (all weight classes)</t>
  </si>
  <si>
    <t>Model Year</t>
  </si>
  <si>
    <t>Make/Model</t>
  </si>
  <si>
    <t>Vehicle Type/Class</t>
  </si>
  <si>
    <t>GVWR (if readily available)</t>
  </si>
  <si>
    <r>
      <t xml:space="preserve">For agencies/campuses that do not purchase/lease through OVM please provide detailed fleet data, if available. 
</t>
    </r>
    <r>
      <rPr>
        <b/>
        <i/>
        <sz val="12"/>
        <color rgb="FFFFFF00"/>
        <rFont val="Calibri (Body)"/>
      </rPr>
      <t xml:space="preserve">If easier for reporting, please attach a separate file of your detailed fleet with your tracking form submission. </t>
    </r>
  </si>
  <si>
    <t>Section II: Water Use &amp; Conservation</t>
  </si>
  <si>
    <t>Waste Diversion</t>
  </si>
  <si>
    <t>Section I: Waste Diversion</t>
  </si>
  <si>
    <t>Water Use &amp; Conservation</t>
  </si>
  <si>
    <t>Sustainable Landscaping</t>
  </si>
  <si>
    <t xml:space="preserve">Section III: Sustainable Landscaping </t>
  </si>
  <si>
    <t>* includes assets such as GEMs, Gators, golf carts, etc.)</t>
  </si>
  <si>
    <t>Current square footage in LBE database 
(as reported in your last tracking form submission)</t>
  </si>
  <si>
    <t>Should LBE use the above square footage for FY21 reporting?</t>
  </si>
  <si>
    <t>LBE is tracking Energy Usage Intensity (EUI: kBtu/SF) for the various agencies.  We use your square footage to determine the EUI for your overall agency.  
If square footage has changed since last year, please use the space in Question 2 for updated square footage for FY21 and include occupancy dates/details for any new buildings.</t>
  </si>
  <si>
    <t>FY21 CONSUMPTION</t>
  </si>
  <si>
    <t>FY21 GENERATION</t>
  </si>
  <si>
    <t>FY21 Purchased/Sold</t>
  </si>
  <si>
    <t>FY21 Qualified Generation Units (MW)</t>
  </si>
  <si>
    <t>FY21
CONSUMPTION</t>
  </si>
  <si>
    <r>
      <t xml:space="preserve">Section I: </t>
    </r>
    <r>
      <rPr>
        <sz val="12"/>
        <color theme="3"/>
        <rFont val="Calibri"/>
        <family val="2"/>
        <scheme val="minor"/>
      </rPr>
      <t xml:space="preserve">Current and future fleet questions. Please answer to the best of your ability. </t>
    </r>
  </si>
  <si>
    <r>
      <t xml:space="preserve">Section II: </t>
    </r>
    <r>
      <rPr>
        <sz val="12"/>
        <color theme="3"/>
        <rFont val="Calibri"/>
        <family val="2"/>
        <scheme val="minor"/>
      </rPr>
      <t>Fleet Overview. Please provide the requested fleet information as indicated.</t>
    </r>
  </si>
  <si>
    <r>
      <t xml:space="preserve">Section III: </t>
    </r>
    <r>
      <rPr>
        <sz val="12"/>
        <color theme="3"/>
        <rFont val="Calibri"/>
        <family val="2"/>
        <scheme val="minor"/>
      </rPr>
      <t xml:space="preserve">Detailed fleet inventory. If available, please provide as much information about your fleet vehicles as indicated in the section columns. If easier, please attach a separate file of your detailed fleet with your tracking form submission. </t>
    </r>
  </si>
  <si>
    <t>Ex: Ford Mustang Mach-E</t>
  </si>
  <si>
    <t>SUV</t>
  </si>
  <si>
    <t>BEV/Battery Electric</t>
  </si>
  <si>
    <t>Ex: Hyundai Sonata</t>
  </si>
  <si>
    <t>Sedan</t>
  </si>
  <si>
    <t>Conventional/Gas</t>
  </si>
  <si>
    <t>Please indicate "Y" below if vehicle 
will likely be replaced in next 2 years</t>
  </si>
  <si>
    <t>Y</t>
  </si>
  <si>
    <t>July 1, 2020 through June 30, 2021</t>
  </si>
  <si>
    <t xml:space="preserve">Where appropriate, we have automated additional tabs to pre-populate with previously submitted data. As with last year's form, ALL pre-populated fields rely on the selection of your agency/campus from the "Contact Information" tab dropdown. If not selected, no data will pre-populate. Additionally, you will no longer be able to select your agency/campus on individual tabs. We have also condensed or removed some sheets to try simplify the reporting process. </t>
  </si>
  <si>
    <t>Section IV: Other Sustainability</t>
  </si>
  <si>
    <t>Would you be interested in procurement (e.g. funding options, equipment selection, etc.) support?</t>
  </si>
  <si>
    <t xml:space="preserve">This sheet has been reformatted to include three sections that cover overall fleet purchasing, a fleet overview of vehicles 14,000 lbs. gross vehicle weight rating (GVWR) or less, and a detailed fleet inventory of all vehicle classes and weights. As vehicles are a key piece of EO 594 directives and targets, we ask partners to review the instructions and provide as much information as possible to help us better track opportunities and progress for the state fleet. </t>
  </si>
  <si>
    <t>Fuel Oil #2 for Buildings</t>
  </si>
  <si>
    <t>Bioheat #2 Heating Oil</t>
  </si>
  <si>
    <r>
      <t xml:space="preserve">This tab requests information about vehicle fleets. All LBE partners should respond to Section I. 
Section II is applicable only to those entities that </t>
    </r>
    <r>
      <rPr>
        <i/>
        <u/>
        <sz val="12"/>
        <color theme="3"/>
        <rFont val="Calibri"/>
        <family val="2"/>
        <scheme val="minor"/>
      </rPr>
      <t>do not</t>
    </r>
    <r>
      <rPr>
        <sz val="12"/>
        <color theme="3"/>
        <rFont val="Calibri"/>
        <family val="2"/>
        <scheme val="minor"/>
      </rPr>
      <t xml:space="preserve"> purchase/lease vehicles through the Office of Vehicle Management (OVM). 
Please only include vehicles that are owned and operated by your agency or the Commonwealth.</t>
    </r>
    <r>
      <rPr>
        <b/>
        <u/>
        <sz val="12"/>
        <color theme="3"/>
        <rFont val="Calibri"/>
        <family val="2"/>
        <scheme val="minor"/>
      </rPr>
      <t xml:space="preserve"> </t>
    </r>
  </si>
  <si>
    <t>Do you have on- or off-road vehicles over 14,000 lbs GVWR in your fleet?</t>
  </si>
  <si>
    <t>Section II: Fleet Overview (roughly 14,000 lbs GVWR or less)</t>
  </si>
  <si>
    <r>
      <t xml:space="preserve">This tab includes a request for information on energy efficiency projects that have moved forward </t>
    </r>
    <r>
      <rPr>
        <u/>
        <sz val="11"/>
        <color theme="3"/>
        <rFont val="Calibri"/>
        <family val="2"/>
        <scheme val="minor"/>
      </rPr>
      <t>without</t>
    </r>
    <r>
      <rPr>
        <sz val="11"/>
        <color theme="3"/>
        <rFont val="Calibri"/>
        <family val="2"/>
        <scheme val="minor"/>
      </rPr>
      <t xml:space="preserve"> DOER or DCAMM involvement during FY21. Please as provide as much information as possible in the fields below.</t>
    </r>
  </si>
  <si>
    <t>Installations that LBE has documented as "In Progress" will appear in green. Please correct in "Corrections/Notes" column if status has changed.</t>
  </si>
  <si>
    <t>Expected Cycling per Year</t>
  </si>
  <si>
    <t>Program Enrollement (e.g., CPS, utility demand response,  ConnectedSolutions)</t>
  </si>
  <si>
    <t>Neighboorhood/ 
Utility Vehicles*</t>
  </si>
  <si>
    <t>EO 594</t>
  </si>
  <si>
    <t xml:space="preserve">To learn more, please visit the Leading by Example Executive Order 594 website or reach out to the LBE Program team with any questions. </t>
  </si>
  <si>
    <r>
      <t xml:space="preserve">Measuring and tracking energy data for Massachusetts state agencies and public higher education is a critical component of the state’s Leading by Example Program (LBE).  
In order to track progress in meeting greenhouse gas, energy reduction targets, and renewable energy goals, collecting &amp; analyzing agency and campus energy data is imperative.
With the help of your agency, Leading by Example tracks energy consumption and cost data for a variety of fuel sources in the Commonwealth, as well as information on other sustainability efforts.  Please use this form to submit your agency/campus FY21 energy data to LBE.  The FY21 Tracking Form divides the fuels tracked into separate tabs for easier navigation.  The summary boxes below describe  information requested in each tab, as well as highlights any new additions to the FY21 form.  Reporting should include all owned facilities within your agency/campus and be consistent from year to year.  
</t>
    </r>
    <r>
      <rPr>
        <b/>
        <sz val="14"/>
        <color rgb="FF00B050"/>
        <rFont val="Calibri (Body)"/>
      </rPr>
      <t>Thank you for working with us to track your energy and sustainability data for your facilities - we appreciate your time and effort!</t>
    </r>
  </si>
  <si>
    <t xml:space="preserve">The deadline for submitting the FY21 Tracking Form is December 20, 2021. 
Please submit via email to Chelsea Kehne (chelsea.kehne@mass.gov). 
Please contact Chelsea via email or by phone at 410-402-0992 if you need assistance in gathering your energy data. </t>
  </si>
  <si>
    <t>To the best of your ability, please enter the correct information and energy consumption data in the following tabs:</t>
  </si>
  <si>
    <t xml:space="preserve">This tab includes a high-level overview of Executive Order 594, which was signed in April and went into effect July 1, 2021. Please review and repond to all questions regarding Executive Order 594. If you have further question regarding EO 594, please reach out to Chelsea Kehne to set up a discussion. </t>
  </si>
  <si>
    <t>This tab requests information about current and upcoming EV charging stations at your facilities.</t>
  </si>
  <si>
    <t xml:space="preserve">This tab requests information on a suite of sustainability efforts at your facilities including, waste diversion, water use &amp; conervation, sustainable lanscaping activities, and other sustainability efforts not captured elsewhere in the tracking form. </t>
  </si>
  <si>
    <t>If reporting a different square footage from last year, please indicate the increases or decreases in square footage and provide available details below</t>
  </si>
  <si>
    <t xml:space="preserve">This section gives a quick primer on Exectuive Order 594. Pleaserespond to the following section to the best of your ability and reach out to Chelsea Kehne at chelsea.kehne@mass.gov with any questions or if you would like to set up a meeting to discuss EO 594 in more detail. </t>
  </si>
  <si>
    <t>Would you like a briefing on EO594 directives and goals to help better inform your decarbonization planning efforts?</t>
  </si>
  <si>
    <t>Has the release of EO594 impacted  decarbonization planning at your facility? (e.g. capital/energy/master planning, fleet conversion planning,  equipment replacement strategy, etc.)?</t>
  </si>
  <si>
    <t>Please provide any quick details below regarding your response</t>
  </si>
  <si>
    <t>Are there particular EO594 directives that you would like support in addressing (e.g. targets, new construction, existing buildings, fleet, renewable &amp; clean energy, etc.)</t>
  </si>
  <si>
    <t>Please briefly indicate any specific directives below</t>
  </si>
  <si>
    <t>Feel free to include any additional context or questions below</t>
  </si>
  <si>
    <t>Not sure?</t>
  </si>
  <si>
    <t>Help! What's EO594?!</t>
  </si>
  <si>
    <t>Executive Order 594: Leading by Example</t>
  </si>
  <si>
    <t>Building Maintenance Supervisor</t>
  </si>
  <si>
    <t>Christopher DeGray</t>
  </si>
  <si>
    <t>cdegray@berkshirecc.edu</t>
  </si>
  <si>
    <t>Director of Facilites</t>
  </si>
  <si>
    <t>413-236-3015</t>
  </si>
  <si>
    <t>Carol Davidian</t>
  </si>
  <si>
    <t>carol.davidian@jud.state.ma.us</t>
  </si>
  <si>
    <t>Robert Huang</t>
  </si>
  <si>
    <t>Program Manager, Energy Management</t>
  </si>
  <si>
    <t>robert.huang@mwra.com</t>
  </si>
  <si>
    <t>617-660-7761</t>
  </si>
  <si>
    <t>Wachusett Aqueduct Pump Station</t>
  </si>
  <si>
    <t>BOS19</t>
  </si>
  <si>
    <t>Boston, MA</t>
  </si>
  <si>
    <t>Southborough HQ</t>
  </si>
  <si>
    <t>Southborough, MA</t>
  </si>
  <si>
    <t>Southborough</t>
  </si>
  <si>
    <t>Deer Island</t>
  </si>
  <si>
    <t>190 Tafts Ave</t>
  </si>
  <si>
    <t>J1774</t>
  </si>
  <si>
    <t>J1775</t>
  </si>
  <si>
    <t>J1776</t>
  </si>
  <si>
    <t>J1777</t>
  </si>
  <si>
    <t>Caroll Water Treatment Plant</t>
  </si>
  <si>
    <t>84 D'Angelo Dr</t>
  </si>
  <si>
    <t>Stockbridge road Lot 62</t>
  </si>
  <si>
    <t>17 Eastman Lane, Lot 43 Totman Gym Lot</t>
  </si>
  <si>
    <t>J1778</t>
  </si>
  <si>
    <t>Visitor Center Parking Lot</t>
  </si>
  <si>
    <t>Recreation Center Parking Lot</t>
  </si>
  <si>
    <t>UMASS AMHERST Mt Ida</t>
  </si>
  <si>
    <r>
      <t>Are you planning for the installation new or additional EV charging stations to support the fleet electrification directives of EO 594</t>
    </r>
    <r>
      <rPr>
        <sz val="12"/>
        <color theme="3"/>
        <rFont val="Calibri"/>
        <family val="2"/>
        <scheme val="minor"/>
      </rPr>
      <t>?</t>
    </r>
  </si>
  <si>
    <t>Unsure</t>
  </si>
  <si>
    <t>Compl</t>
  </si>
  <si>
    <t>Permaculture Gardens</t>
  </si>
  <si>
    <t>Multiple</t>
  </si>
  <si>
    <t>Agriculture Learning Center</t>
  </si>
  <si>
    <t>Songbird Garden</t>
  </si>
  <si>
    <t>apiary, regenerative farming</t>
  </si>
  <si>
    <t>native/songbird plant species and design</t>
  </si>
  <si>
    <t>MassPort Logan Airport Terminal C Canopy</t>
  </si>
  <si>
    <t>2 Harborside Drive</t>
  </si>
  <si>
    <t>South Garage Patient Visitor</t>
  </si>
  <si>
    <t>Plantation Street Garage</t>
  </si>
  <si>
    <t>Restricted</t>
  </si>
  <si>
    <t>University Hall</t>
  </si>
  <si>
    <t>UCRR Project</t>
  </si>
  <si>
    <t>Peak demand Mgmt/Energy Cost Savings; Integration with on-site renewables; resilience &amp; power backup</t>
  </si>
  <si>
    <t>Energy Storage Objectives 
(all or any installations)</t>
  </si>
  <si>
    <t>Multiple - please list at right</t>
  </si>
  <si>
    <t>Nor reported</t>
  </si>
  <si>
    <t>Allen Metcalfe</t>
  </si>
  <si>
    <t>ametcalfe@maritime.edu</t>
  </si>
  <si>
    <t>508-830-5202</t>
  </si>
  <si>
    <t>11,401 (?)</t>
  </si>
  <si>
    <t>Bioswalw at ABS Building</t>
  </si>
  <si>
    <t>Planning</t>
  </si>
  <si>
    <t>replacing existing overgrowth</t>
  </si>
  <si>
    <t>Bond Street</t>
  </si>
  <si>
    <t>Highland Avenue</t>
  </si>
  <si>
    <t>MCI Cedar Junction (OFFLINE)</t>
  </si>
  <si>
    <t>Bridgewater Correctional Complex (OFFLINE)</t>
  </si>
  <si>
    <t>MCI South Middlesex Correctional Center (INVERTER DOWN)</t>
  </si>
  <si>
    <t>DOC Shirley (INVERTER DOWN)</t>
  </si>
  <si>
    <t>Milford Parking Lot</t>
  </si>
  <si>
    <t>Worcester State University - Sheehan Hall</t>
  </si>
  <si>
    <t>287 Chandler St</t>
  </si>
  <si>
    <t>WSU</t>
  </si>
  <si>
    <t>North Lot</t>
  </si>
  <si>
    <t>Conlon Fine Arts Parking Area</t>
  </si>
  <si>
    <t>not reported</t>
  </si>
  <si>
    <t>STCC Lot A</t>
  </si>
  <si>
    <t>Lynn Campus Facility Parking Lot</t>
  </si>
  <si>
    <t>Lynn</t>
  </si>
  <si>
    <t>Danvers MA Parking Lot 6</t>
  </si>
  <si>
    <t>No Mow/Pollinator Habitat</t>
  </si>
  <si>
    <t>Building</t>
  </si>
  <si>
    <t>in progress</t>
  </si>
  <si>
    <t>Meier Hall (In Progress)</t>
  </si>
  <si>
    <t xml:space="preserve"> 1.44 (300 tons cooling)</t>
  </si>
  <si>
    <t>225 Canal Street: O'Keefe Center</t>
  </si>
  <si>
    <t>DCFC</t>
  </si>
  <si>
    <t xml:space="preserve">On this tab you will find a list of EV charging stations that have been reported to LBE for your agency/campus, along with charging station details. Please make any corrections where necessary and enter any additional stations that you have installed. </t>
  </si>
  <si>
    <t>This tab requests information about vehicle fleets. All LBE partners should respond to Sections I and II. Section III is applicable to those entities that do not purchase/lease vehicles through the Office of Vehicle Management (OVM). PLease only include vehicles that are owned and operated by your agency or the Commonwealth. GVWR refers to the Gross Vehicle Weight Rating of an asset--if the specific GVWR for an asset is unknown, please make your best guess as to which vehciles fall below 14,000 GVWR and those that fall above (the former includes passenger vehicles, vans up to 12 passengers, and trucks up through plow trucks; the latter tend to be medium- and heavy-duty vehicles that fall in the Class 4-8).</t>
  </si>
  <si>
    <t>On April 22nd, 2021, the Baker-Polito Administration signed Executive Order No. 594, Leading by Example. Applicable to all Massachusetts executive branch agencies and public institutions of higher education, this Order aims to reduce emissions and environmental impact of state government operations.
Building on the success of Executive Order 484, E.O. 594 sets goals and requirements that will accelerate the decarbonization of fuels used to heat and cool facilities, help to demonstrate new technologies and strategies necessary to meet the Commonwealth’s energy goals, and quicken the shift to electric heating and vehicles. To facilitate these efforts, E.O. 594 sets specific energy-related targets for Massachusetts state government between 2025 and 2050 and provides directives related to state government sustainability (including demand management, water conservation, waste minimization, sustainable landscaping, and environmentally preferable purchasing, real-time energy monitoring, and data tracking and reporting).</t>
  </si>
  <si>
    <t>This sheet has been reconfigured to capture various sustainability information that was previously housed in multiple sheets. The new Sustainability sheet now combines questions on waste management, water consumption and conservation, sustainable landscaping, and additional sustainability efforts at your facilities.</t>
  </si>
  <si>
    <t xml:space="preserve">This tab includes a high-level overview of Executive Order 594, which was signed in April and went into effect July 1, 2021. Please review and respond to all questions regarding Executive Order 594, as they will help the LBE team track current planning strategies and identify areas where we can better support partner deacrbonization efforts.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</si>
</sst>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_(* #,##0.000_);_(* \(#,##0.000\);_(* &quot;-&quot;??_);_(@_)"/>
    <numFmt numFmtId="167" formatCode="00000"/>
    <numFmt numFmtId="168" formatCode="&quot;$&quot;#,##0.00"/>
    <numFmt numFmtId="169" formatCode="0.000_);\(0.000\)"/>
    <numFmt numFmtId="170" formatCode="0.000"/>
  </numFmts>
  <fonts count="105" x14ac:knownFonts="1">
    <font>
      <sz val="11"/>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1"/>
      <color rgb="FFFFFFFF"/>
      <name val="Calibri"/>
      <family val="2"/>
      <scheme val="minor"/>
    </font>
    <font>
      <b/>
      <sz val="12"/>
      <color rgb="FFFFFFFF"/>
      <name val="Calibri"/>
      <family val="2"/>
      <scheme val="minor"/>
    </font>
    <font>
      <b/>
      <sz val="12"/>
      <name val="Calibri"/>
      <family val="2"/>
      <scheme val="minor"/>
    </font>
    <font>
      <sz val="11"/>
      <color indexed="8"/>
      <name val="Calibri"/>
      <family val="2"/>
    </font>
    <font>
      <b/>
      <sz val="11"/>
      <color indexed="8"/>
      <name val="Calibri"/>
      <family val="2"/>
    </font>
    <font>
      <sz val="11"/>
      <color theme="0"/>
      <name val="Calibri"/>
      <family val="2"/>
      <scheme val="minor"/>
    </font>
    <font>
      <b/>
      <sz val="11"/>
      <color theme="3"/>
      <name val="Calibri"/>
      <family val="2"/>
      <scheme val="minor"/>
    </font>
    <font>
      <b/>
      <sz val="11"/>
      <color theme="0"/>
      <name val="Calibri"/>
      <family val="2"/>
      <scheme val="minor"/>
    </font>
    <font>
      <sz val="11"/>
      <color theme="3"/>
      <name val="Calibri"/>
      <family val="2"/>
      <scheme val="minor"/>
    </font>
    <font>
      <sz val="14"/>
      <color theme="1"/>
      <name val="Calibri"/>
      <family val="2"/>
      <scheme val="minor"/>
    </font>
    <font>
      <b/>
      <sz val="14"/>
      <color rgb="FFFFFFFF"/>
      <name val="Calibri"/>
      <family val="2"/>
      <scheme val="minor"/>
    </font>
    <font>
      <b/>
      <sz val="12"/>
      <color theme="3"/>
      <name val="Calibri"/>
      <family val="2"/>
      <scheme val="minor"/>
    </font>
    <font>
      <b/>
      <sz val="12"/>
      <color rgb="FF003366"/>
      <name val="Calibri"/>
      <family val="2"/>
      <scheme val="minor"/>
    </font>
    <font>
      <sz val="12"/>
      <color theme="1"/>
      <name val="Calibri"/>
      <family val="2"/>
      <scheme val="minor"/>
    </font>
    <font>
      <sz val="12"/>
      <color theme="3"/>
      <name val="Calibri"/>
      <family val="2"/>
      <scheme val="minor"/>
    </font>
    <font>
      <sz val="12"/>
      <color rgb="FFFFFFFF"/>
      <name val="Calibri"/>
      <family val="2"/>
      <scheme val="minor"/>
    </font>
    <font>
      <sz val="12"/>
      <color theme="0"/>
      <name val="Calibri"/>
      <family val="2"/>
      <scheme val="minor"/>
    </font>
    <font>
      <sz val="12"/>
      <color rgb="FF003366"/>
      <name val="Calibri"/>
      <family val="2"/>
      <scheme val="minor"/>
    </font>
    <font>
      <i/>
      <sz val="12"/>
      <color rgb="FF003366"/>
      <name val="Calibri"/>
      <family val="2"/>
      <scheme val="minor"/>
    </font>
    <font>
      <b/>
      <sz val="12"/>
      <color theme="1"/>
      <name val="Calibri"/>
      <family val="2"/>
      <scheme val="minor"/>
    </font>
    <font>
      <b/>
      <shadow/>
      <sz val="12"/>
      <color rgb="FF003366"/>
      <name val="Calibri"/>
      <family val="2"/>
      <scheme val="minor"/>
    </font>
    <font>
      <b/>
      <sz val="9"/>
      <color indexed="81"/>
      <name val="Tahoma"/>
      <family val="2"/>
    </font>
    <font>
      <sz val="9"/>
      <color indexed="81"/>
      <name val="Tahoma"/>
      <family val="2"/>
    </font>
    <font>
      <sz val="12"/>
      <name val="Calibri"/>
      <family val="2"/>
      <scheme val="minor"/>
    </font>
    <font>
      <b/>
      <sz val="14"/>
      <color theme="3"/>
      <name val="Calibri"/>
      <family val="2"/>
      <scheme val="minor"/>
    </font>
    <font>
      <b/>
      <sz val="16"/>
      <color rgb="FFFFFFFF"/>
      <name val="Calibri"/>
      <family val="2"/>
      <scheme val="minor"/>
    </font>
    <font>
      <b/>
      <sz val="11"/>
      <color theme="1"/>
      <name val="Calibri"/>
      <family val="2"/>
      <scheme val="minor"/>
    </font>
    <font>
      <sz val="11"/>
      <name val="Calibri"/>
      <family val="2"/>
      <scheme val="minor"/>
    </font>
    <font>
      <sz val="16"/>
      <color theme="1"/>
      <name val="Calibri"/>
      <family val="2"/>
      <scheme val="minor"/>
    </font>
    <font>
      <sz val="11"/>
      <color rgb="FF000000"/>
      <name val="Calibri"/>
      <family val="2"/>
      <scheme val="minor"/>
    </font>
    <font>
      <sz val="11"/>
      <name val="Calibri"/>
      <family val="2"/>
    </font>
    <font>
      <sz val="10"/>
      <color indexed="8"/>
      <name val="Arial"/>
      <family val="2"/>
    </font>
    <font>
      <sz val="11"/>
      <color indexed="8"/>
      <name val="Calibri"/>
      <family val="2"/>
      <scheme val="minor"/>
    </font>
    <font>
      <i/>
      <sz val="11"/>
      <color theme="1"/>
      <name val="Calibri"/>
      <family val="2"/>
      <scheme val="minor"/>
    </font>
    <font>
      <i/>
      <sz val="11"/>
      <color theme="3"/>
      <name val="Calibri"/>
      <family val="2"/>
      <scheme val="minor"/>
    </font>
    <font>
      <u/>
      <sz val="11"/>
      <color theme="10"/>
      <name val="Calibri"/>
      <family val="2"/>
    </font>
    <font>
      <b/>
      <sz val="16"/>
      <color theme="0"/>
      <name val="Calibri"/>
      <family val="2"/>
      <scheme val="minor"/>
    </font>
    <font>
      <sz val="14"/>
      <color theme="0"/>
      <name val="Calibri"/>
      <family val="2"/>
      <scheme val="minor"/>
    </font>
    <font>
      <i/>
      <sz val="12"/>
      <color theme="3"/>
      <name val="Calibri"/>
      <family val="2"/>
      <scheme val="minor"/>
    </font>
    <font>
      <i/>
      <sz val="12"/>
      <color rgb="FFFFFFFF"/>
      <name val="Calibri"/>
      <family val="2"/>
      <scheme val="minor"/>
    </font>
    <font>
      <sz val="10"/>
      <color indexed="8"/>
      <name val="Arial"/>
      <family val="2"/>
    </font>
    <font>
      <b/>
      <sz val="12"/>
      <color theme="0"/>
      <name val="Calibri"/>
      <family val="2"/>
      <scheme val="minor"/>
    </font>
    <font>
      <sz val="11"/>
      <color rgb="FFFF0000"/>
      <name val="Calibri"/>
      <family val="2"/>
      <scheme val="minor"/>
    </font>
    <font>
      <sz val="10"/>
      <color indexed="8"/>
      <name val="Arial"/>
      <family val="2"/>
    </font>
    <font>
      <b/>
      <sz val="18"/>
      <color theme="3"/>
      <name val="Cambria"/>
      <family val="2"/>
      <scheme val="major"/>
    </font>
    <font>
      <b/>
      <sz val="15"/>
      <color theme="3"/>
      <name val="Calibri"/>
      <family val="2"/>
      <scheme val="minor"/>
    </font>
    <font>
      <b/>
      <sz val="13"/>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u/>
      <sz val="11"/>
      <color theme="10"/>
      <name val="Calibri"/>
      <family val="2"/>
      <scheme val="minor"/>
    </font>
    <font>
      <b/>
      <sz val="10"/>
      <color theme="1"/>
      <name val="Calibri"/>
      <family val="2"/>
      <scheme val="minor"/>
    </font>
    <font>
      <sz val="10"/>
      <color theme="1"/>
      <name val="Calibri"/>
      <family val="2"/>
      <scheme val="minor"/>
    </font>
    <font>
      <sz val="10"/>
      <name val="Calibri"/>
      <family val="2"/>
      <scheme val="minor"/>
    </font>
    <font>
      <sz val="10"/>
      <color rgb="FFFF0000"/>
      <name val="Calibri"/>
      <family val="2"/>
      <scheme val="minor"/>
    </font>
    <font>
      <sz val="10"/>
      <color indexed="8"/>
      <name val="Calibri"/>
      <family val="2"/>
    </font>
    <font>
      <b/>
      <sz val="11"/>
      <name val="Calibri"/>
      <family val="2"/>
      <scheme val="minor"/>
    </font>
    <font>
      <b/>
      <sz val="11"/>
      <color rgb="FFFF0000"/>
      <name val="Calibri"/>
      <family val="2"/>
      <scheme val="minor"/>
    </font>
    <font>
      <b/>
      <sz val="11"/>
      <color theme="4" tint="-0.499984740745262"/>
      <name val="Calibri"/>
      <family val="2"/>
      <scheme val="minor"/>
    </font>
    <font>
      <sz val="10"/>
      <name val="Arial"/>
      <family val="2"/>
    </font>
    <font>
      <u/>
      <sz val="10"/>
      <color indexed="12"/>
      <name val="Arial"/>
      <family val="2"/>
    </font>
    <font>
      <sz val="11"/>
      <color theme="9"/>
      <name val="Calibri"/>
      <family val="2"/>
      <scheme val="minor"/>
    </font>
    <font>
      <b/>
      <sz val="18"/>
      <color theme="0"/>
      <name val="Calibri"/>
      <family val="2"/>
      <scheme val="minor"/>
    </font>
    <font>
      <b/>
      <sz val="14"/>
      <color theme="0"/>
      <name val="Calibri"/>
      <family val="2"/>
      <scheme val="minor"/>
    </font>
    <font>
      <b/>
      <shadow/>
      <sz val="18"/>
      <color theme="0"/>
      <name val="Calibri"/>
      <family val="2"/>
      <scheme val="minor"/>
    </font>
    <font>
      <b/>
      <i/>
      <sz val="12"/>
      <color rgb="FF003366"/>
      <name val="Calibri"/>
      <family val="2"/>
      <scheme val="minor"/>
    </font>
    <font>
      <sz val="10"/>
      <color rgb="FFFFFFFF"/>
      <name val="Calibri"/>
      <family val="2"/>
      <scheme val="minor"/>
    </font>
    <font>
      <b/>
      <sz val="10"/>
      <color theme="3"/>
      <name val="Wingdings"/>
      <charset val="2"/>
    </font>
    <font>
      <b/>
      <sz val="12"/>
      <color rgb="FF00B050"/>
      <name val="Calibri"/>
      <family val="2"/>
      <scheme val="minor"/>
    </font>
    <font>
      <b/>
      <u/>
      <sz val="12"/>
      <color theme="0"/>
      <name val="Calibri"/>
      <family val="2"/>
      <scheme val="minor"/>
    </font>
    <font>
      <b/>
      <u/>
      <sz val="12"/>
      <color rgb="FFFFFFFF"/>
      <name val="Calibri"/>
      <family val="2"/>
      <scheme val="minor"/>
    </font>
    <font>
      <b/>
      <sz val="12"/>
      <color rgb="FFFF0000"/>
      <name val="Calibri"/>
      <family val="2"/>
      <scheme val="minor"/>
    </font>
    <font>
      <sz val="8"/>
      <name val="Calibri"/>
      <family val="2"/>
      <scheme val="minor"/>
    </font>
    <font>
      <b/>
      <sz val="14"/>
      <color rgb="FFFF0000"/>
      <name val="Calibri"/>
      <family val="2"/>
      <scheme val="minor"/>
    </font>
    <font>
      <b/>
      <u/>
      <sz val="11"/>
      <color theme="10"/>
      <name val="Calibri"/>
      <family val="2"/>
      <scheme val="minor"/>
    </font>
    <font>
      <u/>
      <sz val="12"/>
      <color theme="10"/>
      <name val="Calibri"/>
      <family val="2"/>
      <scheme val="minor"/>
    </font>
    <font>
      <sz val="11"/>
      <color theme="1"/>
      <name val="Calibri"/>
      <family val="2"/>
    </font>
    <font>
      <sz val="11"/>
      <color theme="1" tint="0.499984740745262"/>
      <name val="Calibri"/>
      <family val="2"/>
      <scheme val="minor"/>
    </font>
    <font>
      <b/>
      <sz val="11"/>
      <color theme="1" tint="0.499984740745262"/>
      <name val="Calibri"/>
      <family val="2"/>
      <scheme val="minor"/>
    </font>
    <font>
      <sz val="11"/>
      <color rgb="FF000000"/>
      <name val="Arial"/>
      <family val="2"/>
    </font>
    <font>
      <u/>
      <sz val="11"/>
      <name val="Calibri"/>
      <family val="2"/>
      <scheme val="minor"/>
    </font>
    <font>
      <u/>
      <sz val="11"/>
      <color theme="1" tint="0.499984740745262"/>
      <name val="Calibri"/>
      <family val="2"/>
      <scheme val="minor"/>
    </font>
    <font>
      <i/>
      <sz val="12"/>
      <color rgb="FF00B050"/>
      <name val="Calibri"/>
      <family val="2"/>
      <scheme val="minor"/>
    </font>
    <font>
      <b/>
      <i/>
      <sz val="12"/>
      <color rgb="FFFFFF00"/>
      <name val="Calibri (Body)"/>
    </font>
    <font>
      <b/>
      <sz val="14"/>
      <color theme="3" tint="-0.249977111117893"/>
      <name val="Calibri"/>
      <family val="2"/>
      <scheme val="minor"/>
    </font>
    <font>
      <i/>
      <sz val="12"/>
      <color rgb="FFC00000"/>
      <name val="Calibri"/>
      <family val="2"/>
      <scheme val="minor"/>
    </font>
    <font>
      <b/>
      <sz val="16"/>
      <color theme="1"/>
      <name val="Calibri"/>
      <family val="2"/>
      <scheme val="minor"/>
    </font>
    <font>
      <sz val="11"/>
      <color rgb="FFC00000"/>
      <name val="Calibri"/>
      <family val="2"/>
      <scheme val="minor"/>
    </font>
    <font>
      <sz val="12"/>
      <color rgb="FFFF0000"/>
      <name val="Calibri"/>
      <family val="2"/>
      <scheme val="minor"/>
    </font>
    <font>
      <b/>
      <u/>
      <sz val="12"/>
      <color theme="3"/>
      <name val="Calibri"/>
      <family val="2"/>
      <scheme val="minor"/>
    </font>
    <font>
      <i/>
      <u/>
      <sz val="12"/>
      <color theme="3"/>
      <name val="Calibri"/>
      <family val="2"/>
      <scheme val="minor"/>
    </font>
    <font>
      <u/>
      <sz val="11"/>
      <color theme="3"/>
      <name val="Calibri"/>
      <family val="2"/>
      <scheme val="minor"/>
    </font>
    <font>
      <i/>
      <sz val="11"/>
      <color theme="1" tint="0.14999847407452621"/>
      <name val="Calibri (Body)"/>
    </font>
    <font>
      <u/>
      <sz val="12"/>
      <color theme="10"/>
      <name val="Calibri"/>
      <family val="2"/>
    </font>
    <font>
      <b/>
      <sz val="14"/>
      <color rgb="FF00B050"/>
      <name val="Calibri (Body)"/>
    </font>
    <font>
      <b/>
      <sz val="11"/>
      <color theme="3"/>
      <name val="Calibri (Body)"/>
    </font>
  </fonts>
  <fills count="68">
    <fill>
      <patternFill patternType="none"/>
    </fill>
    <fill>
      <patternFill patternType="gray125"/>
    </fill>
    <fill>
      <patternFill patternType="solid">
        <fgColor rgb="FF17365D"/>
        <bgColor indexed="64"/>
      </patternFill>
    </fill>
    <fill>
      <patternFill patternType="solid">
        <fgColor rgb="FF365F91"/>
        <bgColor indexed="64"/>
      </patternFill>
    </fill>
    <fill>
      <patternFill patternType="solid">
        <fgColor rgb="FFDBE5F1"/>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
      <patternFill patternType="solid">
        <fgColor rgb="FFFFFF99"/>
        <bgColor indexed="64"/>
      </patternFill>
    </fill>
    <fill>
      <patternFill patternType="solid">
        <fgColor theme="3"/>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indexed="22"/>
        <bgColor indexed="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F9F9F9"/>
        <bgColor indexed="64"/>
      </patternFill>
    </fill>
    <fill>
      <patternFill patternType="solid">
        <fgColor theme="3" tint="-0.499984740745262"/>
        <bgColor indexed="64"/>
      </patternFill>
    </fill>
    <fill>
      <patternFill patternType="solid">
        <fgColor rgb="FFEAF0F6"/>
        <bgColor indexed="64"/>
      </patternFill>
    </fill>
    <fill>
      <patternFill patternType="solid">
        <fgColor rgb="FFF1F5F9"/>
        <bgColor indexed="64"/>
      </patternFill>
    </fill>
    <fill>
      <patternFill patternType="solid">
        <fgColor rgb="FFFEFE8C"/>
        <bgColor indexed="64"/>
      </patternFill>
    </fill>
    <fill>
      <patternFill patternType="solid">
        <fgColor rgb="FFFFFF89"/>
        <bgColor indexed="64"/>
      </patternFill>
    </fill>
    <fill>
      <patternFill patternType="solid">
        <fgColor rgb="FFFFFF8B"/>
        <bgColor indexed="64"/>
      </patternFill>
    </fill>
    <fill>
      <patternFill patternType="solid">
        <fgColor rgb="FFFFFF85"/>
        <bgColor indexed="64"/>
      </patternFill>
    </fill>
    <fill>
      <patternFill patternType="solid">
        <fgColor rgb="FFFFFF9B"/>
        <bgColor indexed="64"/>
      </patternFill>
    </fill>
    <fill>
      <patternFill patternType="solid">
        <fgColor rgb="FFF4F7FA"/>
        <bgColor indexed="64"/>
      </patternFill>
    </fill>
    <fill>
      <patternFill patternType="solid">
        <fgColor rgb="FFEEF3F8"/>
        <bgColor indexed="64"/>
      </patternFill>
    </fill>
    <fill>
      <patternFill patternType="solid">
        <fgColor rgb="FFECF2F8"/>
        <bgColor indexed="64"/>
      </patternFill>
    </fill>
    <fill>
      <patternFill patternType="solid">
        <fgColor rgb="FF00B050"/>
        <bgColor indexed="64"/>
      </patternFill>
    </fill>
    <fill>
      <patternFill patternType="solid">
        <fgColor rgb="FFFFC000"/>
        <bgColor indexed="64"/>
      </patternFill>
    </fill>
    <fill>
      <patternFill patternType="solid">
        <fgColor rgb="FFFFFFA7"/>
        <bgColor indexed="64"/>
      </patternFill>
    </fill>
    <fill>
      <patternFill patternType="solid">
        <fgColor theme="6" tint="0.59999389629810485"/>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FF97"/>
        <bgColor indexed="64"/>
      </patternFill>
    </fill>
    <fill>
      <patternFill patternType="solid">
        <fgColor theme="4" tint="0.39997558519241921"/>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
      <left style="thin">
        <color indexed="8"/>
      </left>
      <right/>
      <top style="thin">
        <color indexed="8"/>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thin">
        <color indexed="64"/>
      </right>
      <top style="medium">
        <color theme="0"/>
      </top>
      <bottom style="medium">
        <color theme="0"/>
      </bottom>
      <diagonal/>
    </border>
    <border>
      <left style="thin">
        <color indexed="64"/>
      </left>
      <right style="thin">
        <color indexed="64"/>
      </right>
      <top style="medium">
        <color theme="0"/>
      </top>
      <bottom style="medium">
        <color theme="0"/>
      </bottom>
      <diagonal/>
    </border>
    <border>
      <left style="thin">
        <color indexed="64"/>
      </left>
      <right style="medium">
        <color theme="0"/>
      </right>
      <top style="medium">
        <color theme="0"/>
      </top>
      <bottom style="medium">
        <color theme="0"/>
      </bottom>
      <diagonal/>
    </border>
    <border>
      <left style="medium">
        <color theme="0"/>
      </left>
      <right/>
      <top/>
      <bottom/>
      <diagonal/>
    </border>
    <border>
      <left style="medium">
        <color theme="0"/>
      </left>
      <right style="medium">
        <color theme="0"/>
      </right>
      <top style="medium">
        <color theme="0"/>
      </top>
      <bottom style="thin">
        <color indexed="64"/>
      </bottom>
      <diagonal/>
    </border>
    <border>
      <left style="medium">
        <color theme="0"/>
      </left>
      <right style="medium">
        <color theme="0"/>
      </right>
      <top style="thin">
        <color indexed="64"/>
      </top>
      <bottom style="thin">
        <color indexed="64"/>
      </bottom>
      <diagonal/>
    </border>
    <border>
      <left style="medium">
        <color theme="0"/>
      </left>
      <right style="medium">
        <color theme="0"/>
      </right>
      <top style="thin">
        <color indexed="64"/>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style="medium">
        <color theme="0"/>
      </right>
      <top/>
      <bottom/>
      <diagonal/>
    </border>
    <border>
      <left style="medium">
        <color theme="0"/>
      </left>
      <right style="medium">
        <color theme="0"/>
      </right>
      <top style="medium">
        <color theme="0"/>
      </top>
      <bottom style="medium">
        <color theme="0"/>
      </bottom>
      <diagonal/>
    </border>
    <border>
      <left/>
      <right/>
      <top/>
      <bottom style="thin">
        <color theme="0"/>
      </bottom>
      <diagonal/>
    </border>
    <border>
      <left/>
      <right/>
      <top style="thin">
        <color theme="0"/>
      </top>
      <bottom style="thin">
        <color theme="0"/>
      </bottom>
      <diagonal/>
    </border>
    <border>
      <left style="thin">
        <color indexed="64"/>
      </left>
      <right style="thin">
        <color indexed="64"/>
      </right>
      <top/>
      <bottom style="thin">
        <color indexed="64"/>
      </bottom>
      <diagonal/>
    </border>
    <border>
      <left/>
      <right/>
      <top style="thin">
        <color theme="0"/>
      </top>
      <bottom/>
      <diagonal/>
    </border>
    <border>
      <left style="medium">
        <color theme="0"/>
      </left>
      <right/>
      <top/>
      <bottom style="thin">
        <color theme="0"/>
      </bottom>
      <diagonal/>
    </border>
    <border>
      <left/>
      <right style="thin">
        <color theme="0"/>
      </right>
      <top/>
      <bottom style="medium">
        <color theme="0"/>
      </bottom>
      <diagonal/>
    </border>
    <border>
      <left/>
      <right style="thin">
        <color theme="0"/>
      </right>
      <top/>
      <bottom/>
      <diagonal/>
    </border>
    <border>
      <left style="thin">
        <color theme="0"/>
      </left>
      <right/>
      <top/>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top style="medium">
        <color theme="3"/>
      </top>
      <bottom/>
      <diagonal/>
    </border>
    <border>
      <left style="medium">
        <color theme="3"/>
      </left>
      <right/>
      <top style="medium">
        <color theme="3"/>
      </top>
      <bottom/>
      <diagonal/>
    </border>
    <border>
      <left/>
      <right style="medium">
        <color theme="3"/>
      </right>
      <top style="medium">
        <color theme="3"/>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right style="thin">
        <color indexed="64"/>
      </right>
      <top style="medium">
        <color theme="0"/>
      </top>
      <bottom style="medium">
        <color theme="0"/>
      </bottom>
      <diagonal/>
    </border>
    <border>
      <left style="thin">
        <color theme="3"/>
      </left>
      <right style="thin">
        <color theme="3"/>
      </right>
      <top style="thin">
        <color theme="3"/>
      </top>
      <bottom style="thin">
        <color theme="3"/>
      </bottom>
      <diagonal/>
    </border>
  </borders>
  <cellStyleXfs count="66">
    <xf numFmtId="0" fontId="0" fillId="0" borderId="0"/>
    <xf numFmtId="44" fontId="3" fillId="0" borderId="0" applyFont="0" applyFill="0" applyBorder="0" applyAlignment="0" applyProtection="0"/>
    <xf numFmtId="43" fontId="3" fillId="0" borderId="0" applyFont="0" applyFill="0" applyBorder="0" applyAlignment="0" applyProtection="0"/>
    <xf numFmtId="0" fontId="7" fillId="0" borderId="0"/>
    <xf numFmtId="44" fontId="7" fillId="0" borderId="0" applyFont="0" applyFill="0" applyBorder="0" applyAlignment="0" applyProtection="0"/>
    <xf numFmtId="9" fontId="3"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0" fontId="35" fillId="0" borderId="0"/>
    <xf numFmtId="0" fontId="39" fillId="0" borderId="0" applyNumberFormat="0" applyFill="0" applyBorder="0" applyAlignment="0" applyProtection="0">
      <alignment vertical="top"/>
      <protection locked="0"/>
    </xf>
    <xf numFmtId="0" fontId="44" fillId="0" borderId="0"/>
    <xf numFmtId="0" fontId="47" fillId="0" borderId="0"/>
    <xf numFmtId="0" fontId="48" fillId="0" borderId="0" applyNumberFormat="0" applyFill="0" applyBorder="0" applyAlignment="0" applyProtection="0"/>
    <xf numFmtId="0" fontId="49" fillId="0" borderId="14" applyNumberFormat="0" applyFill="0" applyAlignment="0" applyProtection="0"/>
    <xf numFmtId="0" fontId="50" fillId="0" borderId="15" applyNumberFormat="0" applyFill="0" applyAlignment="0" applyProtection="0"/>
    <xf numFmtId="0" fontId="10" fillId="0" borderId="16" applyNumberFormat="0" applyFill="0" applyAlignment="0" applyProtection="0"/>
    <xf numFmtId="0" fontId="10" fillId="0" borderId="0" applyNumberFormat="0" applyFill="0" applyBorder="0" applyAlignment="0" applyProtection="0"/>
    <xf numFmtId="0" fontId="51" fillId="16" borderId="0" applyNumberFormat="0" applyBorder="0" applyAlignment="0" applyProtection="0"/>
    <xf numFmtId="0" fontId="52" fillId="17" borderId="0" applyNumberFormat="0" applyBorder="0" applyAlignment="0" applyProtection="0"/>
    <xf numFmtId="0" fontId="53" fillId="18" borderId="0" applyNumberFormat="0" applyBorder="0" applyAlignment="0" applyProtection="0"/>
    <xf numFmtId="0" fontId="54" fillId="19" borderId="17" applyNumberFormat="0" applyAlignment="0" applyProtection="0"/>
    <xf numFmtId="0" fontId="55" fillId="20" borderId="18" applyNumberFormat="0" applyAlignment="0" applyProtection="0"/>
    <xf numFmtId="0" fontId="56" fillId="20" borderId="17" applyNumberFormat="0" applyAlignment="0" applyProtection="0"/>
    <xf numFmtId="0" fontId="57" fillId="0" borderId="19" applyNumberFormat="0" applyFill="0" applyAlignment="0" applyProtection="0"/>
    <xf numFmtId="0" fontId="11" fillId="21" borderId="20" applyNumberFormat="0" applyAlignment="0" applyProtection="0"/>
    <xf numFmtId="0" fontId="46" fillId="0" borderId="0" applyNumberFormat="0" applyFill="0" applyBorder="0" applyAlignment="0" applyProtection="0"/>
    <xf numFmtId="0" fontId="3" fillId="22" borderId="21" applyNumberFormat="0" applyFont="0" applyAlignment="0" applyProtection="0"/>
    <xf numFmtId="0" fontId="58" fillId="0" borderId="0" applyNumberFormat="0" applyFill="0" applyBorder="0" applyAlignment="0" applyProtection="0"/>
    <xf numFmtId="0" fontId="30" fillId="0" borderId="22" applyNumberFormat="0" applyFill="0" applyAlignment="0" applyProtection="0"/>
    <xf numFmtId="0" fontId="9"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9" fillId="34" borderId="0" applyNumberFormat="0" applyBorder="0" applyAlignment="0" applyProtection="0"/>
    <xf numFmtId="0" fontId="9"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9" fillId="38" borderId="0" applyNumberFormat="0" applyBorder="0" applyAlignment="0" applyProtection="0"/>
    <xf numFmtId="0" fontId="9" fillId="39" borderId="0" applyNumberFormat="0" applyBorder="0" applyAlignment="0" applyProtection="0"/>
    <xf numFmtId="0" fontId="3" fillId="40" borderId="0" applyNumberFormat="0" applyBorder="0" applyAlignment="0" applyProtection="0"/>
    <xf numFmtId="0" fontId="3" fillId="41" borderId="0" applyNumberFormat="0" applyBorder="0" applyAlignment="0" applyProtection="0"/>
    <xf numFmtId="0" fontId="9" fillId="42" borderId="0" applyNumberFormat="0" applyBorder="0" applyAlignment="0" applyProtection="0"/>
    <xf numFmtId="0" fontId="9" fillId="43" borderId="0" applyNumberFormat="0" applyBorder="0" applyAlignment="0" applyProtection="0"/>
    <xf numFmtId="0" fontId="3" fillId="44" borderId="0" applyNumberFormat="0" applyBorder="0" applyAlignment="0" applyProtection="0"/>
    <xf numFmtId="0" fontId="3" fillId="45" borderId="0" applyNumberFormat="0" applyBorder="0" applyAlignment="0" applyProtection="0"/>
    <xf numFmtId="0" fontId="9" fillId="46" borderId="0" applyNumberFormat="0" applyBorder="0" applyAlignment="0" applyProtection="0"/>
    <xf numFmtId="0" fontId="39" fillId="0" borderId="0" applyNumberFormat="0" applyFill="0" applyBorder="0" applyAlignment="0" applyProtection="0">
      <alignment vertical="top"/>
      <protection locked="0"/>
    </xf>
    <xf numFmtId="0" fontId="59" fillId="0" borderId="0" applyNumberFormat="0" applyFill="0" applyBorder="0" applyAlignment="0" applyProtection="0"/>
    <xf numFmtId="0" fontId="68" fillId="0" borderId="0"/>
    <xf numFmtId="43" fontId="68" fillId="0" borderId="0" applyFont="0" applyFill="0" applyBorder="0" applyAlignment="0" applyProtection="0"/>
    <xf numFmtId="43" fontId="68"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69" fillId="0" borderId="0" applyNumberFormat="0" applyFill="0" applyBorder="0" applyAlignment="0" applyProtection="0">
      <alignment vertical="top"/>
      <protection locked="0"/>
    </xf>
    <xf numFmtId="0" fontId="68" fillId="0" borderId="0"/>
    <xf numFmtId="0" fontId="7" fillId="0" borderId="0"/>
    <xf numFmtId="0" fontId="3" fillId="0" borderId="0"/>
    <xf numFmtId="9" fontId="3" fillId="0" borderId="0" applyFont="0" applyFill="0" applyBorder="0" applyAlignment="0" applyProtection="0"/>
  </cellStyleXfs>
  <cellXfs count="1266">
    <xf numFmtId="0" fontId="0" fillId="0" borderId="0" xfId="0"/>
    <xf numFmtId="0" fontId="0" fillId="0" borderId="0" xfId="0" applyFont="1" applyAlignment="1"/>
    <xf numFmtId="44" fontId="4" fillId="3" borderId="1" xfId="1" applyFont="1" applyFill="1" applyBorder="1" applyAlignment="1">
      <alignment horizontal="center" vertical="center"/>
    </xf>
    <xf numFmtId="44" fontId="4" fillId="3" borderId="5" xfId="1" applyFont="1" applyFill="1" applyBorder="1" applyAlignment="1">
      <alignment horizontal="center" vertical="center"/>
    </xf>
    <xf numFmtId="0" fontId="0" fillId="0" borderId="0" xfId="0" applyFont="1" applyProtection="1"/>
    <xf numFmtId="0" fontId="0" fillId="0" borderId="0" xfId="0" applyFont="1" applyAlignment="1" applyProtection="1"/>
    <xf numFmtId="0" fontId="7" fillId="0" borderId="0" xfId="3"/>
    <xf numFmtId="0" fontId="9" fillId="0" borderId="0" xfId="0" applyFont="1" applyAlignment="1"/>
    <xf numFmtId="0" fontId="13" fillId="0" borderId="0" xfId="0" applyFont="1" applyProtection="1"/>
    <xf numFmtId="0" fontId="13" fillId="0" borderId="0" xfId="0" applyFont="1" applyAlignment="1" applyProtection="1"/>
    <xf numFmtId="0" fontId="17" fillId="0" borderId="0" xfId="0" applyFont="1" applyProtection="1"/>
    <xf numFmtId="0" fontId="17" fillId="0" borderId="0" xfId="0" applyFont="1" applyAlignment="1"/>
    <xf numFmtId="0" fontId="20" fillId="0" borderId="0" xfId="0" applyFont="1" applyAlignment="1"/>
    <xf numFmtId="44" fontId="17" fillId="0" borderId="0" xfId="1" applyFont="1" applyAlignment="1"/>
    <xf numFmtId="0" fontId="17" fillId="0" borderId="0" xfId="0" applyFont="1" applyAlignment="1" applyProtection="1"/>
    <xf numFmtId="0" fontId="13" fillId="0" borderId="0" xfId="0" applyFont="1" applyAlignment="1"/>
    <xf numFmtId="0" fontId="32" fillId="0" borderId="0" xfId="0" applyFont="1" applyAlignment="1"/>
    <xf numFmtId="0" fontId="30" fillId="6" borderId="1" xfId="0" applyFont="1" applyFill="1" applyBorder="1" applyAlignment="1">
      <alignment horizontal="center" vertical="center" wrapText="1"/>
    </xf>
    <xf numFmtId="166" fontId="30" fillId="6" borderId="1" xfId="2" applyNumberFormat="1" applyFont="1" applyFill="1" applyBorder="1" applyAlignment="1">
      <alignment horizontal="center" vertical="center" wrapText="1"/>
    </xf>
    <xf numFmtId="1" fontId="8" fillId="6" borderId="1" xfId="2" applyNumberFormat="1" applyFont="1" applyFill="1" applyBorder="1" applyAlignment="1">
      <alignment horizontal="center" vertical="center" wrapText="1"/>
    </xf>
    <xf numFmtId="166" fontId="0" fillId="0" borderId="0" xfId="2" applyNumberFormat="1" applyFont="1"/>
    <xf numFmtId="1" fontId="0" fillId="0" borderId="0" xfId="2" applyNumberFormat="1" applyFont="1"/>
    <xf numFmtId="0" fontId="0" fillId="0" borderId="0" xfId="0" applyFont="1" applyBorder="1" applyAlignment="1" applyProtection="1"/>
    <xf numFmtId="0" fontId="12" fillId="0" borderId="0" xfId="0" applyFont="1" applyBorder="1" applyAlignment="1">
      <alignment vertical="center" wrapText="1"/>
    </xf>
    <xf numFmtId="0" fontId="12" fillId="0" borderId="0" xfId="0" applyNumberFormat="1" applyFont="1" applyBorder="1" applyAlignment="1">
      <alignment vertical="center" wrapText="1"/>
    </xf>
    <xf numFmtId="1" fontId="0" fillId="0" borderId="1" xfId="2" applyNumberFormat="1" applyFont="1" applyFill="1" applyBorder="1"/>
    <xf numFmtId="1" fontId="7" fillId="0" borderId="1" xfId="2" applyNumberFormat="1" applyFont="1" applyFill="1" applyBorder="1"/>
    <xf numFmtId="0" fontId="0" fillId="0" borderId="1" xfId="0" applyFont="1" applyFill="1" applyBorder="1" applyAlignment="1"/>
    <xf numFmtId="1" fontId="0" fillId="0" borderId="1" xfId="2" applyNumberFormat="1" applyFont="1" applyFill="1" applyBorder="1" applyAlignment="1">
      <alignment vertical="top"/>
    </xf>
    <xf numFmtId="0" fontId="27" fillId="0" borderId="0" xfId="0" applyFont="1" applyAlignment="1" applyProtection="1"/>
    <xf numFmtId="44" fontId="4" fillId="3" borderId="1" xfId="1" applyFont="1" applyFill="1" applyBorder="1" applyAlignment="1">
      <alignment horizontal="left" vertical="center"/>
    </xf>
    <xf numFmtId="0" fontId="7" fillId="0" borderId="0" xfId="3" applyFill="1" applyBorder="1" applyAlignment="1">
      <alignment vertical="top"/>
    </xf>
    <xf numFmtId="0" fontId="7" fillId="0" borderId="0" xfId="3" applyFont="1" applyFill="1" applyBorder="1" applyAlignment="1">
      <alignment vertical="top"/>
    </xf>
    <xf numFmtId="0" fontId="0" fillId="0" borderId="0" xfId="0" applyFill="1" applyBorder="1"/>
    <xf numFmtId="0" fontId="7" fillId="0" borderId="0" xfId="3" applyFill="1" applyBorder="1"/>
    <xf numFmtId="164" fontId="0" fillId="0" borderId="0" xfId="2" applyNumberFormat="1" applyFont="1" applyFill="1" applyBorder="1"/>
    <xf numFmtId="0" fontId="36" fillId="0" borderId="12" xfId="0" applyFont="1" applyFill="1" applyBorder="1" applyAlignment="1">
      <alignment horizontal="left"/>
    </xf>
    <xf numFmtId="0" fontId="0" fillId="0" borderId="12" xfId="0" applyFill="1" applyBorder="1" applyAlignment="1">
      <alignment horizontal="left"/>
    </xf>
    <xf numFmtId="0" fontId="0" fillId="0" borderId="0" xfId="0"/>
    <xf numFmtId="0" fontId="33" fillId="0" borderId="1" xfId="0" applyFont="1" applyBorder="1" applyAlignment="1"/>
    <xf numFmtId="0" fontId="34" fillId="0" borderId="1" xfId="0" applyFont="1" applyFill="1" applyBorder="1" applyAlignment="1">
      <alignment horizontal="left"/>
    </xf>
    <xf numFmtId="166" fontId="31" fillId="0" borderId="1" xfId="2" applyNumberFormat="1" applyFont="1" applyFill="1" applyBorder="1" applyAlignment="1" applyProtection="1">
      <alignment horizontal="right"/>
      <protection locked="0"/>
    </xf>
    <xf numFmtId="49" fontId="34" fillId="0" borderId="1" xfId="0" applyNumberFormat="1" applyFont="1" applyFill="1" applyBorder="1" applyAlignment="1">
      <alignment horizontal="left"/>
    </xf>
    <xf numFmtId="0" fontId="31" fillId="0" borderId="1" xfId="0" applyNumberFormat="1" applyFont="1" applyFill="1" applyBorder="1" applyAlignment="1"/>
    <xf numFmtId="167" fontId="34" fillId="0" borderId="1" xfId="0" applyNumberFormat="1" applyFont="1" applyFill="1" applyBorder="1" applyAlignment="1">
      <alignment horizontal="right"/>
    </xf>
    <xf numFmtId="14" fontId="31" fillId="0" borderId="1" xfId="0" applyNumberFormat="1" applyFont="1" applyFill="1" applyBorder="1" applyAlignment="1">
      <alignment horizontal="right"/>
    </xf>
    <xf numFmtId="1" fontId="7" fillId="0" borderId="1" xfId="2" applyNumberFormat="1" applyFont="1" applyFill="1" applyBorder="1" applyAlignment="1">
      <alignment vertical="top"/>
    </xf>
    <xf numFmtId="0" fontId="7" fillId="0" borderId="1" xfId="3" applyFont="1" applyFill="1" applyBorder="1" applyAlignment="1">
      <alignment vertical="top"/>
    </xf>
    <xf numFmtId="1" fontId="7" fillId="0" borderId="1" xfId="2" applyNumberFormat="1" applyFont="1" applyBorder="1" applyAlignment="1">
      <alignment vertical="top"/>
    </xf>
    <xf numFmtId="1" fontId="0" fillId="0" borderId="1" xfId="2" applyNumberFormat="1" applyFont="1" applyBorder="1"/>
    <xf numFmtId="0" fontId="7" fillId="0" borderId="1" xfId="8" applyFont="1" applyFill="1" applyBorder="1" applyAlignment="1"/>
    <xf numFmtId="0" fontId="31" fillId="0" borderId="1" xfId="0" applyFont="1" applyFill="1" applyBorder="1" applyAlignment="1">
      <alignment horizontal="left"/>
    </xf>
    <xf numFmtId="49" fontId="31" fillId="0" borderId="1" xfId="0" applyNumberFormat="1" applyFont="1" applyFill="1" applyBorder="1" applyAlignment="1">
      <alignment horizontal="left"/>
    </xf>
    <xf numFmtId="49" fontId="36" fillId="0" borderId="1" xfId="0" applyNumberFormat="1" applyFont="1" applyFill="1" applyBorder="1" applyAlignment="1">
      <alignment horizontal="left"/>
    </xf>
    <xf numFmtId="0" fontId="7" fillId="0" borderId="1" xfId="3" applyFill="1" applyBorder="1" applyAlignment="1">
      <alignment vertical="top"/>
    </xf>
    <xf numFmtId="49" fontId="33" fillId="0" borderId="1" xfId="0" applyNumberFormat="1" applyFont="1" applyFill="1" applyBorder="1" applyAlignment="1">
      <alignment horizontal="left" vertical="top"/>
    </xf>
    <xf numFmtId="0" fontId="33" fillId="0" borderId="1" xfId="0" applyFont="1" applyFill="1" applyBorder="1" applyAlignment="1"/>
    <xf numFmtId="0" fontId="36" fillId="0" borderId="1" xfId="0" applyFont="1" applyFill="1" applyBorder="1" applyAlignment="1">
      <alignment horizontal="left"/>
    </xf>
    <xf numFmtId="0" fontId="7" fillId="0" borderId="1" xfId="3" applyFill="1" applyBorder="1" applyAlignment="1">
      <alignment horizontal="left"/>
    </xf>
    <xf numFmtId="10" fontId="0" fillId="0" borderId="1" xfId="6" applyNumberFormat="1" applyFont="1" applyFill="1" applyBorder="1" applyAlignment="1">
      <alignment vertical="top"/>
    </xf>
    <xf numFmtId="164" fontId="0" fillId="0" borderId="1" xfId="7" applyNumberFormat="1" applyFont="1" applyFill="1" applyBorder="1" applyAlignment="1">
      <alignment vertical="top"/>
    </xf>
    <xf numFmtId="0" fontId="0" fillId="0" borderId="1" xfId="0" applyFill="1" applyBorder="1"/>
    <xf numFmtId="166" fontId="0" fillId="0" borderId="1" xfId="2" applyNumberFormat="1" applyFont="1" applyBorder="1"/>
    <xf numFmtId="164" fontId="0" fillId="0" borderId="1" xfId="2" applyNumberFormat="1" applyFont="1" applyFill="1" applyBorder="1"/>
    <xf numFmtId="0" fontId="34" fillId="0" borderId="12" xfId="0" applyFont="1" applyFill="1" applyBorder="1" applyAlignment="1">
      <alignment horizontal="left"/>
    </xf>
    <xf numFmtId="0" fontId="7" fillId="0" borderId="1" xfId="10" applyFont="1" applyFill="1" applyBorder="1" applyAlignment="1">
      <alignment wrapText="1"/>
    </xf>
    <xf numFmtId="0" fontId="0" fillId="7" borderId="1" xfId="0" applyFill="1" applyBorder="1"/>
    <xf numFmtId="0" fontId="10" fillId="0" borderId="0" xfId="0" applyFont="1" applyFill="1" applyBorder="1" applyAlignment="1">
      <alignment vertical="center"/>
    </xf>
    <xf numFmtId="0" fontId="9" fillId="0" borderId="0" xfId="0" applyFont="1" applyBorder="1" applyProtection="1"/>
    <xf numFmtId="0" fontId="0" fillId="0" borderId="0" xfId="0" applyFill="1"/>
    <xf numFmtId="0" fontId="0" fillId="9" borderId="0" xfId="0" applyFill="1"/>
    <xf numFmtId="0" fontId="0" fillId="9" borderId="0" xfId="0" applyFill="1" applyBorder="1"/>
    <xf numFmtId="0" fontId="0" fillId="9" borderId="0" xfId="0" applyFont="1" applyFill="1" applyProtection="1"/>
    <xf numFmtId="0" fontId="0" fillId="9" borderId="0" xfId="0" applyFont="1" applyFill="1" applyBorder="1" applyAlignment="1" applyProtection="1"/>
    <xf numFmtId="0" fontId="37" fillId="0" borderId="0" xfId="0" applyFont="1" applyBorder="1" applyAlignment="1">
      <alignment horizontal="center" wrapText="1"/>
    </xf>
    <xf numFmtId="0" fontId="0" fillId="0" borderId="0" xfId="0"/>
    <xf numFmtId="0" fontId="0" fillId="0" borderId="0" xfId="0" applyProtection="1">
      <protection locked="0"/>
    </xf>
    <xf numFmtId="0" fontId="0" fillId="0" borderId="0" xfId="0" applyFill="1" applyBorder="1" applyAlignment="1">
      <alignment vertical="center"/>
    </xf>
    <xf numFmtId="0" fontId="30" fillId="8" borderId="0" xfId="0" applyNumberFormat="1" applyFont="1" applyFill="1" applyBorder="1" applyAlignment="1">
      <alignment horizontal="center" vertical="center" wrapText="1"/>
    </xf>
    <xf numFmtId="0" fontId="0" fillId="0" borderId="0" xfId="0" applyNumberFormat="1" applyBorder="1" applyAlignment="1">
      <alignment horizontal="center" vertical="center"/>
    </xf>
    <xf numFmtId="14" fontId="0" fillId="0" borderId="0" xfId="0" applyNumberFormat="1" applyBorder="1" applyAlignment="1">
      <alignment vertical="center"/>
    </xf>
    <xf numFmtId="0" fontId="0" fillId="0" borderId="0" xfId="0" applyNumberFormat="1" applyFill="1" applyBorder="1" applyAlignment="1">
      <alignment horizontal="center" vertical="center"/>
    </xf>
    <xf numFmtId="0" fontId="64" fillId="0" borderId="1" xfId="10" applyFont="1" applyFill="1" applyBorder="1" applyAlignment="1">
      <alignment horizontal="left" wrapText="1"/>
    </xf>
    <xf numFmtId="0" fontId="0" fillId="0" borderId="0" xfId="0" applyBorder="1" applyAlignment="1"/>
    <xf numFmtId="0" fontId="0" fillId="0" borderId="0" xfId="0" applyNumberFormat="1" applyBorder="1" applyAlignment="1">
      <alignment horizontal="center"/>
    </xf>
    <xf numFmtId="0" fontId="0" fillId="0" borderId="0" xfId="0"/>
    <xf numFmtId="0" fontId="0" fillId="0" borderId="1" xfId="0" applyBorder="1"/>
    <xf numFmtId="0" fontId="0" fillId="0" borderId="0" xfId="0" applyBorder="1"/>
    <xf numFmtId="0" fontId="0" fillId="0" borderId="0" xfId="0" applyBorder="1" applyAlignment="1">
      <alignment vertical="center"/>
    </xf>
    <xf numFmtId="0" fontId="0" fillId="0" borderId="0" xfId="0" applyBorder="1" applyAlignment="1">
      <alignment horizontal="center" vertical="center"/>
    </xf>
    <xf numFmtId="0" fontId="0" fillId="0" borderId="0" xfId="0" applyBorder="1" applyAlignment="1">
      <alignment horizontal="center"/>
    </xf>
    <xf numFmtId="0" fontId="30" fillId="8" borderId="0" xfId="0" applyFont="1" applyFill="1" applyBorder="1" applyAlignment="1">
      <alignment horizontal="center" vertical="center" wrapText="1"/>
    </xf>
    <xf numFmtId="0" fontId="0" fillId="9" borderId="0" xfId="0" applyFill="1" applyBorder="1" applyAlignment="1">
      <alignment vertical="center"/>
    </xf>
    <xf numFmtId="0" fontId="0" fillId="0" borderId="0" xfId="0" applyFill="1" applyBorder="1" applyAlignment="1">
      <alignment horizontal="left" vertical="center"/>
    </xf>
    <xf numFmtId="0" fontId="0" fillId="0" borderId="0" xfId="0" applyBorder="1" applyAlignment="1">
      <alignment horizontal="left" vertical="center"/>
    </xf>
    <xf numFmtId="0" fontId="0" fillId="0" borderId="0" xfId="0" applyBorder="1" applyAlignment="1">
      <alignment horizontal="left"/>
    </xf>
    <xf numFmtId="0" fontId="0" fillId="0" borderId="0" xfId="0" applyNumberFormat="1" applyBorder="1"/>
    <xf numFmtId="0" fontId="60" fillId="8" borderId="1" xfId="0" applyFont="1" applyFill="1" applyBorder="1" applyAlignment="1">
      <alignment horizontal="center" vertical="center" wrapText="1"/>
    </xf>
    <xf numFmtId="0" fontId="61" fillId="0" borderId="1" xfId="0" applyFont="1" applyFill="1" applyBorder="1" applyAlignment="1">
      <alignment horizontal="left" vertical="center"/>
    </xf>
    <xf numFmtId="0" fontId="61" fillId="0" borderId="1" xfId="0" applyFont="1" applyFill="1" applyBorder="1" applyAlignment="1">
      <alignment horizontal="center" vertical="center"/>
    </xf>
    <xf numFmtId="49" fontId="61" fillId="0" borderId="1" xfId="0" applyNumberFormat="1" applyFont="1" applyFill="1" applyBorder="1" applyAlignment="1">
      <alignment horizontal="center" vertical="center"/>
    </xf>
    <xf numFmtId="0" fontId="62" fillId="0" borderId="1" xfId="0" applyFont="1" applyFill="1" applyBorder="1" applyAlignment="1">
      <alignment horizontal="left" vertical="center"/>
    </xf>
    <xf numFmtId="0" fontId="61" fillId="0" borderId="1" xfId="0" applyNumberFormat="1" applyFont="1" applyFill="1" applyBorder="1" applyAlignment="1">
      <alignment horizontal="left" vertical="center"/>
    </xf>
    <xf numFmtId="0" fontId="63" fillId="0" borderId="1" xfId="0" applyNumberFormat="1" applyFont="1" applyFill="1" applyBorder="1" applyAlignment="1">
      <alignment horizontal="left" vertical="center"/>
    </xf>
    <xf numFmtId="1" fontId="61" fillId="0" borderId="1" xfId="0" applyNumberFormat="1" applyFont="1" applyFill="1" applyBorder="1" applyAlignment="1">
      <alignment horizontal="center" vertical="center"/>
    </xf>
    <xf numFmtId="0" fontId="61" fillId="7" borderId="1" xfId="0" applyFont="1" applyFill="1" applyBorder="1" applyAlignment="1">
      <alignment horizontal="center" vertical="center"/>
    </xf>
    <xf numFmtId="0" fontId="61" fillId="0" borderId="8" xfId="0" applyFont="1" applyFill="1" applyBorder="1" applyAlignment="1">
      <alignment horizontal="left" vertical="center"/>
    </xf>
    <xf numFmtId="0" fontId="61" fillId="0" borderId="8" xfId="0" applyFont="1" applyFill="1" applyBorder="1" applyAlignment="1">
      <alignment horizontal="center" vertical="center"/>
    </xf>
    <xf numFmtId="49" fontId="61" fillId="0" borderId="8" xfId="0" applyNumberFormat="1" applyFont="1" applyFill="1" applyBorder="1" applyAlignment="1">
      <alignment horizontal="center" vertical="center"/>
    </xf>
    <xf numFmtId="0" fontId="60" fillId="8" borderId="1" xfId="0" applyFont="1" applyFill="1" applyBorder="1" applyAlignment="1">
      <alignment horizontal="center" vertical="center"/>
    </xf>
    <xf numFmtId="0" fontId="60" fillId="8" borderId="1" xfId="0" applyNumberFormat="1" applyFont="1" applyFill="1" applyBorder="1" applyAlignment="1">
      <alignment horizontal="center" vertical="center"/>
    </xf>
    <xf numFmtId="44" fontId="14" fillId="9" borderId="0" xfId="1" applyFont="1" applyFill="1" applyBorder="1" applyAlignment="1" applyProtection="1">
      <alignment vertical="center"/>
    </xf>
    <xf numFmtId="44" fontId="19" fillId="9" borderId="0" xfId="1" applyFont="1" applyFill="1" applyBorder="1" applyAlignment="1" applyProtection="1">
      <alignment vertical="center"/>
    </xf>
    <xf numFmtId="44" fontId="29" fillId="9" borderId="0" xfId="1" applyFont="1" applyFill="1" applyBorder="1" applyAlignment="1" applyProtection="1">
      <alignment vertical="center"/>
    </xf>
    <xf numFmtId="0" fontId="18" fillId="9" borderId="0" xfId="0" applyFont="1" applyFill="1" applyBorder="1" applyAlignment="1" applyProtection="1">
      <alignment vertical="center"/>
    </xf>
    <xf numFmtId="0" fontId="45" fillId="9" borderId="0" xfId="0" applyFont="1" applyFill="1" applyBorder="1" applyAlignment="1" applyProtection="1">
      <alignment vertical="top"/>
    </xf>
    <xf numFmtId="0" fontId="0" fillId="0" borderId="2" xfId="0" applyBorder="1" applyAlignment="1"/>
    <xf numFmtId="44" fontId="19" fillId="9" borderId="0" xfId="1" applyFont="1" applyFill="1" applyBorder="1" applyAlignment="1" applyProtection="1">
      <alignment horizontal="left" vertical="center"/>
    </xf>
    <xf numFmtId="44" fontId="14" fillId="9" borderId="0" xfId="1" applyFont="1" applyFill="1" applyBorder="1" applyAlignment="1" applyProtection="1">
      <alignment vertical="center" wrapText="1"/>
    </xf>
    <xf numFmtId="0" fontId="0" fillId="9" borderId="0" xfId="0" applyFill="1" applyProtection="1">
      <protection locked="0"/>
    </xf>
    <xf numFmtId="0" fontId="0" fillId="0" borderId="0" xfId="0" applyFont="1" applyAlignment="1" applyProtection="1">
      <alignment vertical="center"/>
    </xf>
    <xf numFmtId="0" fontId="0" fillId="0" borderId="0" xfId="0" applyFont="1" applyBorder="1" applyProtection="1"/>
    <xf numFmtId="43" fontId="0" fillId="0" borderId="0" xfId="2" applyFont="1"/>
    <xf numFmtId="164" fontId="0" fillId="0" borderId="0" xfId="2" applyNumberFormat="1" applyFont="1" applyAlignment="1">
      <alignment horizontal="center"/>
    </xf>
    <xf numFmtId="0" fontId="0" fillId="0" borderId="2" xfId="0" applyBorder="1"/>
    <xf numFmtId="164" fontId="0" fillId="0" borderId="1" xfId="2" applyNumberFormat="1" applyFont="1" applyBorder="1" applyAlignment="1">
      <alignment horizontal="center"/>
    </xf>
    <xf numFmtId="0" fontId="0" fillId="9" borderId="0" xfId="0" applyFill="1" applyAlignment="1">
      <alignment horizontal="center" vertical="center"/>
    </xf>
    <xf numFmtId="0" fontId="0" fillId="0" borderId="0" xfId="0" applyAlignment="1">
      <alignment horizontal="center" vertical="center"/>
    </xf>
    <xf numFmtId="0" fontId="30" fillId="0" borderId="1" xfId="0" applyFont="1" applyBorder="1"/>
    <xf numFmtId="0" fontId="17" fillId="0" borderId="0" xfId="0" applyFont="1" applyAlignment="1">
      <alignment vertical="center"/>
    </xf>
    <xf numFmtId="0" fontId="0" fillId="9" borderId="0" xfId="0" applyFont="1" applyFill="1" applyAlignment="1" applyProtection="1">
      <alignment horizontal="center" vertical="center"/>
    </xf>
    <xf numFmtId="0" fontId="15" fillId="9" borderId="0" xfId="0" applyFont="1" applyFill="1" applyBorder="1" applyAlignment="1" applyProtection="1">
      <alignment horizontal="center" vertical="center"/>
      <protection locked="0"/>
    </xf>
    <xf numFmtId="0" fontId="0" fillId="9" borderId="0" xfId="0" applyFont="1" applyFill="1" applyBorder="1" applyAlignment="1" applyProtection="1">
      <alignment horizontal="center" vertical="center"/>
    </xf>
    <xf numFmtId="0" fontId="15" fillId="9" borderId="0" xfId="0" applyFont="1" applyFill="1" applyBorder="1" applyAlignment="1" applyProtection="1">
      <alignment horizontal="center" vertical="center"/>
    </xf>
    <xf numFmtId="0" fontId="0" fillId="9" borderId="0" xfId="0" applyFill="1" applyBorder="1" applyAlignment="1">
      <alignment horizontal="center" vertical="center"/>
    </xf>
    <xf numFmtId="0" fontId="37" fillId="0" borderId="4" xfId="0" applyFont="1" applyBorder="1" applyAlignment="1">
      <alignment wrapText="1"/>
    </xf>
    <xf numFmtId="0" fontId="0" fillId="0" borderId="0" xfId="0" applyFont="1" applyFill="1" applyAlignment="1" applyProtection="1"/>
    <xf numFmtId="0" fontId="12" fillId="9" borderId="0" xfId="0" applyFont="1" applyFill="1" applyBorder="1" applyAlignment="1" applyProtection="1">
      <alignment horizontal="left" vertical="center" wrapText="1"/>
    </xf>
    <xf numFmtId="0" fontId="11" fillId="9" borderId="0" xfId="0" applyFont="1" applyFill="1" applyBorder="1" applyAlignment="1" applyProtection="1">
      <alignment horizontal="center" vertical="top"/>
    </xf>
    <xf numFmtId="0" fontId="40" fillId="9" borderId="0" xfId="0" applyFont="1" applyFill="1" applyBorder="1" applyAlignment="1" applyProtection="1">
      <alignment horizontal="left" vertical="top"/>
    </xf>
    <xf numFmtId="0" fontId="9" fillId="9" borderId="0" xfId="0" applyFont="1" applyFill="1" applyBorder="1" applyAlignment="1">
      <alignment horizontal="left"/>
    </xf>
    <xf numFmtId="44" fontId="11" fillId="9" borderId="0" xfId="1" applyFont="1" applyFill="1" applyBorder="1" applyAlignment="1" applyProtection="1">
      <alignment vertical="center"/>
    </xf>
    <xf numFmtId="0" fontId="0" fillId="9" borderId="0" xfId="0" applyFont="1" applyFill="1" applyBorder="1" applyProtection="1"/>
    <xf numFmtId="0" fontId="0" fillId="9" borderId="0" xfId="0" applyFont="1" applyFill="1" applyBorder="1" applyAlignment="1" applyProtection="1">
      <alignment vertical="center"/>
    </xf>
    <xf numFmtId="0" fontId="37" fillId="9" borderId="0" xfId="0" applyFont="1" applyFill="1" applyBorder="1" applyAlignment="1">
      <alignment wrapText="1"/>
    </xf>
    <xf numFmtId="0" fontId="37" fillId="9" borderId="0" xfId="0" applyFont="1" applyFill="1" applyBorder="1" applyAlignment="1">
      <alignment horizontal="center" wrapText="1"/>
    </xf>
    <xf numFmtId="0" fontId="11" fillId="9" borderId="0" xfId="0" applyFont="1" applyFill="1" applyBorder="1" applyAlignment="1">
      <alignment horizontal="left"/>
    </xf>
    <xf numFmtId="0" fontId="37" fillId="9" borderId="0" xfId="0" applyFont="1" applyFill="1" applyBorder="1" applyAlignment="1">
      <alignment horizontal="center" vertical="top" wrapText="1"/>
    </xf>
    <xf numFmtId="0" fontId="10" fillId="6" borderId="44" xfId="0" applyFont="1" applyFill="1" applyBorder="1" applyAlignment="1" applyProtection="1">
      <alignment horizontal="center" vertical="center"/>
    </xf>
    <xf numFmtId="0" fontId="9" fillId="9" borderId="0" xfId="0" applyFont="1" applyFill="1" applyProtection="1"/>
    <xf numFmtId="0" fontId="18" fillId="9" borderId="0" xfId="0" applyFont="1" applyFill="1" applyBorder="1" applyAlignment="1" applyProtection="1">
      <alignment horizontal="left" wrapText="1"/>
    </xf>
    <xf numFmtId="164" fontId="0" fillId="9" borderId="0" xfId="2" applyNumberFormat="1" applyFont="1" applyFill="1" applyBorder="1" applyAlignment="1">
      <alignment horizontal="center" vertical="center"/>
    </xf>
    <xf numFmtId="3" fontId="4" fillId="3" borderId="1" xfId="2" applyNumberFormat="1" applyFont="1" applyFill="1" applyBorder="1" applyAlignment="1">
      <alignment horizontal="center" vertical="center"/>
    </xf>
    <xf numFmtId="3" fontId="0" fillId="0" borderId="1" xfId="2" applyNumberFormat="1" applyFont="1" applyBorder="1" applyAlignment="1">
      <alignment horizontal="center"/>
    </xf>
    <xf numFmtId="3" fontId="0" fillId="0" borderId="0" xfId="2" applyNumberFormat="1" applyFont="1" applyAlignment="1">
      <alignment horizontal="center"/>
    </xf>
    <xf numFmtId="0" fontId="0" fillId="0" borderId="0" xfId="0" applyAlignment="1">
      <alignment vertical="center"/>
    </xf>
    <xf numFmtId="0" fontId="27" fillId="9" borderId="0" xfId="0" applyFont="1" applyFill="1" applyBorder="1" applyAlignment="1" applyProtection="1">
      <alignment horizontal="center" vertical="center"/>
    </xf>
    <xf numFmtId="0" fontId="6" fillId="9" borderId="0" xfId="0" applyFont="1" applyFill="1" applyBorder="1" applyAlignment="1" applyProtection="1">
      <alignment horizontal="center" vertical="center"/>
      <protection locked="0"/>
    </xf>
    <xf numFmtId="0" fontId="17" fillId="0" borderId="41" xfId="0" applyFont="1" applyBorder="1" applyAlignment="1"/>
    <xf numFmtId="0" fontId="17" fillId="0" borderId="25" xfId="0" applyFont="1" applyBorder="1" applyAlignment="1"/>
    <xf numFmtId="0" fontId="17" fillId="0" borderId="0" xfId="0" applyFont="1" applyBorder="1" applyAlignment="1"/>
    <xf numFmtId="0" fontId="42" fillId="54" borderId="24" xfId="0" applyFont="1" applyFill="1" applyBorder="1" applyAlignment="1" applyProtection="1">
      <alignment horizontal="center"/>
      <protection locked="0"/>
    </xf>
    <xf numFmtId="0" fontId="22" fillId="55" borderId="41" xfId="0" applyFont="1" applyFill="1" applyBorder="1" applyAlignment="1" applyProtection="1">
      <alignment vertical="top"/>
      <protection locked="0"/>
    </xf>
    <xf numFmtId="0" fontId="17" fillId="0" borderId="0" xfId="0" applyFont="1" applyAlignment="1" applyProtection="1">
      <alignment vertical="center"/>
    </xf>
    <xf numFmtId="0" fontId="13" fillId="0" borderId="41" xfId="0" applyFont="1" applyBorder="1" applyAlignment="1" applyProtection="1"/>
    <xf numFmtId="0" fontId="20" fillId="0" borderId="0" xfId="0" applyFont="1" applyAlignment="1" applyProtection="1">
      <alignment vertical="center"/>
    </xf>
    <xf numFmtId="0" fontId="27" fillId="0" borderId="30" xfId="0" applyFont="1" applyBorder="1" applyAlignment="1" applyProtection="1">
      <alignment vertical="center"/>
    </xf>
    <xf numFmtId="0" fontId="17" fillId="0" borderId="41" xfId="0" applyFont="1" applyBorder="1" applyAlignment="1" applyProtection="1">
      <alignment vertical="center"/>
    </xf>
    <xf numFmtId="0" fontId="20" fillId="0" borderId="41" xfId="0" applyFont="1" applyBorder="1" applyAlignment="1" applyProtection="1">
      <alignment vertical="center"/>
    </xf>
    <xf numFmtId="0" fontId="17" fillId="0" borderId="25" xfId="0" applyFont="1" applyBorder="1" applyAlignment="1" applyProtection="1">
      <alignment vertical="center"/>
    </xf>
    <xf numFmtId="0" fontId="20" fillId="0" borderId="25" xfId="0" applyFont="1" applyBorder="1" applyAlignment="1" applyProtection="1">
      <alignment vertical="center"/>
    </xf>
    <xf numFmtId="0" fontId="13" fillId="0" borderId="0" xfId="0" applyFont="1" applyBorder="1" applyAlignment="1" applyProtection="1"/>
    <xf numFmtId="0" fontId="0" fillId="0" borderId="41" xfId="0" applyFont="1" applyBorder="1" applyAlignment="1"/>
    <xf numFmtId="0" fontId="9" fillId="0" borderId="41" xfId="0" applyFont="1" applyBorder="1" applyAlignment="1"/>
    <xf numFmtId="0" fontId="0" fillId="0" borderId="25" xfId="0" applyFont="1" applyBorder="1" applyAlignment="1"/>
    <xf numFmtId="0" fontId="9" fillId="0" borderId="25" xfId="0" applyFont="1" applyBorder="1" applyAlignment="1"/>
    <xf numFmtId="0" fontId="13" fillId="0" borderId="41" xfId="0" applyFont="1" applyBorder="1" applyAlignment="1"/>
    <xf numFmtId="0" fontId="0" fillId="0" borderId="0" xfId="0" applyFont="1" applyAlignment="1">
      <alignment horizontal="center" vertical="center"/>
    </xf>
    <xf numFmtId="0" fontId="45" fillId="11" borderId="25" xfId="0" applyFont="1" applyFill="1" applyBorder="1" applyAlignment="1">
      <alignment horizontal="center" vertical="center"/>
    </xf>
    <xf numFmtId="164" fontId="27" fillId="55" borderId="25" xfId="2" applyNumberFormat="1" applyFont="1" applyFill="1" applyBorder="1" applyAlignment="1" applyProtection="1">
      <protection locked="0"/>
    </xf>
    <xf numFmtId="44" fontId="27" fillId="55" borderId="25" xfId="1" applyFont="1" applyFill="1" applyBorder="1" applyAlignment="1" applyProtection="1">
      <alignment vertical="top"/>
      <protection locked="0"/>
    </xf>
    <xf numFmtId="0" fontId="22" fillId="55" borderId="25" xfId="0" applyFont="1" applyFill="1" applyBorder="1" applyAlignment="1" applyProtection="1">
      <alignment vertical="top"/>
      <protection locked="0"/>
    </xf>
    <xf numFmtId="164" fontId="27" fillId="55" borderId="41" xfId="2" applyNumberFormat="1" applyFont="1" applyFill="1" applyBorder="1" applyAlignment="1" applyProtection="1">
      <protection locked="0"/>
    </xf>
    <xf numFmtId="44" fontId="27" fillId="55" borderId="41" xfId="1" applyFont="1" applyFill="1" applyBorder="1" applyAlignment="1" applyProtection="1">
      <alignment vertical="top"/>
      <protection locked="0"/>
    </xf>
    <xf numFmtId="0" fontId="21" fillId="55" borderId="25" xfId="0" applyFont="1" applyFill="1" applyBorder="1" applyAlignment="1" applyProtection="1">
      <alignment vertical="top"/>
      <protection locked="0"/>
    </xf>
    <xf numFmtId="164" fontId="27" fillId="55" borderId="25" xfId="2" applyNumberFormat="1" applyFont="1" applyFill="1" applyBorder="1" applyAlignment="1" applyProtection="1">
      <alignment vertical="top"/>
      <protection locked="0"/>
    </xf>
    <xf numFmtId="0" fontId="45" fillId="11" borderId="25" xfId="0" applyFont="1" applyFill="1" applyBorder="1" applyAlignment="1">
      <alignment horizontal="center" vertical="center" wrapText="1"/>
    </xf>
    <xf numFmtId="0" fontId="42" fillId="55" borderId="25" xfId="0" applyFont="1" applyFill="1" applyBorder="1" applyAlignment="1" applyProtection="1">
      <alignment vertical="top"/>
      <protection locked="0"/>
    </xf>
    <xf numFmtId="44" fontId="5" fillId="3" borderId="0" xfId="1" applyFont="1" applyFill="1" applyBorder="1" applyAlignment="1" applyProtection="1">
      <alignment horizontal="left" vertical="center"/>
    </xf>
    <xf numFmtId="44" fontId="5" fillId="3" borderId="0" xfId="1" applyFont="1" applyFill="1" applyBorder="1" applyAlignment="1" applyProtection="1">
      <alignment horizontal="center" vertical="center" wrapText="1"/>
    </xf>
    <xf numFmtId="0" fontId="5" fillId="3" borderId="0" xfId="1" applyNumberFormat="1" applyFont="1" applyFill="1" applyBorder="1" applyAlignment="1" applyProtection="1">
      <alignment horizontal="center" vertical="center" wrapText="1"/>
    </xf>
    <xf numFmtId="0" fontId="15" fillId="6" borderId="43" xfId="0" applyFont="1" applyFill="1" applyBorder="1" applyAlignment="1" applyProtection="1">
      <alignment vertical="center"/>
    </xf>
    <xf numFmtId="0" fontId="28" fillId="9" borderId="0" xfId="0" applyFont="1" applyFill="1" applyBorder="1" applyAlignment="1" applyProtection="1">
      <alignment horizontal="center" vertical="center"/>
    </xf>
    <xf numFmtId="0" fontId="18" fillId="12" borderId="0" xfId="0" applyFont="1" applyFill="1" applyBorder="1" applyAlignment="1" applyProtection="1">
      <alignment vertical="center"/>
    </xf>
    <xf numFmtId="0" fontId="18" fillId="6" borderId="0" xfId="0" applyFont="1" applyFill="1" applyBorder="1" applyAlignment="1" applyProtection="1">
      <alignment vertical="center"/>
    </xf>
    <xf numFmtId="0" fontId="21" fillId="4" borderId="38" xfId="0" applyFont="1" applyFill="1" applyBorder="1" applyAlignment="1">
      <alignment horizontal="left" vertical="center"/>
    </xf>
    <xf numFmtId="43" fontId="27" fillId="10" borderId="38" xfId="2" applyFont="1" applyFill="1" applyBorder="1" applyAlignment="1" applyProtection="1">
      <alignment horizontal="center" vertical="center"/>
      <protection locked="0"/>
    </xf>
    <xf numFmtId="0" fontId="21" fillId="4" borderId="38" xfId="0" applyFont="1" applyFill="1" applyBorder="1" applyAlignment="1">
      <alignment horizontal="center" vertical="center"/>
    </xf>
    <xf numFmtId="44" fontId="27" fillId="10" borderId="38" xfId="1" applyFont="1" applyFill="1" applyBorder="1" applyAlignment="1" applyProtection="1">
      <alignment horizontal="center" vertical="center"/>
      <protection locked="0"/>
    </xf>
    <xf numFmtId="44" fontId="27" fillId="6" borderId="38" xfId="1" applyFont="1" applyFill="1" applyBorder="1" applyAlignment="1" applyProtection="1">
      <alignment horizontal="center" vertical="center"/>
    </xf>
    <xf numFmtId="43" fontId="27" fillId="54" borderId="0" xfId="2" applyFont="1" applyFill="1" applyBorder="1" applyAlignment="1" applyProtection="1">
      <alignment vertical="center"/>
      <protection locked="0"/>
    </xf>
    <xf numFmtId="44" fontId="27" fillId="54" borderId="0" xfId="1" applyFont="1" applyFill="1" applyBorder="1" applyAlignment="1" applyProtection="1">
      <alignment vertical="center"/>
      <protection locked="0"/>
    </xf>
    <xf numFmtId="43" fontId="27" fillId="54" borderId="45" xfId="2" applyFont="1" applyFill="1" applyBorder="1" applyAlignment="1" applyProtection="1">
      <alignment vertical="center"/>
      <protection locked="0"/>
    </xf>
    <xf numFmtId="44" fontId="27" fillId="54" borderId="45" xfId="1" applyFont="1" applyFill="1" applyBorder="1" applyAlignment="1" applyProtection="1">
      <alignment vertical="center"/>
      <protection locked="0"/>
    </xf>
    <xf numFmtId="43" fontId="27" fillId="54" borderId="46" xfId="2" applyFont="1" applyFill="1" applyBorder="1" applyAlignment="1" applyProtection="1">
      <alignment vertical="center"/>
      <protection locked="0"/>
    </xf>
    <xf numFmtId="44" fontId="27" fillId="54" borderId="46" xfId="1" applyFont="1" applyFill="1" applyBorder="1" applyAlignment="1" applyProtection="1">
      <alignment vertical="center"/>
      <protection locked="0"/>
    </xf>
    <xf numFmtId="43" fontId="27" fillId="10" borderId="0" xfId="2" applyFont="1" applyFill="1" applyBorder="1" applyAlignment="1" applyProtection="1">
      <alignment vertical="top"/>
      <protection locked="0"/>
    </xf>
    <xf numFmtId="0" fontId="21" fillId="51" borderId="0" xfId="0" applyFont="1" applyFill="1" applyBorder="1" applyAlignment="1">
      <alignment vertical="top"/>
    </xf>
    <xf numFmtId="0" fontId="21" fillId="51" borderId="0" xfId="0" applyFont="1" applyFill="1" applyBorder="1" applyAlignment="1">
      <alignment horizontal="center" vertical="top"/>
    </xf>
    <xf numFmtId="0" fontId="21" fillId="51" borderId="41" xfId="0" applyFont="1" applyFill="1" applyBorder="1" applyAlignment="1">
      <alignment vertical="top"/>
    </xf>
    <xf numFmtId="43" fontId="27" fillId="10" borderId="41" xfId="2" applyFont="1" applyFill="1" applyBorder="1" applyAlignment="1" applyProtection="1">
      <alignment vertical="top"/>
      <protection locked="0"/>
    </xf>
    <xf numFmtId="0" fontId="21" fillId="51" borderId="41" xfId="0" applyFont="1" applyFill="1" applyBorder="1" applyAlignment="1">
      <alignment horizontal="center" vertical="top"/>
    </xf>
    <xf numFmtId="0" fontId="18" fillId="51" borderId="41" xfId="0" applyFont="1" applyFill="1" applyBorder="1" applyAlignment="1">
      <alignment vertical="top"/>
    </xf>
    <xf numFmtId="43" fontId="18" fillId="10" borderId="41" xfId="2" applyFont="1" applyFill="1" applyBorder="1" applyAlignment="1" applyProtection="1">
      <alignment vertical="top"/>
      <protection locked="0"/>
    </xf>
    <xf numFmtId="0" fontId="18" fillId="51" borderId="41" xfId="0" applyFont="1" applyFill="1" applyBorder="1" applyAlignment="1">
      <alignment horizontal="center" vertical="top"/>
    </xf>
    <xf numFmtId="0" fontId="18" fillId="51" borderId="0" xfId="0" applyFont="1" applyFill="1" applyBorder="1" applyAlignment="1">
      <alignment vertical="top"/>
    </xf>
    <xf numFmtId="43" fontId="18" fillId="10" borderId="0" xfId="2" applyFont="1" applyFill="1" applyBorder="1" applyAlignment="1" applyProtection="1">
      <alignment vertical="top"/>
      <protection locked="0"/>
    </xf>
    <xf numFmtId="0" fontId="18" fillId="51" borderId="0" xfId="0" applyFont="1" applyFill="1" applyBorder="1" applyAlignment="1">
      <alignment horizontal="center" vertical="top"/>
    </xf>
    <xf numFmtId="44" fontId="27" fillId="10" borderId="0" xfId="1" applyFont="1" applyFill="1" applyBorder="1" applyAlignment="1" applyProtection="1">
      <alignment vertical="top"/>
      <protection locked="0"/>
    </xf>
    <xf numFmtId="0" fontId="22" fillId="10" borderId="0" xfId="0" applyFont="1" applyFill="1" applyBorder="1" applyAlignment="1" applyProtection="1">
      <alignment vertical="top"/>
      <protection locked="0"/>
    </xf>
    <xf numFmtId="0" fontId="22" fillId="51" borderId="0" xfId="0" applyFont="1" applyFill="1" applyBorder="1" applyAlignment="1" applyProtection="1">
      <alignment vertical="top"/>
      <protection locked="0"/>
    </xf>
    <xf numFmtId="44" fontId="21" fillId="51" borderId="0" xfId="1" applyFont="1" applyFill="1" applyBorder="1" applyAlignment="1" applyProtection="1">
      <alignment vertical="top"/>
      <protection locked="0"/>
    </xf>
    <xf numFmtId="0" fontId="21" fillId="51" borderId="0" xfId="0" applyFont="1" applyFill="1" applyBorder="1" applyAlignment="1" applyProtection="1">
      <alignment vertical="top"/>
      <protection locked="0"/>
    </xf>
    <xf numFmtId="44" fontId="27" fillId="10" borderId="41" xfId="1" applyFont="1" applyFill="1" applyBorder="1" applyAlignment="1" applyProtection="1">
      <alignment vertical="top"/>
      <protection locked="0"/>
    </xf>
    <xf numFmtId="0" fontId="22" fillId="10" borderId="41" xfId="0" applyFont="1" applyFill="1" applyBorder="1" applyAlignment="1" applyProtection="1">
      <alignment vertical="top"/>
      <protection locked="0"/>
    </xf>
    <xf numFmtId="0" fontId="22" fillId="51" borderId="41" xfId="0" applyFont="1" applyFill="1" applyBorder="1" applyAlignment="1" applyProtection="1">
      <alignment vertical="top"/>
      <protection locked="0"/>
    </xf>
    <xf numFmtId="44" fontId="21" fillId="51" borderId="41" xfId="1" applyFont="1" applyFill="1" applyBorder="1" applyAlignment="1" applyProtection="1">
      <alignment vertical="top"/>
      <protection locked="0"/>
    </xf>
    <xf numFmtId="0" fontId="21" fillId="51" borderId="41" xfId="0" applyFont="1" applyFill="1" applyBorder="1" applyAlignment="1" applyProtection="1">
      <alignment vertical="top"/>
      <protection locked="0"/>
    </xf>
    <xf numFmtId="43" fontId="27" fillId="10" borderId="25" xfId="2" applyFont="1" applyFill="1" applyBorder="1" applyAlignment="1" applyProtection="1">
      <alignment vertical="top"/>
      <protection locked="0"/>
    </xf>
    <xf numFmtId="44" fontId="27" fillId="10" borderId="25" xfId="1" applyFont="1" applyFill="1" applyBorder="1" applyAlignment="1" applyProtection="1">
      <alignment vertical="top"/>
      <protection locked="0"/>
    </xf>
    <xf numFmtId="0" fontId="9" fillId="9" borderId="0" xfId="0" applyFont="1" applyFill="1" applyBorder="1" applyAlignment="1" applyProtection="1">
      <alignment horizontal="center"/>
      <protection locked="0"/>
    </xf>
    <xf numFmtId="0" fontId="21" fillId="51" borderId="25" xfId="0" applyFont="1" applyFill="1" applyBorder="1" applyAlignment="1">
      <alignment vertical="top"/>
    </xf>
    <xf numFmtId="0" fontId="21" fillId="51" borderId="0" xfId="0" applyFont="1" applyFill="1" applyBorder="1" applyAlignment="1">
      <alignment horizontal="left" vertical="top"/>
    </xf>
    <xf numFmtId="169" fontId="42" fillId="54" borderId="40" xfId="2" applyNumberFormat="1" applyFont="1" applyFill="1" applyBorder="1" applyAlignment="1">
      <alignment horizontal="center"/>
    </xf>
    <xf numFmtId="0" fontId="42" fillId="54" borderId="40" xfId="0" applyFont="1" applyFill="1" applyBorder="1" applyAlignment="1" applyProtection="1">
      <alignment horizontal="center"/>
    </xf>
    <xf numFmtId="0" fontId="42" fillId="54" borderId="40" xfId="0" applyFont="1" applyFill="1" applyBorder="1" applyAlignment="1" applyProtection="1">
      <alignment horizontal="center"/>
      <protection locked="0"/>
    </xf>
    <xf numFmtId="0" fontId="18" fillId="50" borderId="40" xfId="0" applyFont="1" applyFill="1" applyBorder="1" applyAlignment="1">
      <alignment horizontal="center"/>
    </xf>
    <xf numFmtId="169" fontId="18" fillId="50" borderId="40" xfId="2" applyNumberFormat="1" applyFont="1" applyFill="1" applyBorder="1" applyAlignment="1">
      <alignment horizontal="center"/>
    </xf>
    <xf numFmtId="0" fontId="18" fillId="50" borderId="40" xfId="0" applyFont="1" applyFill="1" applyBorder="1" applyAlignment="1" applyProtection="1">
      <alignment horizontal="center"/>
    </xf>
    <xf numFmtId="169" fontId="18" fillId="50" borderId="24" xfId="2" applyNumberFormat="1" applyFont="1" applyFill="1" applyBorder="1" applyAlignment="1">
      <alignment horizontal="center"/>
    </xf>
    <xf numFmtId="0" fontId="18" fillId="50" borderId="24" xfId="0" applyFont="1" applyFill="1" applyBorder="1" applyAlignment="1" applyProtection="1">
      <alignment horizontal="center"/>
    </xf>
    <xf numFmtId="0" fontId="18" fillId="50" borderId="41" xfId="0" applyFont="1" applyFill="1" applyBorder="1" applyAlignment="1">
      <alignment horizontal="center"/>
    </xf>
    <xf numFmtId="0" fontId="18" fillId="50" borderId="25" xfId="0" applyFont="1" applyFill="1" applyBorder="1" applyAlignment="1">
      <alignment horizontal="center"/>
    </xf>
    <xf numFmtId="0" fontId="18" fillId="50" borderId="24" xfId="0" applyFont="1" applyFill="1" applyBorder="1" applyAlignment="1">
      <alignment horizontal="center"/>
    </xf>
    <xf numFmtId="0" fontId="18" fillId="50" borderId="0" xfId="0" applyFont="1" applyFill="1" applyBorder="1" applyAlignment="1">
      <alignment horizontal="center"/>
    </xf>
    <xf numFmtId="9" fontId="0" fillId="0" borderId="1" xfId="6" applyNumberFormat="1" applyFont="1" applyFill="1" applyBorder="1" applyAlignment="1">
      <alignment vertical="top"/>
    </xf>
    <xf numFmtId="9" fontId="8" fillId="6" borderId="1" xfId="6" applyNumberFormat="1" applyFont="1" applyFill="1" applyBorder="1" applyAlignment="1">
      <alignment horizontal="center" vertical="center" wrapText="1"/>
    </xf>
    <xf numFmtId="9" fontId="0" fillId="0" borderId="1" xfId="0" applyNumberFormat="1" applyFill="1" applyBorder="1"/>
    <xf numFmtId="9" fontId="0" fillId="0" borderId="0" xfId="0" applyNumberFormat="1"/>
    <xf numFmtId="4" fontId="17" fillId="0" borderId="0" xfId="2" applyNumberFormat="1" applyFont="1" applyAlignment="1">
      <alignment horizontal="center"/>
    </xf>
    <xf numFmtId="4" fontId="18" fillId="50" borderId="40" xfId="2" applyNumberFormat="1" applyFont="1" applyFill="1" applyBorder="1" applyAlignment="1">
      <alignment horizontal="center"/>
    </xf>
    <xf numFmtId="4" fontId="18" fillId="50" borderId="24" xfId="2" applyNumberFormat="1" applyFont="1" applyFill="1" applyBorder="1" applyAlignment="1">
      <alignment horizontal="center"/>
    </xf>
    <xf numFmtId="4" fontId="5" fillId="3" borderId="41" xfId="2" applyNumberFormat="1" applyFont="1" applyFill="1" applyBorder="1" applyAlignment="1" applyProtection="1">
      <alignment horizontal="center" vertical="center"/>
    </xf>
    <xf numFmtId="4" fontId="42" fillId="54" borderId="40" xfId="2" applyNumberFormat="1" applyFont="1" applyFill="1" applyBorder="1" applyAlignment="1">
      <alignment horizontal="center"/>
    </xf>
    <xf numFmtId="0" fontId="0" fillId="0" borderId="8" xfId="0" applyFill="1" applyBorder="1"/>
    <xf numFmtId="0" fontId="7" fillId="0" borderId="8" xfId="3" applyFill="1" applyBorder="1"/>
    <xf numFmtId="0" fontId="33" fillId="0" borderId="8" xfId="0" applyFont="1" applyFill="1" applyBorder="1" applyAlignment="1"/>
    <xf numFmtId="0" fontId="7" fillId="0" borderId="8" xfId="3" applyFill="1" applyBorder="1" applyAlignment="1">
      <alignment vertical="top"/>
    </xf>
    <xf numFmtId="166" fontId="31" fillId="0" borderId="8" xfId="2" applyNumberFormat="1" applyFont="1" applyFill="1" applyBorder="1" applyAlignment="1" applyProtection="1">
      <alignment horizontal="right"/>
      <protection locked="0"/>
    </xf>
    <xf numFmtId="0" fontId="7" fillId="0" borderId="8" xfId="3" applyFont="1" applyFill="1" applyBorder="1" applyAlignment="1">
      <alignment vertical="top"/>
    </xf>
    <xf numFmtId="167" fontId="34" fillId="0" borderId="8" xfId="0" applyNumberFormat="1" applyFont="1" applyFill="1" applyBorder="1" applyAlignment="1">
      <alignment horizontal="right"/>
    </xf>
    <xf numFmtId="14" fontId="31" fillId="0" borderId="8" xfId="0" applyNumberFormat="1" applyFont="1" applyFill="1" applyBorder="1" applyAlignment="1">
      <alignment horizontal="right"/>
    </xf>
    <xf numFmtId="1" fontId="7" fillId="0" borderId="8" xfId="2" applyNumberFormat="1" applyFont="1" applyFill="1" applyBorder="1" applyAlignment="1">
      <alignment vertical="top"/>
    </xf>
    <xf numFmtId="0" fontId="34" fillId="0" borderId="8" xfId="0" applyFont="1" applyFill="1" applyBorder="1" applyAlignment="1">
      <alignment horizontal="left"/>
    </xf>
    <xf numFmtId="3" fontId="0" fillId="0" borderId="1" xfId="0" applyNumberFormat="1" applyBorder="1"/>
    <xf numFmtId="10" fontId="7" fillId="0" borderId="1" xfId="5" applyNumberFormat="1" applyFont="1" applyFill="1" applyBorder="1"/>
    <xf numFmtId="0" fontId="12" fillId="0" borderId="38" xfId="0" applyFont="1" applyFill="1" applyBorder="1" applyAlignment="1" applyProtection="1">
      <alignment vertical="center"/>
    </xf>
    <xf numFmtId="44" fontId="0" fillId="9" borderId="0" xfId="0" applyNumberFormat="1" applyFill="1" applyBorder="1" applyAlignment="1">
      <alignment horizontal="center" vertical="center"/>
    </xf>
    <xf numFmtId="0" fontId="0" fillId="9" borderId="0" xfId="0" applyFont="1" applyFill="1" applyAlignment="1" applyProtection="1">
      <alignment vertical="center"/>
    </xf>
    <xf numFmtId="0" fontId="18" fillId="50" borderId="37" xfId="0" applyFont="1" applyFill="1" applyBorder="1" applyAlignment="1">
      <alignment horizontal="center"/>
    </xf>
    <xf numFmtId="4" fontId="18" fillId="50" borderId="37" xfId="2" applyNumberFormat="1" applyFont="1" applyFill="1" applyBorder="1" applyAlignment="1">
      <alignment horizontal="center"/>
    </xf>
    <xf numFmtId="0" fontId="18" fillId="50" borderId="37" xfId="0" applyFont="1" applyFill="1" applyBorder="1" applyAlignment="1" applyProtection="1">
      <alignment horizontal="center"/>
    </xf>
    <xf numFmtId="0" fontId="20" fillId="9" borderId="0" xfId="0" applyFont="1" applyFill="1" applyAlignment="1" applyProtection="1">
      <protection hidden="1"/>
    </xf>
    <xf numFmtId="0" fontId="20" fillId="0" borderId="41" xfId="0" applyFont="1" applyBorder="1" applyAlignment="1"/>
    <xf numFmtId="10" fontId="7" fillId="0" borderId="8" xfId="5" applyNumberFormat="1" applyFont="1" applyFill="1" applyBorder="1"/>
    <xf numFmtId="164" fontId="0" fillId="0" borderId="8" xfId="2" applyNumberFormat="1" applyFont="1" applyFill="1" applyBorder="1"/>
    <xf numFmtId="0" fontId="36" fillId="0" borderId="8" xfId="0" applyFont="1" applyFill="1" applyBorder="1" applyAlignment="1">
      <alignment horizontal="left"/>
    </xf>
    <xf numFmtId="49" fontId="34" fillId="0" borderId="8" xfId="0" applyNumberFormat="1" applyFont="1" applyFill="1" applyBorder="1" applyAlignment="1">
      <alignment horizontal="left"/>
    </xf>
    <xf numFmtId="1" fontId="7" fillId="0" borderId="8" xfId="2" applyNumberFormat="1" applyFont="1" applyFill="1" applyBorder="1"/>
    <xf numFmtId="0" fontId="7" fillId="0" borderId="8" xfId="8" applyFont="1" applyFill="1" applyBorder="1" applyAlignment="1"/>
    <xf numFmtId="0" fontId="0" fillId="0" borderId="47" xfId="0" applyFill="1" applyBorder="1"/>
    <xf numFmtId="0" fontId="7" fillId="0" borderId="47" xfId="3" applyFill="1" applyBorder="1"/>
    <xf numFmtId="0" fontId="33" fillId="0" borderId="47" xfId="0" applyFont="1" applyFill="1" applyBorder="1" applyAlignment="1"/>
    <xf numFmtId="0" fontId="34" fillId="0" borderId="47" xfId="0" applyFont="1" applyFill="1" applyBorder="1" applyAlignment="1">
      <alignment horizontal="left"/>
    </xf>
    <xf numFmtId="166" fontId="31" fillId="0" borderId="47" xfId="2" applyNumberFormat="1" applyFont="1" applyFill="1" applyBorder="1" applyAlignment="1" applyProtection="1">
      <alignment horizontal="right"/>
      <protection locked="0"/>
    </xf>
    <xf numFmtId="49" fontId="34" fillId="0" borderId="47" xfId="0" applyNumberFormat="1" applyFont="1" applyFill="1" applyBorder="1" applyAlignment="1">
      <alignment horizontal="left"/>
    </xf>
    <xf numFmtId="167" fontId="34" fillId="0" borderId="47" xfId="0" applyNumberFormat="1" applyFont="1" applyFill="1" applyBorder="1" applyAlignment="1">
      <alignment horizontal="right"/>
    </xf>
    <xf numFmtId="14" fontId="31" fillId="0" borderId="47" xfId="0" applyNumberFormat="1" applyFont="1" applyFill="1" applyBorder="1" applyAlignment="1">
      <alignment horizontal="right"/>
    </xf>
    <xf numFmtId="1" fontId="7" fillId="0" borderId="47" xfId="2" applyNumberFormat="1" applyFont="1" applyFill="1" applyBorder="1" applyAlignment="1">
      <alignment vertical="top"/>
    </xf>
    <xf numFmtId="0" fontId="7" fillId="0" borderId="47" xfId="8" applyFont="1" applyFill="1" applyBorder="1" applyAlignment="1"/>
    <xf numFmtId="10" fontId="7" fillId="0" borderId="47" xfId="5" applyNumberFormat="1" applyFont="1" applyFill="1" applyBorder="1"/>
    <xf numFmtId="164" fontId="0" fillId="0" borderId="47" xfId="2" applyNumberFormat="1" applyFont="1" applyFill="1" applyBorder="1"/>
    <xf numFmtId="14" fontId="0" fillId="0" borderId="1" xfId="0" applyNumberFormat="1" applyBorder="1"/>
    <xf numFmtId="10" fontId="0" fillId="0" borderId="1" xfId="0" applyNumberFormat="1" applyFill="1" applyBorder="1"/>
    <xf numFmtId="0" fontId="0" fillId="51" borderId="24" xfId="0" applyFont="1" applyFill="1" applyBorder="1" applyAlignment="1" applyProtection="1">
      <protection locked="0"/>
    </xf>
    <xf numFmtId="0" fontId="0" fillId="51" borderId="25" xfId="0" applyFont="1" applyFill="1" applyBorder="1" applyAlignment="1" applyProtection="1">
      <protection locked="0"/>
    </xf>
    <xf numFmtId="0" fontId="17" fillId="0" borderId="0" xfId="0" applyFont="1" applyFill="1" applyAlignment="1"/>
    <xf numFmtId="0" fontId="17" fillId="9" borderId="0" xfId="0" applyFont="1" applyFill="1" applyBorder="1" applyProtection="1"/>
    <xf numFmtId="0" fontId="0" fillId="0" borderId="0" xfId="0" applyProtection="1"/>
    <xf numFmtId="0" fontId="9" fillId="9" borderId="0" xfId="0" applyFont="1" applyFill="1" applyProtection="1">
      <protection locked="0"/>
    </xf>
    <xf numFmtId="0" fontId="41" fillId="9" borderId="0" xfId="0" applyFont="1" applyFill="1" applyAlignment="1" applyProtection="1">
      <alignment vertical="center"/>
      <protection locked="0"/>
    </xf>
    <xf numFmtId="0" fontId="0" fillId="9" borderId="0" xfId="0" applyFill="1" applyProtection="1"/>
    <xf numFmtId="0" fontId="9" fillId="9" borderId="0" xfId="0" applyFont="1" applyFill="1" applyBorder="1" applyProtection="1"/>
    <xf numFmtId="0" fontId="12" fillId="9" borderId="0" xfId="0" applyFont="1" applyFill="1" applyBorder="1" applyAlignment="1" applyProtection="1">
      <alignment horizontal="left" wrapText="1"/>
    </xf>
    <xf numFmtId="0" fontId="21" fillId="50" borderId="41" xfId="0" applyFont="1" applyFill="1" applyBorder="1" applyAlignment="1">
      <alignment horizontal="center" vertical="top"/>
    </xf>
    <xf numFmtId="0" fontId="21" fillId="50" borderId="25" xfId="0" applyFont="1" applyFill="1" applyBorder="1" applyAlignment="1">
      <alignment horizontal="center" vertical="top"/>
    </xf>
    <xf numFmtId="0" fontId="22" fillId="50" borderId="0" xfId="0" applyFont="1" applyFill="1" applyBorder="1" applyAlignment="1" applyProtection="1">
      <alignment vertical="top"/>
      <protection locked="0"/>
    </xf>
    <xf numFmtId="0" fontId="70" fillId="0" borderId="0" xfId="0" applyFont="1" applyAlignment="1" applyProtection="1"/>
    <xf numFmtId="0" fontId="27" fillId="56" borderId="36" xfId="0" quotePrefix="1" applyNumberFormat="1" applyFont="1" applyFill="1" applyBorder="1" applyAlignment="1" applyProtection="1">
      <alignment horizontal="center"/>
      <protection locked="0"/>
    </xf>
    <xf numFmtId="0" fontId="18" fillId="54" borderId="36" xfId="0" applyFont="1" applyFill="1" applyBorder="1" applyAlignment="1" applyProtection="1">
      <alignment horizontal="center"/>
      <protection locked="0"/>
    </xf>
    <xf numFmtId="4" fontId="18" fillId="54" borderId="36" xfId="2" applyNumberFormat="1" applyFont="1" applyFill="1" applyBorder="1" applyAlignment="1" applyProtection="1">
      <alignment horizontal="center"/>
      <protection locked="0"/>
    </xf>
    <xf numFmtId="0" fontId="42" fillId="54" borderId="36" xfId="0" applyFont="1" applyFill="1" applyBorder="1" applyAlignment="1" applyProtection="1">
      <alignment horizontal="center"/>
      <protection locked="0"/>
    </xf>
    <xf numFmtId="0" fontId="27" fillId="56" borderId="44" xfId="0" applyFont="1" applyFill="1" applyBorder="1" applyAlignment="1" applyProtection="1">
      <alignment horizontal="center"/>
      <protection locked="0"/>
    </xf>
    <xf numFmtId="0" fontId="18" fillId="54" borderId="44" xfId="0" applyFont="1" applyFill="1" applyBorder="1" applyAlignment="1" applyProtection="1">
      <alignment horizontal="center"/>
      <protection locked="0"/>
    </xf>
    <xf numFmtId="4" fontId="18" fillId="54" borderId="44" xfId="2" applyNumberFormat="1" applyFont="1" applyFill="1" applyBorder="1" applyAlignment="1" applyProtection="1">
      <alignment horizontal="center"/>
      <protection locked="0"/>
    </xf>
    <xf numFmtId="0" fontId="18" fillId="56" borderId="44" xfId="0" applyFont="1" applyFill="1" applyBorder="1" applyAlignment="1" applyProtection="1">
      <alignment horizontal="center"/>
      <protection locked="0"/>
    </xf>
    <xf numFmtId="169" fontId="42" fillId="54" borderId="44" xfId="2" applyNumberFormat="1" applyFont="1" applyFill="1" applyBorder="1" applyAlignment="1" applyProtection="1">
      <alignment horizontal="center"/>
      <protection locked="0"/>
    </xf>
    <xf numFmtId="4" fontId="42" fillId="54" borderId="44" xfId="2" applyNumberFormat="1" applyFont="1" applyFill="1" applyBorder="1" applyAlignment="1" applyProtection="1">
      <alignment horizontal="center"/>
      <protection locked="0"/>
    </xf>
    <xf numFmtId="0" fontId="18" fillId="54" borderId="44" xfId="0" applyFont="1" applyFill="1" applyBorder="1" applyAlignment="1" applyProtection="1">
      <alignment horizontal="left"/>
      <protection locked="0"/>
    </xf>
    <xf numFmtId="0" fontId="12" fillId="0" borderId="0" xfId="0" applyFont="1" applyFill="1" applyBorder="1" applyAlignment="1" applyProtection="1">
      <alignment vertical="center" wrapText="1"/>
    </xf>
    <xf numFmtId="0" fontId="12" fillId="9" borderId="0" xfId="0" applyFont="1" applyFill="1" applyBorder="1" applyAlignment="1" applyProtection="1">
      <alignment vertical="center" wrapText="1"/>
    </xf>
    <xf numFmtId="0" fontId="18" fillId="6" borderId="5" xfId="0" applyFont="1" applyFill="1" applyBorder="1" applyAlignment="1" applyProtection="1">
      <alignment vertical="center"/>
    </xf>
    <xf numFmtId="0" fontId="0" fillId="9" borderId="41" xfId="0" applyFill="1" applyBorder="1" applyProtection="1"/>
    <xf numFmtId="0" fontId="0" fillId="0" borderId="41" xfId="0" applyBorder="1" applyProtection="1"/>
    <xf numFmtId="0" fontId="0" fillId="9" borderId="25" xfId="0" applyFill="1" applyBorder="1" applyProtection="1"/>
    <xf numFmtId="0" fontId="0" fillId="0" borderId="25" xfId="0" applyBorder="1" applyProtection="1"/>
    <xf numFmtId="0" fontId="0" fillId="9" borderId="38" xfId="0" applyFill="1" applyBorder="1" applyProtection="1"/>
    <xf numFmtId="0" fontId="0" fillId="9" borderId="0" xfId="0" applyFill="1" applyBorder="1" applyProtection="1"/>
    <xf numFmtId="0" fontId="21" fillId="9" borderId="0" xfId="0" applyFont="1" applyFill="1" applyBorder="1" applyAlignment="1" applyProtection="1">
      <alignment vertical="top"/>
    </xf>
    <xf numFmtId="0" fontId="31" fillId="9" borderId="0" xfId="0" applyFont="1" applyFill="1" applyBorder="1" applyAlignment="1" applyProtection="1">
      <alignment horizontal="center"/>
    </xf>
    <xf numFmtId="0" fontId="0" fillId="9" borderId="0" xfId="0" applyFill="1" applyBorder="1" applyAlignment="1" applyProtection="1">
      <alignment horizontal="center"/>
    </xf>
    <xf numFmtId="0" fontId="17" fillId="9" borderId="0" xfId="0" applyFont="1" applyFill="1" applyAlignment="1" applyProtection="1"/>
    <xf numFmtId="0" fontId="12" fillId="9" borderId="0" xfId="0" applyNumberFormat="1" applyFont="1" applyFill="1" applyBorder="1" applyAlignment="1" applyProtection="1">
      <alignment vertical="center" wrapText="1"/>
    </xf>
    <xf numFmtId="0" fontId="38" fillId="9" borderId="0" xfId="0" applyNumberFormat="1" applyFont="1" applyFill="1" applyBorder="1" applyAlignment="1" applyProtection="1">
      <alignment vertical="center" wrapText="1"/>
    </xf>
    <xf numFmtId="44" fontId="17" fillId="9" borderId="0" xfId="1" applyFont="1" applyFill="1" applyAlignment="1" applyProtection="1"/>
    <xf numFmtId="0" fontId="17" fillId="9" borderId="0" xfId="0" applyNumberFormat="1" applyFont="1" applyFill="1" applyAlignment="1" applyProtection="1"/>
    <xf numFmtId="0" fontId="17" fillId="9" borderId="0" xfId="0" applyFont="1" applyFill="1" applyBorder="1" applyAlignment="1" applyProtection="1"/>
    <xf numFmtId="0" fontId="17" fillId="9" borderId="0" xfId="0" applyFont="1" applyFill="1" applyAlignment="1" applyProtection="1">
      <alignment vertical="center"/>
    </xf>
    <xf numFmtId="0" fontId="15" fillId="9" borderId="0" xfId="0" applyFont="1" applyFill="1" applyBorder="1" applyAlignment="1" applyProtection="1">
      <alignment vertical="center"/>
    </xf>
    <xf numFmtId="0" fontId="17" fillId="9" borderId="0" xfId="0" applyFont="1" applyFill="1" applyBorder="1" applyAlignment="1" applyProtection="1">
      <alignment vertical="center"/>
    </xf>
    <xf numFmtId="0" fontId="18" fillId="9" borderId="0" xfId="0" applyFont="1" applyFill="1" applyBorder="1" applyAlignment="1" applyProtection="1">
      <alignment horizontal="center"/>
    </xf>
    <xf numFmtId="0" fontId="18" fillId="9" borderId="0" xfId="0" applyNumberFormat="1" applyFont="1" applyFill="1" applyBorder="1" applyAlignment="1" applyProtection="1">
      <alignment horizontal="center"/>
    </xf>
    <xf numFmtId="0" fontId="27" fillId="51" borderId="44" xfId="0" applyNumberFormat="1" applyFont="1" applyFill="1" applyBorder="1" applyAlignment="1" applyProtection="1">
      <alignment horizontal="center"/>
    </xf>
    <xf numFmtId="0" fontId="27" fillId="9" borderId="0" xfId="0" applyFont="1" applyFill="1" applyBorder="1" applyAlignment="1" applyProtection="1"/>
    <xf numFmtId="0" fontId="27" fillId="51" borderId="26" xfId="0" applyFont="1" applyFill="1" applyBorder="1" applyProtection="1">
      <protection locked="0"/>
    </xf>
    <xf numFmtId="0" fontId="27" fillId="51" borderId="44" xfId="0" applyFont="1" applyFill="1" applyBorder="1" applyProtection="1">
      <protection locked="0"/>
    </xf>
    <xf numFmtId="44" fontId="27" fillId="51" borderId="44" xfId="1" applyFont="1" applyFill="1" applyBorder="1" applyProtection="1">
      <protection locked="0"/>
    </xf>
    <xf numFmtId="164" fontId="27" fillId="51" borderId="44" xfId="2" applyNumberFormat="1" applyFont="1" applyFill="1" applyBorder="1" applyProtection="1">
      <protection locked="0"/>
    </xf>
    <xf numFmtId="44" fontId="27" fillId="51" borderId="24" xfId="1" applyFont="1" applyFill="1" applyBorder="1" applyProtection="1">
      <protection locked="0"/>
    </xf>
    <xf numFmtId="0" fontId="12" fillId="0" borderId="0" xfId="0" applyFont="1" applyBorder="1" applyAlignment="1" applyProtection="1">
      <alignment vertical="center" wrapText="1"/>
    </xf>
    <xf numFmtId="0" fontId="27" fillId="0" borderId="0" xfId="0" applyFont="1" applyBorder="1" applyProtection="1"/>
    <xf numFmtId="0" fontId="27" fillId="0" borderId="0" xfId="0" applyFont="1" applyProtection="1"/>
    <xf numFmtId="0" fontId="27" fillId="9" borderId="0" xfId="0" applyFont="1" applyFill="1" applyBorder="1" applyProtection="1"/>
    <xf numFmtId="44" fontId="27" fillId="9" borderId="0" xfId="1" applyFont="1" applyFill="1" applyBorder="1" applyProtection="1"/>
    <xf numFmtId="164" fontId="27" fillId="9" borderId="0" xfId="2" applyNumberFormat="1" applyFont="1" applyFill="1" applyBorder="1" applyProtection="1"/>
    <xf numFmtId="0" fontId="27" fillId="9" borderId="0" xfId="0" applyFont="1" applyFill="1" applyProtection="1"/>
    <xf numFmtId="0" fontId="11" fillId="9" borderId="0" xfId="0" applyFont="1" applyFill="1" applyBorder="1" applyAlignment="1" applyProtection="1"/>
    <xf numFmtId="0" fontId="11" fillId="14" borderId="3" xfId="0" applyFont="1" applyFill="1" applyBorder="1" applyAlignment="1" applyProtection="1"/>
    <xf numFmtId="0" fontId="11" fillId="14" borderId="4" xfId="0" applyFont="1" applyFill="1" applyBorder="1" applyAlignment="1" applyProtection="1"/>
    <xf numFmtId="0" fontId="37" fillId="9" borderId="0" xfId="0" applyFont="1" applyFill="1" applyBorder="1" applyAlignment="1" applyProtection="1">
      <alignment vertical="top" wrapText="1"/>
    </xf>
    <xf numFmtId="0" fontId="37" fillId="0" borderId="7" xfId="0" applyFont="1" applyBorder="1" applyAlignment="1" applyProtection="1">
      <alignment vertical="top" wrapText="1"/>
    </xf>
    <xf numFmtId="0" fontId="37" fillId="0" borderId="9" xfId="0" applyFont="1" applyBorder="1" applyAlignment="1" applyProtection="1">
      <alignment vertical="top" wrapText="1"/>
    </xf>
    <xf numFmtId="0" fontId="37" fillId="0" borderId="0" xfId="0" applyFont="1" applyBorder="1" applyAlignment="1" applyProtection="1">
      <alignment vertical="top" wrapText="1"/>
    </xf>
    <xf numFmtId="0" fontId="37" fillId="0" borderId="5" xfId="0" applyFont="1" applyBorder="1" applyAlignment="1" applyProtection="1">
      <alignment vertical="top" wrapText="1"/>
    </xf>
    <xf numFmtId="0" fontId="0" fillId="0" borderId="0" xfId="0" applyBorder="1" applyProtection="1"/>
    <xf numFmtId="0" fontId="12" fillId="9" borderId="0" xfId="0" applyFont="1" applyFill="1" applyBorder="1" applyAlignment="1" applyProtection="1">
      <alignment horizontal="left" vertical="center"/>
    </xf>
    <xf numFmtId="0" fontId="0" fillId="9" borderId="0" xfId="0" applyFill="1" applyBorder="1" applyAlignment="1" applyProtection="1">
      <alignment vertical="center"/>
    </xf>
    <xf numFmtId="0" fontId="0" fillId="0" borderId="0" xfId="0" applyBorder="1" applyAlignment="1" applyProtection="1">
      <alignment vertical="center"/>
    </xf>
    <xf numFmtId="0" fontId="10" fillId="9" borderId="0" xfId="0" applyFont="1" applyFill="1" applyBorder="1" applyAlignment="1" applyProtection="1">
      <alignment horizontal="center" vertical="center"/>
    </xf>
    <xf numFmtId="0" fontId="0" fillId="9" borderId="0" xfId="0" applyFill="1" applyAlignment="1" applyProtection="1">
      <alignment vertical="center"/>
    </xf>
    <xf numFmtId="0" fontId="46" fillId="9" borderId="0" xfId="0" applyFont="1" applyFill="1" applyProtection="1"/>
    <xf numFmtId="0" fontId="46" fillId="9" borderId="0" xfId="0" applyFont="1" applyFill="1" applyBorder="1" applyProtection="1"/>
    <xf numFmtId="44" fontId="29" fillId="9" borderId="0" xfId="1" applyFont="1" applyFill="1" applyBorder="1" applyAlignment="1" applyProtection="1">
      <alignment horizontal="center" vertical="center"/>
    </xf>
    <xf numFmtId="0" fontId="46" fillId="9" borderId="0" xfId="0" applyFont="1" applyFill="1" applyBorder="1" applyAlignment="1" applyProtection="1">
      <alignment horizontal="center"/>
    </xf>
    <xf numFmtId="0" fontId="46" fillId="9" borderId="0" xfId="0" applyFont="1" applyFill="1" applyAlignment="1" applyProtection="1">
      <alignment vertical="center"/>
    </xf>
    <xf numFmtId="0" fontId="37" fillId="9" borderId="0" xfId="0" applyFont="1" applyFill="1" applyBorder="1" applyAlignment="1" applyProtection="1">
      <alignment horizontal="left" wrapText="1"/>
    </xf>
    <xf numFmtId="0" fontId="12" fillId="9" borderId="0" xfId="0" applyFont="1" applyFill="1" applyBorder="1" applyAlignment="1" applyProtection="1">
      <alignment horizontal="center" vertical="top" wrapText="1"/>
    </xf>
    <xf numFmtId="0" fontId="12" fillId="9" borderId="0" xfId="0" applyFont="1" applyFill="1" applyBorder="1" applyAlignment="1" applyProtection="1">
      <alignment horizontal="center" vertical="center" wrapText="1"/>
    </xf>
    <xf numFmtId="0" fontId="76" fillId="6" borderId="0" xfId="0" applyFont="1" applyFill="1" applyBorder="1" applyAlignment="1" applyProtection="1">
      <alignment horizontal="center" vertical="center"/>
      <protection locked="0"/>
    </xf>
    <xf numFmtId="0" fontId="20" fillId="9" borderId="0" xfId="0" applyFont="1" applyFill="1" applyAlignment="1" applyProtection="1">
      <alignment vertical="center"/>
      <protection hidden="1"/>
    </xf>
    <xf numFmtId="0" fontId="15" fillId="6" borderId="26" xfId="0" applyFont="1" applyFill="1" applyBorder="1" applyAlignment="1" applyProtection="1">
      <alignment vertical="center"/>
    </xf>
    <xf numFmtId="164" fontId="0" fillId="0" borderId="1" xfId="7" applyNumberFormat="1" applyFont="1" applyBorder="1" applyAlignment="1">
      <alignment horizontal="center" vertical="top"/>
    </xf>
    <xf numFmtId="0" fontId="8" fillId="6" borderId="1" xfId="3" applyFont="1" applyFill="1" applyBorder="1" applyAlignment="1">
      <alignment horizontal="center" vertical="center" wrapText="1"/>
    </xf>
    <xf numFmtId="165" fontId="8" fillId="6" borderId="1" xfId="4" applyNumberFormat="1" applyFont="1" applyFill="1" applyBorder="1" applyAlignment="1">
      <alignment horizontal="center" vertical="center" wrapText="1"/>
    </xf>
    <xf numFmtId="0" fontId="7" fillId="0" borderId="1" xfId="3" applyFill="1" applyBorder="1"/>
    <xf numFmtId="0" fontId="7" fillId="0" borderId="1" xfId="3" applyBorder="1" applyAlignment="1">
      <alignment vertical="top"/>
    </xf>
    <xf numFmtId="0" fontId="7" fillId="0" borderId="1" xfId="3" applyFont="1" applyBorder="1" applyAlignment="1">
      <alignment vertical="top"/>
    </xf>
    <xf numFmtId="0" fontId="7" fillId="0" borderId="1" xfId="3" applyBorder="1"/>
    <xf numFmtId="0" fontId="7" fillId="0" borderId="0" xfId="3"/>
    <xf numFmtId="164" fontId="8" fillId="6" borderId="1" xfId="7" applyNumberFormat="1" applyFont="1" applyFill="1" applyBorder="1" applyAlignment="1">
      <alignment horizontal="center" vertical="center" wrapText="1"/>
    </xf>
    <xf numFmtId="165" fontId="0" fillId="0" borderId="1" xfId="4" applyNumberFormat="1" applyFont="1" applyBorder="1" applyAlignment="1">
      <alignment vertical="top"/>
    </xf>
    <xf numFmtId="0" fontId="7" fillId="0" borderId="1" xfId="3" applyBorder="1" applyAlignment="1">
      <alignment horizontal="center" vertical="center"/>
    </xf>
    <xf numFmtId="44" fontId="0" fillId="0" borderId="1" xfId="4" applyFont="1" applyFill="1" applyBorder="1" applyAlignment="1">
      <alignment horizontal="left" vertical="center"/>
    </xf>
    <xf numFmtId="0" fontId="36" fillId="0" borderId="1" xfId="3" applyFont="1" applyBorder="1" applyAlignment="1">
      <alignment vertical="top"/>
    </xf>
    <xf numFmtId="0" fontId="34" fillId="0" borderId="1" xfId="3" applyFont="1" applyFill="1" applyBorder="1"/>
    <xf numFmtId="0" fontId="34" fillId="0" borderId="1" xfId="3" applyFont="1" applyBorder="1"/>
    <xf numFmtId="0" fontId="34" fillId="0" borderId="1" xfId="3" applyFont="1" applyBorder="1" applyAlignment="1">
      <alignment vertical="top"/>
    </xf>
    <xf numFmtId="165" fontId="31" fillId="0" borderId="1" xfId="4" applyNumberFormat="1" applyFont="1" applyBorder="1" applyAlignment="1">
      <alignment vertical="top"/>
    </xf>
    <xf numFmtId="0" fontId="34" fillId="0" borderId="1" xfId="3" applyFont="1" applyBorder="1" applyAlignment="1">
      <alignment horizontal="center" vertical="center"/>
    </xf>
    <xf numFmtId="0" fontId="34" fillId="0" borderId="1" xfId="3" applyFont="1" applyFill="1" applyBorder="1" applyAlignment="1">
      <alignment horizontal="center" vertical="center"/>
    </xf>
    <xf numFmtId="0" fontId="34" fillId="0" borderId="1" xfId="3" applyFont="1" applyBorder="1" applyAlignment="1">
      <alignment horizontal="center" vertical="top"/>
    </xf>
    <xf numFmtId="0" fontId="7" fillId="0" borderId="0" xfId="3" applyAlignment="1">
      <alignment horizontal="center"/>
    </xf>
    <xf numFmtId="0" fontId="34" fillId="0" borderId="1" xfId="3" applyFont="1" applyBorder="1" applyAlignment="1">
      <alignment horizontal="center"/>
    </xf>
    <xf numFmtId="0" fontId="7" fillId="0" borderId="1" xfId="3" applyBorder="1" applyAlignment="1">
      <alignment horizontal="center"/>
    </xf>
    <xf numFmtId="3" fontId="8" fillId="6" borderId="1" xfId="7" applyNumberFormat="1" applyFont="1" applyFill="1" applyBorder="1" applyAlignment="1">
      <alignment horizontal="center" vertical="center" wrapText="1"/>
    </xf>
    <xf numFmtId="3" fontId="7" fillId="0" borderId="1" xfId="3" applyNumberFormat="1" applyFont="1" applyBorder="1" applyAlignment="1">
      <alignment horizontal="center" vertical="top"/>
    </xf>
    <xf numFmtId="3" fontId="7" fillId="0" borderId="1" xfId="3" applyNumberFormat="1" applyBorder="1" applyAlignment="1">
      <alignment horizontal="center" vertical="top"/>
    </xf>
    <xf numFmtId="3" fontId="31" fillId="0" borderId="1" xfId="7" applyNumberFormat="1" applyFont="1" applyBorder="1" applyAlignment="1">
      <alignment horizontal="center" vertical="top"/>
    </xf>
    <xf numFmtId="3" fontId="34" fillId="0" borderId="1" xfId="3" applyNumberFormat="1" applyFont="1" applyBorder="1" applyAlignment="1">
      <alignment horizontal="center"/>
    </xf>
    <xf numFmtId="3" fontId="7" fillId="0" borderId="1" xfId="3" applyNumberFormat="1" applyBorder="1" applyAlignment="1">
      <alignment horizontal="center"/>
    </xf>
    <xf numFmtId="3" fontId="7" fillId="0" borderId="0" xfId="2" applyNumberFormat="1" applyFont="1" applyAlignment="1">
      <alignment horizontal="center"/>
    </xf>
    <xf numFmtId="3" fontId="7" fillId="0" borderId="1" xfId="2" applyNumberFormat="1" applyFont="1" applyBorder="1" applyAlignment="1">
      <alignment horizontal="center"/>
    </xf>
    <xf numFmtId="0" fontId="80" fillId="9" borderId="0" xfId="0" applyFont="1" applyFill="1" applyAlignment="1" applyProtection="1">
      <alignment vertical="center"/>
    </xf>
    <xf numFmtId="44" fontId="80" fillId="9" borderId="0" xfId="1" applyFont="1" applyFill="1" applyAlignment="1" applyProtection="1">
      <alignment vertical="center"/>
    </xf>
    <xf numFmtId="0" fontId="80" fillId="9" borderId="0" xfId="0" applyNumberFormat="1" applyFont="1" applyFill="1" applyAlignment="1" applyProtection="1">
      <alignment vertical="center"/>
    </xf>
    <xf numFmtId="0" fontId="80" fillId="9" borderId="0" xfId="0" applyFont="1" applyFill="1" applyBorder="1" applyAlignment="1" applyProtection="1">
      <alignment vertical="center"/>
    </xf>
    <xf numFmtId="0" fontId="80" fillId="9" borderId="0" xfId="0" applyFont="1" applyFill="1" applyAlignment="1" applyProtection="1">
      <alignment horizontal="left" vertical="center"/>
    </xf>
    <xf numFmtId="0" fontId="0" fillId="60" borderId="1" xfId="0" applyFill="1" applyBorder="1"/>
    <xf numFmtId="0" fontId="7" fillId="60" borderId="1" xfId="3" applyFill="1" applyBorder="1"/>
    <xf numFmtId="0" fontId="33" fillId="60" borderId="1" xfId="0" applyFont="1" applyFill="1" applyBorder="1" applyAlignment="1"/>
    <xf numFmtId="0" fontId="34" fillId="60" borderId="1" xfId="0" applyFont="1" applyFill="1" applyBorder="1" applyAlignment="1">
      <alignment horizontal="left"/>
    </xf>
    <xf numFmtId="166" fontId="31" fillId="60" borderId="1" xfId="2" applyNumberFormat="1" applyFont="1" applyFill="1" applyBorder="1" applyAlignment="1" applyProtection="1">
      <alignment horizontal="right"/>
      <protection locked="0"/>
    </xf>
    <xf numFmtId="49" fontId="34" fillId="60" borderId="1" xfId="0" applyNumberFormat="1" applyFont="1" applyFill="1" applyBorder="1" applyAlignment="1">
      <alignment horizontal="left"/>
    </xf>
    <xf numFmtId="0" fontId="31" fillId="60" borderId="1" xfId="0" applyNumberFormat="1" applyFont="1" applyFill="1" applyBorder="1" applyAlignment="1"/>
    <xf numFmtId="167" fontId="34" fillId="60" borderId="1" xfId="0" applyNumberFormat="1" applyFont="1" applyFill="1" applyBorder="1" applyAlignment="1">
      <alignment horizontal="right"/>
    </xf>
    <xf numFmtId="14" fontId="31" fillId="60" borderId="1" xfId="0" applyNumberFormat="1" applyFont="1" applyFill="1" applyBorder="1" applyAlignment="1">
      <alignment horizontal="right"/>
    </xf>
    <xf numFmtId="1" fontId="7" fillId="60" borderId="1" xfId="2" applyNumberFormat="1" applyFont="1" applyFill="1" applyBorder="1" applyAlignment="1">
      <alignment vertical="top"/>
    </xf>
    <xf numFmtId="0" fontId="7" fillId="60" borderId="1" xfId="3" applyFill="1" applyBorder="1" applyAlignment="1">
      <alignment vertical="top"/>
    </xf>
    <xf numFmtId="10" fontId="7" fillId="60" borderId="1" xfId="5" applyNumberFormat="1" applyFont="1" applyFill="1" applyBorder="1"/>
    <xf numFmtId="164" fontId="0" fillId="60" borderId="1" xfId="2" applyNumberFormat="1" applyFont="1" applyFill="1" applyBorder="1"/>
    <xf numFmtId="0" fontId="0" fillId="60" borderId="0" xfId="0" applyFill="1"/>
    <xf numFmtId="0" fontId="7" fillId="60" borderId="1" xfId="3" applyFont="1" applyFill="1" applyBorder="1" applyAlignment="1">
      <alignment vertical="top"/>
    </xf>
    <xf numFmtId="10" fontId="0" fillId="60" borderId="1" xfId="6" applyNumberFormat="1" applyFont="1" applyFill="1" applyBorder="1" applyAlignment="1">
      <alignment vertical="top"/>
    </xf>
    <xf numFmtId="164" fontId="0" fillId="60" borderId="1" xfId="7" applyNumberFormat="1" applyFont="1" applyFill="1" applyBorder="1" applyAlignment="1">
      <alignment vertical="top"/>
    </xf>
    <xf numFmtId="0" fontId="39" fillId="60" borderId="1" xfId="9" applyFill="1" applyBorder="1" applyAlignment="1" applyProtection="1"/>
    <xf numFmtId="0" fontId="0" fillId="60" borderId="2" xfId="0" applyFill="1" applyBorder="1"/>
    <xf numFmtId="0" fontId="61" fillId="60" borderId="1" xfId="0" applyFont="1" applyFill="1" applyBorder="1" applyAlignment="1">
      <alignment horizontal="left" vertical="center"/>
    </xf>
    <xf numFmtId="0" fontId="61" fillId="60" borderId="1" xfId="0" applyFont="1" applyFill="1" applyBorder="1" applyAlignment="1">
      <alignment horizontal="center" vertical="center"/>
    </xf>
    <xf numFmtId="49" fontId="61" fillId="60" borderId="1" xfId="0" applyNumberFormat="1" applyFont="1" applyFill="1" applyBorder="1" applyAlignment="1">
      <alignment horizontal="center" vertical="center"/>
    </xf>
    <xf numFmtId="0" fontId="61" fillId="60" borderId="1" xfId="0" applyNumberFormat="1" applyFont="1" applyFill="1" applyBorder="1" applyAlignment="1">
      <alignment horizontal="left" vertical="center"/>
    </xf>
    <xf numFmtId="0" fontId="0" fillId="60" borderId="0" xfId="0" applyFill="1" applyBorder="1" applyAlignment="1">
      <alignment vertical="center"/>
    </xf>
    <xf numFmtId="0" fontId="0" fillId="60" borderId="0" xfId="0" applyNumberFormat="1" applyFill="1" applyBorder="1" applyAlignment="1">
      <alignment horizontal="center" vertical="center"/>
    </xf>
    <xf numFmtId="0" fontId="0" fillId="60" borderId="0" xfId="0" applyFill="1" applyBorder="1"/>
    <xf numFmtId="0" fontId="7" fillId="60" borderId="1" xfId="8" applyFont="1" applyFill="1" applyBorder="1" applyAlignment="1"/>
    <xf numFmtId="165" fontId="0" fillId="60" borderId="1" xfId="4" applyNumberFormat="1" applyFont="1" applyFill="1" applyBorder="1" applyAlignment="1">
      <alignment vertical="top"/>
    </xf>
    <xf numFmtId="0" fontId="7" fillId="60" borderId="1" xfId="3" applyFill="1" applyBorder="1" applyAlignment="1">
      <alignment horizontal="center" vertical="center"/>
    </xf>
    <xf numFmtId="0" fontId="7" fillId="60" borderId="0" xfId="3" applyFill="1"/>
    <xf numFmtId="0" fontId="64" fillId="60" borderId="1" xfId="10" applyFont="1" applyFill="1" applyBorder="1" applyAlignment="1">
      <alignment horizontal="left" wrapText="1"/>
    </xf>
    <xf numFmtId="0" fontId="34" fillId="60" borderId="1" xfId="3" applyFont="1" applyFill="1" applyBorder="1"/>
    <xf numFmtId="0" fontId="34" fillId="60" borderId="1" xfId="3" applyFont="1" applyFill="1" applyBorder="1" applyAlignment="1">
      <alignment vertical="top"/>
    </xf>
    <xf numFmtId="165" fontId="31" fillId="60" borderId="1" xfId="4" applyNumberFormat="1" applyFont="1" applyFill="1" applyBorder="1" applyAlignment="1">
      <alignment vertical="top"/>
    </xf>
    <xf numFmtId="0" fontId="34" fillId="60" borderId="1" xfId="3" applyFont="1" applyFill="1" applyBorder="1" applyAlignment="1">
      <alignment horizontal="center" vertical="center"/>
    </xf>
    <xf numFmtId="3" fontId="34" fillId="60" borderId="1" xfId="2" applyNumberFormat="1" applyFont="1" applyFill="1" applyBorder="1" applyAlignment="1">
      <alignment horizontal="center"/>
    </xf>
    <xf numFmtId="0" fontId="34" fillId="60" borderId="1" xfId="3" applyFont="1" applyFill="1" applyBorder="1" applyAlignment="1">
      <alignment horizontal="center" vertical="top"/>
    </xf>
    <xf numFmtId="3" fontId="7" fillId="61" borderId="1" xfId="3" applyNumberFormat="1" applyFont="1" applyFill="1" applyBorder="1" applyAlignment="1">
      <alignment horizontal="center" vertical="top"/>
    </xf>
    <xf numFmtId="164" fontId="0" fillId="61" borderId="1" xfId="7" applyNumberFormat="1" applyFont="1" applyFill="1" applyBorder="1" applyAlignment="1">
      <alignment horizontal="center" vertical="top"/>
    </xf>
    <xf numFmtId="3" fontId="34" fillId="61" borderId="1" xfId="3" applyNumberFormat="1" applyFont="1" applyFill="1" applyBorder="1" applyAlignment="1">
      <alignment horizontal="center" vertical="top"/>
    </xf>
    <xf numFmtId="164" fontId="31" fillId="61" borderId="1" xfId="7" applyNumberFormat="1" applyFont="1" applyFill="1" applyBorder="1" applyAlignment="1">
      <alignment horizontal="center" vertical="top"/>
    </xf>
    <xf numFmtId="167" fontId="31" fillId="60" borderId="1" xfId="0" applyNumberFormat="1" applyFont="1" applyFill="1" applyBorder="1" applyAlignment="1"/>
    <xf numFmtId="0" fontId="31" fillId="60" borderId="1" xfId="0" applyFont="1" applyFill="1" applyBorder="1" applyAlignment="1">
      <alignment horizontal="left"/>
    </xf>
    <xf numFmtId="49" fontId="31" fillId="60" borderId="1" xfId="0" applyNumberFormat="1" applyFont="1" applyFill="1" applyBorder="1" applyAlignment="1">
      <alignment horizontal="left"/>
    </xf>
    <xf numFmtId="49" fontId="36" fillId="60" borderId="1" xfId="0" applyNumberFormat="1" applyFont="1" applyFill="1" applyBorder="1" applyAlignment="1">
      <alignment horizontal="left"/>
    </xf>
    <xf numFmtId="166" fontId="0" fillId="60" borderId="1" xfId="2" applyNumberFormat="1" applyFont="1" applyFill="1" applyBorder="1"/>
    <xf numFmtId="9" fontId="7" fillId="60" borderId="1" xfId="5" applyFont="1" applyFill="1" applyBorder="1"/>
    <xf numFmtId="0" fontId="7" fillId="60" borderId="1" xfId="11" applyFont="1" applyFill="1" applyBorder="1" applyAlignment="1">
      <alignment wrapText="1"/>
    </xf>
    <xf numFmtId="0" fontId="0" fillId="60" borderId="6" xfId="0" applyFill="1" applyBorder="1"/>
    <xf numFmtId="0" fontId="34" fillId="60" borderId="12" xfId="0" applyFont="1" applyFill="1" applyBorder="1" applyAlignment="1">
      <alignment horizontal="left"/>
    </xf>
    <xf numFmtId="0" fontId="7" fillId="60" borderId="1" xfId="10" applyFont="1" applyFill="1" applyBorder="1" applyAlignment="1">
      <alignment horizontal="left" wrapText="1"/>
    </xf>
    <xf numFmtId="0" fontId="36" fillId="60" borderId="1" xfId="0" applyFont="1" applyFill="1" applyBorder="1" applyAlignment="1">
      <alignment horizontal="left"/>
    </xf>
    <xf numFmtId="1" fontId="0" fillId="60" borderId="1" xfId="2" applyNumberFormat="1" applyFont="1" applyFill="1" applyBorder="1"/>
    <xf numFmtId="10" fontId="0" fillId="60" borderId="1" xfId="0" applyNumberFormat="1" applyFill="1" applyBorder="1"/>
    <xf numFmtId="0" fontId="7" fillId="60" borderId="12" xfId="10" applyFont="1" applyFill="1" applyBorder="1" applyAlignment="1">
      <alignment wrapText="1"/>
    </xf>
    <xf numFmtId="14" fontId="0" fillId="60" borderId="0" xfId="0" applyNumberFormat="1" applyFill="1" applyBorder="1" applyAlignment="1">
      <alignment vertical="center"/>
    </xf>
    <xf numFmtId="0" fontId="61" fillId="61" borderId="1" xfId="0" applyFont="1" applyFill="1" applyBorder="1" applyAlignment="1">
      <alignment horizontal="left" vertical="center"/>
    </xf>
    <xf numFmtId="0" fontId="61" fillId="61" borderId="1" xfId="0" applyFont="1" applyFill="1" applyBorder="1" applyAlignment="1">
      <alignment horizontal="center" vertical="center"/>
    </xf>
    <xf numFmtId="49" fontId="61" fillId="61" borderId="1" xfId="0" applyNumberFormat="1" applyFont="1" applyFill="1" applyBorder="1" applyAlignment="1">
      <alignment horizontal="center" vertical="center"/>
    </xf>
    <xf numFmtId="0" fontId="61" fillId="61" borderId="1" xfId="0" applyNumberFormat="1" applyFont="1" applyFill="1" applyBorder="1" applyAlignment="1">
      <alignment horizontal="left" vertical="center"/>
    </xf>
    <xf numFmtId="0" fontId="0" fillId="61" borderId="0" xfId="0" applyFill="1"/>
    <xf numFmtId="14" fontId="0" fillId="61" borderId="0" xfId="0" applyNumberFormat="1" applyFill="1" applyBorder="1" applyAlignment="1">
      <alignment vertical="center"/>
    </xf>
    <xf numFmtId="0" fontId="0" fillId="61" borderId="0" xfId="0" applyFill="1" applyBorder="1" applyAlignment="1">
      <alignment vertical="center"/>
    </xf>
    <xf numFmtId="0" fontId="0" fillId="61" borderId="0" xfId="0" applyNumberFormat="1" applyFill="1" applyBorder="1" applyAlignment="1">
      <alignment horizontal="center" vertical="center"/>
    </xf>
    <xf numFmtId="0" fontId="0" fillId="61" borderId="0" xfId="0" applyFill="1" applyBorder="1"/>
    <xf numFmtId="44" fontId="40" fillId="5" borderId="41" xfId="1" applyFont="1" applyFill="1" applyBorder="1" applyAlignment="1" applyProtection="1">
      <alignment vertical="center"/>
    </xf>
    <xf numFmtId="0" fontId="9" fillId="9" borderId="0" xfId="0" applyFont="1" applyFill="1" applyAlignment="1">
      <alignment horizontal="center"/>
    </xf>
    <xf numFmtId="0" fontId="9" fillId="9" borderId="0" xfId="0" applyFont="1" applyFill="1" applyBorder="1" applyAlignment="1">
      <alignment horizontal="center" vertical="center" wrapText="1"/>
    </xf>
    <xf numFmtId="0" fontId="17" fillId="9" borderId="0" xfId="0" applyFont="1" applyFill="1" applyAlignment="1"/>
    <xf numFmtId="0" fontId="17" fillId="0" borderId="0" xfId="0" applyFont="1" applyFill="1" applyAlignment="1">
      <alignment vertical="center"/>
    </xf>
    <xf numFmtId="0" fontId="20" fillId="9" borderId="0" xfId="0" applyFont="1" applyFill="1" applyAlignment="1">
      <alignment vertical="center"/>
    </xf>
    <xf numFmtId="0" fontId="17" fillId="0" borderId="0" xfId="0" applyFont="1" applyAlignment="1">
      <alignment wrapText="1"/>
    </xf>
    <xf numFmtId="4" fontId="5" fillId="3" borderId="41" xfId="2" applyNumberFormat="1" applyFont="1" applyFill="1" applyBorder="1" applyAlignment="1" applyProtection="1">
      <alignment horizontal="center" vertical="center" wrapText="1"/>
    </xf>
    <xf numFmtId="0" fontId="22" fillId="51" borderId="38" xfId="0" applyFont="1" applyFill="1" applyBorder="1" applyAlignment="1" applyProtection="1">
      <alignment horizontal="center" vertical="top"/>
      <protection locked="0"/>
    </xf>
    <xf numFmtId="0" fontId="22" fillId="10" borderId="0" xfId="0" applyFont="1" applyFill="1" applyBorder="1" applyAlignment="1" applyProtection="1">
      <alignment horizontal="center" vertical="center"/>
      <protection locked="0"/>
    </xf>
    <xf numFmtId="0" fontId="22" fillId="10" borderId="38" xfId="0" applyFont="1" applyFill="1" applyBorder="1" applyAlignment="1" applyProtection="1">
      <alignment horizontal="center" vertical="center"/>
      <protection locked="0"/>
    </xf>
    <xf numFmtId="43" fontId="27" fillId="10" borderId="0" xfId="2" applyFont="1" applyFill="1" applyBorder="1" applyAlignment="1" applyProtection="1">
      <protection locked="0"/>
    </xf>
    <xf numFmtId="0" fontId="21" fillId="50" borderId="0" xfId="0" applyFont="1" applyFill="1" applyBorder="1" applyAlignment="1">
      <alignment horizontal="center" vertical="center"/>
    </xf>
    <xf numFmtId="44" fontId="27" fillId="10" borderId="0" xfId="1" applyFont="1" applyFill="1" applyBorder="1" applyAlignment="1" applyProtection="1">
      <protection locked="0"/>
    </xf>
    <xf numFmtId="0" fontId="22" fillId="51" borderId="0" xfId="0" applyFont="1" applyFill="1" applyBorder="1" applyAlignment="1" applyProtection="1">
      <alignment horizontal="center" vertical="top"/>
      <protection locked="0"/>
    </xf>
    <xf numFmtId="0" fontId="18" fillId="54" borderId="40" xfId="0" applyFont="1" applyFill="1" applyBorder="1" applyAlignment="1" applyProtection="1">
      <alignment horizontal="center"/>
      <protection locked="0"/>
    </xf>
    <xf numFmtId="44" fontId="5" fillId="3" borderId="41" xfId="1" applyFont="1" applyFill="1" applyBorder="1" applyAlignment="1" applyProtection="1">
      <alignment horizontal="left" vertical="center"/>
    </xf>
    <xf numFmtId="44" fontId="27" fillId="10" borderId="24" xfId="1" applyFont="1" applyFill="1" applyBorder="1" applyAlignment="1" applyProtection="1">
      <alignment vertical="top"/>
      <protection locked="0"/>
    </xf>
    <xf numFmtId="44" fontId="27" fillId="10" borderId="30" xfId="1" applyFont="1" applyFill="1" applyBorder="1" applyAlignment="1" applyProtection="1">
      <alignment vertical="top"/>
      <protection locked="0"/>
    </xf>
    <xf numFmtId="0" fontId="21" fillId="50" borderId="0" xfId="0" applyFont="1" applyFill="1" applyBorder="1" applyAlignment="1">
      <alignment horizontal="center" vertical="top"/>
    </xf>
    <xf numFmtId="0" fontId="22" fillId="10" borderId="44" xfId="0" applyFont="1" applyFill="1" applyBorder="1" applyAlignment="1" applyProtection="1">
      <alignment horizontal="right" vertical="top"/>
      <protection locked="0"/>
    </xf>
    <xf numFmtId="0" fontId="22" fillId="10" borderId="36" xfId="0" applyFont="1" applyFill="1" applyBorder="1" applyAlignment="1" applyProtection="1">
      <alignment horizontal="right" vertical="top"/>
      <protection locked="0"/>
    </xf>
    <xf numFmtId="0" fontId="22" fillId="10" borderId="36" xfId="0" applyFont="1" applyFill="1" applyBorder="1" applyAlignment="1" applyProtection="1">
      <alignment horizontal="center" vertical="top"/>
      <protection locked="0"/>
    </xf>
    <xf numFmtId="0" fontId="22" fillId="10" borderId="44" xfId="0" applyFont="1" applyFill="1" applyBorder="1" applyAlignment="1" applyProtection="1">
      <alignment horizontal="center" vertical="top"/>
      <protection locked="0"/>
    </xf>
    <xf numFmtId="44" fontId="12" fillId="9" borderId="0" xfId="0" applyNumberFormat="1" applyFont="1" applyFill="1" applyBorder="1" applyAlignment="1" applyProtection="1">
      <alignment vertical="center"/>
      <protection locked="0"/>
    </xf>
    <xf numFmtId="0" fontId="30" fillId="63" borderId="8" xfId="0" applyFont="1" applyFill="1" applyBorder="1" applyAlignment="1">
      <alignment horizontal="center" vertical="center" wrapText="1"/>
    </xf>
    <xf numFmtId="0" fontId="30" fillId="63" borderId="6" xfId="0" applyFont="1" applyFill="1" applyBorder="1" applyAlignment="1">
      <alignment horizontal="center" vertical="center" wrapText="1"/>
    </xf>
    <xf numFmtId="0" fontId="30" fillId="63" borderId="8" xfId="0" applyFont="1" applyFill="1" applyBorder="1" applyAlignment="1">
      <alignment horizontal="center" vertical="center"/>
    </xf>
    <xf numFmtId="0" fontId="83" fillId="63" borderId="6" xfId="54" applyFont="1" applyFill="1" applyBorder="1" applyAlignment="1">
      <alignment horizontal="center" vertical="center" wrapText="1"/>
    </xf>
    <xf numFmtId="0" fontId="30" fillId="64" borderId="8" xfId="0" applyFont="1" applyFill="1" applyBorder="1" applyAlignment="1">
      <alignment horizontal="center" vertical="center" wrapText="1"/>
    </xf>
    <xf numFmtId="0" fontId="0" fillId="9" borderId="0" xfId="0" applyFill="1" applyAlignment="1">
      <alignment vertical="center"/>
    </xf>
    <xf numFmtId="0" fontId="65" fillId="0" borderId="1" xfId="0" applyFont="1" applyBorder="1" applyAlignment="1">
      <alignment horizontal="center" vertical="center" wrapText="1"/>
    </xf>
    <xf numFmtId="0" fontId="31" fillId="0" borderId="1" xfId="0" applyFont="1" applyBorder="1" applyAlignment="1">
      <alignment horizontal="center" vertical="center" wrapText="1"/>
    </xf>
    <xf numFmtId="2" fontId="31" fillId="0" borderId="1" xfId="0" applyNumberFormat="1" applyFont="1" applyBorder="1" applyAlignment="1">
      <alignment horizontal="center" vertical="center" wrapText="1"/>
    </xf>
    <xf numFmtId="0" fontId="31" fillId="7" borderId="1" xfId="0" applyFont="1" applyFill="1" applyBorder="1" applyAlignment="1">
      <alignment horizontal="center" vertical="center" wrapText="1"/>
    </xf>
    <xf numFmtId="0" fontId="84" fillId="7" borderId="1" xfId="54" applyFont="1" applyFill="1" applyBorder="1" applyAlignment="1">
      <alignment horizontal="center" vertical="center" wrapText="1"/>
    </xf>
    <xf numFmtId="0" fontId="31" fillId="0" borderId="1" xfId="0" applyFont="1" applyBorder="1" applyAlignment="1">
      <alignment horizontal="center" vertical="center"/>
    </xf>
    <xf numFmtId="0" fontId="31" fillId="0" borderId="1" xfId="0" applyFont="1" applyBorder="1" applyAlignment="1">
      <alignment vertical="center"/>
    </xf>
    <xf numFmtId="0" fontId="31" fillId="9" borderId="0" xfId="0" applyFont="1" applyFill="1" applyAlignment="1">
      <alignment vertical="center"/>
    </xf>
    <xf numFmtId="0" fontId="31" fillId="0" borderId="0" xfId="0" applyFont="1" applyAlignment="1">
      <alignment vertical="center"/>
    </xf>
    <xf numFmtId="170" fontId="31" fillId="0" borderId="1" xfId="0" applyNumberFormat="1" applyFont="1" applyBorder="1" applyAlignment="1">
      <alignment horizontal="center" vertical="center" wrapText="1"/>
    </xf>
    <xf numFmtId="0" fontId="31" fillId="65" borderId="1" xfId="0" applyFont="1" applyFill="1" applyBorder="1" applyAlignment="1">
      <alignment horizontal="center" vertical="center" wrapText="1"/>
    </xf>
    <xf numFmtId="0" fontId="59" fillId="0" borderId="1" xfId="54" applyBorder="1" applyAlignment="1">
      <alignment horizontal="center" vertical="center" wrapText="1"/>
    </xf>
    <xf numFmtId="2" fontId="31" fillId="7" borderId="1" xfId="0" applyNumberFormat="1" applyFont="1" applyFill="1" applyBorder="1" applyAlignment="1">
      <alignment horizontal="center" vertical="center" wrapText="1"/>
    </xf>
    <xf numFmtId="0" fontId="59" fillId="0" borderId="1" xfId="54" applyBorder="1" applyAlignment="1">
      <alignment horizontal="center" vertical="center"/>
    </xf>
    <xf numFmtId="0" fontId="31" fillId="9" borderId="1" xfId="0" applyFont="1" applyFill="1" applyBorder="1" applyAlignment="1">
      <alignment horizontal="center" vertical="center"/>
    </xf>
    <xf numFmtId="0" fontId="34" fillId="0" borderId="1" xfId="0" applyFont="1" applyBorder="1" applyAlignment="1">
      <alignment horizontal="center" vertical="center" wrapText="1"/>
    </xf>
    <xf numFmtId="2" fontId="46" fillId="7" borderId="1" xfId="0" applyNumberFormat="1" applyFont="1" applyFill="1" applyBorder="1" applyAlignment="1">
      <alignment horizontal="center" vertical="center" wrapText="1"/>
    </xf>
    <xf numFmtId="0" fontId="46" fillId="7" borderId="1" xfId="0" applyFont="1" applyFill="1" applyBorder="1" applyAlignment="1">
      <alignment horizontal="center" vertical="center" wrapText="1"/>
    </xf>
    <xf numFmtId="0" fontId="0" fillId="0" borderId="1" xfId="0" applyBorder="1" applyAlignment="1">
      <alignment horizontal="center" vertical="center"/>
    </xf>
    <xf numFmtId="0" fontId="34" fillId="0" borderId="47"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4" xfId="0" applyFont="1" applyBorder="1" applyAlignment="1">
      <alignment horizontal="center" vertical="center" wrapText="1"/>
    </xf>
    <xf numFmtId="0" fontId="46" fillId="7" borderId="8" xfId="0" applyFont="1" applyFill="1" applyBorder="1" applyAlignment="1">
      <alignment horizontal="center" vertical="center" wrapText="1"/>
    </xf>
    <xf numFmtId="0" fontId="46" fillId="7" borderId="4" xfId="0" applyFont="1" applyFill="1" applyBorder="1" applyAlignment="1">
      <alignment horizontal="center" vertical="center" wrapText="1"/>
    </xf>
    <xf numFmtId="0" fontId="31" fillId="9" borderId="1" xfId="0" applyFont="1" applyFill="1" applyBorder="1" applyAlignment="1">
      <alignment horizontal="center" vertical="center" wrapText="1"/>
    </xf>
    <xf numFmtId="0" fontId="59" fillId="9" borderId="1" xfId="54" applyFill="1" applyBorder="1" applyAlignment="1">
      <alignment horizontal="center" vertical="center" wrapText="1"/>
    </xf>
    <xf numFmtId="0" fontId="86" fillId="0" borderId="1" xfId="0" applyFont="1" applyBorder="1" applyAlignment="1">
      <alignment vertical="center" wrapText="1"/>
    </xf>
    <xf numFmtId="0" fontId="86" fillId="9" borderId="0" xfId="0" applyFont="1" applyFill="1" applyAlignment="1">
      <alignment vertical="center"/>
    </xf>
    <xf numFmtId="0" fontId="86" fillId="0" borderId="0" xfId="0" applyFont="1" applyAlignment="1">
      <alignment vertical="center"/>
    </xf>
    <xf numFmtId="0" fontId="88" fillId="0" borderId="1" xfId="0" applyFont="1" applyBorder="1" applyAlignment="1">
      <alignment horizontal="center" vertical="center" wrapText="1"/>
    </xf>
    <xf numFmtId="0" fontId="31" fillId="0" borderId="1" xfId="0" applyFont="1" applyBorder="1" applyAlignment="1">
      <alignment vertical="center" wrapText="1"/>
    </xf>
    <xf numFmtId="0" fontId="65" fillId="9" borderId="1" xfId="0" applyFont="1" applyFill="1" applyBorder="1" applyAlignment="1">
      <alignment horizontal="center" vertical="center" wrapText="1"/>
    </xf>
    <xf numFmtId="2" fontId="31" fillId="9" borderId="1" xfId="0" applyNumberFormat="1" applyFont="1" applyFill="1" applyBorder="1" applyAlignment="1">
      <alignment horizontal="center" vertical="center" wrapText="1"/>
    </xf>
    <xf numFmtId="0" fontId="0" fillId="9" borderId="1" xfId="0" applyFill="1" applyBorder="1" applyAlignment="1">
      <alignment horizontal="center" vertical="center"/>
    </xf>
    <xf numFmtId="0" fontId="31" fillId="9" borderId="1" xfId="0" applyFont="1" applyFill="1" applyBorder="1" applyAlignment="1">
      <alignment vertical="center"/>
    </xf>
    <xf numFmtId="2" fontId="46" fillId="0" borderId="1" xfId="0" applyNumberFormat="1" applyFont="1" applyBorder="1" applyAlignment="1">
      <alignment horizontal="center" vertical="center" wrapText="1"/>
    </xf>
    <xf numFmtId="0" fontId="46" fillId="9" borderId="1" xfId="0" applyFont="1" applyFill="1" applyBorder="1" applyAlignment="1">
      <alignment horizontal="center" vertical="center" wrapText="1"/>
    </xf>
    <xf numFmtId="0" fontId="89" fillId="7" borderId="1" xfId="54" applyFont="1" applyFill="1" applyBorder="1" applyAlignment="1">
      <alignment horizontal="center" vertical="center" wrapText="1"/>
    </xf>
    <xf numFmtId="2" fontId="0" fillId="0" borderId="1" xfId="0" applyNumberFormat="1" applyBorder="1" applyAlignment="1">
      <alignment horizontal="center" vertical="center" wrapText="1"/>
    </xf>
    <xf numFmtId="0" fontId="59" fillId="0" borderId="0" xfId="54" applyAlignment="1">
      <alignment wrapText="1"/>
    </xf>
    <xf numFmtId="0" fontId="31" fillId="0" borderId="1" xfId="0" quotePrefix="1" applyFont="1" applyBorder="1" applyAlignment="1">
      <alignment horizontal="center" vertical="center" wrapText="1"/>
    </xf>
    <xf numFmtId="0" fontId="65" fillId="0" borderId="1" xfId="0" applyFont="1" applyBorder="1" applyAlignment="1">
      <alignment vertical="center"/>
    </xf>
    <xf numFmtId="2" fontId="31" fillId="7" borderId="8" xfId="0" applyNumberFormat="1" applyFont="1" applyFill="1" applyBorder="1" applyAlignment="1">
      <alignment horizontal="center" vertical="center" wrapText="1"/>
    </xf>
    <xf numFmtId="0" fontId="59" fillId="0" borderId="0" xfId="54" applyAlignment="1">
      <alignment horizontal="center" vertical="center"/>
    </xf>
    <xf numFmtId="2" fontId="0" fillId="9" borderId="1" xfId="0" applyNumberFormat="1" applyFill="1" applyBorder="1" applyAlignment="1">
      <alignment horizontal="center" vertical="center" wrapText="1"/>
    </xf>
    <xf numFmtId="0" fontId="59" fillId="9" borderId="1" xfId="54" applyFill="1" applyBorder="1" applyAlignment="1">
      <alignment horizontal="center" vertical="center"/>
    </xf>
    <xf numFmtId="0" fontId="31" fillId="9" borderId="1" xfId="54" applyFont="1" applyFill="1" applyBorder="1" applyAlignment="1">
      <alignment horizontal="center" vertical="center" wrapText="1"/>
    </xf>
    <xf numFmtId="2" fontId="46" fillId="9" borderId="1" xfId="0" applyNumberFormat="1" applyFont="1" applyFill="1" applyBorder="1" applyAlignment="1">
      <alignment horizontal="center" vertical="center" wrapText="1"/>
    </xf>
    <xf numFmtId="0" fontId="87" fillId="9" borderId="0" xfId="0" applyFont="1" applyFill="1" applyAlignment="1">
      <alignment horizontal="center" vertical="center" wrapText="1"/>
    </xf>
    <xf numFmtId="0" fontId="86" fillId="9" borderId="0" xfId="0" applyFont="1" applyFill="1" applyAlignment="1">
      <alignment horizontal="center" vertical="center" wrapText="1"/>
    </xf>
    <xf numFmtId="2" fontId="86" fillId="9" borderId="0" xfId="0" applyNumberFormat="1" applyFont="1" applyFill="1" applyAlignment="1">
      <alignment horizontal="center" vertical="center" wrapText="1"/>
    </xf>
    <xf numFmtId="0" fontId="90" fillId="9" borderId="0" xfId="54" applyFont="1" applyFill="1" applyAlignment="1">
      <alignment horizontal="center" vertical="center" wrapText="1"/>
    </xf>
    <xf numFmtId="0" fontId="86" fillId="9" borderId="0" xfId="0" applyFont="1" applyFill="1" applyAlignment="1">
      <alignment horizontal="center" vertical="center"/>
    </xf>
    <xf numFmtId="0" fontId="30" fillId="0" borderId="0" xfId="0" applyFont="1" applyAlignment="1">
      <alignment horizontal="center" vertical="center" wrapText="1"/>
    </xf>
    <xf numFmtId="0" fontId="0" fillId="0" borderId="0" xfId="0" applyAlignment="1">
      <alignment horizontal="center" vertical="center" wrapText="1"/>
    </xf>
    <xf numFmtId="2" fontId="30" fillId="12" borderId="0" xfId="0" applyNumberFormat="1" applyFont="1" applyFill="1" applyAlignment="1">
      <alignment horizontal="center" vertical="center" wrapText="1"/>
    </xf>
    <xf numFmtId="0" fontId="60" fillId="0" borderId="0" xfId="0" applyFont="1" applyAlignment="1">
      <alignment horizontal="center" vertical="center" wrapText="1"/>
    </xf>
    <xf numFmtId="0" fontId="61" fillId="0" borderId="0" xfId="0" applyFont="1" applyAlignment="1">
      <alignment horizontal="center" vertical="center" wrapText="1"/>
    </xf>
    <xf numFmtId="0" fontId="15" fillId="9" borderId="30" xfId="0" applyFont="1" applyFill="1" applyBorder="1" applyAlignment="1" applyProtection="1">
      <alignment horizontal="center" vertical="center"/>
    </xf>
    <xf numFmtId="0" fontId="9" fillId="9" borderId="0" xfId="0" applyFont="1" applyFill="1" applyAlignment="1" applyProtection="1">
      <alignment vertical="center"/>
    </xf>
    <xf numFmtId="0" fontId="30" fillId="63" borderId="9" xfId="0" applyFont="1" applyFill="1" applyBorder="1" applyAlignment="1">
      <alignment horizontal="center" vertical="center" wrapText="1"/>
    </xf>
    <xf numFmtId="0" fontId="85" fillId="0" borderId="4" xfId="0" applyFont="1" applyBorder="1" applyAlignment="1">
      <alignment horizontal="center" vertical="center" wrapText="1"/>
    </xf>
    <xf numFmtId="0" fontId="85" fillId="9" borderId="4" xfId="0" applyFont="1" applyFill="1" applyBorder="1" applyAlignment="1">
      <alignment horizontal="center" vertical="center" wrapText="1"/>
    </xf>
    <xf numFmtId="0" fontId="34" fillId="0" borderId="4" xfId="0" applyFont="1" applyBorder="1" applyAlignment="1">
      <alignment horizontal="center" vertical="center" wrapText="1"/>
    </xf>
    <xf numFmtId="0" fontId="31" fillId="9" borderId="4" xfId="0" applyFont="1" applyFill="1" applyBorder="1" applyAlignment="1">
      <alignment horizontal="center" vertical="center" wrapText="1"/>
    </xf>
    <xf numFmtId="0" fontId="89" fillId="7" borderId="4" xfId="54" applyFont="1" applyFill="1" applyBorder="1" applyAlignment="1">
      <alignment horizontal="center" vertical="center" wrapText="1"/>
    </xf>
    <xf numFmtId="0" fontId="0" fillId="0" borderId="4" xfId="0" applyBorder="1" applyAlignment="1">
      <alignment horizontal="center" vertical="center" wrapText="1"/>
    </xf>
    <xf numFmtId="0" fontId="31" fillId="7" borderId="4" xfId="0" applyFont="1" applyFill="1" applyBorder="1" applyAlignment="1">
      <alignment horizontal="center" vertical="center" wrapText="1"/>
    </xf>
    <xf numFmtId="0" fontId="30" fillId="63" borderId="1" xfId="0" applyFont="1" applyFill="1" applyBorder="1" applyAlignment="1">
      <alignment horizontal="center" vertical="center" wrapText="1"/>
    </xf>
    <xf numFmtId="0" fontId="0" fillId="0" borderId="0" xfId="0" applyAlignment="1">
      <alignment horizontal="center"/>
    </xf>
    <xf numFmtId="44" fontId="27" fillId="51" borderId="30" xfId="1" applyFont="1" applyFill="1" applyBorder="1" applyAlignment="1" applyProtection="1">
      <alignment vertical="top"/>
      <protection locked="0"/>
    </xf>
    <xf numFmtId="0" fontId="21" fillId="10" borderId="0" xfId="0" applyFont="1" applyFill="1" applyBorder="1" applyAlignment="1" applyProtection="1">
      <alignment vertical="top"/>
      <protection locked="0"/>
    </xf>
    <xf numFmtId="0" fontId="21" fillId="10" borderId="25" xfId="0" applyFont="1" applyFill="1" applyBorder="1" applyAlignment="1" applyProtection="1">
      <alignment vertical="top"/>
      <protection locked="0"/>
    </xf>
    <xf numFmtId="0" fontId="21" fillId="51" borderId="0" xfId="0" applyFont="1" applyFill="1" applyBorder="1" applyAlignment="1" applyProtection="1">
      <alignment vertical="center"/>
      <protection locked="0"/>
    </xf>
    <xf numFmtId="0" fontId="18" fillId="10" borderId="0" xfId="0" applyFont="1" applyFill="1" applyBorder="1" applyAlignment="1" applyProtection="1">
      <alignment horizontal="left"/>
      <protection locked="0"/>
    </xf>
    <xf numFmtId="0" fontId="18" fillId="10" borderId="41" xfId="0" applyFont="1" applyFill="1" applyBorder="1" applyAlignment="1" applyProtection="1">
      <alignment horizontal="left"/>
      <protection locked="0"/>
    </xf>
    <xf numFmtId="0" fontId="18" fillId="50" borderId="41" xfId="0" applyFont="1" applyFill="1" applyBorder="1" applyAlignment="1" applyProtection="1">
      <alignment horizontal="center"/>
      <protection hidden="1"/>
    </xf>
    <xf numFmtId="4" fontId="18" fillId="50" borderId="40" xfId="2" applyNumberFormat="1" applyFont="1" applyFill="1" applyBorder="1" applyAlignment="1" applyProtection="1">
      <alignment horizontal="center"/>
      <protection hidden="1"/>
    </xf>
    <xf numFmtId="0" fontId="18" fillId="50" borderId="40" xfId="0" applyFont="1" applyFill="1" applyBorder="1" applyAlignment="1" applyProtection="1">
      <alignment horizontal="center"/>
      <protection hidden="1"/>
    </xf>
    <xf numFmtId="0" fontId="18" fillId="50" borderId="44" xfId="0" applyFont="1" applyFill="1" applyBorder="1" applyAlignment="1" applyProtection="1">
      <alignment horizontal="center"/>
      <protection hidden="1"/>
    </xf>
    <xf numFmtId="0" fontId="12" fillId="62" borderId="44" xfId="0" applyFont="1" applyFill="1" applyBorder="1" applyAlignment="1" applyProtection="1">
      <alignment vertical="center"/>
      <protection locked="0"/>
    </xf>
    <xf numFmtId="0" fontId="12" fillId="62" borderId="44" xfId="0" applyFont="1" applyFill="1" applyBorder="1" applyAlignment="1" applyProtection="1">
      <alignment vertical="center"/>
      <protection locked="0" hidden="1"/>
    </xf>
    <xf numFmtId="0" fontId="12" fillId="62" borderId="44" xfId="0" applyFont="1" applyFill="1" applyBorder="1" applyAlignment="1" applyProtection="1">
      <alignment horizontal="center" vertical="top" wrapText="1"/>
      <protection locked="0"/>
    </xf>
    <xf numFmtId="0" fontId="34" fillId="60" borderId="1" xfId="10" applyFont="1" applyFill="1" applyBorder="1" applyAlignment="1">
      <alignment horizontal="left" wrapText="1"/>
    </xf>
    <xf numFmtId="3" fontId="34" fillId="60" borderId="1" xfId="2" applyNumberFormat="1" applyFont="1" applyFill="1" applyBorder="1" applyAlignment="1">
      <alignment horizontal="center" wrapText="1"/>
    </xf>
    <xf numFmtId="0" fontId="61" fillId="0" borderId="1" xfId="0" applyFont="1" applyFill="1" applyBorder="1" applyAlignment="1">
      <alignment horizontal="left" vertical="center" wrapText="1"/>
    </xf>
    <xf numFmtId="0" fontId="17" fillId="9" borderId="0" xfId="0" applyFont="1" applyFill="1" applyAlignment="1" applyProtection="1">
      <alignment horizontal="left"/>
    </xf>
    <xf numFmtId="0" fontId="27" fillId="51" borderId="44" xfId="0" applyFont="1" applyFill="1" applyBorder="1" applyAlignment="1" applyProtection="1">
      <alignment horizontal="left"/>
    </xf>
    <xf numFmtId="0" fontId="18" fillId="54" borderId="24" xfId="0" applyFont="1" applyFill="1" applyBorder="1" applyAlignment="1" applyProtection="1">
      <alignment horizontal="left"/>
      <protection locked="0"/>
    </xf>
    <xf numFmtId="0" fontId="27" fillId="9" borderId="0" xfId="0" applyFont="1" applyFill="1" applyBorder="1" applyAlignment="1" applyProtection="1">
      <alignment horizontal="left"/>
    </xf>
    <xf numFmtId="44" fontId="21" fillId="51" borderId="0" xfId="1" applyFont="1" applyFill="1" applyBorder="1" applyAlignment="1">
      <alignment horizontal="center" vertical="top"/>
    </xf>
    <xf numFmtId="0" fontId="7" fillId="0" borderId="1" xfId="10" applyFont="1" applyFill="1" applyBorder="1" applyAlignment="1">
      <alignment horizontal="left" wrapText="1"/>
    </xf>
    <xf numFmtId="0" fontId="7" fillId="0" borderId="23" xfId="10" applyFont="1" applyFill="1" applyBorder="1" applyAlignment="1">
      <alignment wrapText="1"/>
    </xf>
    <xf numFmtId="0" fontId="7" fillId="0" borderId="12" xfId="10" applyFont="1" applyFill="1" applyBorder="1" applyAlignment="1">
      <alignment wrapText="1"/>
    </xf>
    <xf numFmtId="0" fontId="7" fillId="15" borderId="13" xfId="11" applyFont="1" applyFill="1" applyBorder="1" applyAlignment="1">
      <alignment horizontal="center"/>
    </xf>
    <xf numFmtId="0" fontId="7" fillId="15" borderId="1" xfId="11" applyFont="1" applyFill="1" applyBorder="1" applyAlignment="1">
      <alignment horizontal="center"/>
    </xf>
    <xf numFmtId="164" fontId="7" fillId="15" borderId="1" xfId="2" applyNumberFormat="1" applyFont="1" applyFill="1" applyBorder="1" applyAlignment="1">
      <alignment horizontal="center"/>
    </xf>
    <xf numFmtId="168" fontId="7" fillId="15" borderId="1" xfId="11" applyNumberFormat="1" applyFont="1" applyFill="1" applyBorder="1" applyAlignment="1">
      <alignment horizontal="center"/>
    </xf>
    <xf numFmtId="0" fontId="7" fillId="60" borderId="1" xfId="11" applyFont="1" applyFill="1" applyBorder="1" applyAlignment="1">
      <alignment horizontal="right" wrapText="1"/>
    </xf>
    <xf numFmtId="164" fontId="7" fillId="60" borderId="1" xfId="2" applyNumberFormat="1" applyFont="1" applyFill="1" applyBorder="1" applyAlignment="1">
      <alignment horizontal="center" wrapText="1"/>
    </xf>
    <xf numFmtId="0" fontId="7" fillId="0" borderId="1" xfId="11" applyFont="1" applyFill="1" applyBorder="1" applyAlignment="1">
      <alignment horizontal="right" wrapText="1"/>
    </xf>
    <xf numFmtId="0" fontId="7" fillId="0" borderId="1" xfId="11" applyFont="1" applyFill="1" applyBorder="1" applyAlignment="1">
      <alignment wrapText="1"/>
    </xf>
    <xf numFmtId="164" fontId="7" fillId="0" borderId="1" xfId="2" applyNumberFormat="1" applyFont="1" applyFill="1" applyBorder="1" applyAlignment="1">
      <alignment horizontal="center" wrapText="1"/>
    </xf>
    <xf numFmtId="164" fontId="35" fillId="60" borderId="1" xfId="2" applyNumberFormat="1" applyFont="1" applyFill="1" applyBorder="1" applyAlignment="1">
      <alignment horizontal="center"/>
    </xf>
    <xf numFmtId="0" fontId="12" fillId="54" borderId="0" xfId="0" applyFont="1" applyFill="1" applyBorder="1" applyAlignment="1" applyProtection="1">
      <alignment horizontal="center" vertical="center"/>
      <protection locked="0"/>
    </xf>
    <xf numFmtId="0" fontId="21" fillId="50" borderId="45" xfId="0" applyFont="1" applyFill="1" applyBorder="1" applyAlignment="1" applyProtection="1">
      <alignment horizontal="center" vertical="center"/>
      <protection locked="0"/>
    </xf>
    <xf numFmtId="0" fontId="21" fillId="50" borderId="0" xfId="0" applyFont="1" applyFill="1" applyBorder="1" applyAlignment="1" applyProtection="1">
      <alignment horizontal="center" vertical="center"/>
      <protection locked="0"/>
    </xf>
    <xf numFmtId="0" fontId="21" fillId="50" borderId="46" xfId="0" applyFont="1" applyFill="1" applyBorder="1" applyAlignment="1" applyProtection="1">
      <alignment horizontal="center" vertical="center"/>
      <protection locked="0"/>
    </xf>
    <xf numFmtId="44" fontId="27" fillId="50" borderId="45" xfId="1" applyFont="1" applyFill="1" applyBorder="1" applyAlignment="1" applyProtection="1">
      <alignment vertical="center"/>
    </xf>
    <xf numFmtId="0" fontId="21" fillId="50" borderId="45" xfId="0" applyFont="1" applyFill="1" applyBorder="1" applyAlignment="1" applyProtection="1">
      <alignment vertical="center"/>
      <protection locked="0"/>
    </xf>
    <xf numFmtId="0" fontId="22" fillId="50" borderId="45" xfId="0" applyFont="1" applyFill="1" applyBorder="1" applyAlignment="1" applyProtection="1">
      <alignment vertical="center"/>
      <protection locked="0"/>
    </xf>
    <xf numFmtId="44" fontId="27" fillId="50" borderId="0" xfId="1" applyFont="1" applyFill="1" applyBorder="1" applyAlignment="1" applyProtection="1">
      <alignment vertical="center"/>
    </xf>
    <xf numFmtId="0" fontId="22" fillId="50" borderId="0" xfId="0" applyFont="1" applyFill="1" applyBorder="1" applyAlignment="1" applyProtection="1">
      <alignment vertical="center"/>
      <protection locked="0"/>
    </xf>
    <xf numFmtId="44" fontId="27" fillId="50" borderId="46" xfId="1" applyFont="1" applyFill="1" applyBorder="1" applyAlignment="1" applyProtection="1">
      <alignment vertical="center"/>
    </xf>
    <xf numFmtId="0" fontId="21" fillId="50" borderId="46" xfId="0" applyFont="1" applyFill="1" applyBorder="1" applyAlignment="1" applyProtection="1">
      <alignment vertical="center"/>
      <protection locked="0"/>
    </xf>
    <xf numFmtId="0" fontId="22" fillId="50" borderId="46" xfId="0" applyFont="1" applyFill="1" applyBorder="1" applyAlignment="1" applyProtection="1">
      <alignment vertical="center"/>
      <protection locked="0"/>
    </xf>
    <xf numFmtId="0" fontId="21" fillId="50" borderId="0" xfId="0" applyFont="1" applyFill="1" applyBorder="1" applyAlignment="1" applyProtection="1">
      <alignment vertical="center"/>
      <protection locked="0"/>
    </xf>
    <xf numFmtId="0" fontId="91" fillId="50" borderId="46" xfId="0" applyFont="1" applyFill="1" applyBorder="1" applyAlignment="1" applyProtection="1">
      <alignment vertical="center"/>
      <protection locked="0"/>
    </xf>
    <xf numFmtId="0" fontId="15" fillId="50" borderId="45" xfId="0" applyFont="1" applyFill="1" applyBorder="1" applyAlignment="1" applyProtection="1">
      <alignment vertical="center"/>
    </xf>
    <xf numFmtId="0" fontId="15" fillId="50" borderId="0" xfId="0" applyFont="1" applyFill="1" applyBorder="1" applyAlignment="1" applyProtection="1">
      <alignment vertical="center"/>
    </xf>
    <xf numFmtId="0" fontId="23" fillId="0" borderId="0" xfId="0" applyFont="1" applyBorder="1" applyAlignment="1" applyProtection="1">
      <alignment vertical="center"/>
    </xf>
    <xf numFmtId="0" fontId="16" fillId="50" borderId="45" xfId="0" applyFont="1" applyFill="1" applyBorder="1" applyAlignment="1" applyProtection="1">
      <alignment vertical="center"/>
    </xf>
    <xf numFmtId="0" fontId="16" fillId="50" borderId="46" xfId="0" applyFont="1" applyFill="1" applyBorder="1" applyAlignment="1" applyProtection="1">
      <alignment vertical="center"/>
    </xf>
    <xf numFmtId="0" fontId="16" fillId="50" borderId="46" xfId="0" applyFont="1" applyFill="1" applyBorder="1" applyAlignment="1" applyProtection="1">
      <alignment vertical="center" wrapText="1"/>
    </xf>
    <xf numFmtId="0" fontId="16" fillId="50" borderId="0" xfId="0" applyFont="1" applyFill="1" applyBorder="1" applyAlignment="1" applyProtection="1">
      <alignment vertical="center" wrapText="1"/>
    </xf>
    <xf numFmtId="0" fontId="16" fillId="50" borderId="0" xfId="0" applyFont="1" applyFill="1" applyBorder="1" applyAlignment="1" applyProtection="1">
      <alignment vertical="center"/>
    </xf>
    <xf numFmtId="0" fontId="21" fillId="50" borderId="25" xfId="0" applyFont="1" applyFill="1" applyBorder="1" applyAlignment="1">
      <alignment vertical="top"/>
    </xf>
    <xf numFmtId="0" fontId="21" fillId="50" borderId="25" xfId="0" applyFont="1" applyFill="1" applyBorder="1" applyAlignment="1" applyProtection="1">
      <alignment horizontal="center" vertical="top"/>
    </xf>
    <xf numFmtId="0" fontId="27" fillId="50" borderId="25" xfId="0" applyFont="1" applyFill="1" applyBorder="1" applyAlignment="1" applyProtection="1">
      <alignment horizontal="center" vertical="top"/>
      <protection locked="0"/>
    </xf>
    <xf numFmtId="44" fontId="18" fillId="50" borderId="25" xfId="1" applyFont="1" applyFill="1" applyBorder="1" applyAlignment="1" applyProtection="1">
      <alignment vertical="top"/>
    </xf>
    <xf numFmtId="44" fontId="27" fillId="50" borderId="25" xfId="1" applyFont="1" applyFill="1" applyBorder="1" applyAlignment="1" applyProtection="1">
      <alignment vertical="top"/>
    </xf>
    <xf numFmtId="44" fontId="27" fillId="50" borderId="41" xfId="1" applyFont="1" applyFill="1" applyBorder="1" applyAlignment="1" applyProtection="1">
      <alignment vertical="top"/>
    </xf>
    <xf numFmtId="0" fontId="21" fillId="50" borderId="25" xfId="0" applyFont="1" applyFill="1" applyBorder="1" applyAlignment="1" applyProtection="1">
      <alignment horizontal="center" vertical="top"/>
      <protection locked="0"/>
    </xf>
    <xf numFmtId="0" fontId="21" fillId="50" borderId="41" xfId="0" applyFont="1" applyFill="1" applyBorder="1" applyAlignment="1" applyProtection="1">
      <alignment horizontal="center" vertical="top"/>
      <protection locked="0"/>
    </xf>
    <xf numFmtId="0" fontId="21" fillId="50" borderId="41" xfId="0" applyFont="1" applyFill="1" applyBorder="1" applyAlignment="1">
      <alignment vertical="top"/>
    </xf>
    <xf numFmtId="0" fontId="21" fillId="50" borderId="25" xfId="0" applyFont="1" applyFill="1" applyBorder="1" applyAlignment="1" applyProtection="1">
      <alignment vertical="top"/>
      <protection locked="0"/>
    </xf>
    <xf numFmtId="0" fontId="12" fillId="50" borderId="0" xfId="0" applyFont="1" applyFill="1" applyProtection="1"/>
    <xf numFmtId="0" fontId="12" fillId="9" borderId="0" xfId="0" applyFont="1" applyFill="1" applyProtection="1"/>
    <xf numFmtId="0" fontId="39" fillId="60" borderId="0" xfId="9" applyFill="1" applyAlignment="1" applyProtection="1"/>
    <xf numFmtId="0" fontId="21" fillId="4" borderId="0" xfId="0" applyFont="1" applyFill="1" applyBorder="1" applyAlignment="1" applyProtection="1">
      <alignment vertical="top"/>
    </xf>
    <xf numFmtId="0" fontId="21" fillId="50" borderId="45" xfId="0" applyFont="1" applyFill="1" applyBorder="1" applyAlignment="1" applyProtection="1">
      <alignment vertical="center"/>
    </xf>
    <xf numFmtId="0" fontId="21" fillId="50" borderId="46" xfId="0" applyFont="1" applyFill="1" applyBorder="1" applyAlignment="1" applyProtection="1">
      <alignment vertical="center"/>
    </xf>
    <xf numFmtId="0" fontId="15" fillId="66" borderId="0" xfId="0" applyFont="1" applyFill="1" applyBorder="1" applyAlignment="1" applyProtection="1">
      <alignment horizontal="center" vertical="top"/>
      <protection locked="0"/>
    </xf>
    <xf numFmtId="0" fontId="12" fillId="6" borderId="0" xfId="0" applyFont="1" applyFill="1" applyBorder="1" applyAlignment="1" applyProtection="1">
      <alignment vertical="center"/>
      <protection locked="0"/>
    </xf>
    <xf numFmtId="0" fontId="12" fillId="54" borderId="0" xfId="0" applyFont="1" applyFill="1" applyBorder="1" applyAlignment="1" applyProtection="1">
      <alignment vertical="center"/>
      <protection locked="0"/>
    </xf>
    <xf numFmtId="0" fontId="38" fillId="6" borderId="0" xfId="0" applyFont="1" applyFill="1" applyBorder="1" applyAlignment="1" applyProtection="1">
      <protection locked="0" hidden="1"/>
    </xf>
    <xf numFmtId="0" fontId="0" fillId="51" borderId="37" xfId="0" applyFont="1" applyFill="1" applyBorder="1" applyAlignment="1" applyProtection="1">
      <alignment horizontal="center"/>
      <protection locked="0"/>
    </xf>
    <xf numFmtId="0" fontId="0" fillId="51" borderId="24" xfId="0" applyFont="1" applyFill="1" applyBorder="1" applyAlignment="1" applyProtection="1">
      <alignment horizontal="center"/>
      <protection locked="0"/>
    </xf>
    <xf numFmtId="44" fontId="10" fillId="6" borderId="41" xfId="1" applyFont="1" applyFill="1" applyBorder="1" applyAlignment="1" applyProtection="1">
      <alignment horizontal="center" vertical="center"/>
    </xf>
    <xf numFmtId="0" fontId="37" fillId="0" borderId="2" xfId="0" applyFont="1" applyBorder="1" applyAlignment="1">
      <alignment horizontal="center" wrapText="1"/>
    </xf>
    <xf numFmtId="0" fontId="37" fillId="0" borderId="4" xfId="0" applyFont="1" applyBorder="1" applyAlignment="1">
      <alignment horizontal="center" wrapText="1"/>
    </xf>
    <xf numFmtId="0" fontId="0" fillId="51" borderId="40" xfId="0" applyFont="1" applyFill="1" applyBorder="1" applyAlignment="1" applyProtection="1">
      <alignment horizontal="center"/>
      <protection locked="0"/>
    </xf>
    <xf numFmtId="0" fontId="29" fillId="2" borderId="0" xfId="0" applyFont="1" applyFill="1" applyBorder="1" applyAlignment="1">
      <alignment horizontal="left" vertical="top"/>
    </xf>
    <xf numFmtId="0" fontId="16" fillId="51" borderId="41" xfId="1" applyNumberFormat="1" applyFont="1" applyFill="1" applyBorder="1" applyAlignment="1" applyProtection="1">
      <alignment horizontal="center" vertical="top"/>
      <protection locked="0"/>
    </xf>
    <xf numFmtId="0" fontId="16" fillId="51" borderId="25" xfId="1" applyNumberFormat="1" applyFont="1" applyFill="1" applyBorder="1" applyAlignment="1" applyProtection="1">
      <alignment horizontal="center" vertical="top"/>
      <protection locked="0"/>
    </xf>
    <xf numFmtId="44" fontId="5" fillId="3" borderId="41" xfId="1" applyFont="1" applyFill="1" applyBorder="1" applyAlignment="1" applyProtection="1">
      <alignment horizontal="center" vertical="center" wrapText="1"/>
    </xf>
    <xf numFmtId="44" fontId="5" fillId="3" borderId="41" xfId="1" applyFont="1" applyFill="1" applyBorder="1" applyAlignment="1" applyProtection="1">
      <alignment horizontal="center" vertical="center"/>
    </xf>
    <xf numFmtId="0" fontId="42" fillId="54" borderId="44" xfId="0" applyFont="1" applyFill="1" applyBorder="1" applyAlignment="1" applyProtection="1">
      <alignment horizontal="center"/>
      <protection locked="0"/>
    </xf>
    <xf numFmtId="44" fontId="5" fillId="3" borderId="41" xfId="1" applyFont="1" applyFill="1" applyBorder="1" applyAlignment="1">
      <alignment horizontal="center" vertical="center"/>
    </xf>
    <xf numFmtId="0" fontId="18" fillId="54" borderId="24" xfId="0" applyFont="1" applyFill="1" applyBorder="1" applyAlignment="1" applyProtection="1">
      <alignment horizontal="center"/>
      <protection locked="0"/>
    </xf>
    <xf numFmtId="0" fontId="15" fillId="10" borderId="0" xfId="0" applyFont="1" applyFill="1" applyBorder="1" applyAlignment="1" applyProtection="1">
      <alignment horizontal="center" vertical="center"/>
    </xf>
    <xf numFmtId="0" fontId="27" fillId="51" borderId="44" xfId="0" applyFont="1" applyFill="1" applyBorder="1" applyAlignment="1" applyProtection="1">
      <alignment horizontal="center"/>
    </xf>
    <xf numFmtId="44" fontId="5" fillId="3" borderId="0" xfId="1" applyFont="1" applyFill="1" applyBorder="1" applyAlignment="1" applyProtection="1">
      <alignment horizontal="center" vertical="center"/>
    </xf>
    <xf numFmtId="0" fontId="12" fillId="6" borderId="0" xfId="0" applyFont="1" applyFill="1" applyBorder="1" applyAlignment="1" applyProtection="1">
      <alignment horizontal="left" vertical="center"/>
    </xf>
    <xf numFmtId="0" fontId="12" fillId="0" borderId="0" xfId="0" applyFont="1" applyFill="1" applyBorder="1" applyAlignment="1" applyProtection="1">
      <alignment horizontal="left" vertical="center" wrapText="1"/>
    </xf>
    <xf numFmtId="0" fontId="10" fillId="6" borderId="41" xfId="0" applyFont="1" applyFill="1" applyBorder="1" applyAlignment="1" applyProtection="1">
      <alignment horizontal="center" vertical="center"/>
    </xf>
    <xf numFmtId="0" fontId="12" fillId="50" borderId="44" xfId="0" applyFont="1" applyFill="1" applyBorder="1" applyAlignment="1" applyProtection="1">
      <alignment horizontal="center" vertical="center"/>
      <protection hidden="1"/>
    </xf>
    <xf numFmtId="0" fontId="12" fillId="6" borderId="41" xfId="0" applyFont="1" applyFill="1" applyBorder="1" applyAlignment="1" applyProtection="1">
      <alignment horizontal="left" vertical="center"/>
    </xf>
    <xf numFmtId="0" fontId="12" fillId="50" borderId="44" xfId="0" applyFont="1" applyFill="1" applyBorder="1" applyAlignment="1" applyProtection="1">
      <alignment vertical="center"/>
      <protection hidden="1"/>
    </xf>
    <xf numFmtId="0" fontId="0" fillId="9" borderId="0" xfId="0" applyFill="1" applyAlignment="1" applyProtection="1">
      <alignment horizontal="center"/>
    </xf>
    <xf numFmtId="0" fontId="12" fillId="6" borderId="38" xfId="0" applyFont="1" applyFill="1" applyBorder="1" applyAlignment="1" applyProtection="1">
      <alignment horizontal="left" vertical="center"/>
    </xf>
    <xf numFmtId="0" fontId="12" fillId="6" borderId="38" xfId="0" applyFont="1" applyFill="1" applyBorder="1" applyAlignment="1" applyProtection="1">
      <alignment horizontal="left" vertical="center" wrapText="1"/>
    </xf>
    <xf numFmtId="0" fontId="12" fillId="6" borderId="41" xfId="0" applyFont="1" applyFill="1" applyBorder="1" applyAlignment="1" applyProtection="1">
      <alignment horizontal="left" vertical="center" wrapText="1"/>
    </xf>
    <xf numFmtId="2" fontId="31" fillId="0" borderId="8" xfId="0" applyNumberFormat="1" applyFont="1" applyBorder="1" applyAlignment="1">
      <alignment horizontal="center" vertical="center" wrapText="1"/>
    </xf>
    <xf numFmtId="0" fontId="31" fillId="0" borderId="8" xfId="0" applyFont="1" applyBorder="1" applyAlignment="1">
      <alignment horizontal="center" vertical="center" wrapText="1"/>
    </xf>
    <xf numFmtId="0" fontId="31" fillId="0" borderId="47" xfId="0" applyFont="1" applyBorder="1" applyAlignment="1">
      <alignment horizontal="center" vertical="center" wrapText="1"/>
    </xf>
    <xf numFmtId="0" fontId="2" fillId="0" borderId="0" xfId="0" applyFont="1" applyProtection="1"/>
    <xf numFmtId="0" fontId="2" fillId="9" borderId="0" xfId="0" applyFont="1" applyFill="1" applyBorder="1" applyProtection="1"/>
    <xf numFmtId="0" fontId="2" fillId="0" borderId="0" xfId="0" applyFont="1" applyAlignment="1"/>
    <xf numFmtId="44" fontId="2" fillId="0" borderId="0" xfId="1" applyFont="1" applyAlignment="1"/>
    <xf numFmtId="0" fontId="2" fillId="0" borderId="0" xfId="0" applyFont="1" applyAlignment="1">
      <alignment vertical="center"/>
    </xf>
    <xf numFmtId="0" fontId="2" fillId="9" borderId="0" xfId="0" applyFont="1" applyFill="1" applyAlignment="1">
      <alignment vertical="center"/>
    </xf>
    <xf numFmtId="0" fontId="2" fillId="0" borderId="0" xfId="0" applyFont="1" applyAlignment="1" applyProtection="1"/>
    <xf numFmtId="0" fontId="2" fillId="0" borderId="0" xfId="0" applyFont="1" applyAlignment="1" applyProtection="1">
      <alignment vertical="center"/>
    </xf>
    <xf numFmtId="0" fontId="2" fillId="0" borderId="30" xfId="0" applyFont="1" applyBorder="1" applyAlignment="1" applyProtection="1">
      <alignment vertical="center"/>
    </xf>
    <xf numFmtId="0" fontId="2" fillId="0" borderId="0" xfId="0" applyFont="1" applyBorder="1" applyAlignment="1" applyProtection="1">
      <alignment vertical="center"/>
    </xf>
    <xf numFmtId="0" fontId="2" fillId="0" borderId="41" xfId="0" applyFont="1" applyBorder="1" applyAlignment="1" applyProtection="1">
      <alignment vertical="center"/>
    </xf>
    <xf numFmtId="0" fontId="2" fillId="0" borderId="25" xfId="0" applyFont="1" applyBorder="1" applyAlignment="1" applyProtection="1">
      <alignment vertical="center"/>
    </xf>
    <xf numFmtId="0" fontId="2" fillId="10" borderId="0" xfId="0" applyFont="1" applyFill="1" applyBorder="1" applyAlignment="1" applyProtection="1">
      <alignment horizontal="center" vertical="center"/>
      <protection locked="0"/>
    </xf>
    <xf numFmtId="0" fontId="2" fillId="50" borderId="25" xfId="0" applyFont="1" applyFill="1" applyBorder="1" applyAlignment="1" applyProtection="1">
      <protection locked="0"/>
    </xf>
    <xf numFmtId="0" fontId="2" fillId="55" borderId="25" xfId="0" applyFont="1" applyFill="1" applyBorder="1" applyAlignment="1" applyProtection="1">
      <protection locked="0"/>
    </xf>
    <xf numFmtId="0" fontId="2" fillId="50" borderId="41" xfId="0" applyFont="1" applyFill="1" applyBorder="1" applyAlignment="1" applyProtection="1">
      <protection locked="0"/>
    </xf>
    <xf numFmtId="4" fontId="2" fillId="0" borderId="0" xfId="2" applyNumberFormat="1" applyFont="1" applyAlignment="1">
      <alignment horizontal="center"/>
    </xf>
    <xf numFmtId="0" fontId="2" fillId="0" borderId="41" xfId="0" applyFont="1" applyBorder="1" applyAlignment="1"/>
    <xf numFmtId="0" fontId="2" fillId="0" borderId="25" xfId="0" applyFont="1" applyBorder="1" applyAlignment="1"/>
    <xf numFmtId="0" fontId="2" fillId="0" borderId="0" xfId="0" applyFont="1" applyAlignment="1" applyProtection="1">
      <protection locked="0"/>
    </xf>
    <xf numFmtId="4" fontId="2" fillId="0" borderId="0" xfId="2" applyNumberFormat="1" applyFont="1" applyAlignment="1" applyProtection="1">
      <alignment horizontal="center"/>
      <protection locked="0"/>
    </xf>
    <xf numFmtId="44" fontId="2" fillId="0" borderId="0" xfId="1" applyFont="1" applyAlignment="1" applyProtection="1">
      <protection locked="0"/>
    </xf>
    <xf numFmtId="0" fontId="2" fillId="60" borderId="1" xfId="3" applyFont="1" applyFill="1" applyBorder="1" applyAlignment="1" applyProtection="1">
      <protection locked="0"/>
    </xf>
    <xf numFmtId="0" fontId="2" fillId="0" borderId="1" xfId="3" applyFont="1" applyFill="1" applyBorder="1" applyAlignment="1" applyProtection="1">
      <protection locked="0"/>
    </xf>
    <xf numFmtId="0" fontId="2" fillId="9" borderId="0" xfId="0" applyFont="1" applyFill="1" applyAlignment="1" applyProtection="1"/>
    <xf numFmtId="0" fontId="2" fillId="9" borderId="0" xfId="0" applyFont="1" applyFill="1" applyAlignment="1" applyProtection="1">
      <alignment horizontal="left"/>
    </xf>
    <xf numFmtId="44" fontId="2" fillId="9" borderId="0" xfId="1" applyFont="1" applyFill="1" applyAlignment="1" applyProtection="1"/>
    <xf numFmtId="0" fontId="2" fillId="9" borderId="0" xfId="0" applyNumberFormat="1" applyFont="1" applyFill="1" applyAlignment="1" applyProtection="1"/>
    <xf numFmtId="0" fontId="2" fillId="9" borderId="0" xfId="0" applyFont="1" applyFill="1" applyBorder="1" applyAlignment="1" applyProtection="1"/>
    <xf numFmtId="0" fontId="2" fillId="9" borderId="0" xfId="0" applyFont="1" applyFill="1" applyAlignment="1" applyProtection="1">
      <alignment vertical="center"/>
    </xf>
    <xf numFmtId="0" fontId="2" fillId="9" borderId="0" xfId="0" applyFont="1" applyFill="1" applyBorder="1" applyAlignment="1" applyProtection="1">
      <alignment vertical="center"/>
    </xf>
    <xf numFmtId="0" fontId="2" fillId="9" borderId="0" xfId="0" applyFont="1" applyFill="1" applyBorder="1" applyAlignment="1" applyProtection="1">
      <alignment horizontal="left"/>
    </xf>
    <xf numFmtId="0" fontId="2" fillId="51" borderId="44" xfId="0" applyFont="1" applyFill="1" applyBorder="1" applyAlignment="1" applyProtection="1">
      <alignment horizontal="center"/>
    </xf>
    <xf numFmtId="0" fontId="2" fillId="9" borderId="0" xfId="0" applyFont="1" applyFill="1" applyBorder="1" applyAlignment="1" applyProtection="1">
      <alignment horizontal="center"/>
    </xf>
    <xf numFmtId="0" fontId="2" fillId="9" borderId="0" xfId="0" applyNumberFormat="1" applyFont="1" applyFill="1" applyBorder="1" applyAlignment="1" applyProtection="1"/>
    <xf numFmtId="0" fontId="31" fillId="57" borderId="38" xfId="0" applyFont="1" applyFill="1" applyBorder="1" applyAlignment="1" applyProtection="1">
      <alignment horizontal="center"/>
    </xf>
    <xf numFmtId="0" fontId="0" fillId="57" borderId="0" xfId="0" applyFill="1" applyBorder="1" applyAlignment="1" applyProtection="1">
      <alignment horizontal="center"/>
    </xf>
    <xf numFmtId="164" fontId="31" fillId="54" borderId="24" xfId="2" applyNumberFormat="1" applyFont="1" applyFill="1" applyBorder="1" applyAlignment="1" applyProtection="1">
      <alignment horizontal="center" vertical="center"/>
      <protection locked="0"/>
    </xf>
    <xf numFmtId="0" fontId="10" fillId="6" borderId="41" xfId="0" applyFont="1" applyFill="1" applyBorder="1" applyAlignment="1" applyProtection="1">
      <alignment horizontal="center" vertical="center"/>
    </xf>
    <xf numFmtId="0" fontId="12" fillId="50" borderId="44" xfId="0" applyFont="1" applyFill="1" applyBorder="1" applyAlignment="1" applyProtection="1">
      <alignment horizontal="center" vertical="center"/>
      <protection hidden="1"/>
    </xf>
    <xf numFmtId="0" fontId="0" fillId="9" borderId="0" xfId="0" applyFill="1" applyAlignment="1" applyProtection="1">
      <alignment horizontal="center"/>
    </xf>
    <xf numFmtId="0" fontId="10" fillId="6" borderId="0" xfId="0" applyFont="1" applyFill="1" applyBorder="1" applyAlignment="1" applyProtection="1">
      <alignment vertical="center"/>
    </xf>
    <xf numFmtId="0" fontId="10" fillId="6" borderId="42" xfId="0" applyFont="1" applyFill="1" applyBorder="1" applyAlignment="1" applyProtection="1">
      <alignment horizontal="center" vertical="center"/>
    </xf>
    <xf numFmtId="9" fontId="10" fillId="6" borderId="37" xfId="5" applyFont="1" applyFill="1" applyBorder="1" applyAlignment="1" applyProtection="1">
      <alignment vertical="center"/>
    </xf>
    <xf numFmtId="0" fontId="30" fillId="6" borderId="0" xfId="0" applyFont="1" applyFill="1" applyBorder="1" applyAlignment="1" applyProtection="1">
      <alignment horizontal="center"/>
    </xf>
    <xf numFmtId="0" fontId="11" fillId="13" borderId="0" xfId="0" applyFont="1" applyFill="1" applyBorder="1" applyAlignment="1" applyProtection="1">
      <alignment horizontal="center"/>
    </xf>
    <xf numFmtId="0" fontId="31" fillId="9" borderId="0" xfId="0" applyFont="1" applyFill="1" applyBorder="1" applyAlignment="1" applyProtection="1">
      <protection locked="0"/>
    </xf>
    <xf numFmtId="0" fontId="45" fillId="9" borderId="0" xfId="0" applyFont="1" applyFill="1" applyBorder="1" applyAlignment="1" applyProtection="1">
      <alignment horizontal="center" vertical="top"/>
    </xf>
    <xf numFmtId="0" fontId="11" fillId="9" borderId="0" xfId="0" applyFont="1" applyFill="1" applyBorder="1" applyAlignment="1" applyProtection="1">
      <alignment horizontal="center"/>
    </xf>
    <xf numFmtId="0" fontId="31" fillId="9" borderId="0" xfId="0" applyFont="1" applyFill="1" applyBorder="1" applyProtection="1"/>
    <xf numFmtId="0" fontId="31" fillId="9" borderId="0" xfId="0" applyFont="1" applyFill="1" applyBorder="1" applyAlignment="1" applyProtection="1">
      <alignment horizontal="center" wrapText="1"/>
    </xf>
    <xf numFmtId="0" fontId="45" fillId="13" borderId="0" xfId="0" applyFont="1" applyFill="1" applyBorder="1" applyAlignment="1" applyProtection="1">
      <alignment horizontal="center" vertical="center"/>
    </xf>
    <xf numFmtId="0" fontId="65" fillId="6" borderId="0" xfId="2" applyNumberFormat="1" applyFont="1" applyFill="1" applyBorder="1" applyAlignment="1" applyProtection="1">
      <alignment horizontal="center"/>
    </xf>
    <xf numFmtId="0" fontId="16" fillId="6" borderId="0" xfId="0" applyFont="1" applyFill="1" applyBorder="1" applyAlignment="1" applyProtection="1">
      <alignment horizontal="right" vertical="top"/>
    </xf>
    <xf numFmtId="0" fontId="12" fillId="9" borderId="0" xfId="0" applyFont="1" applyFill="1" applyBorder="1" applyProtection="1"/>
    <xf numFmtId="0" fontId="18" fillId="9" borderId="0" xfId="0" applyFont="1" applyFill="1" applyBorder="1" applyAlignment="1" applyProtection="1">
      <alignment horizontal="left" vertical="center"/>
    </xf>
    <xf numFmtId="0" fontId="15" fillId="6" borderId="30" xfId="0" applyFont="1" applyFill="1" applyBorder="1" applyAlignment="1" applyProtection="1">
      <alignment horizontal="left" vertical="center"/>
    </xf>
    <xf numFmtId="0" fontId="15" fillId="6" borderId="40" xfId="0" applyFont="1" applyFill="1" applyBorder="1" applyAlignment="1" applyProtection="1">
      <alignment horizontal="left" vertical="center"/>
    </xf>
    <xf numFmtId="0" fontId="18" fillId="6" borderId="43" xfId="0" applyFont="1" applyFill="1" applyBorder="1" applyAlignment="1" applyProtection="1">
      <alignment vertical="center"/>
    </xf>
    <xf numFmtId="0" fontId="18" fillId="6" borderId="41" xfId="0" applyFont="1" applyFill="1" applyBorder="1" applyAlignment="1" applyProtection="1">
      <alignment vertical="center"/>
    </xf>
    <xf numFmtId="0" fontId="18" fillId="6" borderId="42" xfId="0" applyFont="1" applyFill="1" applyBorder="1" applyAlignment="1" applyProtection="1">
      <alignment vertical="center"/>
    </xf>
    <xf numFmtId="0" fontId="21" fillId="4" borderId="52" xfId="0" applyFont="1" applyFill="1" applyBorder="1" applyAlignment="1" applyProtection="1">
      <alignment vertical="top"/>
    </xf>
    <xf numFmtId="0" fontId="15" fillId="66" borderId="51" xfId="0" applyFont="1" applyFill="1" applyBorder="1" applyAlignment="1" applyProtection="1">
      <alignment horizontal="center" vertical="top"/>
      <protection locked="0"/>
    </xf>
    <xf numFmtId="0" fontId="0" fillId="9" borderId="52" xfId="0" applyFill="1" applyBorder="1" applyProtection="1"/>
    <xf numFmtId="0" fontId="0" fillId="9" borderId="51" xfId="0" applyFill="1" applyBorder="1" applyAlignment="1" applyProtection="1">
      <alignment horizontal="center"/>
    </xf>
    <xf numFmtId="0" fontId="0" fillId="9" borderId="55" xfId="0" applyFill="1" applyBorder="1" applyProtection="1"/>
    <xf numFmtId="0" fontId="21" fillId="9" borderId="45" xfId="0" applyFont="1" applyFill="1" applyBorder="1" applyAlignment="1" applyProtection="1">
      <alignment vertical="top"/>
    </xf>
    <xf numFmtId="0" fontId="31" fillId="9" borderId="45" xfId="0" applyFont="1" applyFill="1" applyBorder="1" applyAlignment="1" applyProtection="1">
      <alignment horizontal="center"/>
    </xf>
    <xf numFmtId="0" fontId="0" fillId="9" borderId="45" xfId="0" applyFill="1" applyBorder="1" applyAlignment="1" applyProtection="1">
      <alignment horizontal="center"/>
    </xf>
    <xf numFmtId="0" fontId="0" fillId="9" borderId="56" xfId="0" applyFill="1" applyBorder="1" applyAlignment="1" applyProtection="1">
      <alignment horizontal="center"/>
    </xf>
    <xf numFmtId="0" fontId="22" fillId="66" borderId="57" xfId="0" applyFont="1" applyFill="1" applyBorder="1" applyAlignment="1" applyProtection="1">
      <alignment vertical="top"/>
    </xf>
    <xf numFmtId="0" fontId="31" fillId="54" borderId="57" xfId="0" applyFont="1" applyFill="1" applyBorder="1" applyProtection="1">
      <protection locked="0"/>
    </xf>
    <xf numFmtId="0" fontId="22" fillId="54" borderId="57" xfId="0" applyFont="1" applyFill="1" applyBorder="1" applyAlignment="1" applyProtection="1">
      <alignment horizontal="right" vertical="top"/>
      <protection locked="0"/>
    </xf>
    <xf numFmtId="0" fontId="94" fillId="66" borderId="57" xfId="0" applyFont="1" applyFill="1" applyBorder="1" applyAlignment="1" applyProtection="1">
      <alignment horizontal="center" vertical="top"/>
    </xf>
    <xf numFmtId="3" fontId="94" fillId="66" borderId="57" xfId="0" applyNumberFormat="1" applyFont="1" applyFill="1" applyBorder="1" applyAlignment="1" applyProtection="1">
      <alignment horizontal="center" vertical="top"/>
    </xf>
    <xf numFmtId="0" fontId="96" fillId="9" borderId="0" xfId="0" applyFont="1" applyFill="1" applyProtection="1"/>
    <xf numFmtId="44" fontId="5" fillId="3" borderId="41" xfId="1" applyFont="1" applyFill="1" applyBorder="1" applyAlignment="1" applyProtection="1">
      <alignment horizontal="center" vertical="center" wrapText="1"/>
    </xf>
    <xf numFmtId="0" fontId="18" fillId="50" borderId="0" xfId="0" applyFont="1" applyFill="1" applyAlignment="1" applyProtection="1">
      <alignment wrapText="1"/>
    </xf>
    <xf numFmtId="0" fontId="45" fillId="13" borderId="0" xfId="0" applyFont="1" applyFill="1" applyBorder="1" applyAlignment="1" applyProtection="1">
      <alignment horizontal="center" vertical="center" wrapText="1"/>
    </xf>
    <xf numFmtId="44" fontId="5" fillId="3" borderId="41" xfId="1" applyFont="1" applyFill="1" applyBorder="1" applyAlignment="1" applyProtection="1">
      <alignment horizontal="center" vertical="center" wrapText="1"/>
    </xf>
    <xf numFmtId="0" fontId="27" fillId="54" borderId="24" xfId="0" applyFont="1" applyFill="1" applyBorder="1" applyAlignment="1" applyProtection="1">
      <alignment horizontal="center"/>
      <protection locked="0"/>
    </xf>
    <xf numFmtId="0" fontId="27" fillId="54" borderId="26" xfId="0" applyFont="1" applyFill="1" applyBorder="1" applyAlignment="1" applyProtection="1">
      <alignment horizontal="center"/>
      <protection locked="0"/>
    </xf>
    <xf numFmtId="0" fontId="18" fillId="54" borderId="26" xfId="0" applyFont="1" applyFill="1" applyBorder="1" applyAlignment="1" applyProtection="1">
      <alignment horizontal="center"/>
      <protection locked="0"/>
    </xf>
    <xf numFmtId="0" fontId="27" fillId="51" borderId="44" xfId="0" applyFont="1" applyFill="1" applyBorder="1" applyAlignment="1" applyProtection="1">
      <alignment horizontal="center"/>
    </xf>
    <xf numFmtId="44" fontId="5" fillId="3" borderId="0" xfId="1" applyFont="1" applyFill="1" applyBorder="1" applyAlignment="1" applyProtection="1">
      <alignment horizontal="center" vertical="center"/>
    </xf>
    <xf numFmtId="0" fontId="12" fillId="51" borderId="24" xfId="0" applyFont="1" applyFill="1" applyBorder="1" applyAlignment="1" applyProtection="1">
      <alignment horizontal="center" vertical="center"/>
      <protection hidden="1"/>
    </xf>
    <xf numFmtId="0" fontId="12" fillId="51" borderId="44" xfId="0" applyFont="1" applyFill="1" applyBorder="1" applyAlignment="1" applyProtection="1">
      <alignment horizontal="center" vertical="center"/>
      <protection hidden="1"/>
    </xf>
    <xf numFmtId="164" fontId="38" fillId="9" borderId="0" xfId="2" applyNumberFormat="1" applyFont="1" applyFill="1" applyBorder="1" applyAlignment="1" applyProtection="1">
      <alignment horizontal="left" vertical="top"/>
      <protection locked="0"/>
    </xf>
    <xf numFmtId="0" fontId="10" fillId="6" borderId="30" xfId="0" applyFont="1" applyFill="1" applyBorder="1" applyAlignment="1" applyProtection="1">
      <alignment vertical="center"/>
    </xf>
    <xf numFmtId="0" fontId="10" fillId="54" borderId="38" xfId="0" applyFont="1" applyFill="1" applyBorder="1" applyAlignment="1" applyProtection="1">
      <alignment horizontal="center" vertical="center"/>
      <protection locked="0"/>
    </xf>
    <xf numFmtId="0" fontId="71" fillId="11" borderId="0" xfId="0" applyFont="1" applyFill="1" applyBorder="1" applyAlignment="1" applyProtection="1">
      <alignment vertical="center" wrapText="1"/>
    </xf>
    <xf numFmtId="0" fontId="20" fillId="11" borderId="0" xfId="0" applyFont="1" applyFill="1" applyBorder="1" applyAlignment="1" applyProtection="1">
      <alignment vertical="center" wrapText="1"/>
    </xf>
    <xf numFmtId="0" fontId="20" fillId="11" borderId="41" xfId="0" applyFont="1" applyFill="1" applyBorder="1" applyAlignment="1" applyProtection="1">
      <alignment vertical="center" wrapText="1"/>
    </xf>
    <xf numFmtId="0" fontId="20" fillId="9" borderId="41" xfId="0" applyFont="1" applyFill="1" applyBorder="1" applyAlignment="1" applyProtection="1">
      <alignment vertical="center" wrapText="1"/>
    </xf>
    <xf numFmtId="0" fontId="18" fillId="51" borderId="38" xfId="0" applyFont="1" applyFill="1" applyBorder="1" applyAlignment="1" applyProtection="1">
      <alignment vertical="center" wrapText="1"/>
    </xf>
    <xf numFmtId="0" fontId="18" fillId="51" borderId="41" xfId="0" applyFont="1" applyFill="1" applyBorder="1" applyAlignment="1" applyProtection="1">
      <alignment vertical="center" wrapText="1"/>
    </xf>
    <xf numFmtId="0" fontId="18" fillId="51" borderId="39" xfId="0" applyFont="1" applyFill="1" applyBorder="1" applyAlignment="1" applyProtection="1">
      <alignment vertical="center" wrapText="1"/>
    </xf>
    <xf numFmtId="0" fontId="18" fillId="51" borderId="42" xfId="0" applyFont="1" applyFill="1" applyBorder="1" applyAlignment="1" applyProtection="1">
      <alignment vertical="center" wrapText="1"/>
    </xf>
    <xf numFmtId="0" fontId="18" fillId="51" borderId="0" xfId="0" applyFont="1" applyFill="1" applyBorder="1" applyAlignment="1" applyProtection="1">
      <alignment vertical="center" wrapText="1"/>
    </xf>
    <xf numFmtId="0" fontId="18" fillId="51" borderId="43" xfId="0" applyFont="1" applyFill="1" applyBorder="1" applyAlignment="1" applyProtection="1">
      <alignment vertical="center" wrapText="1"/>
    </xf>
    <xf numFmtId="0" fontId="71" fillId="9" borderId="0" xfId="0" applyFont="1" applyFill="1" applyBorder="1" applyAlignment="1" applyProtection="1">
      <alignment vertical="center" wrapText="1"/>
    </xf>
    <xf numFmtId="0" fontId="20" fillId="9" borderId="0" xfId="0" applyFont="1" applyFill="1" applyBorder="1" applyAlignment="1" applyProtection="1">
      <alignment vertical="center" wrapText="1"/>
    </xf>
    <xf numFmtId="0" fontId="18" fillId="9" borderId="38" xfId="0" applyFont="1" applyFill="1" applyBorder="1" applyAlignment="1" applyProtection="1">
      <alignment vertical="center" wrapText="1"/>
    </xf>
    <xf numFmtId="0" fontId="18" fillId="9" borderId="41" xfId="0" applyFont="1" applyFill="1" applyBorder="1" applyAlignment="1" applyProtection="1">
      <alignment vertical="center" wrapText="1"/>
    </xf>
    <xf numFmtId="0" fontId="18" fillId="9" borderId="0" xfId="0" applyFont="1" applyFill="1" applyBorder="1" applyAlignment="1" applyProtection="1">
      <alignment vertical="center" wrapText="1"/>
    </xf>
    <xf numFmtId="0" fontId="73" fillId="11" borderId="28" xfId="0" applyFont="1" applyFill="1" applyBorder="1" applyAlignment="1" applyProtection="1">
      <alignment vertical="center"/>
    </xf>
    <xf numFmtId="0" fontId="73" fillId="11" borderId="29" xfId="0" applyFont="1" applyFill="1" applyBorder="1" applyAlignment="1" applyProtection="1">
      <alignment vertical="center"/>
    </xf>
    <xf numFmtId="0" fontId="73" fillId="9" borderId="28" xfId="0" applyFont="1" applyFill="1" applyBorder="1" applyAlignment="1" applyProtection="1">
      <alignment vertical="center"/>
    </xf>
    <xf numFmtId="0" fontId="2" fillId="9" borderId="0" xfId="0" applyFont="1" applyFill="1" applyProtection="1"/>
    <xf numFmtId="0" fontId="28" fillId="9" borderId="0" xfId="0" applyFont="1" applyFill="1" applyBorder="1" applyAlignment="1" applyProtection="1">
      <alignment horizontal="center" vertical="center" wrapText="1"/>
    </xf>
    <xf numFmtId="0" fontId="104" fillId="6" borderId="30" xfId="0" applyFont="1" applyFill="1" applyBorder="1" applyAlignment="1" applyProtection="1">
      <alignment vertical="center"/>
    </xf>
    <xf numFmtId="0" fontId="85" fillId="60" borderId="1" xfId="9" applyFont="1" applyFill="1" applyBorder="1" applyAlignment="1" applyProtection="1"/>
    <xf numFmtId="0" fontId="39" fillId="0" borderId="1" xfId="9" applyBorder="1" applyAlignment="1" applyProtection="1"/>
    <xf numFmtId="0" fontId="61" fillId="0" borderId="6" xfId="0" applyFont="1" applyFill="1" applyBorder="1" applyAlignment="1">
      <alignment horizontal="left" vertical="center"/>
    </xf>
    <xf numFmtId="0" fontId="38" fillId="62" borderId="44" xfId="0" applyFont="1" applyFill="1" applyBorder="1" applyAlignment="1" applyProtection="1">
      <alignment horizontal="center" vertical="center"/>
      <protection locked="0" hidden="1"/>
    </xf>
    <xf numFmtId="0" fontId="1" fillId="0" borderId="1" xfId="3" applyFont="1" applyFill="1" applyBorder="1" applyAlignment="1" applyProtection="1">
      <protection locked="0"/>
    </xf>
    <xf numFmtId="0" fontId="31" fillId="9" borderId="0" xfId="0" applyFont="1" applyFill="1" applyBorder="1" applyAlignment="1">
      <alignment horizontal="center" vertical="center" wrapText="1"/>
    </xf>
    <xf numFmtId="0" fontId="31" fillId="7" borderId="1" xfId="54" applyFont="1" applyFill="1" applyBorder="1" applyAlignment="1">
      <alignment horizontal="center" vertical="center" wrapText="1"/>
    </xf>
    <xf numFmtId="10" fontId="0" fillId="0" borderId="0" xfId="6" applyNumberFormat="1" applyFont="1" applyFill="1" applyBorder="1" applyAlignment="1">
      <alignment vertical="top"/>
    </xf>
    <xf numFmtId="164" fontId="0" fillId="0" borderId="0" xfId="7" applyNumberFormat="1" applyFont="1" applyFill="1" applyBorder="1" applyAlignment="1">
      <alignment vertical="top"/>
    </xf>
    <xf numFmtId="0" fontId="0" fillId="0" borderId="6" xfId="0" applyFill="1" applyBorder="1"/>
    <xf numFmtId="0" fontId="61" fillId="0" borderId="2" xfId="0" applyFont="1" applyFill="1" applyBorder="1" applyAlignment="1">
      <alignment horizontal="left" vertical="center"/>
    </xf>
    <xf numFmtId="0" fontId="61" fillId="0" borderId="4" xfId="0" applyFont="1" applyFill="1" applyBorder="1" applyAlignment="1">
      <alignment horizontal="left" vertical="center"/>
    </xf>
    <xf numFmtId="0" fontId="61" fillId="0" borderId="71" xfId="0" applyFont="1" applyFill="1" applyBorder="1" applyAlignment="1">
      <alignment horizontal="left" vertical="center"/>
    </xf>
    <xf numFmtId="0" fontId="61" fillId="0" borderId="2" xfId="0" applyFont="1" applyFill="1" applyBorder="1" applyAlignment="1">
      <alignment horizontal="center" vertical="center"/>
    </xf>
    <xf numFmtId="0" fontId="61" fillId="0" borderId="4" xfId="0" applyFont="1" applyFill="1" applyBorder="1" applyAlignment="1">
      <alignment horizontal="center" vertical="center"/>
    </xf>
    <xf numFmtId="0" fontId="61" fillId="0" borderId="71" xfId="0" applyFont="1" applyFill="1" applyBorder="1" applyAlignment="1">
      <alignment horizontal="center" vertical="center"/>
    </xf>
    <xf numFmtId="0" fontId="0" fillId="0" borderId="71" xfId="0" applyBorder="1"/>
    <xf numFmtId="0" fontId="61" fillId="0" borderId="6" xfId="0" applyNumberFormat="1" applyFont="1" applyFill="1" applyBorder="1" applyAlignment="1">
      <alignment horizontal="left" vertical="center"/>
    </xf>
    <xf numFmtId="168" fontId="7" fillId="60" borderId="1" xfId="11" applyNumberFormat="1" applyFont="1" applyFill="1" applyBorder="1" applyAlignment="1">
      <alignment horizontal="center" wrapText="1"/>
    </xf>
    <xf numFmtId="168" fontId="7" fillId="0" borderId="1" xfId="11" applyNumberFormat="1" applyFont="1" applyFill="1" applyBorder="1" applyAlignment="1">
      <alignment horizontal="center" wrapText="1"/>
    </xf>
    <xf numFmtId="168" fontId="47" fillId="0" borderId="1" xfId="11" applyNumberFormat="1" applyBorder="1" applyAlignment="1">
      <alignment horizontal="center"/>
    </xf>
    <xf numFmtId="168" fontId="47" fillId="60" borderId="1" xfId="11" applyNumberFormat="1" applyFill="1" applyBorder="1" applyAlignment="1">
      <alignment horizontal="center"/>
    </xf>
    <xf numFmtId="168" fontId="0" fillId="0" borderId="1" xfId="0" applyNumberFormat="1" applyBorder="1" applyAlignment="1">
      <alignment horizontal="center"/>
    </xf>
    <xf numFmtId="168" fontId="0" fillId="0" borderId="0" xfId="0" applyNumberFormat="1" applyAlignment="1">
      <alignment horizontal="center"/>
    </xf>
    <xf numFmtId="0" fontId="34" fillId="9" borderId="1" xfId="10" applyFont="1" applyFill="1" applyBorder="1" applyAlignment="1">
      <alignment horizontal="left" wrapText="1"/>
    </xf>
    <xf numFmtId="4" fontId="7" fillId="0" borderId="1" xfId="3" applyNumberFormat="1" applyFont="1" applyBorder="1" applyAlignment="1">
      <alignment horizontal="center" vertical="top"/>
    </xf>
    <xf numFmtId="0" fontId="12" fillId="66" borderId="24" xfId="0" applyFont="1" applyFill="1" applyBorder="1" applyAlignment="1" applyProtection="1">
      <alignment vertical="center"/>
      <protection locked="0"/>
    </xf>
    <xf numFmtId="0" fontId="2" fillId="51" borderId="34" xfId="0" applyFont="1" applyFill="1" applyBorder="1" applyAlignment="1" applyProtection="1">
      <alignment horizontal="center"/>
    </xf>
    <xf numFmtId="0" fontId="27" fillId="51" borderId="34" xfId="0" applyFont="1" applyFill="1" applyBorder="1" applyAlignment="1" applyProtection="1">
      <alignment horizontal="left"/>
    </xf>
    <xf numFmtId="0" fontId="27" fillId="51" borderId="34" xfId="0" applyFont="1" applyFill="1" applyBorder="1" applyAlignment="1" applyProtection="1">
      <alignment horizontal="center"/>
    </xf>
    <xf numFmtId="0" fontId="27" fillId="51" borderId="34" xfId="0" applyNumberFormat="1" applyFont="1" applyFill="1" applyBorder="1" applyAlignment="1" applyProtection="1">
      <alignment horizontal="center"/>
    </xf>
    <xf numFmtId="0" fontId="0" fillId="66" borderId="0" xfId="0" applyFill="1" applyBorder="1" applyAlignment="1" applyProtection="1">
      <alignment horizontal="left"/>
    </xf>
    <xf numFmtId="0" fontId="0" fillId="6" borderId="0" xfId="0" applyFill="1" applyBorder="1" applyProtection="1">
      <protection locked="0"/>
    </xf>
    <xf numFmtId="0" fontId="18" fillId="66" borderId="40" xfId="0" applyFont="1" applyFill="1" applyBorder="1" applyAlignment="1" applyProtection="1">
      <alignment horizontal="center"/>
      <protection locked="0"/>
    </xf>
    <xf numFmtId="0" fontId="73" fillId="11" borderId="24" xfId="0" applyFont="1" applyFill="1" applyBorder="1" applyAlignment="1" applyProtection="1">
      <alignment horizontal="center" vertical="center"/>
    </xf>
    <xf numFmtId="0" fontId="73" fillId="11" borderId="25" xfId="0" applyFont="1" applyFill="1" applyBorder="1" applyAlignment="1" applyProtection="1">
      <alignment horizontal="center" vertical="center"/>
    </xf>
    <xf numFmtId="0" fontId="73" fillId="11" borderId="70" xfId="0" applyFont="1" applyFill="1" applyBorder="1" applyAlignment="1" applyProtection="1">
      <alignment horizontal="center" vertical="center"/>
    </xf>
    <xf numFmtId="0" fontId="12" fillId="6" borderId="44" xfId="0" applyFont="1" applyFill="1" applyBorder="1" applyAlignment="1" applyProtection="1">
      <alignment horizontal="center" vertical="center" wrapText="1"/>
    </xf>
    <xf numFmtId="0" fontId="28" fillId="0" borderId="0" xfId="0" applyFont="1" applyBorder="1" applyAlignment="1" applyProtection="1">
      <alignment horizontal="center" vertical="center" wrapText="1"/>
    </xf>
    <xf numFmtId="0" fontId="72" fillId="2" borderId="24" xfId="0" applyFont="1" applyFill="1" applyBorder="1" applyAlignment="1" applyProtection="1">
      <alignment horizontal="center" vertical="center"/>
      <protection locked="0"/>
    </xf>
    <xf numFmtId="0" fontId="72" fillId="2" borderId="38" xfId="0" applyFont="1" applyFill="1" applyBorder="1" applyAlignment="1" applyProtection="1">
      <alignment horizontal="center" vertical="center"/>
      <protection locked="0"/>
    </xf>
    <xf numFmtId="0" fontId="72" fillId="2" borderId="39" xfId="0" applyFont="1" applyFill="1" applyBorder="1" applyAlignment="1" applyProtection="1">
      <alignment horizontal="center" vertical="center"/>
      <protection locked="0"/>
    </xf>
    <xf numFmtId="0" fontId="39" fillId="6" borderId="37" xfId="9" applyFill="1" applyBorder="1" applyAlignment="1" applyProtection="1">
      <alignment horizontal="center" vertical="center" wrapText="1"/>
      <protection locked="0"/>
    </xf>
    <xf numFmtId="0" fontId="39" fillId="6" borderId="30" xfId="9" applyFill="1" applyBorder="1" applyAlignment="1" applyProtection="1">
      <alignment horizontal="center" vertical="center" wrapText="1"/>
      <protection locked="0"/>
    </xf>
    <xf numFmtId="0" fontId="39" fillId="6" borderId="40" xfId="9" applyFill="1" applyBorder="1" applyAlignment="1" applyProtection="1">
      <alignment horizontal="center" vertical="center" wrapText="1"/>
      <protection locked="0"/>
    </xf>
    <xf numFmtId="0" fontId="18" fillId="51" borderId="38" xfId="0" applyFont="1" applyFill="1" applyBorder="1" applyAlignment="1" applyProtection="1">
      <alignment horizontal="left" vertical="center" wrapText="1"/>
      <protection locked="0"/>
    </xf>
    <xf numFmtId="0" fontId="18" fillId="51" borderId="0" xfId="0" applyFont="1" applyFill="1" applyBorder="1" applyAlignment="1" applyProtection="1">
      <alignment horizontal="left" vertical="center" wrapText="1"/>
      <protection locked="0"/>
    </xf>
    <xf numFmtId="0" fontId="18" fillId="51" borderId="38" xfId="0" applyFont="1" applyFill="1" applyBorder="1" applyAlignment="1" applyProtection="1">
      <alignment horizontal="center" vertical="center" wrapText="1"/>
    </xf>
    <xf numFmtId="0" fontId="18" fillId="51" borderId="41" xfId="0" applyFont="1" applyFill="1" applyBorder="1" applyAlignment="1" applyProtection="1">
      <alignment horizontal="center" vertical="center" wrapText="1"/>
    </xf>
    <xf numFmtId="0" fontId="18" fillId="51" borderId="38" xfId="0" applyNumberFormat="1" applyFont="1" applyFill="1" applyBorder="1" applyAlignment="1" applyProtection="1">
      <alignment horizontal="left" vertical="center" wrapText="1"/>
      <protection locked="0"/>
    </xf>
    <xf numFmtId="0" fontId="18" fillId="51" borderId="0" xfId="0" applyNumberFormat="1" applyFont="1" applyFill="1" applyBorder="1" applyAlignment="1" applyProtection="1">
      <alignment horizontal="left" vertical="center" wrapText="1"/>
      <protection locked="0"/>
    </xf>
    <xf numFmtId="0" fontId="18" fillId="51" borderId="41" xfId="0" applyFont="1" applyFill="1" applyBorder="1" applyAlignment="1" applyProtection="1">
      <alignment horizontal="left" vertical="center" wrapText="1"/>
      <protection locked="0"/>
    </xf>
    <xf numFmtId="0" fontId="28" fillId="0" borderId="38" xfId="0" applyFont="1" applyBorder="1" applyAlignment="1" applyProtection="1">
      <alignment horizontal="center" vertical="center" wrapText="1"/>
    </xf>
    <xf numFmtId="0" fontId="10" fillId="54" borderId="44" xfId="0" applyFont="1" applyFill="1" applyBorder="1" applyAlignment="1" applyProtection="1">
      <alignment horizontal="center" wrapText="1"/>
    </xf>
    <xf numFmtId="0" fontId="18" fillId="51" borderId="41" xfId="0" applyNumberFormat="1" applyFont="1" applyFill="1" applyBorder="1" applyAlignment="1" applyProtection="1">
      <alignment horizontal="left" vertical="center" wrapText="1"/>
      <protection locked="0"/>
    </xf>
    <xf numFmtId="0" fontId="39" fillId="6" borderId="38" xfId="9" applyFill="1" applyBorder="1" applyAlignment="1" applyProtection="1">
      <alignment horizontal="center" vertical="center" wrapText="1"/>
      <protection locked="0"/>
    </xf>
    <xf numFmtId="0" fontId="39" fillId="6" borderId="41" xfId="9" applyFill="1" applyBorder="1" applyAlignment="1" applyProtection="1">
      <alignment horizontal="center" vertical="center" wrapText="1"/>
      <protection locked="0"/>
    </xf>
    <xf numFmtId="0" fontId="23" fillId="9" borderId="0" xfId="0" applyFont="1" applyFill="1" applyAlignment="1" applyProtection="1">
      <alignment horizontal="left"/>
    </xf>
    <xf numFmtId="0" fontId="24" fillId="9" borderId="0" xfId="0" applyFont="1" applyFill="1" applyAlignment="1" applyProtection="1">
      <alignment horizontal="left" vertical="top"/>
    </xf>
    <xf numFmtId="0" fontId="16" fillId="9" borderId="0" xfId="0" applyFont="1" applyFill="1" applyAlignment="1" applyProtection="1">
      <alignment horizontal="left" vertical="top"/>
    </xf>
    <xf numFmtId="0" fontId="71" fillId="11" borderId="0" xfId="0" applyFont="1" applyFill="1" applyBorder="1" applyAlignment="1" applyProtection="1">
      <alignment horizontal="center" vertical="center" wrapText="1"/>
    </xf>
    <xf numFmtId="0" fontId="71" fillId="11" borderId="41" xfId="0" applyFont="1" applyFill="1" applyBorder="1" applyAlignment="1" applyProtection="1">
      <alignment horizontal="center" vertical="center" wrapText="1"/>
    </xf>
    <xf numFmtId="0" fontId="15" fillId="6" borderId="38" xfId="0" applyFont="1" applyFill="1" applyBorder="1" applyAlignment="1" applyProtection="1">
      <alignment horizontal="center" vertical="center" wrapText="1"/>
    </xf>
    <xf numFmtId="0" fontId="15" fillId="6" borderId="41" xfId="0" applyFont="1" applyFill="1" applyBorder="1" applyAlignment="1" applyProtection="1">
      <alignment horizontal="center" vertical="center" wrapText="1"/>
    </xf>
    <xf numFmtId="0" fontId="18" fillId="51" borderId="0" xfId="0" applyFont="1" applyFill="1" applyBorder="1" applyAlignment="1" applyProtection="1">
      <alignment horizontal="center" vertical="center" wrapText="1"/>
    </xf>
    <xf numFmtId="0" fontId="15" fillId="6" borderId="0" xfId="0" applyFont="1" applyFill="1" applyBorder="1" applyAlignment="1" applyProtection="1">
      <alignment horizontal="center" vertical="center" wrapText="1"/>
    </xf>
    <xf numFmtId="0" fontId="15" fillId="6" borderId="0" xfId="0" applyFont="1" applyFill="1" applyBorder="1" applyAlignment="1" applyProtection="1">
      <alignment horizontal="center" vertical="center"/>
    </xf>
    <xf numFmtId="0" fontId="12" fillId="54" borderId="41" xfId="0" applyFont="1" applyFill="1" applyBorder="1" applyAlignment="1" applyProtection="1">
      <alignment horizontal="center" vertical="top" wrapText="1"/>
      <protection locked="0"/>
    </xf>
    <xf numFmtId="0" fontId="12" fillId="54" borderId="41" xfId="0" applyFont="1" applyFill="1" applyBorder="1" applyAlignment="1" applyProtection="1">
      <alignment horizontal="center" vertical="center" wrapText="1"/>
      <protection locked="0"/>
    </xf>
    <xf numFmtId="0" fontId="15" fillId="6" borderId="38" xfId="0" applyFont="1" applyFill="1" applyBorder="1" applyAlignment="1" applyProtection="1">
      <alignment horizontal="center" vertical="center"/>
    </xf>
    <xf numFmtId="0" fontId="12" fillId="54" borderId="38" xfId="0" applyFont="1" applyFill="1" applyBorder="1" applyAlignment="1" applyProtection="1">
      <alignment horizontal="center" vertical="top" wrapText="1"/>
      <protection locked="0"/>
    </xf>
    <xf numFmtId="0" fontId="12" fillId="54" borderId="38" xfId="0" applyFont="1" applyFill="1" applyBorder="1" applyAlignment="1" applyProtection="1">
      <alignment horizontal="center" vertical="center" wrapText="1"/>
      <protection locked="0"/>
    </xf>
    <xf numFmtId="0" fontId="12" fillId="0" borderId="37" xfId="0" applyFont="1" applyBorder="1" applyAlignment="1" applyProtection="1">
      <alignment horizontal="left" vertical="center" wrapText="1"/>
    </xf>
    <xf numFmtId="0" fontId="12" fillId="0" borderId="38" xfId="0" applyFont="1" applyBorder="1" applyAlignment="1" applyProtection="1">
      <alignment horizontal="left" vertical="center" wrapText="1"/>
    </xf>
    <xf numFmtId="0" fontId="12" fillId="0" borderId="39" xfId="0" applyFont="1" applyBorder="1" applyAlignment="1" applyProtection="1">
      <alignment horizontal="left" vertical="center" wrapText="1"/>
    </xf>
    <xf numFmtId="0" fontId="12" fillId="0" borderId="30" xfId="0" applyFont="1" applyBorder="1" applyAlignment="1" applyProtection="1">
      <alignment horizontal="left" vertical="center" wrapText="1"/>
    </xf>
    <xf numFmtId="0" fontId="12" fillId="0" borderId="0" xfId="0" applyFont="1" applyBorder="1" applyAlignment="1" applyProtection="1">
      <alignment horizontal="left" vertical="center" wrapText="1"/>
    </xf>
    <xf numFmtId="0" fontId="12" fillId="0" borderId="43" xfId="0" applyFont="1" applyBorder="1" applyAlignment="1" applyProtection="1">
      <alignment horizontal="left" vertical="center" wrapText="1"/>
    </xf>
    <xf numFmtId="0" fontId="82" fillId="9" borderId="40" xfId="0" applyFont="1" applyFill="1" applyBorder="1" applyAlignment="1" applyProtection="1">
      <alignment horizontal="left" vertical="top" wrapText="1"/>
    </xf>
    <xf numFmtId="0" fontId="82" fillId="9" borderId="41" xfId="0" applyFont="1" applyFill="1" applyBorder="1" applyAlignment="1" applyProtection="1">
      <alignment horizontal="left" vertical="top" wrapText="1"/>
    </xf>
    <xf numFmtId="0" fontId="82" fillId="9" borderId="42" xfId="0" applyFont="1" applyFill="1" applyBorder="1" applyAlignment="1" applyProtection="1">
      <alignment horizontal="left" vertical="top" wrapText="1"/>
    </xf>
    <xf numFmtId="0" fontId="11" fillId="2" borderId="24" xfId="0" applyFont="1" applyFill="1" applyBorder="1" applyAlignment="1" applyProtection="1">
      <alignment horizontal="center" vertical="top"/>
    </xf>
    <xf numFmtId="0" fontId="11" fillId="2" borderId="25" xfId="0" applyFont="1" applyFill="1" applyBorder="1" applyAlignment="1" applyProtection="1">
      <alignment horizontal="center" vertical="top"/>
    </xf>
    <xf numFmtId="0" fontId="11" fillId="2" borderId="26" xfId="0" applyFont="1" applyFill="1" applyBorder="1" applyAlignment="1" applyProtection="1">
      <alignment horizontal="center" vertical="top"/>
    </xf>
    <xf numFmtId="0" fontId="15" fillId="51" borderId="38" xfId="0" applyFont="1" applyFill="1" applyBorder="1" applyAlignment="1" applyProtection="1">
      <alignment horizontal="center" vertical="center"/>
    </xf>
    <xf numFmtId="0" fontId="15" fillId="51" borderId="0" xfId="0" applyFont="1" applyFill="1" applyBorder="1" applyAlignment="1" applyProtection="1">
      <alignment horizontal="center" vertical="center"/>
    </xf>
    <xf numFmtId="0" fontId="10" fillId="6" borderId="31" xfId="0" applyFont="1" applyFill="1" applyBorder="1" applyAlignment="1" applyProtection="1">
      <alignment horizontal="center" vertical="center" wrapText="1"/>
    </xf>
    <xf numFmtId="0" fontId="10" fillId="6" borderId="32" xfId="0" applyFont="1" applyFill="1" applyBorder="1" applyAlignment="1" applyProtection="1">
      <alignment horizontal="center" vertical="center" wrapText="1"/>
    </xf>
    <xf numFmtId="0" fontId="10" fillId="6" borderId="33" xfId="0" applyFont="1" applyFill="1" applyBorder="1" applyAlignment="1" applyProtection="1">
      <alignment horizontal="center" vertical="center" wrapText="1"/>
    </xf>
    <xf numFmtId="0" fontId="10" fillId="54" borderId="27" xfId="0" applyFont="1" applyFill="1" applyBorder="1" applyAlignment="1" applyProtection="1">
      <alignment horizontal="left" vertical="center" wrapText="1"/>
    </xf>
    <xf numFmtId="0" fontId="10" fillId="54" borderId="28" xfId="0" applyFont="1" applyFill="1" applyBorder="1" applyAlignment="1" applyProtection="1">
      <alignment horizontal="left" vertical="center" wrapText="1"/>
    </xf>
    <xf numFmtId="0" fontId="10" fillId="54" borderId="29" xfId="0" applyFont="1" applyFill="1" applyBorder="1" applyAlignment="1" applyProtection="1">
      <alignment horizontal="left" vertical="center" wrapText="1"/>
    </xf>
    <xf numFmtId="0" fontId="29" fillId="2" borderId="24" xfId="0" applyFont="1" applyFill="1" applyBorder="1" applyAlignment="1" applyProtection="1">
      <alignment horizontal="center" vertical="top"/>
    </xf>
    <xf numFmtId="0" fontId="29" fillId="2" borderId="25" xfId="0" applyFont="1" applyFill="1" applyBorder="1" applyAlignment="1" applyProtection="1">
      <alignment horizontal="center" vertical="top"/>
    </xf>
    <xf numFmtId="0" fontId="29" fillId="2" borderId="26" xfId="0" applyFont="1" applyFill="1" applyBorder="1" applyAlignment="1" applyProtection="1">
      <alignment horizontal="center" vertical="top"/>
    </xf>
    <xf numFmtId="0" fontId="28" fillId="66" borderId="30" xfId="0" applyFont="1" applyFill="1" applyBorder="1" applyAlignment="1" applyProtection="1">
      <alignment horizontal="center" vertical="center"/>
      <protection locked="0"/>
    </xf>
    <xf numFmtId="0" fontId="28" fillId="66" borderId="0" xfId="0" applyFont="1" applyFill="1" applyBorder="1" applyAlignment="1" applyProtection="1">
      <alignment horizontal="center" vertical="center"/>
      <protection locked="0"/>
    </xf>
    <xf numFmtId="0" fontId="28" fillId="6" borderId="0" xfId="0" applyFont="1" applyFill="1" applyBorder="1" applyAlignment="1" applyProtection="1">
      <alignment horizontal="center" vertical="center"/>
    </xf>
    <xf numFmtId="0" fontId="28" fillId="6" borderId="43" xfId="0" applyFont="1" applyFill="1" applyBorder="1" applyAlignment="1" applyProtection="1">
      <alignment horizontal="center" vertical="center"/>
    </xf>
    <xf numFmtId="0" fontId="15" fillId="6" borderId="65" xfId="0" applyFont="1" applyFill="1" applyBorder="1" applyAlignment="1" applyProtection="1">
      <alignment horizontal="center" vertical="center" wrapText="1"/>
    </xf>
    <xf numFmtId="0" fontId="15" fillId="6" borderId="64" xfId="0" applyFont="1" applyFill="1" applyBorder="1" applyAlignment="1" applyProtection="1">
      <alignment horizontal="center" vertical="center" wrapText="1"/>
    </xf>
    <xf numFmtId="0" fontId="15" fillId="6" borderId="66"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xf>
    <xf numFmtId="0" fontId="29" fillId="2" borderId="62" xfId="0" applyFont="1" applyFill="1" applyBorder="1" applyAlignment="1" applyProtection="1">
      <alignment horizontal="center" vertical="center"/>
    </xf>
    <xf numFmtId="0" fontId="29" fillId="2" borderId="63" xfId="0" applyFont="1" applyFill="1" applyBorder="1" applyAlignment="1" applyProtection="1">
      <alignment horizontal="center" vertical="center"/>
    </xf>
    <xf numFmtId="164" fontId="101" fillId="51" borderId="0" xfId="2" applyNumberFormat="1" applyFont="1" applyFill="1" applyBorder="1" applyAlignment="1" applyProtection="1">
      <alignment horizontal="left" vertical="top"/>
      <protection locked="0"/>
    </xf>
    <xf numFmtId="164" fontId="38" fillId="51" borderId="0" xfId="2" applyNumberFormat="1" applyFont="1" applyFill="1" applyBorder="1" applyAlignment="1" applyProtection="1">
      <alignment horizontal="left" vertical="top"/>
      <protection locked="0"/>
    </xf>
    <xf numFmtId="0" fontId="102" fillId="6" borderId="67" xfId="9" applyFont="1" applyFill="1" applyBorder="1" applyAlignment="1" applyProtection="1">
      <alignment horizontal="center" vertical="center"/>
      <protection locked="0"/>
    </xf>
    <xf numFmtId="0" fontId="102" fillId="6" borderId="68" xfId="9" applyFont="1" applyFill="1" applyBorder="1" applyAlignment="1" applyProtection="1">
      <alignment horizontal="center" vertical="center"/>
      <protection locked="0"/>
    </xf>
    <xf numFmtId="0" fontId="102" fillId="6" borderId="69" xfId="9" applyFont="1" applyFill="1" applyBorder="1" applyAlignment="1" applyProtection="1">
      <alignment horizontal="center" vertical="center"/>
      <protection locked="0"/>
    </xf>
    <xf numFmtId="0" fontId="10" fillId="9" borderId="0" xfId="0" applyFont="1" applyFill="1" applyBorder="1" applyAlignment="1">
      <alignment horizontal="center"/>
    </xf>
    <xf numFmtId="0" fontId="0" fillId="51" borderId="37" xfId="0" applyFont="1" applyFill="1" applyBorder="1" applyAlignment="1" applyProtection="1">
      <alignment horizontal="center"/>
      <protection locked="0"/>
    </xf>
    <xf numFmtId="0" fontId="0" fillId="51" borderId="38" xfId="0" applyFont="1" applyFill="1" applyBorder="1" applyAlignment="1" applyProtection="1">
      <alignment horizontal="center"/>
      <protection locked="0"/>
    </xf>
    <xf numFmtId="0" fontId="37" fillId="0" borderId="1" xfId="0" applyFont="1" applyBorder="1" applyAlignment="1">
      <alignment horizontal="center" wrapText="1"/>
    </xf>
    <xf numFmtId="0" fontId="0" fillId="51" borderId="24" xfId="0" applyFont="1" applyFill="1" applyBorder="1" applyAlignment="1" applyProtection="1">
      <alignment horizontal="center"/>
      <protection locked="0"/>
    </xf>
    <xf numFmtId="0" fontId="0" fillId="51" borderId="25" xfId="0" applyFont="1" applyFill="1" applyBorder="1" applyAlignment="1" applyProtection="1">
      <alignment horizontal="center"/>
      <protection locked="0"/>
    </xf>
    <xf numFmtId="0" fontId="0" fillId="51" borderId="26" xfId="0" applyFont="1" applyFill="1" applyBorder="1" applyAlignment="1" applyProtection="1">
      <alignment horizontal="center"/>
      <protection locked="0"/>
    </xf>
    <xf numFmtId="0" fontId="0" fillId="51" borderId="39" xfId="0" applyFont="1" applyFill="1" applyBorder="1" applyAlignment="1" applyProtection="1">
      <alignment horizontal="center"/>
      <protection locked="0"/>
    </xf>
    <xf numFmtId="0" fontId="0" fillId="51" borderId="0" xfId="0" applyFont="1" applyFill="1" applyBorder="1" applyAlignment="1" applyProtection="1">
      <alignment horizontal="center"/>
      <protection locked="0"/>
    </xf>
    <xf numFmtId="0" fontId="0" fillId="51" borderId="43" xfId="0" applyFont="1" applyFill="1" applyBorder="1" applyAlignment="1" applyProtection="1">
      <alignment horizontal="center"/>
      <protection locked="0"/>
    </xf>
    <xf numFmtId="0" fontId="10" fillId="6" borderId="43" xfId="0" applyFont="1" applyFill="1" applyBorder="1" applyAlignment="1" applyProtection="1">
      <alignment horizontal="center" vertical="center"/>
    </xf>
    <xf numFmtId="0" fontId="97" fillId="51" borderId="30" xfId="0" applyFont="1" applyFill="1" applyBorder="1" applyAlignment="1" applyProtection="1">
      <alignment horizontal="center" vertical="center"/>
    </xf>
    <xf numFmtId="0" fontId="97" fillId="51" borderId="0" xfId="0" applyFont="1" applyFill="1" applyBorder="1" applyAlignment="1" applyProtection="1">
      <alignment horizontal="center" vertical="center"/>
    </xf>
    <xf numFmtId="44" fontId="10" fillId="52" borderId="40" xfId="0" applyNumberFormat="1" applyFont="1" applyFill="1" applyBorder="1" applyAlignment="1" applyProtection="1">
      <alignment horizontal="center" vertical="center"/>
      <protection locked="0"/>
    </xf>
    <xf numFmtId="44" fontId="10" fillId="52" borderId="41" xfId="0" applyNumberFormat="1" applyFont="1" applyFill="1" applyBorder="1" applyAlignment="1" applyProtection="1">
      <alignment horizontal="center" vertical="center"/>
      <protection locked="0"/>
    </xf>
    <xf numFmtId="0" fontId="15" fillId="51" borderId="30" xfId="0" applyFont="1" applyFill="1" applyBorder="1" applyAlignment="1" applyProtection="1">
      <alignment horizontal="right" vertical="center"/>
    </xf>
    <xf numFmtId="0" fontId="15" fillId="51" borderId="0" xfId="0" applyFont="1" applyFill="1" applyBorder="1" applyAlignment="1" applyProtection="1">
      <alignment horizontal="right" vertical="center"/>
    </xf>
    <xf numFmtId="0" fontId="28" fillId="51" borderId="30" xfId="0" applyFont="1" applyFill="1" applyBorder="1" applyAlignment="1" applyProtection="1">
      <alignment horizontal="center" vertical="center"/>
    </xf>
    <xf numFmtId="0" fontId="28" fillId="51" borderId="0" xfId="0" applyFont="1" applyFill="1" applyBorder="1" applyAlignment="1" applyProtection="1">
      <alignment horizontal="center" vertical="center"/>
    </xf>
    <xf numFmtId="0" fontId="18" fillId="51" borderId="0" xfId="0" applyFont="1" applyFill="1" applyBorder="1" applyAlignment="1" applyProtection="1">
      <alignment horizontal="center" vertical="center"/>
      <protection locked="0"/>
    </xf>
    <xf numFmtId="44" fontId="10" fillId="6" borderId="41" xfId="1" applyFont="1" applyFill="1" applyBorder="1" applyAlignment="1" applyProtection="1">
      <alignment horizontal="center" vertical="center"/>
    </xf>
    <xf numFmtId="0" fontId="12" fillId="6" borderId="37" xfId="0" applyFont="1" applyFill="1" applyBorder="1" applyAlignment="1" applyProtection="1">
      <alignment horizontal="center" vertical="center" wrapText="1"/>
    </xf>
    <xf numFmtId="0" fontId="12" fillId="6" borderId="38" xfId="0" applyFont="1" applyFill="1" applyBorder="1" applyAlignment="1" applyProtection="1">
      <alignment horizontal="center" vertical="center" wrapText="1"/>
    </xf>
    <xf numFmtId="0" fontId="12" fillId="6" borderId="39" xfId="0" applyFont="1" applyFill="1" applyBorder="1" applyAlignment="1" applyProtection="1">
      <alignment horizontal="center" vertical="center" wrapText="1"/>
    </xf>
    <xf numFmtId="0" fontId="12" fillId="6" borderId="30" xfId="0" applyFont="1" applyFill="1" applyBorder="1" applyAlignment="1" applyProtection="1">
      <alignment horizontal="center" vertical="center" wrapText="1"/>
    </xf>
    <xf numFmtId="0" fontId="12" fillId="6" borderId="0" xfId="0" applyFont="1" applyFill="1" applyBorder="1" applyAlignment="1" applyProtection="1">
      <alignment horizontal="center" vertical="center" wrapText="1"/>
    </xf>
    <xf numFmtId="0" fontId="12" fillId="6" borderId="43" xfId="0" applyFont="1" applyFill="1" applyBorder="1" applyAlignment="1" applyProtection="1">
      <alignment horizontal="center" vertical="center" wrapText="1"/>
    </xf>
    <xf numFmtId="0" fontId="12" fillId="6" borderId="40" xfId="0" applyFont="1" applyFill="1" applyBorder="1" applyAlignment="1" applyProtection="1">
      <alignment horizontal="center" vertical="center" wrapText="1"/>
    </xf>
    <xf numFmtId="0" fontId="12" fillId="6" borderId="41" xfId="0" applyFont="1" applyFill="1" applyBorder="1" applyAlignment="1" applyProtection="1">
      <alignment horizontal="center" vertical="center" wrapText="1"/>
    </xf>
    <xf numFmtId="0" fontId="12" fillId="6" borderId="42" xfId="0" applyFont="1" applyFill="1" applyBorder="1" applyAlignment="1" applyProtection="1">
      <alignment horizontal="center" vertical="center" wrapText="1"/>
    </xf>
    <xf numFmtId="3" fontId="93" fillId="6" borderId="24" xfId="2" applyNumberFormat="1" applyFont="1" applyFill="1" applyBorder="1" applyAlignment="1" applyProtection="1">
      <alignment horizontal="center" vertical="center"/>
    </xf>
    <xf numFmtId="3" fontId="93" fillId="6" borderId="25" xfId="2" applyNumberFormat="1" applyFont="1" applyFill="1" applyBorder="1" applyAlignment="1" applyProtection="1">
      <alignment horizontal="center" vertical="center"/>
    </xf>
    <xf numFmtId="3" fontId="93" fillId="6" borderId="26" xfId="2" applyNumberFormat="1" applyFont="1" applyFill="1" applyBorder="1" applyAlignment="1" applyProtection="1">
      <alignment horizontal="center" vertical="center"/>
    </xf>
    <xf numFmtId="0" fontId="18" fillId="51" borderId="24" xfId="0" applyFont="1" applyFill="1" applyBorder="1" applyAlignment="1" applyProtection="1">
      <alignment horizontal="center" vertical="center" wrapText="1"/>
    </xf>
    <xf numFmtId="0" fontId="18" fillId="51" borderId="25" xfId="0" applyFont="1" applyFill="1" applyBorder="1" applyAlignment="1" applyProtection="1">
      <alignment horizontal="center" vertical="center"/>
    </xf>
    <xf numFmtId="0" fontId="18" fillId="51" borderId="26" xfId="0" applyFont="1" applyFill="1" applyBorder="1" applyAlignment="1" applyProtection="1">
      <alignment horizontal="center" vertical="center"/>
    </xf>
    <xf numFmtId="0" fontId="15" fillId="6" borderId="44" xfId="0" applyFont="1" applyFill="1" applyBorder="1" applyAlignment="1" applyProtection="1">
      <alignment horizontal="center" vertical="center"/>
    </xf>
    <xf numFmtId="0" fontId="15" fillId="10" borderId="44" xfId="0" applyFont="1" applyFill="1" applyBorder="1" applyAlignment="1" applyProtection="1">
      <alignment horizontal="center" vertical="center"/>
    </xf>
    <xf numFmtId="0" fontId="11" fillId="2" borderId="8" xfId="0" applyFont="1" applyFill="1" applyBorder="1" applyAlignment="1" applyProtection="1">
      <alignment horizontal="center" vertical="top"/>
    </xf>
    <xf numFmtId="0" fontId="40" fillId="2" borderId="44" xfId="0" applyFont="1" applyFill="1" applyBorder="1" applyAlignment="1" applyProtection="1">
      <alignment horizontal="center" vertical="top"/>
    </xf>
    <xf numFmtId="0" fontId="12" fillId="47" borderId="44" xfId="0" applyFont="1" applyFill="1" applyBorder="1" applyAlignment="1" applyProtection="1">
      <alignment horizontal="left" vertical="center" wrapText="1"/>
    </xf>
    <xf numFmtId="0" fontId="10" fillId="52" borderId="44" xfId="0" applyFont="1" applyFill="1" applyBorder="1" applyAlignment="1" applyProtection="1">
      <alignment horizontal="left" vertical="center" wrapText="1"/>
    </xf>
    <xf numFmtId="0" fontId="10" fillId="6" borderId="44" xfId="0" applyFont="1" applyFill="1" applyBorder="1" applyAlignment="1" applyProtection="1">
      <alignment horizontal="center" vertical="center" wrapText="1"/>
    </xf>
    <xf numFmtId="0" fontId="10" fillId="6" borderId="41" xfId="0" applyFont="1" applyFill="1" applyBorder="1" applyAlignment="1">
      <alignment horizontal="left"/>
    </xf>
    <xf numFmtId="0" fontId="37" fillId="51" borderId="0" xfId="0" applyFont="1" applyFill="1" applyBorder="1" applyAlignment="1" applyProtection="1">
      <alignment horizontal="left" vertical="top" wrapText="1"/>
      <protection locked="0"/>
    </xf>
    <xf numFmtId="0" fontId="37" fillId="0" borderId="2" xfId="0" applyFont="1" applyBorder="1" applyAlignment="1">
      <alignment horizontal="center" wrapText="1"/>
    </xf>
    <xf numFmtId="0" fontId="37" fillId="0" borderId="4" xfId="0" applyFont="1" applyBorder="1" applyAlignment="1">
      <alignment horizontal="center" wrapText="1"/>
    </xf>
    <xf numFmtId="0" fontId="0" fillId="51" borderId="40" xfId="0" applyFont="1" applyFill="1" applyBorder="1" applyAlignment="1" applyProtection="1">
      <alignment horizontal="center"/>
      <protection locked="0"/>
    </xf>
    <xf numFmtId="0" fontId="0" fillId="51" borderId="41" xfId="0" applyFont="1" applyFill="1" applyBorder="1" applyAlignment="1" applyProtection="1">
      <alignment horizontal="center"/>
      <protection locked="0"/>
    </xf>
    <xf numFmtId="0" fontId="0" fillId="51" borderId="42" xfId="0" applyFont="1" applyFill="1" applyBorder="1" applyAlignment="1" applyProtection="1">
      <alignment horizontal="center"/>
      <protection locked="0"/>
    </xf>
    <xf numFmtId="44" fontId="11" fillId="5" borderId="10" xfId="1" applyFont="1" applyFill="1" applyBorder="1" applyAlignment="1" applyProtection="1">
      <alignment horizontal="center" vertical="center"/>
    </xf>
    <xf numFmtId="44" fontId="11" fillId="5" borderId="11" xfId="1" applyFont="1" applyFill="1" applyBorder="1" applyAlignment="1" applyProtection="1">
      <alignment horizontal="center" vertical="center"/>
    </xf>
    <xf numFmtId="44" fontId="15" fillId="6" borderId="0" xfId="1" applyFont="1" applyFill="1" applyBorder="1" applyAlignment="1">
      <alignment horizontal="left" vertical="center"/>
    </xf>
    <xf numFmtId="44" fontId="18" fillId="51" borderId="0" xfId="1" applyFont="1" applyFill="1" applyBorder="1" applyAlignment="1" applyProtection="1">
      <alignment horizontal="left" vertical="top"/>
      <protection locked="0"/>
    </xf>
    <xf numFmtId="0" fontId="4" fillId="3" borderId="0" xfId="0" applyFont="1" applyFill="1" applyBorder="1" applyAlignment="1">
      <alignment horizontal="center" vertical="center" wrapText="1"/>
    </xf>
    <xf numFmtId="0" fontId="4" fillId="3" borderId="41" xfId="0" applyFont="1" applyFill="1" applyBorder="1" applyAlignment="1">
      <alignment horizontal="center" vertical="center" wrapText="1"/>
    </xf>
    <xf numFmtId="0" fontId="4" fillId="3" borderId="0" xfId="0" applyFont="1" applyFill="1" applyBorder="1" applyAlignment="1">
      <alignment horizontal="center" vertical="center"/>
    </xf>
    <xf numFmtId="44" fontId="18" fillId="51" borderId="0" xfId="1" applyFont="1" applyFill="1" applyBorder="1" applyAlignment="1" applyProtection="1">
      <alignment horizontal="center" vertical="top"/>
      <protection locked="0"/>
    </xf>
    <xf numFmtId="44" fontId="18" fillId="51" borderId="41" xfId="1" applyFont="1" applyFill="1" applyBorder="1" applyAlignment="1" applyProtection="1">
      <alignment horizontal="center" vertical="top"/>
      <protection locked="0"/>
    </xf>
    <xf numFmtId="44" fontId="18" fillId="51" borderId="41" xfId="1" applyFont="1" applyFill="1" applyBorder="1" applyAlignment="1" applyProtection="1">
      <alignment horizontal="left" vertical="top"/>
      <protection locked="0"/>
    </xf>
    <xf numFmtId="44" fontId="15" fillId="6" borderId="38" xfId="1" applyFont="1" applyFill="1" applyBorder="1" applyAlignment="1">
      <alignment horizontal="left" vertical="center"/>
    </xf>
    <xf numFmtId="0" fontId="42" fillId="10" borderId="41" xfId="0" applyFont="1" applyFill="1" applyBorder="1" applyAlignment="1" applyProtection="1">
      <alignment horizontal="left" vertical="top"/>
      <protection locked="0"/>
    </xf>
    <xf numFmtId="0" fontId="11" fillId="2" borderId="41" xfId="0" applyFont="1" applyFill="1" applyBorder="1" applyAlignment="1" applyProtection="1">
      <alignment horizontal="center" vertical="top"/>
    </xf>
    <xf numFmtId="0" fontId="29" fillId="2" borderId="0" xfId="0" applyFont="1" applyFill="1" applyBorder="1" applyAlignment="1">
      <alignment horizontal="left" vertical="top"/>
    </xf>
    <xf numFmtId="0" fontId="12" fillId="0" borderId="37" xfId="0" applyFont="1" applyBorder="1" applyAlignment="1">
      <alignment horizontal="left" vertical="center" wrapText="1"/>
    </xf>
    <xf numFmtId="0" fontId="12" fillId="0" borderId="38" xfId="0" applyFont="1" applyBorder="1" applyAlignment="1">
      <alignment horizontal="left" vertical="center" wrapText="1"/>
    </xf>
    <xf numFmtId="0" fontId="12" fillId="0" borderId="30" xfId="0" applyFont="1" applyBorder="1" applyAlignment="1">
      <alignment horizontal="left" vertical="center" wrapText="1"/>
    </xf>
    <xf numFmtId="0" fontId="12" fillId="0" borderId="0" xfId="0" applyFont="1" applyBorder="1" applyAlignment="1">
      <alignment horizontal="left" vertical="center" wrapText="1"/>
    </xf>
    <xf numFmtId="0" fontId="10" fillId="10" borderId="30" xfId="0" applyFont="1" applyFill="1" applyBorder="1" applyAlignment="1">
      <alignment horizontal="left" vertical="center" wrapText="1"/>
    </xf>
    <xf numFmtId="0" fontId="10" fillId="10" borderId="0" xfId="0" applyFont="1" applyFill="1" applyBorder="1" applyAlignment="1">
      <alignment horizontal="left" vertical="center" wrapText="1"/>
    </xf>
    <xf numFmtId="0" fontId="67" fillId="6" borderId="0" xfId="0" applyFont="1" applyFill="1" applyBorder="1" applyAlignment="1">
      <alignment horizontal="center" vertical="center" wrapText="1"/>
    </xf>
    <xf numFmtId="0" fontId="66" fillId="6" borderId="0" xfId="0" applyFont="1" applyFill="1" applyBorder="1" applyAlignment="1">
      <alignment horizontal="center" vertical="center" wrapText="1"/>
    </xf>
    <xf numFmtId="44" fontId="21" fillId="6" borderId="38" xfId="1" applyFont="1" applyFill="1" applyBorder="1" applyAlignment="1" applyProtection="1">
      <alignment horizontal="center" vertical="top"/>
      <protection locked="0"/>
    </xf>
    <xf numFmtId="0" fontId="4" fillId="3" borderId="41" xfId="0" applyFont="1" applyFill="1" applyBorder="1" applyAlignment="1">
      <alignment horizontal="center" vertical="center"/>
    </xf>
    <xf numFmtId="0" fontId="18" fillId="6" borderId="38" xfId="0" applyFont="1" applyFill="1" applyBorder="1" applyAlignment="1" applyProtection="1">
      <alignment horizontal="left" vertical="center" wrapText="1"/>
    </xf>
    <xf numFmtId="0" fontId="18" fillId="6" borderId="0" xfId="0" applyFont="1" applyFill="1" applyBorder="1" applyAlignment="1" applyProtection="1">
      <alignment horizontal="left" vertical="center" wrapText="1"/>
    </xf>
    <xf numFmtId="44" fontId="19" fillId="5" borderId="0" xfId="1" applyFont="1" applyFill="1" applyBorder="1" applyAlignment="1">
      <alignment horizontal="left" vertical="center"/>
    </xf>
    <xf numFmtId="0" fontId="21" fillId="9" borderId="0" xfId="0" applyFont="1" applyFill="1" applyBorder="1" applyAlignment="1">
      <alignment horizontal="left" vertical="top"/>
    </xf>
    <xf numFmtId="0" fontId="15" fillId="6" borderId="0" xfId="1" applyNumberFormat="1" applyFont="1" applyFill="1" applyBorder="1" applyAlignment="1">
      <alignment horizontal="left" vertical="center"/>
    </xf>
    <xf numFmtId="0" fontId="16" fillId="6" borderId="38" xfId="0" applyFont="1" applyFill="1" applyBorder="1" applyAlignment="1">
      <alignment horizontal="left" vertical="center"/>
    </xf>
    <xf numFmtId="0" fontId="11" fillId="3" borderId="0" xfId="0" applyFont="1" applyFill="1" applyBorder="1" applyAlignment="1">
      <alignment horizontal="center" vertical="center" wrapText="1"/>
    </xf>
    <xf numFmtId="43" fontId="27" fillId="10" borderId="24" xfId="2" applyFont="1" applyFill="1" applyBorder="1" applyAlignment="1" applyProtection="1">
      <alignment horizontal="center" vertical="top"/>
      <protection locked="0"/>
    </xf>
    <xf numFmtId="43" fontId="27" fillId="10" borderId="26" xfId="2" applyFont="1" applyFill="1" applyBorder="1" applyAlignment="1" applyProtection="1">
      <alignment horizontal="center" vertical="top"/>
      <protection locked="0"/>
    </xf>
    <xf numFmtId="43" fontId="27" fillId="10" borderId="30" xfId="2" applyFont="1" applyFill="1" applyBorder="1" applyAlignment="1" applyProtection="1">
      <alignment horizontal="center" vertical="top"/>
      <protection locked="0"/>
    </xf>
    <xf numFmtId="43" fontId="27" fillId="10" borderId="43" xfId="2" applyFont="1" applyFill="1" applyBorder="1" applyAlignment="1" applyProtection="1">
      <alignment horizontal="center" vertical="top"/>
      <protection locked="0"/>
    </xf>
    <xf numFmtId="44" fontId="16" fillId="51" borderId="0" xfId="1" applyFont="1" applyFill="1" applyBorder="1" applyAlignment="1" applyProtection="1">
      <alignment horizontal="center" vertical="top"/>
      <protection locked="0"/>
    </xf>
    <xf numFmtId="44" fontId="19" fillId="5" borderId="0" xfId="1" applyFont="1" applyFill="1" applyBorder="1" applyAlignment="1">
      <alignment horizontal="left" vertical="center" wrapText="1"/>
    </xf>
    <xf numFmtId="0" fontId="21" fillId="9" borderId="0" xfId="0" applyFont="1" applyFill="1" applyBorder="1" applyAlignment="1">
      <alignment horizontal="center" vertical="top"/>
    </xf>
    <xf numFmtId="0" fontId="2" fillId="0" borderId="0" xfId="0" applyFont="1" applyAlignment="1">
      <alignment horizontal="center"/>
    </xf>
    <xf numFmtId="43" fontId="27" fillId="10" borderId="25" xfId="2" applyFont="1" applyFill="1" applyBorder="1" applyAlignment="1" applyProtection="1">
      <alignment horizontal="center" vertical="top"/>
      <protection locked="0"/>
    </xf>
    <xf numFmtId="0" fontId="22" fillId="10" borderId="49" xfId="0" applyFont="1" applyFill="1" applyBorder="1" applyAlignment="1" applyProtection="1">
      <alignment horizontal="left" vertical="top"/>
      <protection locked="0"/>
    </xf>
    <xf numFmtId="0" fontId="22" fillId="10" borderId="45" xfId="0" applyFont="1" applyFill="1" applyBorder="1" applyAlignment="1" applyProtection="1">
      <alignment horizontal="left" vertical="top"/>
      <protection locked="0"/>
    </xf>
    <xf numFmtId="0" fontId="16" fillId="51" borderId="41" xfId="1" applyNumberFormat="1" applyFont="1" applyFill="1" applyBorder="1" applyAlignment="1" applyProtection="1">
      <alignment horizontal="center" vertical="top"/>
      <protection locked="0"/>
    </xf>
    <xf numFmtId="0" fontId="16" fillId="51" borderId="25" xfId="1" applyNumberFormat="1" applyFont="1" applyFill="1" applyBorder="1" applyAlignment="1" applyProtection="1">
      <alignment horizontal="center" vertical="top"/>
      <protection locked="0"/>
    </xf>
    <xf numFmtId="0" fontId="16" fillId="51" borderId="0" xfId="1" applyNumberFormat="1" applyFont="1" applyFill="1" applyBorder="1" applyAlignment="1" applyProtection="1">
      <alignment horizontal="center" vertical="top"/>
      <protection locked="0"/>
    </xf>
    <xf numFmtId="0" fontId="4" fillId="3" borderId="48" xfId="0" applyFont="1" applyFill="1" applyBorder="1" applyAlignment="1">
      <alignment horizontal="center" vertical="center" wrapText="1"/>
    </xf>
    <xf numFmtId="43" fontId="27" fillId="54" borderId="46" xfId="2" applyFont="1" applyFill="1" applyBorder="1" applyAlignment="1" applyProtection="1">
      <alignment horizontal="left" vertical="center"/>
      <protection locked="0"/>
    </xf>
    <xf numFmtId="43" fontId="15" fillId="12" borderId="45" xfId="2" applyFont="1" applyFill="1" applyBorder="1" applyAlignment="1" applyProtection="1">
      <alignment horizontal="left" vertical="center"/>
      <protection locked="0"/>
    </xf>
    <xf numFmtId="0" fontId="10" fillId="6" borderId="0" xfId="0" applyFont="1" applyFill="1" applyBorder="1" applyAlignment="1">
      <alignment horizontal="center" vertical="center" wrapText="1"/>
    </xf>
    <xf numFmtId="0" fontId="12" fillId="51" borderId="37" xfId="0" applyFont="1" applyFill="1" applyBorder="1" applyAlignment="1">
      <alignment horizontal="left" vertical="top" wrapText="1"/>
    </xf>
    <xf numFmtId="0" fontId="12" fillId="51" borderId="38" xfId="0" applyFont="1" applyFill="1" applyBorder="1" applyAlignment="1">
      <alignment horizontal="left" vertical="top" wrapText="1"/>
    </xf>
    <xf numFmtId="0" fontId="12" fillId="51" borderId="30" xfId="0" applyFont="1" applyFill="1" applyBorder="1" applyAlignment="1">
      <alignment horizontal="left" vertical="top" wrapText="1"/>
    </xf>
    <xf numFmtId="0" fontId="12" fillId="51" borderId="0" xfId="0" applyFont="1" applyFill="1" applyBorder="1" applyAlignment="1">
      <alignment horizontal="left" vertical="top" wrapText="1"/>
    </xf>
    <xf numFmtId="0" fontId="29" fillId="2" borderId="0" xfId="0" applyFont="1" applyFill="1" applyBorder="1" applyAlignment="1" applyProtection="1">
      <alignment horizontal="center" vertical="center"/>
    </xf>
    <xf numFmtId="0" fontId="5" fillId="3" borderId="0" xfId="0" applyFont="1" applyFill="1" applyBorder="1" applyAlignment="1" applyProtection="1">
      <alignment horizontal="center" vertical="center"/>
    </xf>
    <xf numFmtId="0" fontId="5" fillId="3" borderId="0" xfId="0" applyFont="1" applyFill="1" applyBorder="1" applyAlignment="1" applyProtection="1">
      <alignment horizontal="center" vertical="center" wrapText="1"/>
    </xf>
    <xf numFmtId="0" fontId="10" fillId="54" borderId="40" xfId="0" applyFont="1" applyFill="1" applyBorder="1" applyAlignment="1">
      <alignment horizontal="left" vertical="center"/>
    </xf>
    <xf numFmtId="0" fontId="10" fillId="54" borderId="41" xfId="0" applyFont="1" applyFill="1" applyBorder="1" applyAlignment="1">
      <alignment horizontal="left" vertical="center"/>
    </xf>
    <xf numFmtId="0" fontId="29" fillId="2" borderId="41" xfId="0" applyFont="1" applyFill="1" applyBorder="1" applyAlignment="1">
      <alignment horizontal="center" vertical="center"/>
    </xf>
    <xf numFmtId="0" fontId="12" fillId="0" borderId="40" xfId="0" applyFont="1" applyBorder="1" applyAlignment="1">
      <alignment horizontal="left" vertical="center" wrapText="1"/>
    </xf>
    <xf numFmtId="0" fontId="12" fillId="0" borderId="41" xfId="0" applyFont="1" applyBorder="1" applyAlignment="1">
      <alignment horizontal="left" vertical="center" wrapText="1"/>
    </xf>
    <xf numFmtId="0" fontId="5" fillId="11" borderId="38" xfId="0" applyFont="1" applyFill="1" applyBorder="1" applyAlignment="1" applyProtection="1">
      <alignment horizontal="center" vertical="center" wrapText="1"/>
    </xf>
    <xf numFmtId="0" fontId="5" fillId="11" borderId="0" xfId="0" applyFont="1" applyFill="1" applyBorder="1" applyAlignment="1" applyProtection="1">
      <alignment horizontal="center" vertical="center" wrapText="1"/>
    </xf>
    <xf numFmtId="0" fontId="5" fillId="11" borderId="41" xfId="0" applyFont="1" applyFill="1" applyBorder="1" applyAlignment="1" applyProtection="1">
      <alignment horizontal="center" vertical="center" wrapText="1"/>
    </xf>
    <xf numFmtId="0" fontId="19" fillId="2" borderId="0" xfId="0" applyFont="1" applyFill="1" applyBorder="1" applyAlignment="1">
      <alignment horizontal="center" vertical="top" wrapText="1"/>
    </xf>
    <xf numFmtId="0" fontId="19" fillId="2" borderId="41" xfId="0" applyFont="1" applyFill="1" applyBorder="1" applyAlignment="1">
      <alignment horizontal="center" vertical="top" wrapText="1"/>
    </xf>
    <xf numFmtId="0" fontId="29" fillId="2" borderId="0" xfId="0" applyFont="1" applyFill="1" applyBorder="1" applyAlignment="1">
      <alignment horizontal="center" vertical="center"/>
    </xf>
    <xf numFmtId="0" fontId="5" fillId="11" borderId="38" xfId="0" applyFont="1" applyFill="1" applyBorder="1" applyAlignment="1">
      <alignment horizontal="center" vertical="center"/>
    </xf>
    <xf numFmtId="0" fontId="5" fillId="11" borderId="0" xfId="0" applyFont="1" applyFill="1" applyBorder="1" applyAlignment="1">
      <alignment horizontal="center" vertical="center"/>
    </xf>
    <xf numFmtId="0" fontId="5" fillId="11" borderId="41" xfId="0" applyFont="1" applyFill="1" applyBorder="1" applyAlignment="1">
      <alignment horizontal="center" vertical="center"/>
    </xf>
    <xf numFmtId="0" fontId="5" fillId="11" borderId="38" xfId="0" applyFont="1" applyFill="1" applyBorder="1" applyAlignment="1">
      <alignment horizontal="center" vertical="center" wrapText="1"/>
    </xf>
    <xf numFmtId="0" fontId="5" fillId="11" borderId="0" xfId="0" applyFont="1" applyFill="1" applyBorder="1" applyAlignment="1">
      <alignment horizontal="center" vertical="center" wrapText="1"/>
    </xf>
    <xf numFmtId="0" fontId="5" fillId="11" borderId="41" xfId="0" applyFont="1" applyFill="1" applyBorder="1" applyAlignment="1">
      <alignment horizontal="center" vertical="center" wrapText="1"/>
    </xf>
    <xf numFmtId="0" fontId="27" fillId="50" borderId="24" xfId="0" applyFont="1" applyFill="1" applyBorder="1" applyAlignment="1" applyProtection="1">
      <alignment horizontal="center"/>
      <protection locked="0"/>
    </xf>
    <xf numFmtId="0" fontId="27" fillId="50" borderId="25" xfId="0" applyFont="1" applyFill="1" applyBorder="1" applyAlignment="1" applyProtection="1">
      <alignment horizontal="center"/>
      <protection locked="0"/>
    </xf>
    <xf numFmtId="0" fontId="27" fillId="54" borderId="24" xfId="0" applyFont="1" applyFill="1" applyBorder="1" applyAlignment="1" applyProtection="1">
      <alignment horizontal="center"/>
      <protection locked="0"/>
    </xf>
    <xf numFmtId="0" fontId="27" fillId="54" borderId="25" xfId="0" applyFont="1" applyFill="1" applyBorder="1" applyAlignment="1" applyProtection="1">
      <alignment horizontal="center"/>
      <protection locked="0"/>
    </xf>
    <xf numFmtId="44" fontId="5" fillId="3" borderId="41" xfId="1" applyFont="1" applyFill="1" applyBorder="1" applyAlignment="1" applyProtection="1">
      <alignment horizontal="center" vertical="center"/>
    </xf>
    <xf numFmtId="44" fontId="14" fillId="5" borderId="0" xfId="1" applyFont="1" applyFill="1" applyBorder="1" applyAlignment="1" applyProtection="1">
      <alignment horizontal="left" vertical="center" wrapText="1"/>
    </xf>
    <xf numFmtId="44" fontId="19" fillId="5" borderId="0" xfId="1" applyFont="1" applyFill="1" applyBorder="1" applyAlignment="1" applyProtection="1">
      <alignment horizontal="left" vertical="center"/>
    </xf>
    <xf numFmtId="44" fontId="18" fillId="53" borderId="0" xfId="1" applyFont="1" applyFill="1" applyBorder="1" applyAlignment="1" applyProtection="1">
      <alignment horizontal="left" vertical="center"/>
    </xf>
    <xf numFmtId="0" fontId="42" fillId="54" borderId="44" xfId="0" applyFont="1" applyFill="1" applyBorder="1" applyAlignment="1" applyProtection="1">
      <alignment horizontal="center"/>
      <protection locked="0"/>
    </xf>
    <xf numFmtId="0" fontId="18" fillId="50" borderId="24" xfId="0" applyFont="1" applyFill="1" applyBorder="1" applyAlignment="1">
      <alignment horizontal="left"/>
    </xf>
    <xf numFmtId="0" fontId="18" fillId="50" borderId="26" xfId="0" applyFont="1" applyFill="1" applyBorder="1" applyAlignment="1">
      <alignment horizontal="left"/>
    </xf>
    <xf numFmtId="44" fontId="5" fillId="3" borderId="41" xfId="1" applyFont="1" applyFill="1" applyBorder="1" applyAlignment="1">
      <alignment horizontal="center" vertical="center"/>
    </xf>
    <xf numFmtId="44" fontId="29" fillId="5" borderId="0" xfId="1" applyFont="1" applyFill="1" applyBorder="1" applyAlignment="1" applyProtection="1">
      <alignment horizontal="center" vertical="center"/>
    </xf>
    <xf numFmtId="0" fontId="11" fillId="2" borderId="0" xfId="0" applyFont="1" applyFill="1" applyBorder="1" applyAlignment="1" applyProtection="1">
      <alignment horizontal="center" vertical="top"/>
    </xf>
    <xf numFmtId="0" fontId="12" fillId="48" borderId="30" xfId="0" applyNumberFormat="1" applyFont="1" applyFill="1" applyBorder="1" applyAlignment="1">
      <alignment horizontal="left" vertical="center" wrapText="1"/>
    </xf>
    <xf numFmtId="0" fontId="12" fillId="48" borderId="0" xfId="0" applyNumberFormat="1" applyFont="1" applyFill="1" applyBorder="1" applyAlignment="1">
      <alignment horizontal="left" vertical="center" wrapText="1"/>
    </xf>
    <xf numFmtId="0" fontId="38" fillId="48" borderId="30" xfId="0" applyNumberFormat="1" applyFont="1" applyFill="1" applyBorder="1" applyAlignment="1">
      <alignment horizontal="left" vertical="center" wrapText="1"/>
    </xf>
    <xf numFmtId="0" fontId="38" fillId="48" borderId="0" xfId="0" applyNumberFormat="1" applyFont="1" applyFill="1" applyBorder="1" applyAlignment="1">
      <alignment horizontal="left" vertical="center" wrapText="1"/>
    </xf>
    <xf numFmtId="0" fontId="10" fillId="10" borderId="30" xfId="0" applyNumberFormat="1" applyFont="1" applyFill="1" applyBorder="1" applyAlignment="1">
      <alignment horizontal="left" vertical="center" wrapText="1"/>
    </xf>
    <xf numFmtId="0" fontId="10" fillId="10" borderId="0" xfId="0" applyNumberFormat="1" applyFont="1" applyFill="1" applyBorder="1" applyAlignment="1">
      <alignment horizontal="left" vertical="center" wrapText="1"/>
    </xf>
    <xf numFmtId="0" fontId="27" fillId="54" borderId="26" xfId="0" applyFont="1" applyFill="1" applyBorder="1" applyAlignment="1" applyProtection="1">
      <alignment horizontal="center"/>
      <protection locked="0"/>
    </xf>
    <xf numFmtId="44" fontId="14" fillId="5" borderId="0" xfId="1" applyFont="1" applyFill="1" applyBorder="1" applyAlignment="1" applyProtection="1">
      <alignment horizontal="left" vertical="center"/>
    </xf>
    <xf numFmtId="44" fontId="19" fillId="60" borderId="0" xfId="1" applyFont="1" applyFill="1" applyBorder="1" applyAlignment="1" applyProtection="1">
      <alignment horizontal="left" vertical="center"/>
    </xf>
    <xf numFmtId="44" fontId="18" fillId="54" borderId="41" xfId="1" applyFont="1" applyFill="1" applyBorder="1" applyAlignment="1" applyProtection="1">
      <alignment horizontal="left" vertical="center"/>
    </xf>
    <xf numFmtId="0" fontId="15" fillId="12" borderId="38" xfId="0" applyFont="1" applyFill="1" applyBorder="1" applyAlignment="1" applyProtection="1">
      <alignment horizontal="center" vertical="center" wrapText="1"/>
    </xf>
    <xf numFmtId="0" fontId="15" fillId="12" borderId="0" xfId="0" applyFont="1" applyFill="1" applyBorder="1" applyAlignment="1" applyProtection="1">
      <alignment horizontal="center" vertical="center" wrapText="1"/>
    </xf>
    <xf numFmtId="0" fontId="12" fillId="6" borderId="0" xfId="0" applyFont="1" applyFill="1" applyBorder="1" applyAlignment="1" applyProtection="1">
      <alignment horizontal="left" vertical="center" wrapText="1"/>
    </xf>
    <xf numFmtId="44" fontId="5" fillId="3" borderId="0" xfId="1" applyFont="1" applyFill="1" applyBorder="1" applyAlignment="1">
      <alignment horizontal="center" vertical="center"/>
    </xf>
    <xf numFmtId="0" fontId="5" fillId="3" borderId="38" xfId="1" applyNumberFormat="1" applyFont="1" applyFill="1" applyBorder="1" applyAlignment="1" applyProtection="1">
      <alignment horizontal="center" vertical="center"/>
    </xf>
    <xf numFmtId="0" fontId="5" fillId="3" borderId="0" xfId="1" applyNumberFormat="1" applyFont="1" applyFill="1" applyBorder="1" applyAlignment="1" applyProtection="1">
      <alignment horizontal="center" vertical="center"/>
    </xf>
    <xf numFmtId="0" fontId="18" fillId="50" borderId="41" xfId="0" applyFont="1" applyFill="1" applyBorder="1" applyAlignment="1" applyProtection="1">
      <alignment horizontal="left"/>
      <protection hidden="1"/>
    </xf>
    <xf numFmtId="0" fontId="18" fillId="50" borderId="42" xfId="0" applyFont="1" applyFill="1" applyBorder="1" applyAlignment="1" applyProtection="1">
      <alignment horizontal="left"/>
      <protection hidden="1"/>
    </xf>
    <xf numFmtId="0" fontId="15" fillId="10" borderId="30" xfId="0" applyFont="1" applyFill="1" applyBorder="1" applyAlignment="1" applyProtection="1">
      <alignment horizontal="center" vertical="center"/>
    </xf>
    <xf numFmtId="0" fontId="15" fillId="10" borderId="0" xfId="0" applyFont="1" applyFill="1" applyBorder="1" applyAlignment="1" applyProtection="1">
      <alignment horizontal="center" vertical="center"/>
    </xf>
    <xf numFmtId="0" fontId="15" fillId="6" borderId="43" xfId="0" applyFont="1" applyFill="1" applyBorder="1" applyAlignment="1" applyProtection="1">
      <alignment horizontal="center" vertical="center"/>
    </xf>
    <xf numFmtId="0" fontId="5" fillId="3" borderId="41" xfId="1" applyNumberFormat="1" applyFont="1" applyFill="1" applyBorder="1" applyAlignment="1" applyProtection="1">
      <alignment horizontal="center" vertical="center"/>
    </xf>
    <xf numFmtId="0" fontId="18" fillId="50" borderId="40" xfId="0" applyFont="1" applyFill="1" applyBorder="1" applyAlignment="1">
      <alignment horizontal="left"/>
    </xf>
    <xf numFmtId="0" fontId="18" fillId="50" borderId="42" xfId="0" applyFont="1" applyFill="1" applyBorder="1" applyAlignment="1">
      <alignment horizontal="left"/>
    </xf>
    <xf numFmtId="0" fontId="5" fillId="3" borderId="25" xfId="1" applyNumberFormat="1" applyFont="1" applyFill="1" applyBorder="1" applyAlignment="1" applyProtection="1">
      <alignment horizontal="center" vertical="center"/>
      <protection locked="0"/>
    </xf>
    <xf numFmtId="0" fontId="27" fillId="54" borderId="41" xfId="0" applyFont="1" applyFill="1" applyBorder="1" applyAlignment="1" applyProtection="1">
      <alignment horizontal="center"/>
      <protection locked="0"/>
    </xf>
    <xf numFmtId="0" fontId="27" fillId="54" borderId="42" xfId="0" applyFont="1" applyFill="1" applyBorder="1" applyAlignment="1" applyProtection="1">
      <alignment horizontal="center"/>
      <protection locked="0"/>
    </xf>
    <xf numFmtId="0" fontId="42" fillId="54" borderId="41" xfId="0" applyFont="1" applyFill="1" applyBorder="1" applyAlignment="1">
      <alignment horizontal="center"/>
    </xf>
    <xf numFmtId="0" fontId="42" fillId="54" borderId="42" xfId="0" applyFont="1" applyFill="1" applyBorder="1" applyAlignment="1">
      <alignment horizontal="center"/>
    </xf>
    <xf numFmtId="0" fontId="18" fillId="50" borderId="41" xfId="0" applyFont="1" applyFill="1" applyBorder="1" applyAlignment="1">
      <alignment horizontal="left"/>
    </xf>
    <xf numFmtId="0" fontId="18" fillId="50" borderId="25" xfId="0" applyFont="1" applyFill="1" applyBorder="1" applyAlignment="1">
      <alignment horizontal="left"/>
    </xf>
    <xf numFmtId="0" fontId="18" fillId="51" borderId="0" xfId="0" applyFont="1" applyFill="1" applyBorder="1" applyAlignment="1" applyProtection="1">
      <alignment horizontal="left" vertical="center" wrapText="1"/>
    </xf>
    <xf numFmtId="0" fontId="45" fillId="2" borderId="0" xfId="0" applyFont="1" applyFill="1" applyBorder="1" applyAlignment="1" applyProtection="1">
      <alignment horizontal="center" vertical="top"/>
    </xf>
    <xf numFmtId="0" fontId="10" fillId="10"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29" fillId="2" borderId="0" xfId="0" applyFont="1" applyFill="1" applyBorder="1" applyAlignment="1" applyProtection="1">
      <alignment vertical="center"/>
    </xf>
    <xf numFmtId="0" fontId="45" fillId="13" borderId="0" xfId="0" applyFont="1" applyFill="1" applyBorder="1" applyAlignment="1" applyProtection="1">
      <alignment horizontal="center" vertical="top"/>
    </xf>
    <xf numFmtId="0" fontId="45" fillId="13" borderId="0" xfId="0" applyFont="1" applyFill="1" applyBorder="1" applyAlignment="1" applyProtection="1">
      <alignment horizontal="center" vertical="center"/>
    </xf>
    <xf numFmtId="0" fontId="22" fillId="51" borderId="57" xfId="0" applyFont="1" applyFill="1" applyBorder="1" applyAlignment="1" applyProtection="1">
      <alignment horizontal="left" vertical="top"/>
    </xf>
    <xf numFmtId="0" fontId="21" fillId="66" borderId="52" xfId="0" applyFont="1" applyFill="1" applyBorder="1" applyAlignment="1" applyProtection="1">
      <alignment horizontal="left" vertical="top" wrapText="1"/>
      <protection locked="0"/>
    </xf>
    <xf numFmtId="0" fontId="21" fillId="66" borderId="0" xfId="0" applyFont="1" applyFill="1" applyBorder="1" applyAlignment="1" applyProtection="1">
      <alignment horizontal="left" vertical="top" wrapText="1"/>
      <protection locked="0"/>
    </xf>
    <xf numFmtId="0" fontId="21" fillId="66" borderId="51" xfId="0" applyFont="1" applyFill="1" applyBorder="1" applyAlignment="1" applyProtection="1">
      <alignment horizontal="left" vertical="top" wrapText="1"/>
      <protection locked="0"/>
    </xf>
    <xf numFmtId="0" fontId="22" fillId="66" borderId="57" xfId="0" applyFont="1" applyFill="1" applyBorder="1" applyAlignment="1" applyProtection="1">
      <alignment horizontal="left" vertical="top"/>
      <protection locked="0"/>
    </xf>
    <xf numFmtId="0" fontId="74" fillId="4" borderId="0" xfId="0" applyFont="1" applyFill="1" applyBorder="1" applyAlignment="1" applyProtection="1">
      <alignment horizontal="left" vertical="top"/>
    </xf>
    <xf numFmtId="0" fontId="21" fillId="51" borderId="52" xfId="0" applyFont="1" applyFill="1" applyBorder="1" applyAlignment="1" applyProtection="1">
      <alignment horizontal="center" vertical="top" wrapText="1"/>
      <protection locked="0"/>
    </xf>
    <xf numFmtId="0" fontId="21" fillId="51" borderId="0" xfId="0" applyFont="1" applyFill="1" applyBorder="1" applyAlignment="1" applyProtection="1">
      <alignment horizontal="center" vertical="top" wrapText="1"/>
      <protection locked="0"/>
    </xf>
    <xf numFmtId="0" fontId="21" fillId="51" borderId="51" xfId="0" applyFont="1" applyFill="1" applyBorder="1" applyAlignment="1" applyProtection="1">
      <alignment horizontal="center" vertical="top" wrapText="1"/>
      <protection locked="0"/>
    </xf>
    <xf numFmtId="0" fontId="21" fillId="51" borderId="52" xfId="0" applyFont="1" applyFill="1" applyBorder="1" applyAlignment="1" applyProtection="1">
      <alignment horizontal="left" vertical="top" wrapText="1"/>
      <protection locked="0"/>
    </xf>
    <xf numFmtId="0" fontId="21" fillId="51" borderId="0" xfId="0" applyFont="1" applyFill="1" applyBorder="1" applyAlignment="1" applyProtection="1">
      <alignment horizontal="left" vertical="top" wrapText="1"/>
      <protection locked="0"/>
    </xf>
    <xf numFmtId="0" fontId="21" fillId="51" borderId="51" xfId="0" applyFont="1" applyFill="1" applyBorder="1" applyAlignment="1" applyProtection="1">
      <alignment horizontal="left" vertical="top" wrapText="1"/>
      <protection locked="0"/>
    </xf>
    <xf numFmtId="0" fontId="94" fillId="66" borderId="57" xfId="0" applyFont="1" applyFill="1" applyBorder="1" applyAlignment="1" applyProtection="1">
      <alignment horizontal="center" vertical="top"/>
    </xf>
    <xf numFmtId="0" fontId="43" fillId="2" borderId="0"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xf>
    <xf numFmtId="0" fontId="43" fillId="2" borderId="51" xfId="0" applyFont="1" applyFill="1" applyBorder="1" applyAlignment="1" applyProtection="1">
      <alignment horizontal="left" vertical="center"/>
    </xf>
    <xf numFmtId="0" fontId="29" fillId="2" borderId="53" xfId="0" applyFont="1" applyFill="1" applyBorder="1" applyAlignment="1" applyProtection="1">
      <alignment vertical="center"/>
    </xf>
    <xf numFmtId="0" fontId="29" fillId="2" borderId="48" xfId="0" applyFont="1" applyFill="1" applyBorder="1" applyAlignment="1" applyProtection="1">
      <alignment vertical="center"/>
    </xf>
    <xf numFmtId="0" fontId="29" fillId="2" borderId="54" xfId="0" applyFont="1" applyFill="1" applyBorder="1" applyAlignment="1" applyProtection="1">
      <alignment vertical="center"/>
    </xf>
    <xf numFmtId="0" fontId="22" fillId="66" borderId="57" xfId="0" applyFont="1" applyFill="1" applyBorder="1" applyAlignment="1" applyProtection="1">
      <alignment horizontal="left" vertical="top"/>
    </xf>
    <xf numFmtId="0" fontId="22" fillId="66" borderId="59" xfId="0" applyFont="1" applyFill="1" applyBorder="1" applyAlignment="1" applyProtection="1">
      <alignment horizontal="center" vertical="top"/>
    </xf>
    <xf numFmtId="0" fontId="22" fillId="66" borderId="60" xfId="0" applyFont="1" applyFill="1" applyBorder="1" applyAlignment="1" applyProtection="1">
      <alignment horizontal="center" vertical="top"/>
    </xf>
    <xf numFmtId="0" fontId="10" fillId="6" borderId="34" xfId="0" applyFont="1" applyFill="1" applyBorder="1" applyAlignment="1" applyProtection="1">
      <alignment horizontal="center" vertical="center" wrapText="1"/>
    </xf>
    <xf numFmtId="0" fontId="10" fillId="6" borderId="35" xfId="0" applyFont="1" applyFill="1" applyBorder="1" applyAlignment="1" applyProtection="1">
      <alignment horizontal="center" vertical="center" wrapText="1"/>
    </xf>
    <xf numFmtId="0" fontId="10" fillId="6" borderId="36" xfId="0" applyFont="1" applyFill="1" applyBorder="1" applyAlignment="1" applyProtection="1">
      <alignment horizontal="center" vertical="center" wrapText="1"/>
    </xf>
    <xf numFmtId="0" fontId="15" fillId="6" borderId="37" xfId="0" applyFont="1" applyFill="1" applyBorder="1" applyAlignment="1" applyProtection="1">
      <alignment horizontal="left" vertical="center" wrapText="1"/>
    </xf>
    <xf numFmtId="0" fontId="15" fillId="6" borderId="38" xfId="0" applyFont="1" applyFill="1" applyBorder="1" applyAlignment="1" applyProtection="1">
      <alignment horizontal="left" vertical="center" wrapText="1"/>
    </xf>
    <xf numFmtId="0" fontId="15" fillId="6" borderId="39" xfId="0" applyFont="1" applyFill="1" applyBorder="1" applyAlignment="1" applyProtection="1">
      <alignment horizontal="left" vertical="center" wrapText="1"/>
    </xf>
    <xf numFmtId="0" fontId="45" fillId="13" borderId="58" xfId="0" applyFont="1" applyFill="1" applyBorder="1" applyAlignment="1" applyProtection="1">
      <alignment horizontal="center" vertical="center" wrapText="1"/>
    </xf>
    <xf numFmtId="0" fontId="45" fillId="13" borderId="58" xfId="0" applyFont="1" applyFill="1" applyBorder="1" applyAlignment="1" applyProtection="1">
      <alignment horizontal="center" vertical="center"/>
    </xf>
    <xf numFmtId="0" fontId="94" fillId="66" borderId="59" xfId="0" applyFont="1" applyFill="1" applyBorder="1" applyAlignment="1" applyProtection="1">
      <alignment horizontal="center" vertical="top"/>
    </xf>
    <xf numFmtId="0" fontId="94" fillId="66" borderId="60" xfId="0" applyFont="1" applyFill="1" applyBorder="1" applyAlignment="1" applyProtection="1">
      <alignment horizontal="center" vertical="top"/>
    </xf>
    <xf numFmtId="0" fontId="27" fillId="51" borderId="34" xfId="0" applyFont="1" applyFill="1" applyBorder="1" applyAlignment="1" applyProtection="1">
      <alignment horizontal="center"/>
    </xf>
    <xf numFmtId="44" fontId="5" fillId="3" borderId="0" xfId="1" applyFont="1" applyFill="1" applyBorder="1" applyAlignment="1" applyProtection="1">
      <alignment horizontal="center" vertical="center"/>
    </xf>
    <xf numFmtId="44" fontId="5" fillId="3" borderId="41" xfId="1" applyFont="1" applyFill="1" applyBorder="1" applyAlignment="1" applyProtection="1">
      <alignment horizontal="center" vertical="center" wrapText="1"/>
    </xf>
    <xf numFmtId="0" fontId="27" fillId="51" borderId="44" xfId="0" applyFont="1" applyFill="1" applyBorder="1" applyAlignment="1" applyProtection="1">
      <alignment horizontal="center"/>
    </xf>
    <xf numFmtId="0" fontId="42" fillId="51" borderId="0" xfId="0" applyFont="1" applyFill="1" applyBorder="1" applyAlignment="1" applyProtection="1">
      <alignment horizontal="left" vertical="center"/>
    </xf>
    <xf numFmtId="0" fontId="42" fillId="51" borderId="0" xfId="0" applyFont="1" applyFill="1" applyBorder="1" applyAlignment="1" applyProtection="1">
      <alignment horizontal="left" vertical="center"/>
      <protection locked="0"/>
    </xf>
    <xf numFmtId="0" fontId="15" fillId="6" borderId="41" xfId="0" applyFont="1" applyFill="1" applyBorder="1" applyAlignment="1" applyProtection="1">
      <alignment horizontal="left" vertical="center" wrapText="1"/>
    </xf>
    <xf numFmtId="0" fontId="15" fillId="6" borderId="42" xfId="0" applyFont="1" applyFill="1" applyBorder="1" applyAlignment="1" applyProtection="1">
      <alignment horizontal="left" vertical="center" wrapText="1"/>
    </xf>
    <xf numFmtId="0" fontId="15" fillId="10" borderId="40" xfId="0" applyFont="1" applyFill="1" applyBorder="1" applyAlignment="1" applyProtection="1">
      <alignment horizontal="center" vertical="center"/>
      <protection locked="0"/>
    </xf>
    <xf numFmtId="0" fontId="15" fillId="10" borderId="41" xfId="0" applyFont="1" applyFill="1" applyBorder="1" applyAlignment="1" applyProtection="1">
      <alignment horizontal="center" vertical="center"/>
      <protection locked="0"/>
    </xf>
    <xf numFmtId="44" fontId="5" fillId="3" borderId="38" xfId="1" applyFont="1" applyFill="1" applyBorder="1" applyAlignment="1" applyProtection="1">
      <alignment horizontal="center" vertical="center"/>
    </xf>
    <xf numFmtId="0" fontId="27" fillId="54" borderId="37" xfId="0" applyFont="1" applyFill="1" applyBorder="1" applyAlignment="1" applyProtection="1">
      <alignment horizontal="center"/>
      <protection locked="0"/>
    </xf>
    <xf numFmtId="0" fontId="27" fillId="54" borderId="39" xfId="0" applyFont="1" applyFill="1" applyBorder="1" applyAlignment="1" applyProtection="1">
      <alignment horizontal="center"/>
      <protection locked="0"/>
    </xf>
    <xf numFmtId="0" fontId="18" fillId="54" borderId="24" xfId="0" applyFont="1" applyFill="1" applyBorder="1" applyAlignment="1" applyProtection="1">
      <alignment horizontal="center"/>
      <protection locked="0"/>
    </xf>
    <xf numFmtId="0" fontId="18" fillId="54" borderId="26" xfId="0" applyFont="1" applyFill="1" applyBorder="1" applyAlignment="1" applyProtection="1">
      <alignment horizontal="center"/>
      <protection locked="0"/>
    </xf>
    <xf numFmtId="44" fontId="20" fillId="5" borderId="41" xfId="1" applyFont="1" applyFill="1" applyBorder="1" applyAlignment="1" applyProtection="1">
      <alignment horizontal="left" vertical="center"/>
    </xf>
    <xf numFmtId="0" fontId="18" fillId="54" borderId="24" xfId="0" applyFont="1" applyFill="1" applyBorder="1" applyAlignment="1" applyProtection="1">
      <alignment horizontal="center"/>
    </xf>
    <xf numFmtId="0" fontId="18" fillId="54" borderId="26" xfId="0" applyFont="1" applyFill="1" applyBorder="1" applyAlignment="1" applyProtection="1">
      <alignment horizontal="center"/>
    </xf>
    <xf numFmtId="44" fontId="5" fillId="3" borderId="25" xfId="1" applyFont="1" applyFill="1" applyBorder="1" applyAlignment="1" applyProtection="1">
      <alignment horizontal="center" vertical="center" wrapText="1"/>
    </xf>
    <xf numFmtId="0" fontId="27" fillId="51" borderId="24" xfId="0" applyFont="1" applyFill="1" applyBorder="1" applyAlignment="1" applyProtection="1">
      <alignment horizontal="center"/>
    </xf>
    <xf numFmtId="0" fontId="27" fillId="51" borderId="26" xfId="0" applyFont="1" applyFill="1" applyBorder="1" applyAlignment="1" applyProtection="1">
      <alignment horizontal="center"/>
    </xf>
    <xf numFmtId="44" fontId="5" fillId="3" borderId="24" xfId="1" applyFont="1" applyFill="1" applyBorder="1" applyAlignment="1" applyProtection="1">
      <alignment horizontal="center" vertical="center"/>
    </xf>
    <xf numFmtId="44" fontId="5" fillId="3" borderId="25" xfId="1" applyFont="1" applyFill="1" applyBorder="1" applyAlignment="1" applyProtection="1">
      <alignment horizontal="center" vertical="center"/>
    </xf>
    <xf numFmtId="44" fontId="5" fillId="3" borderId="26" xfId="1" applyFont="1" applyFill="1" applyBorder="1" applyAlignment="1" applyProtection="1">
      <alignment horizontal="center" vertical="center"/>
    </xf>
    <xf numFmtId="44" fontId="29" fillId="5" borderId="0" xfId="1" applyFont="1" applyFill="1" applyBorder="1" applyAlignment="1" applyProtection="1">
      <alignment horizontal="left" vertical="center" wrapText="1"/>
    </xf>
    <xf numFmtId="44" fontId="19" fillId="5" borderId="41" xfId="1" applyFont="1" applyFill="1" applyBorder="1" applyAlignment="1" applyProtection="1">
      <alignment horizontal="left" vertical="center"/>
    </xf>
    <xf numFmtId="44" fontId="29" fillId="5" borderId="41" xfId="1" applyFont="1" applyFill="1" applyBorder="1" applyAlignment="1" applyProtection="1">
      <alignment horizontal="center" vertical="center"/>
    </xf>
    <xf numFmtId="0" fontId="28" fillId="6" borderId="1" xfId="0" applyFont="1" applyFill="1" applyBorder="1" applyAlignment="1" applyProtection="1">
      <alignment horizontal="center" vertical="center"/>
    </xf>
    <xf numFmtId="44" fontId="29" fillId="5" borderId="0" xfId="1" applyFont="1" applyFill="1" applyBorder="1" applyAlignment="1" applyProtection="1">
      <alignment horizontal="left" vertical="center"/>
    </xf>
    <xf numFmtId="0" fontId="28" fillId="10" borderId="1" xfId="0" applyFont="1" applyFill="1" applyBorder="1" applyAlignment="1" applyProtection="1">
      <alignment horizontal="center" vertical="center"/>
    </xf>
    <xf numFmtId="0" fontId="18" fillId="51" borderId="25" xfId="0" applyFont="1" applyFill="1" applyBorder="1" applyAlignment="1" applyProtection="1">
      <alignment horizontal="left" vertical="center" wrapText="1"/>
    </xf>
    <xf numFmtId="0" fontId="18" fillId="51" borderId="0" xfId="0" applyFont="1" applyFill="1" applyBorder="1" applyAlignment="1" applyProtection="1">
      <alignment horizontal="left" vertical="center"/>
    </xf>
    <xf numFmtId="0" fontId="45" fillId="2" borderId="41" xfId="0" applyFont="1" applyFill="1" applyBorder="1" applyAlignment="1" applyProtection="1">
      <alignment horizontal="center" vertical="top"/>
    </xf>
    <xf numFmtId="0" fontId="12" fillId="9" borderId="30" xfId="0" applyNumberFormat="1" applyFont="1" applyFill="1" applyBorder="1" applyAlignment="1" applyProtection="1">
      <alignment horizontal="left" vertical="center" wrapText="1"/>
    </xf>
    <xf numFmtId="0" fontId="12" fillId="9" borderId="0" xfId="0" applyNumberFormat="1" applyFont="1" applyFill="1" applyBorder="1" applyAlignment="1" applyProtection="1">
      <alignment horizontal="left" vertical="center" wrapText="1"/>
    </xf>
    <xf numFmtId="0" fontId="38" fillId="9" borderId="40" xfId="0" applyNumberFormat="1" applyFont="1" applyFill="1" applyBorder="1" applyAlignment="1" applyProtection="1">
      <alignment horizontal="left" vertical="center" wrapText="1"/>
    </xf>
    <xf numFmtId="0" fontId="38" fillId="9" borderId="41" xfId="0" applyNumberFormat="1" applyFont="1" applyFill="1" applyBorder="1" applyAlignment="1" applyProtection="1">
      <alignment horizontal="left" vertical="center" wrapText="1"/>
    </xf>
    <xf numFmtId="0" fontId="10" fillId="10" borderId="30" xfId="0" applyNumberFormat="1" applyFont="1" applyFill="1" applyBorder="1" applyAlignment="1" applyProtection="1">
      <alignment horizontal="left" vertical="center" wrapText="1"/>
    </xf>
    <xf numFmtId="0" fontId="10" fillId="10" borderId="0" xfId="0" applyNumberFormat="1" applyFont="1" applyFill="1" applyBorder="1" applyAlignment="1" applyProtection="1">
      <alignment horizontal="left" vertical="center" wrapText="1"/>
    </xf>
    <xf numFmtId="0" fontId="10" fillId="6" borderId="41" xfId="0" applyFont="1" applyFill="1" applyBorder="1" applyAlignment="1" applyProtection="1">
      <alignment horizontal="left" vertical="center"/>
    </xf>
    <xf numFmtId="0" fontId="10" fillId="6" borderId="0" xfId="0" applyFont="1" applyFill="1" applyBorder="1" applyAlignment="1" applyProtection="1">
      <alignment horizontal="center" vertical="center"/>
    </xf>
    <xf numFmtId="0" fontId="5" fillId="3" borderId="41" xfId="0" applyFont="1" applyFill="1" applyBorder="1" applyAlignment="1" applyProtection="1">
      <alignment horizontal="center" vertical="center" wrapText="1"/>
    </xf>
    <xf numFmtId="0" fontId="18" fillId="54" borderId="0" xfId="0" applyFont="1" applyFill="1" applyBorder="1" applyAlignment="1" applyProtection="1">
      <alignment horizontal="left" vertical="top"/>
    </xf>
    <xf numFmtId="0" fontId="5" fillId="3" borderId="41" xfId="0" applyFont="1" applyFill="1" applyBorder="1" applyAlignment="1" applyProtection="1">
      <alignment horizontal="center" vertical="center"/>
    </xf>
    <xf numFmtId="0" fontId="12" fillId="51" borderId="37" xfId="0" applyFont="1" applyFill="1" applyBorder="1" applyAlignment="1" applyProtection="1">
      <alignment horizontal="left" vertical="center" wrapText="1"/>
    </xf>
    <xf numFmtId="0" fontId="12" fillId="51" borderId="38" xfId="0" applyFont="1" applyFill="1" applyBorder="1" applyAlignment="1" applyProtection="1">
      <alignment horizontal="left" vertical="center" wrapText="1"/>
    </xf>
    <xf numFmtId="0" fontId="12" fillId="51" borderId="30" xfId="0" applyFont="1" applyFill="1" applyBorder="1" applyAlignment="1" applyProtection="1">
      <alignment horizontal="left" vertical="center" wrapText="1"/>
    </xf>
    <xf numFmtId="0" fontId="12" fillId="51" borderId="0" xfId="0" applyFont="1" applyFill="1" applyBorder="1" applyAlignment="1" applyProtection="1">
      <alignment horizontal="left" vertical="center" wrapText="1"/>
    </xf>
    <xf numFmtId="0" fontId="5" fillId="3" borderId="38" xfId="0" applyFont="1" applyFill="1" applyBorder="1" applyAlignment="1" applyProtection="1">
      <alignment horizontal="center" vertical="center" wrapText="1"/>
    </xf>
    <xf numFmtId="0" fontId="12" fillId="6" borderId="38" xfId="0" applyFont="1" applyFill="1" applyBorder="1" applyAlignment="1" applyProtection="1">
      <alignment horizontal="left" vertical="center"/>
    </xf>
    <xf numFmtId="0" fontId="12" fillId="6" borderId="41" xfId="0" applyFont="1" applyFill="1" applyBorder="1" applyAlignment="1" applyProtection="1">
      <alignment horizontal="left" vertical="center"/>
    </xf>
    <xf numFmtId="0" fontId="12" fillId="6" borderId="38" xfId="0" applyFont="1" applyFill="1" applyBorder="1" applyAlignment="1" applyProtection="1">
      <alignment horizontal="left" vertical="center" wrapText="1"/>
    </xf>
    <xf numFmtId="0" fontId="12" fillId="6" borderId="41" xfId="0" applyFont="1" applyFill="1" applyBorder="1" applyAlignment="1" applyProtection="1">
      <alignment horizontal="left" vertical="center" wrapText="1"/>
    </xf>
    <xf numFmtId="0" fontId="0" fillId="54" borderId="38" xfId="0" applyFont="1" applyFill="1" applyBorder="1" applyAlignment="1" applyProtection="1">
      <alignment horizontal="center" vertical="center"/>
      <protection locked="0"/>
    </xf>
    <xf numFmtId="0" fontId="0" fillId="54" borderId="41" xfId="0" applyFont="1" applyFill="1" applyBorder="1" applyAlignment="1" applyProtection="1">
      <alignment horizontal="center" vertical="center"/>
      <protection locked="0"/>
    </xf>
    <xf numFmtId="0" fontId="38" fillId="51" borderId="38" xfId="0" applyFont="1" applyFill="1" applyBorder="1" applyAlignment="1" applyProtection="1">
      <alignment horizontal="left" vertical="top" wrapText="1"/>
      <protection hidden="1"/>
    </xf>
    <xf numFmtId="0" fontId="38" fillId="51" borderId="0" xfId="0" applyFont="1" applyFill="1" applyBorder="1" applyAlignment="1" applyProtection="1">
      <alignment horizontal="left" vertical="top" wrapText="1"/>
      <protection locked="0" hidden="1"/>
    </xf>
    <xf numFmtId="0" fontId="12" fillId="62" borderId="44" xfId="0" applyFont="1" applyFill="1" applyBorder="1" applyAlignment="1" applyProtection="1">
      <alignment horizontal="center" vertical="center"/>
      <protection locked="0" hidden="1"/>
    </xf>
    <xf numFmtId="0" fontId="30" fillId="67" borderId="38" xfId="0" applyFont="1" applyFill="1" applyBorder="1" applyAlignment="1" applyProtection="1">
      <alignment horizontal="center" vertical="center" wrapText="1"/>
    </xf>
    <xf numFmtId="0" fontId="30" fillId="67" borderId="41" xfId="0" applyFont="1" applyFill="1" applyBorder="1" applyAlignment="1" applyProtection="1">
      <alignment horizontal="center" vertical="center" wrapText="1"/>
    </xf>
    <xf numFmtId="44" fontId="95" fillId="67" borderId="0" xfId="1" applyFont="1" applyFill="1" applyBorder="1" applyAlignment="1" applyProtection="1">
      <alignment horizontal="center" vertical="center" wrapText="1"/>
    </xf>
    <xf numFmtId="44" fontId="95" fillId="67" borderId="0" xfId="1" applyFont="1" applyFill="1" applyBorder="1" applyAlignment="1" applyProtection="1">
      <alignment horizontal="center" vertical="center"/>
    </xf>
    <xf numFmtId="0" fontId="3" fillId="67" borderId="41" xfId="0" applyFont="1" applyFill="1" applyBorder="1" applyAlignment="1" applyProtection="1">
      <alignment horizontal="center" vertical="center" wrapText="1"/>
    </xf>
    <xf numFmtId="0" fontId="30" fillId="12" borderId="38" xfId="0" applyFont="1" applyFill="1" applyBorder="1" applyAlignment="1" applyProtection="1">
      <alignment horizontal="center" vertical="center"/>
    </xf>
    <xf numFmtId="0" fontId="30" fillId="12" borderId="41" xfId="0" applyFont="1" applyFill="1" applyBorder="1" applyAlignment="1" applyProtection="1">
      <alignment horizontal="center" vertical="center"/>
    </xf>
    <xf numFmtId="0" fontId="12" fillId="51" borderId="24" xfId="0" applyFont="1" applyFill="1" applyBorder="1" applyAlignment="1" applyProtection="1">
      <alignment horizontal="center" vertical="center"/>
      <protection hidden="1"/>
    </xf>
    <xf numFmtId="0" fontId="12" fillId="51" borderId="26" xfId="0" applyFont="1" applyFill="1" applyBorder="1" applyAlignment="1" applyProtection="1">
      <alignment horizontal="center" vertical="center"/>
      <protection hidden="1"/>
    </xf>
    <xf numFmtId="0" fontId="12" fillId="62" borderId="41" xfId="0" applyFont="1" applyFill="1" applyBorder="1" applyAlignment="1" applyProtection="1">
      <alignment horizontal="center" vertical="center" wrapText="1"/>
    </xf>
    <xf numFmtId="0" fontId="30" fillId="67" borderId="0" xfId="0" applyFont="1" applyFill="1" applyBorder="1" applyAlignment="1" applyProtection="1">
      <alignment horizontal="center" vertical="center"/>
    </xf>
    <xf numFmtId="0" fontId="30" fillId="67" borderId="41" xfId="0" applyFont="1" applyFill="1" applyBorder="1" applyAlignment="1" applyProtection="1">
      <alignment horizontal="center" vertical="center"/>
    </xf>
    <xf numFmtId="0" fontId="12" fillId="51" borderId="44" xfId="0" applyFont="1" applyFill="1" applyBorder="1" applyAlignment="1" applyProtection="1">
      <alignment vertical="center"/>
      <protection hidden="1"/>
    </xf>
    <xf numFmtId="0" fontId="31" fillId="57" borderId="24" xfId="0" applyFont="1" applyFill="1" applyBorder="1" applyAlignment="1" applyProtection="1">
      <alignment horizontal="center"/>
    </xf>
    <xf numFmtId="0" fontId="31" fillId="57" borderId="25" xfId="0" applyFont="1" applyFill="1" applyBorder="1" applyAlignment="1" applyProtection="1">
      <alignment horizontal="center"/>
    </xf>
    <xf numFmtId="0" fontId="31" fillId="57" borderId="26" xfId="0" applyFont="1" applyFill="1" applyBorder="1" applyAlignment="1" applyProtection="1">
      <alignment horizontal="center"/>
    </xf>
    <xf numFmtId="3" fontId="0" fillId="57" borderId="37" xfId="2" applyNumberFormat="1" applyFont="1" applyFill="1" applyBorder="1" applyAlignment="1" applyProtection="1">
      <alignment horizontal="center" vertical="center"/>
    </xf>
    <xf numFmtId="3" fontId="0" fillId="57" borderId="39" xfId="2" applyNumberFormat="1" applyFont="1" applyFill="1" applyBorder="1" applyAlignment="1" applyProtection="1">
      <alignment horizontal="center" vertical="center"/>
    </xf>
    <xf numFmtId="0" fontId="31" fillId="66" borderId="37" xfId="0" applyFont="1" applyFill="1" applyBorder="1" applyAlignment="1" applyProtection="1">
      <alignment horizontal="center"/>
    </xf>
    <xf numFmtId="0" fontId="31" fillId="66" borderId="38" xfId="0" applyFont="1" applyFill="1" applyBorder="1" applyAlignment="1" applyProtection="1">
      <alignment horizontal="center"/>
    </xf>
    <xf numFmtId="0" fontId="31" fillId="66" borderId="39" xfId="0" applyFont="1" applyFill="1" applyBorder="1" applyAlignment="1" applyProtection="1">
      <alignment horizontal="center"/>
    </xf>
    <xf numFmtId="0" fontId="30" fillId="12" borderId="38" xfId="0" applyFont="1" applyFill="1" applyBorder="1" applyAlignment="1" applyProtection="1">
      <alignment horizontal="center" vertical="center" wrapText="1"/>
    </xf>
    <xf numFmtId="0" fontId="30" fillId="12" borderId="41" xfId="0" applyFont="1" applyFill="1" applyBorder="1" applyAlignment="1" applyProtection="1">
      <alignment horizontal="center" vertical="center" wrapText="1"/>
    </xf>
    <xf numFmtId="0" fontId="46" fillId="9" borderId="0" xfId="0" applyFont="1" applyFill="1" applyBorder="1" applyAlignment="1" applyProtection="1">
      <alignment horizontal="left" vertical="center"/>
    </xf>
    <xf numFmtId="0" fontId="10" fillId="6" borderId="40" xfId="0" applyFont="1" applyFill="1" applyBorder="1" applyAlignment="1" applyProtection="1">
      <alignment horizontal="left" vertical="center"/>
    </xf>
    <xf numFmtId="164" fontId="38" fillId="51" borderId="38" xfId="2" applyNumberFormat="1" applyFont="1" applyFill="1" applyBorder="1" applyAlignment="1" applyProtection="1">
      <alignment horizontal="center"/>
      <protection locked="0"/>
    </xf>
    <xf numFmtId="164" fontId="38" fillId="51" borderId="0" xfId="2" applyNumberFormat="1" applyFont="1" applyFill="1" applyBorder="1" applyAlignment="1" applyProtection="1">
      <alignment horizontal="center"/>
      <protection locked="0"/>
    </xf>
    <xf numFmtId="0" fontId="10" fillId="6" borderId="51" xfId="0" applyFont="1" applyFill="1" applyBorder="1" applyAlignment="1" applyProtection="1">
      <alignment horizontal="center" vertical="center"/>
    </xf>
    <xf numFmtId="0" fontId="10" fillId="6" borderId="50" xfId="0" applyFont="1" applyFill="1" applyBorder="1" applyAlignment="1" applyProtection="1">
      <alignment horizontal="center" vertical="center"/>
    </xf>
    <xf numFmtId="44" fontId="29" fillId="49" borderId="0" xfId="1" applyFont="1" applyFill="1" applyBorder="1" applyAlignment="1" applyProtection="1">
      <alignment horizontal="center" vertical="center"/>
    </xf>
    <xf numFmtId="0" fontId="12" fillId="50" borderId="37" xfId="0" applyFont="1" applyFill="1" applyBorder="1" applyAlignment="1" applyProtection="1">
      <alignment horizontal="left" vertical="center" wrapText="1"/>
    </xf>
    <xf numFmtId="0" fontId="12" fillId="50" borderId="38" xfId="0" applyFont="1" applyFill="1" applyBorder="1" applyAlignment="1" applyProtection="1">
      <alignment horizontal="left" vertical="center" wrapText="1"/>
    </xf>
    <xf numFmtId="0" fontId="12" fillId="50" borderId="30" xfId="0" applyFont="1" applyFill="1" applyBorder="1" applyAlignment="1" applyProtection="1">
      <alignment horizontal="left" vertical="center" wrapText="1"/>
    </xf>
    <xf numFmtId="0" fontId="12" fillId="50" borderId="0" xfId="0" applyFont="1" applyFill="1" applyBorder="1" applyAlignment="1" applyProtection="1">
      <alignment horizontal="left" vertical="center" wrapText="1"/>
    </xf>
    <xf numFmtId="0" fontId="12" fillId="50" borderId="40" xfId="0" applyFont="1" applyFill="1" applyBorder="1" applyAlignment="1" applyProtection="1">
      <alignment horizontal="left" vertical="center" wrapText="1"/>
    </xf>
    <xf numFmtId="0" fontId="12" fillId="50" borderId="41" xfId="0" applyFont="1" applyFill="1" applyBorder="1" applyAlignment="1" applyProtection="1">
      <alignment horizontal="left" vertical="center" wrapText="1"/>
    </xf>
    <xf numFmtId="0" fontId="10" fillId="10" borderId="37" xfId="0" applyNumberFormat="1" applyFont="1" applyFill="1" applyBorder="1" applyAlignment="1" applyProtection="1">
      <alignment horizontal="left" vertical="center" wrapText="1"/>
    </xf>
    <xf numFmtId="0" fontId="10" fillId="10" borderId="38" xfId="0" applyNumberFormat="1" applyFont="1" applyFill="1" applyBorder="1" applyAlignment="1" applyProtection="1">
      <alignment horizontal="left" vertical="center" wrapText="1"/>
    </xf>
    <xf numFmtId="0" fontId="10" fillId="51" borderId="40" xfId="0" applyFont="1" applyFill="1" applyBorder="1" applyAlignment="1" applyProtection="1">
      <alignment horizontal="left" vertical="center" wrapText="1"/>
    </xf>
    <xf numFmtId="0" fontId="10" fillId="51" borderId="41" xfId="0" applyFont="1" applyFill="1" applyBorder="1" applyAlignment="1" applyProtection="1">
      <alignment horizontal="left" vertical="center" wrapText="1"/>
    </xf>
    <xf numFmtId="0" fontId="10" fillId="51" borderId="42" xfId="0" applyFont="1" applyFill="1" applyBorder="1" applyAlignment="1" applyProtection="1">
      <alignment horizontal="left" vertical="center" wrapText="1"/>
    </xf>
    <xf numFmtId="0" fontId="10" fillId="51" borderId="24" xfId="0" applyFont="1" applyFill="1" applyBorder="1" applyAlignment="1" applyProtection="1">
      <alignment horizontal="left" vertical="center" wrapText="1"/>
    </xf>
    <xf numFmtId="0" fontId="10" fillId="51" borderId="25" xfId="0" applyFont="1" applyFill="1" applyBorder="1" applyAlignment="1" applyProtection="1">
      <alignment horizontal="left" vertical="center" wrapText="1"/>
    </xf>
    <xf numFmtId="0" fontId="10" fillId="51" borderId="26" xfId="0" applyFont="1" applyFill="1" applyBorder="1" applyAlignment="1" applyProtection="1">
      <alignment horizontal="left" vertical="center" wrapText="1"/>
    </xf>
    <xf numFmtId="0" fontId="30" fillId="6" borderId="41" xfId="0" applyFont="1" applyFill="1" applyBorder="1" applyAlignment="1" applyProtection="1">
      <alignment horizontal="center"/>
    </xf>
    <xf numFmtId="3" fontId="0" fillId="10" borderId="38" xfId="2" applyNumberFormat="1" applyFont="1" applyFill="1" applyBorder="1" applyAlignment="1" applyProtection="1">
      <alignment horizontal="center" vertical="center"/>
      <protection locked="0"/>
    </xf>
    <xf numFmtId="44" fontId="0" fillId="57" borderId="37" xfId="1" applyFont="1" applyFill="1" applyBorder="1" applyAlignment="1" applyProtection="1">
      <alignment horizontal="center" vertical="center"/>
    </xf>
    <xf numFmtId="44" fontId="0" fillId="57" borderId="39" xfId="1" applyFont="1" applyFill="1" applyBorder="1" applyAlignment="1" applyProtection="1">
      <alignment horizontal="center" vertical="center"/>
    </xf>
    <xf numFmtId="0" fontId="0" fillId="10" borderId="30" xfId="0" applyFill="1" applyBorder="1" applyAlignment="1" applyProtection="1">
      <alignment horizontal="center"/>
      <protection locked="0"/>
    </xf>
    <xf numFmtId="0" fontId="0" fillId="10" borderId="0" xfId="0" applyFill="1" applyBorder="1" applyAlignment="1" applyProtection="1">
      <alignment horizontal="center"/>
      <protection locked="0"/>
    </xf>
    <xf numFmtId="0" fontId="18" fillId="51" borderId="38" xfId="0" applyFont="1" applyFill="1" applyBorder="1" applyAlignment="1" applyProtection="1">
      <alignment horizontal="left" vertical="center"/>
    </xf>
    <xf numFmtId="0" fontId="45" fillId="49" borderId="25" xfId="0" applyFont="1" applyFill="1" applyBorder="1" applyAlignment="1" applyProtection="1">
      <alignment horizontal="left" vertical="center"/>
    </xf>
    <xf numFmtId="0" fontId="45" fillId="49" borderId="41" xfId="0" applyFont="1" applyFill="1" applyBorder="1" applyAlignment="1" applyProtection="1">
      <alignment horizontal="left" vertical="center" wrapText="1"/>
    </xf>
    <xf numFmtId="44" fontId="0" fillId="10" borderId="37" xfId="1" applyFont="1" applyFill="1" applyBorder="1" applyAlignment="1" applyProtection="1">
      <alignment horizontal="center"/>
      <protection locked="0"/>
    </xf>
    <xf numFmtId="44" fontId="0" fillId="10" borderId="39" xfId="1" applyFont="1" applyFill="1" applyBorder="1" applyAlignment="1" applyProtection="1">
      <alignment horizontal="center"/>
      <protection locked="0"/>
    </xf>
    <xf numFmtId="0" fontId="12" fillId="50" borderId="44" xfId="0" applyFont="1" applyFill="1" applyBorder="1" applyAlignment="1" applyProtection="1">
      <alignment horizontal="center" vertical="center"/>
      <protection hidden="1"/>
    </xf>
    <xf numFmtId="0" fontId="12" fillId="6" borderId="0" xfId="0" applyFont="1" applyFill="1" applyBorder="1" applyAlignment="1" applyProtection="1">
      <alignment horizontal="left" vertical="center"/>
    </xf>
    <xf numFmtId="0" fontId="0" fillId="54" borderId="0" xfId="0" applyFont="1" applyFill="1" applyBorder="1" applyAlignment="1" applyProtection="1">
      <alignment horizontal="center" vertical="center"/>
      <protection locked="0"/>
    </xf>
    <xf numFmtId="0" fontId="12" fillId="58" borderId="38" xfId="0" applyFont="1" applyFill="1" applyBorder="1" applyAlignment="1" applyProtection="1">
      <alignment horizontal="left" vertical="center"/>
      <protection hidden="1"/>
    </xf>
    <xf numFmtId="0" fontId="12" fillId="6" borderId="0" xfId="0" applyFont="1" applyFill="1" applyBorder="1" applyAlignment="1" applyProtection="1">
      <alignment horizontal="left" vertical="center"/>
      <protection locked="0"/>
    </xf>
    <xf numFmtId="0" fontId="12" fillId="50" borderId="44" xfId="0" applyFont="1" applyFill="1" applyBorder="1" applyAlignment="1" applyProtection="1">
      <alignment horizontal="left" vertical="center"/>
      <protection hidden="1"/>
    </xf>
    <xf numFmtId="0" fontId="11" fillId="13" borderId="38" xfId="0" applyFont="1" applyFill="1" applyBorder="1" applyAlignment="1" applyProtection="1">
      <alignment horizontal="center" vertical="center"/>
    </xf>
    <xf numFmtId="0" fontId="11" fillId="13" borderId="41" xfId="0" applyFont="1" applyFill="1" applyBorder="1" applyAlignment="1" applyProtection="1">
      <alignment horizontal="center" vertical="center"/>
    </xf>
    <xf numFmtId="44" fontId="29" fillId="5" borderId="0" xfId="1" applyFont="1" applyFill="1" applyBorder="1" applyAlignment="1" applyProtection="1">
      <alignment horizontal="center" vertical="center" wrapText="1"/>
    </xf>
    <xf numFmtId="0" fontId="9" fillId="5" borderId="41" xfId="0" applyFont="1" applyFill="1" applyBorder="1" applyAlignment="1" applyProtection="1">
      <alignment horizontal="center" vertical="center" wrapText="1"/>
    </xf>
    <xf numFmtId="0" fontId="11" fillId="13" borderId="38" xfId="0" applyFont="1" applyFill="1" applyBorder="1" applyAlignment="1" applyProtection="1">
      <alignment horizontal="center" vertical="center" wrapText="1"/>
    </xf>
    <xf numFmtId="0" fontId="11" fillId="13" borderId="41" xfId="0" applyFont="1" applyFill="1" applyBorder="1" applyAlignment="1" applyProtection="1">
      <alignment horizontal="center" vertical="center" wrapText="1"/>
    </xf>
    <xf numFmtId="0" fontId="12" fillId="50" borderId="44" xfId="0" applyFont="1" applyFill="1" applyBorder="1" applyAlignment="1" applyProtection="1">
      <alignment vertical="center"/>
      <protection hidden="1"/>
    </xf>
    <xf numFmtId="0" fontId="12" fillId="0" borderId="37" xfId="0" applyFont="1" applyFill="1" applyBorder="1" applyAlignment="1" applyProtection="1">
      <alignment horizontal="left" vertical="center" wrapText="1"/>
    </xf>
    <xf numFmtId="0" fontId="12" fillId="0" borderId="38" xfId="0" applyFont="1" applyFill="1" applyBorder="1" applyAlignment="1" applyProtection="1">
      <alignment horizontal="left" vertical="center" wrapText="1"/>
    </xf>
    <xf numFmtId="0" fontId="12" fillId="0" borderId="30"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wrapText="1"/>
    </xf>
    <xf numFmtId="44" fontId="10" fillId="10" borderId="30" xfId="0" applyNumberFormat="1" applyFont="1" applyFill="1" applyBorder="1" applyAlignment="1" applyProtection="1">
      <alignment horizontal="center" vertical="center"/>
      <protection locked="0"/>
    </xf>
    <xf numFmtId="44" fontId="10" fillId="10" borderId="0" xfId="0" applyNumberFormat="1" applyFont="1" applyFill="1" applyBorder="1" applyAlignment="1" applyProtection="1">
      <alignment horizontal="center" vertical="center"/>
      <protection locked="0"/>
    </xf>
    <xf numFmtId="0" fontId="10" fillId="6" borderId="0" xfId="0" applyFont="1" applyFill="1" applyBorder="1" applyAlignment="1" applyProtection="1">
      <alignment horizontal="center" vertical="center" wrapText="1"/>
    </xf>
    <xf numFmtId="0" fontId="10" fillId="6" borderId="43" xfId="0" applyFont="1" applyFill="1" applyBorder="1" applyAlignment="1" applyProtection="1">
      <alignment horizontal="center" vertical="center" wrapText="1"/>
    </xf>
    <xf numFmtId="0" fontId="10" fillId="10" borderId="30" xfId="0" applyFont="1" applyFill="1" applyBorder="1" applyAlignment="1" applyProtection="1">
      <alignment horizontal="left" vertical="center" wrapText="1"/>
    </xf>
    <xf numFmtId="0" fontId="0" fillId="9" borderId="0" xfId="0" applyFill="1" applyAlignment="1" applyProtection="1">
      <alignment horizontal="center"/>
    </xf>
    <xf numFmtId="0" fontId="38" fillId="51" borderId="38" xfId="0" applyFont="1" applyFill="1" applyBorder="1" applyAlignment="1" applyProtection="1">
      <alignment horizontal="left" vertical="top" wrapText="1"/>
      <protection locked="0" hidden="1"/>
    </xf>
    <xf numFmtId="0" fontId="12" fillId="6" borderId="37" xfId="0" applyFont="1" applyFill="1" applyBorder="1" applyAlignment="1" applyProtection="1">
      <alignment horizontal="left" vertical="center" wrapText="1"/>
    </xf>
    <xf numFmtId="0" fontId="12" fillId="6" borderId="40" xfId="0" applyFont="1" applyFill="1" applyBorder="1" applyAlignment="1" applyProtection="1">
      <alignment horizontal="left" vertical="center" wrapText="1"/>
    </xf>
    <xf numFmtId="0" fontId="12" fillId="6" borderId="0" xfId="0" applyFont="1" applyFill="1" applyBorder="1" applyAlignment="1" applyProtection="1">
      <alignment horizontal="left" vertical="center" wrapText="1"/>
      <protection locked="0" hidden="1"/>
    </xf>
    <xf numFmtId="0" fontId="12" fillId="59" borderId="38" xfId="0" applyFont="1" applyFill="1" applyBorder="1" applyAlignment="1" applyProtection="1">
      <alignment horizontal="left" vertical="center" wrapText="1"/>
      <protection hidden="1"/>
    </xf>
    <xf numFmtId="0" fontId="11" fillId="13" borderId="0" xfId="0" applyFont="1" applyFill="1" applyBorder="1" applyAlignment="1" applyProtection="1">
      <alignment horizontal="center" vertical="center"/>
    </xf>
    <xf numFmtId="0" fontId="11" fillId="13" borderId="0" xfId="0" applyFont="1" applyFill="1" applyBorder="1" applyAlignment="1" applyProtection="1">
      <alignment horizontal="center" vertical="center" wrapText="1"/>
    </xf>
    <xf numFmtId="2" fontId="31" fillId="0" borderId="8" xfId="0" applyNumberFormat="1" applyFont="1" applyBorder="1" applyAlignment="1">
      <alignment horizontal="center" vertical="center" wrapText="1"/>
    </xf>
    <xf numFmtId="2" fontId="31" fillId="0" borderId="6" xfId="0" applyNumberFormat="1" applyFont="1" applyBorder="1" applyAlignment="1">
      <alignment horizontal="center" vertical="center" wrapText="1"/>
    </xf>
    <xf numFmtId="2" fontId="31" fillId="0" borderId="47" xfId="0" applyNumberFormat="1" applyFont="1" applyBorder="1" applyAlignment="1">
      <alignment horizontal="center" vertical="center" wrapText="1"/>
    </xf>
    <xf numFmtId="0" fontId="31" fillId="0" borderId="8"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47" xfId="0" applyFont="1" applyBorder="1" applyAlignment="1">
      <alignment horizontal="center" vertical="center" wrapText="1"/>
    </xf>
  </cellXfs>
  <cellStyles count="66">
    <cellStyle name="20% - Accent1" xfId="30" builtinId="30" customBuiltin="1"/>
    <cellStyle name="20% - Accent2" xfId="34" builtinId="34" customBuiltin="1"/>
    <cellStyle name="20% - Accent3" xfId="38" builtinId="38" customBuiltin="1"/>
    <cellStyle name="20% - Accent4" xfId="42" builtinId="42" customBuiltin="1"/>
    <cellStyle name="20% - Accent5" xfId="46" builtinId="46" customBuiltin="1"/>
    <cellStyle name="20% - Accent6" xfId="50" builtinId="50" customBuiltin="1"/>
    <cellStyle name="40% - Accent1" xfId="31" builtinId="31" customBuiltin="1"/>
    <cellStyle name="40% - Accent2" xfId="35" builtinId="35" customBuiltin="1"/>
    <cellStyle name="40% - Accent3" xfId="39" builtinId="39" customBuiltin="1"/>
    <cellStyle name="40% - Accent4" xfId="43" builtinId="43" customBuiltin="1"/>
    <cellStyle name="40% - Accent5" xfId="47" builtinId="47" customBuiltin="1"/>
    <cellStyle name="40% - Accent6" xfId="51" builtinId="51" customBuiltin="1"/>
    <cellStyle name="60% - Accent1" xfId="32" builtinId="32" customBuiltin="1"/>
    <cellStyle name="60% - Accent2" xfId="36" builtinId="36" customBuiltin="1"/>
    <cellStyle name="60% - Accent3" xfId="40" builtinId="40" customBuiltin="1"/>
    <cellStyle name="60% - Accent4" xfId="44" builtinId="44" customBuiltin="1"/>
    <cellStyle name="60% - Accent5" xfId="48" builtinId="48" customBuiltin="1"/>
    <cellStyle name="60%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Bad" xfId="18" builtinId="27" customBuiltin="1"/>
    <cellStyle name="Calculation" xfId="22" builtinId="22" customBuiltin="1"/>
    <cellStyle name="Check Cell" xfId="24" builtinId="23" customBuiltin="1"/>
    <cellStyle name="Comma" xfId="2" builtinId="3"/>
    <cellStyle name="Comma 2" xfId="7" xr:uid="{00000000-0005-0000-0000-00001C000000}"/>
    <cellStyle name="Comma 2 2" xfId="58" xr:uid="{00000000-0005-0000-0000-00001D000000}"/>
    <cellStyle name="Comma 2 3" xfId="57" xr:uid="{00000000-0005-0000-0000-00001E000000}"/>
    <cellStyle name="Comma 3" xfId="59" xr:uid="{00000000-0005-0000-0000-00001F000000}"/>
    <cellStyle name="Comma 4" xfId="56" xr:uid="{00000000-0005-0000-0000-000020000000}"/>
    <cellStyle name="Currency" xfId="1" builtinId="4"/>
    <cellStyle name="Currency 2" xfId="4" xr:uid="{00000000-0005-0000-0000-000022000000}"/>
    <cellStyle name="Currency 3" xfId="60" xr:uid="{00000000-0005-0000-0000-000023000000}"/>
    <cellStyle name="Explanatory Text" xfId="27" builtinId="53" customBuiltin="1"/>
    <cellStyle name="Good" xfId="17" builtinId="26" customBuiltin="1"/>
    <cellStyle name="Heading 1" xfId="13" builtinId="16" customBuiltin="1"/>
    <cellStyle name="Heading 2" xfId="14" builtinId="17" customBuiltin="1"/>
    <cellStyle name="Heading 3" xfId="15" builtinId="18" customBuiltin="1"/>
    <cellStyle name="Heading 4" xfId="16" builtinId="19" customBuiltin="1"/>
    <cellStyle name="Hyperlink" xfId="9" builtinId="8"/>
    <cellStyle name="Hyperlink 2" xfId="53" xr:uid="{00000000-0005-0000-0000-00002B000000}"/>
    <cellStyle name="Hyperlink 3" xfId="54" xr:uid="{00000000-0005-0000-0000-00002C000000}"/>
    <cellStyle name="Hyperlink 4" xfId="61" xr:uid="{00000000-0005-0000-0000-00002D000000}"/>
    <cellStyle name="Input" xfId="20" builtinId="20" customBuiltin="1"/>
    <cellStyle name="Linked Cell" xfId="23" builtinId="24" customBuiltin="1"/>
    <cellStyle name="Neutral" xfId="19" builtinId="28" customBuiltin="1"/>
    <cellStyle name="Normal" xfId="0" builtinId="0"/>
    <cellStyle name="Normal 2" xfId="3" xr:uid="{00000000-0005-0000-0000-000032000000}"/>
    <cellStyle name="Normal 2 2" xfId="63" xr:uid="{00000000-0005-0000-0000-000033000000}"/>
    <cellStyle name="Normal 2 3" xfId="62" xr:uid="{00000000-0005-0000-0000-000034000000}"/>
    <cellStyle name="Normal 3" xfId="64" xr:uid="{00000000-0005-0000-0000-000035000000}"/>
    <cellStyle name="Normal 4" xfId="55" xr:uid="{00000000-0005-0000-0000-000036000000}"/>
    <cellStyle name="Normal_Sheet1" xfId="11" xr:uid="{00000000-0005-0000-0000-000037000000}"/>
    <cellStyle name="Normal_Sheet6" xfId="8" xr:uid="{00000000-0005-0000-0000-000038000000}"/>
    <cellStyle name="Normal_Source" xfId="10" xr:uid="{00000000-0005-0000-0000-000039000000}"/>
    <cellStyle name="Note" xfId="26" builtinId="10" customBuiltin="1"/>
    <cellStyle name="Output" xfId="21" builtinId="21" customBuiltin="1"/>
    <cellStyle name="Percent" xfId="5" builtinId="5"/>
    <cellStyle name="Percent 2" xfId="6" xr:uid="{00000000-0005-0000-0000-00003D000000}"/>
    <cellStyle name="Percent 3" xfId="65" xr:uid="{00000000-0005-0000-0000-00003E000000}"/>
    <cellStyle name="Title" xfId="12" builtinId="15" customBuiltin="1"/>
    <cellStyle name="Total" xfId="28" builtinId="25" customBuiltin="1"/>
    <cellStyle name="Warning Text" xfId="25" builtinId="11" customBuiltin="1"/>
  </cellStyles>
  <dxfs count="61">
    <dxf>
      <font>
        <color rgb="FFEAF0F6"/>
      </font>
      <fill>
        <patternFill>
          <bgColor rgb="FFEAF0F6"/>
        </patternFill>
      </fill>
    </dxf>
    <dxf>
      <fill>
        <patternFill>
          <bgColor rgb="FFFFFFA3"/>
        </patternFill>
      </fill>
    </dxf>
    <dxf>
      <font>
        <color theme="3"/>
      </font>
    </dxf>
    <dxf>
      <fill>
        <patternFill>
          <bgColor rgb="FFFFFF9B"/>
        </patternFill>
      </fill>
    </dxf>
    <dxf>
      <fill>
        <patternFill>
          <bgColor rgb="FFFFFFA3"/>
        </patternFill>
      </fill>
    </dxf>
    <dxf>
      <font>
        <color rgb="FFEEF3F8"/>
      </font>
      <fill>
        <patternFill>
          <bgColor rgb="FFECF2F8"/>
        </patternFill>
      </fill>
    </dxf>
    <dxf>
      <font>
        <color rgb="FFF1F5F9"/>
      </font>
      <fill>
        <patternFill>
          <bgColor rgb="FFF4F7FA"/>
        </patternFill>
      </fill>
    </dxf>
    <dxf>
      <fill>
        <patternFill>
          <bgColor rgb="FFFFFF93"/>
        </patternFill>
      </fill>
    </dxf>
    <dxf>
      <fill>
        <patternFill>
          <bgColor rgb="FFFFFF93"/>
        </patternFill>
      </fill>
    </dxf>
    <dxf>
      <fill>
        <patternFill>
          <bgColor rgb="FFFFFF93"/>
        </patternFill>
      </fill>
    </dxf>
    <dxf>
      <font>
        <color theme="0"/>
      </font>
      <fill>
        <patternFill>
          <bgColor theme="0"/>
        </patternFill>
      </fill>
    </dxf>
    <dxf>
      <fill>
        <patternFill>
          <bgColor rgb="FFFFFF93"/>
        </patternFill>
      </fill>
    </dxf>
    <dxf>
      <fill>
        <patternFill>
          <bgColor rgb="FFFFFF93"/>
        </patternFill>
      </fill>
    </dxf>
    <dxf>
      <font>
        <color theme="3"/>
      </font>
      <fill>
        <patternFill>
          <bgColor rgb="FFFFFF9B"/>
        </patternFill>
      </fill>
    </dxf>
    <dxf>
      <fill>
        <patternFill>
          <bgColor rgb="FFFFFF93"/>
        </patternFill>
      </fill>
    </dxf>
    <dxf>
      <font>
        <color theme="0"/>
      </font>
      <fill>
        <patternFill>
          <bgColor theme="0"/>
        </patternFill>
      </fill>
    </dxf>
    <dxf>
      <fill>
        <patternFill>
          <bgColor rgb="FFFFFF93"/>
        </patternFill>
      </fill>
    </dxf>
    <dxf>
      <fill>
        <patternFill>
          <bgColor rgb="FFFFFF85"/>
        </patternFill>
      </fill>
    </dxf>
    <dxf>
      <fill>
        <patternFill>
          <bgColor rgb="FFFFFF9B"/>
        </patternFill>
      </fill>
    </dxf>
    <dxf>
      <fill>
        <patternFill>
          <bgColor rgb="FFFFFF85"/>
        </patternFill>
      </fill>
    </dxf>
    <dxf>
      <fill>
        <patternFill>
          <bgColor rgb="FFFFFF85"/>
        </patternFill>
      </fill>
    </dxf>
    <dxf>
      <font>
        <b/>
        <i val="0"/>
        <color theme="3"/>
      </font>
      <fill>
        <patternFill>
          <bgColor rgb="FFFFFF8B"/>
        </patternFill>
      </fill>
    </dxf>
    <dxf>
      <fill>
        <patternFill>
          <bgColor rgb="FFFFFFA3"/>
        </patternFill>
      </fill>
    </dxf>
    <dxf>
      <fill>
        <patternFill>
          <bgColor rgb="FFFFFFA3"/>
        </patternFill>
      </fill>
    </dxf>
    <dxf>
      <font>
        <color rgb="FFEAF0F6"/>
      </font>
      <fill>
        <patternFill>
          <bgColor rgb="FFEAF0F6"/>
        </patternFill>
      </fill>
    </dxf>
    <dxf>
      <font>
        <color rgb="FFEAF0F6"/>
      </font>
      <fill>
        <patternFill>
          <bgColor rgb="FFEAF0F6"/>
        </patternFill>
      </fill>
    </dxf>
    <dxf>
      <font>
        <color rgb="FFEAF0F6"/>
      </font>
      <fill>
        <patternFill>
          <bgColor rgb="FFEAF0F6"/>
        </patternFill>
      </fill>
    </dxf>
    <dxf>
      <font>
        <color rgb="FF00B050"/>
      </font>
    </dxf>
    <dxf>
      <font>
        <b val="0"/>
        <i val="0"/>
        <color rgb="FF00B050"/>
      </font>
    </dxf>
    <dxf>
      <font>
        <color rgb="FF00B050"/>
      </font>
    </dxf>
    <dxf>
      <font>
        <color rgb="FF00B050"/>
      </font>
    </dxf>
    <dxf>
      <font>
        <color rgb="FF00B050"/>
      </font>
    </dxf>
    <dxf>
      <font>
        <b val="0"/>
        <i val="0"/>
        <color rgb="FF00B050"/>
      </font>
    </dxf>
    <dxf>
      <font>
        <color rgb="FF00B050"/>
      </font>
    </dxf>
    <dxf>
      <font>
        <color rgb="FF00B050"/>
      </font>
    </dxf>
    <dxf>
      <font>
        <color rgb="FF00B050"/>
      </font>
    </dxf>
    <dxf>
      <font>
        <color rgb="FF00B050"/>
      </font>
    </dxf>
    <dxf>
      <font>
        <b val="0"/>
        <i val="0"/>
        <color rgb="FF00B050"/>
      </font>
    </dxf>
    <dxf>
      <font>
        <color auto="1"/>
      </font>
      <fill>
        <patternFill>
          <bgColor theme="5" tint="0.39994506668294322"/>
        </patternFill>
      </fill>
    </dxf>
    <dxf>
      <font>
        <color auto="1"/>
      </font>
      <fill>
        <patternFill>
          <bgColor theme="5" tint="0.39994506668294322"/>
        </patternFill>
      </fill>
    </dxf>
    <dxf>
      <font>
        <color auto="1"/>
      </font>
      <fill>
        <patternFill>
          <bgColor theme="5" tint="0.39994506668294322"/>
        </patternFill>
      </fill>
    </dxf>
    <dxf>
      <font>
        <color auto="1"/>
      </font>
      <fill>
        <patternFill>
          <bgColor theme="5" tint="0.39994506668294322"/>
        </patternFill>
      </fill>
    </dxf>
    <dxf>
      <font>
        <color auto="1"/>
      </font>
      <fill>
        <patternFill>
          <bgColor theme="5" tint="0.39994506668294322"/>
        </patternFill>
      </fill>
    </dxf>
    <dxf>
      <font>
        <color auto="1"/>
      </font>
      <fill>
        <patternFill>
          <bgColor theme="5" tint="0.39994506668294322"/>
        </patternFill>
      </fill>
    </dxf>
    <dxf>
      <font>
        <color auto="1"/>
      </font>
      <fill>
        <patternFill>
          <bgColor theme="5" tint="0.39994506668294322"/>
        </patternFill>
      </fill>
    </dxf>
    <dxf>
      <font>
        <color auto="1"/>
      </font>
      <fill>
        <patternFill>
          <bgColor theme="5" tint="0.39994506668294322"/>
        </patternFill>
      </fill>
    </dxf>
    <dxf>
      <font>
        <color auto="1"/>
      </font>
      <fill>
        <patternFill>
          <bgColor theme="5" tint="0.39994506668294322"/>
        </patternFill>
      </fill>
    </dxf>
    <dxf>
      <font>
        <color auto="1"/>
      </font>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rgb="FFFFFF9F"/>
        </patternFill>
      </fill>
    </dxf>
    <dxf>
      <fill>
        <patternFill>
          <bgColor rgb="FFFFFFA3"/>
        </patternFill>
      </fill>
      <border>
        <left style="thin">
          <color theme="0"/>
        </left>
        <vertical/>
        <horizontal/>
      </border>
    </dxf>
    <dxf>
      <fill>
        <patternFill>
          <bgColor rgb="FFFFFFA3"/>
        </patternFill>
      </fill>
    </dxf>
    <dxf>
      <font>
        <b/>
        <i val="0"/>
        <color theme="3"/>
      </font>
      <fill>
        <patternFill>
          <bgColor rgb="FFFFFF8B"/>
        </patternFill>
      </fill>
    </dxf>
    <dxf>
      <font>
        <b/>
        <i val="0"/>
        <color theme="3"/>
      </font>
      <fill>
        <patternFill>
          <bgColor rgb="FFFFFF8B"/>
        </patternFill>
      </fill>
    </dxf>
  </dxfs>
  <tableStyles count="0" defaultTableStyle="TableStyleMedium9" defaultPivotStyle="PivotStyleLight16"/>
  <colors>
    <mruColors>
      <color rgb="FFFFFF97"/>
      <color rgb="FFF1F5F9"/>
      <color rgb="FFEAF0F6"/>
      <color rgb="FFFFFFA7"/>
      <color rgb="FFFFFF99"/>
      <color rgb="FFFFFFA3"/>
      <color rgb="FFFFFF9F"/>
      <color rgb="FFFFFF9B"/>
      <color rgb="FFECF2F8"/>
      <color rgb="FFEEF3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17</xdr:col>
      <xdr:colOff>419100</xdr:colOff>
      <xdr:row>1</xdr:row>
      <xdr:rowOff>9526</xdr:rowOff>
    </xdr:from>
    <xdr:to>
      <xdr:col>19</xdr:col>
      <xdr:colOff>457199</xdr:colOff>
      <xdr:row>5</xdr:row>
      <xdr:rowOff>238126</xdr:rowOff>
    </xdr:to>
    <xdr:pic>
      <xdr:nvPicPr>
        <xdr:cNvPr id="2" name="Picture 2" descr="Leading-By-Example-Logo">
          <a:extLst>
            <a:ext uri="{FF2B5EF4-FFF2-40B4-BE49-F238E27FC236}">
              <a16:creationId xmlns:a16="http://schemas.microsoft.com/office/drawing/2014/main" id="{90AA75F9-FA65-BB41-8A3E-25EF9305D20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277600" y="9526"/>
          <a:ext cx="1460499" cy="1041400"/>
        </a:xfrm>
        <a:prstGeom prst="rect">
          <a:avLst/>
        </a:prstGeom>
        <a:noFill/>
      </xdr:spPr>
    </xdr:pic>
    <xdr:clientData/>
  </xdr:twoCellAnchor>
  <xdr:twoCellAnchor>
    <xdr:from>
      <xdr:col>14</xdr:col>
      <xdr:colOff>457200</xdr:colOff>
      <xdr:row>0</xdr:row>
      <xdr:rowOff>127000</xdr:rowOff>
    </xdr:from>
    <xdr:to>
      <xdr:col>15</xdr:col>
      <xdr:colOff>977899</xdr:colOff>
      <xdr:row>5</xdr:row>
      <xdr:rowOff>165100</xdr:rowOff>
    </xdr:to>
    <xdr:pic>
      <xdr:nvPicPr>
        <xdr:cNvPr id="3" name="Picture 2" descr="Leading-By-Example-Logo">
          <a:extLst>
            <a:ext uri="{FF2B5EF4-FFF2-40B4-BE49-F238E27FC236}">
              <a16:creationId xmlns:a16="http://schemas.microsoft.com/office/drawing/2014/main" id="{33C1765B-16D3-324C-B640-8B1E70B7687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534900" y="127000"/>
          <a:ext cx="1295399" cy="104140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nhowlett/Local%20Settings/Temporary%20Internet%20Files/Content.Outlook/EZ1D14J8/SQA%20pv-proj-detail-form%20for%20Stephen%20Fields.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Users/twigjib/Library/Containers/com.microsoft.Excel/Data/Documents/Users/twigjib/Library/Containers/com.microsoft.Excel/Data/Documents/W:/LBE/Agency-Campus%20Annual%20Data%20Reporting/Tracking/Sustainable%20Landscaping/Sustainable%20Landscapes%20Data%20Tracking.xlsx?BEA89911" TargetMode="External"/><Relationship Id="rId1" Type="http://schemas.openxmlformats.org/officeDocument/2006/relationships/externalLinkPath" Target="file:///BEA89911/Sustainable%20Landscapes%20Data%20Track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and Definitions"/>
      <sheetName val="PV Project Form"/>
      <sheetName val="Drop-Down Lists"/>
    </sheetNames>
    <sheetDataSet>
      <sheetData sheetId="0"/>
      <sheetData sheetId="1"/>
      <sheetData sheetId="2">
        <row r="2">
          <cell r="A2" t="str">
            <v>Residential (3 of fewer dwelling units per building)</v>
          </cell>
          <cell r="E2" t="str">
            <v>AL</v>
          </cell>
          <cell r="F2" t="str">
            <v>Abington</v>
          </cell>
          <cell r="G2" t="str">
            <v>National Grid</v>
          </cell>
          <cell r="H2" t="str">
            <v>Massachusetts Clean Energy Center (CEC)</v>
          </cell>
        </row>
        <row r="3">
          <cell r="E3" t="str">
            <v>AK</v>
          </cell>
          <cell r="F3" t="str">
            <v>Acton</v>
          </cell>
          <cell r="G3" t="str">
            <v>NSTAR</v>
          </cell>
        </row>
        <row r="4">
          <cell r="E4" t="str">
            <v>AZ</v>
          </cell>
          <cell r="F4" t="str">
            <v>Acushnet</v>
          </cell>
          <cell r="G4" t="str">
            <v>Unitil (Fitchburg Gas &amp; Electric)</v>
          </cell>
        </row>
        <row r="5">
          <cell r="E5" t="str">
            <v>AR</v>
          </cell>
          <cell r="F5" t="str">
            <v>Adams</v>
          </cell>
          <cell r="G5" t="str">
            <v>Western Massachusetts Electric Company</v>
          </cell>
        </row>
        <row r="6">
          <cell r="E6" t="str">
            <v>CA</v>
          </cell>
          <cell r="F6" t="str">
            <v>Agawam</v>
          </cell>
          <cell r="G6" t="str">
            <v>Municipal Light Plant</v>
          </cell>
        </row>
        <row r="7">
          <cell r="E7" t="str">
            <v>CO</v>
          </cell>
          <cell r="F7" t="str">
            <v>Alford</v>
          </cell>
        </row>
        <row r="8">
          <cell r="E8" t="str">
            <v>CT</v>
          </cell>
          <cell r="F8" t="str">
            <v>Amesbury</v>
          </cell>
        </row>
        <row r="9">
          <cell r="E9" t="str">
            <v>DE</v>
          </cell>
          <cell r="F9" t="str">
            <v>Amherst</v>
          </cell>
        </row>
        <row r="10">
          <cell r="E10" t="str">
            <v>FL</v>
          </cell>
          <cell r="F10" t="str">
            <v>Andover</v>
          </cell>
        </row>
        <row r="11">
          <cell r="E11" t="str">
            <v>GA</v>
          </cell>
          <cell r="F11" t="str">
            <v>Aquinnah</v>
          </cell>
        </row>
        <row r="12">
          <cell r="E12" t="str">
            <v>HI</v>
          </cell>
          <cell r="F12" t="str">
            <v>Arlington</v>
          </cell>
        </row>
        <row r="13">
          <cell r="E13" t="str">
            <v>ID</v>
          </cell>
          <cell r="F13" t="str">
            <v>Ashburnham</v>
          </cell>
        </row>
        <row r="14">
          <cell r="E14" t="str">
            <v>IL</v>
          </cell>
          <cell r="F14" t="str">
            <v>Ashby</v>
          </cell>
        </row>
        <row r="15">
          <cell r="E15" t="str">
            <v>IN</v>
          </cell>
          <cell r="F15" t="str">
            <v>Ashfield</v>
          </cell>
        </row>
        <row r="16">
          <cell r="E16" t="str">
            <v>IA</v>
          </cell>
          <cell r="F16" t="str">
            <v>Ashland</v>
          </cell>
        </row>
        <row r="17">
          <cell r="E17" t="str">
            <v>KS</v>
          </cell>
          <cell r="F17" t="str">
            <v>Athol</v>
          </cell>
        </row>
        <row r="18">
          <cell r="E18" t="str">
            <v>KY</v>
          </cell>
          <cell r="F18" t="str">
            <v>Attleboro</v>
          </cell>
        </row>
        <row r="19">
          <cell r="E19" t="str">
            <v>LA</v>
          </cell>
          <cell r="F19" t="str">
            <v>Auburn</v>
          </cell>
        </row>
        <row r="20">
          <cell r="E20" t="str">
            <v>ME</v>
          </cell>
          <cell r="F20" t="str">
            <v>Avon</v>
          </cell>
        </row>
        <row r="21">
          <cell r="E21" t="str">
            <v>MD</v>
          </cell>
          <cell r="F21" t="str">
            <v>Ayer</v>
          </cell>
        </row>
        <row r="22">
          <cell r="E22" t="str">
            <v>MA</v>
          </cell>
          <cell r="F22" t="str">
            <v>Barnstable</v>
          </cell>
        </row>
        <row r="23">
          <cell r="E23" t="str">
            <v>MI</v>
          </cell>
          <cell r="F23" t="str">
            <v>Barre</v>
          </cell>
        </row>
        <row r="24">
          <cell r="E24" t="str">
            <v>MN</v>
          </cell>
          <cell r="F24" t="str">
            <v>Becket</v>
          </cell>
        </row>
        <row r="25">
          <cell r="E25" t="str">
            <v>MS</v>
          </cell>
          <cell r="F25" t="str">
            <v>Bedford</v>
          </cell>
        </row>
        <row r="26">
          <cell r="E26" t="str">
            <v>MO</v>
          </cell>
          <cell r="F26" t="str">
            <v>Belchertown</v>
          </cell>
        </row>
        <row r="27">
          <cell r="E27" t="str">
            <v>MT</v>
          </cell>
          <cell r="F27" t="str">
            <v>Bellingham</v>
          </cell>
        </row>
        <row r="28">
          <cell r="E28" t="str">
            <v>NE</v>
          </cell>
          <cell r="F28" t="str">
            <v>Belmont</v>
          </cell>
        </row>
        <row r="29">
          <cell r="E29" t="str">
            <v>NV</v>
          </cell>
          <cell r="F29" t="str">
            <v>Berkley</v>
          </cell>
        </row>
        <row r="30">
          <cell r="E30" t="str">
            <v>NH</v>
          </cell>
          <cell r="F30" t="str">
            <v>Berlin</v>
          </cell>
        </row>
        <row r="31">
          <cell r="E31" t="str">
            <v>NJ</v>
          </cell>
          <cell r="F31" t="str">
            <v>Bernardston</v>
          </cell>
        </row>
        <row r="32">
          <cell r="E32" t="str">
            <v>NM</v>
          </cell>
          <cell r="F32" t="str">
            <v>Beverly</v>
          </cell>
        </row>
        <row r="33">
          <cell r="E33" t="str">
            <v>NY</v>
          </cell>
          <cell r="F33" t="str">
            <v>Billerica</v>
          </cell>
        </row>
        <row r="34">
          <cell r="E34" t="str">
            <v>NC</v>
          </cell>
          <cell r="F34" t="str">
            <v>Blackstone</v>
          </cell>
        </row>
        <row r="35">
          <cell r="E35" t="str">
            <v>ND</v>
          </cell>
          <cell r="F35" t="str">
            <v>Blandford</v>
          </cell>
        </row>
        <row r="36">
          <cell r="E36" t="str">
            <v>OH</v>
          </cell>
          <cell r="F36" t="str">
            <v>Bolton</v>
          </cell>
        </row>
        <row r="37">
          <cell r="E37" t="str">
            <v>OK</v>
          </cell>
          <cell r="F37" t="str">
            <v>Boston</v>
          </cell>
        </row>
        <row r="38">
          <cell r="E38" t="str">
            <v>OR</v>
          </cell>
          <cell r="F38" t="str">
            <v>Bourne</v>
          </cell>
        </row>
        <row r="39">
          <cell r="E39" t="str">
            <v>PA</v>
          </cell>
          <cell r="F39" t="str">
            <v>Boxborough</v>
          </cell>
        </row>
        <row r="40">
          <cell r="E40" t="str">
            <v>RI</v>
          </cell>
          <cell r="F40" t="str">
            <v>Boxford</v>
          </cell>
        </row>
        <row r="41">
          <cell r="E41" t="str">
            <v>SC</v>
          </cell>
          <cell r="F41" t="str">
            <v>Boylston</v>
          </cell>
        </row>
        <row r="42">
          <cell r="E42" t="str">
            <v>SD</v>
          </cell>
          <cell r="F42" t="str">
            <v>Braintree</v>
          </cell>
        </row>
        <row r="43">
          <cell r="E43" t="str">
            <v>TN</v>
          </cell>
          <cell r="F43" t="str">
            <v>Brewster</v>
          </cell>
        </row>
        <row r="44">
          <cell r="E44" t="str">
            <v>TX</v>
          </cell>
          <cell r="F44" t="str">
            <v>Bridgewater</v>
          </cell>
        </row>
        <row r="45">
          <cell r="E45" t="str">
            <v>UT</v>
          </cell>
          <cell r="F45" t="str">
            <v>Brimfield</v>
          </cell>
        </row>
        <row r="46">
          <cell r="E46" t="str">
            <v>VT</v>
          </cell>
          <cell r="F46" t="str">
            <v>Brockton</v>
          </cell>
        </row>
        <row r="47">
          <cell r="E47" t="str">
            <v>VA</v>
          </cell>
          <cell r="F47" t="str">
            <v>Brookfield</v>
          </cell>
        </row>
        <row r="48">
          <cell r="E48" t="str">
            <v>WA</v>
          </cell>
          <cell r="F48" t="str">
            <v>Brookline</v>
          </cell>
        </row>
        <row r="49">
          <cell r="E49" t="str">
            <v>WV</v>
          </cell>
          <cell r="F49" t="str">
            <v>Buckland</v>
          </cell>
        </row>
        <row r="50">
          <cell r="E50" t="str">
            <v>WI</v>
          </cell>
          <cell r="F50" t="str">
            <v>Burlington</v>
          </cell>
        </row>
        <row r="51">
          <cell r="E51" t="str">
            <v>WY</v>
          </cell>
          <cell r="F51" t="str">
            <v>Cambridge</v>
          </cell>
        </row>
        <row r="52">
          <cell r="F52" t="str">
            <v>Canton</v>
          </cell>
        </row>
        <row r="53">
          <cell r="F53" t="str">
            <v>Carlisle</v>
          </cell>
        </row>
        <row r="54">
          <cell r="F54" t="str">
            <v>Carver</v>
          </cell>
        </row>
        <row r="55">
          <cell r="F55" t="str">
            <v>Charlemont</v>
          </cell>
        </row>
        <row r="56">
          <cell r="F56" t="str">
            <v>Charlton</v>
          </cell>
        </row>
        <row r="57">
          <cell r="F57" t="str">
            <v>Chatham</v>
          </cell>
        </row>
        <row r="58">
          <cell r="F58" t="str">
            <v>Chelmsford</v>
          </cell>
        </row>
        <row r="59">
          <cell r="F59" t="str">
            <v>Chelsea</v>
          </cell>
        </row>
        <row r="60">
          <cell r="F60" t="str">
            <v>Cheshire</v>
          </cell>
        </row>
        <row r="61">
          <cell r="F61" t="str">
            <v>Chester</v>
          </cell>
        </row>
        <row r="62">
          <cell r="F62" t="str">
            <v>Chesterfield</v>
          </cell>
        </row>
        <row r="63">
          <cell r="F63" t="str">
            <v>Chicopee</v>
          </cell>
        </row>
        <row r="64">
          <cell r="F64" t="str">
            <v>Chilmark</v>
          </cell>
        </row>
        <row r="65">
          <cell r="F65" t="str">
            <v>Clarksburg</v>
          </cell>
        </row>
        <row r="66">
          <cell r="F66" t="str">
            <v>Clinton</v>
          </cell>
        </row>
        <row r="67">
          <cell r="F67" t="str">
            <v>Cohasset</v>
          </cell>
        </row>
        <row r="68">
          <cell r="F68" t="str">
            <v>Colrain</v>
          </cell>
        </row>
        <row r="69">
          <cell r="F69" t="str">
            <v>Concord</v>
          </cell>
        </row>
        <row r="70">
          <cell r="F70" t="str">
            <v>Conway</v>
          </cell>
        </row>
        <row r="71">
          <cell r="F71" t="str">
            <v>Cummington</v>
          </cell>
        </row>
        <row r="72">
          <cell r="F72" t="str">
            <v>Dalton</v>
          </cell>
        </row>
        <row r="73">
          <cell r="F73" t="str">
            <v>Danvers</v>
          </cell>
        </row>
        <row r="74">
          <cell r="F74" t="str">
            <v>Dartmouth</v>
          </cell>
        </row>
        <row r="75">
          <cell r="F75" t="str">
            <v>Dedham</v>
          </cell>
        </row>
        <row r="76">
          <cell r="F76" t="str">
            <v>Deerfield</v>
          </cell>
        </row>
        <row r="77">
          <cell r="F77" t="str">
            <v>Dennis</v>
          </cell>
        </row>
        <row r="78">
          <cell r="F78" t="str">
            <v>Dighton</v>
          </cell>
        </row>
        <row r="79">
          <cell r="F79" t="str">
            <v>Douglas</v>
          </cell>
        </row>
        <row r="80">
          <cell r="F80" t="str">
            <v>Dover</v>
          </cell>
        </row>
        <row r="81">
          <cell r="F81" t="str">
            <v>Dracut</v>
          </cell>
        </row>
        <row r="82">
          <cell r="F82" t="str">
            <v>Dudley</v>
          </cell>
        </row>
        <row r="83">
          <cell r="F83" t="str">
            <v>Dunstable</v>
          </cell>
        </row>
        <row r="84">
          <cell r="F84" t="str">
            <v>Duxbury</v>
          </cell>
        </row>
        <row r="85">
          <cell r="F85" t="str">
            <v>East Bridgewater</v>
          </cell>
        </row>
        <row r="86">
          <cell r="F86" t="str">
            <v>East Brookfield</v>
          </cell>
        </row>
        <row r="87">
          <cell r="F87" t="str">
            <v>East Longmeadow</v>
          </cell>
        </row>
        <row r="88">
          <cell r="F88" t="str">
            <v>Eastham</v>
          </cell>
        </row>
        <row r="89">
          <cell r="F89" t="str">
            <v>Easthampton</v>
          </cell>
        </row>
        <row r="90">
          <cell r="F90" t="str">
            <v>Easton</v>
          </cell>
        </row>
        <row r="91">
          <cell r="F91" t="str">
            <v>Edgartown</v>
          </cell>
        </row>
        <row r="92">
          <cell r="F92" t="str">
            <v>Egremont</v>
          </cell>
        </row>
        <row r="93">
          <cell r="F93" t="str">
            <v>Erving</v>
          </cell>
        </row>
        <row r="94">
          <cell r="F94" t="str">
            <v>Essex</v>
          </cell>
        </row>
        <row r="95">
          <cell r="F95" t="str">
            <v>Everett</v>
          </cell>
        </row>
        <row r="96">
          <cell r="F96" t="str">
            <v>Fairhaven</v>
          </cell>
        </row>
        <row r="97">
          <cell r="F97" t="str">
            <v>Fall River</v>
          </cell>
        </row>
        <row r="98">
          <cell r="F98" t="str">
            <v>Falmouth</v>
          </cell>
        </row>
        <row r="99">
          <cell r="F99" t="str">
            <v>Fitchburg</v>
          </cell>
        </row>
        <row r="100">
          <cell r="F100" t="str">
            <v>Florida</v>
          </cell>
        </row>
        <row r="101">
          <cell r="F101" t="str">
            <v>Foxborough</v>
          </cell>
        </row>
        <row r="102">
          <cell r="F102" t="str">
            <v>Framingham</v>
          </cell>
        </row>
        <row r="103">
          <cell r="F103" t="str">
            <v>Franklin</v>
          </cell>
        </row>
        <row r="104">
          <cell r="F104" t="str">
            <v>Freetown</v>
          </cell>
        </row>
        <row r="105">
          <cell r="F105" t="str">
            <v>Gardner</v>
          </cell>
        </row>
        <row r="106">
          <cell r="F106" t="str">
            <v>Georgetown</v>
          </cell>
        </row>
        <row r="107">
          <cell r="F107" t="str">
            <v>Gill</v>
          </cell>
        </row>
        <row r="108">
          <cell r="F108" t="str">
            <v>Gloucester</v>
          </cell>
        </row>
        <row r="109">
          <cell r="F109" t="str">
            <v>Goshen</v>
          </cell>
        </row>
        <row r="110">
          <cell r="F110" t="str">
            <v>Gosnold</v>
          </cell>
        </row>
        <row r="111">
          <cell r="F111" t="str">
            <v>Grafton</v>
          </cell>
        </row>
        <row r="112">
          <cell r="F112" t="str">
            <v>Granby</v>
          </cell>
        </row>
        <row r="113">
          <cell r="F113" t="str">
            <v>Granville</v>
          </cell>
        </row>
        <row r="114">
          <cell r="F114" t="str">
            <v>Great Barrington</v>
          </cell>
        </row>
        <row r="115">
          <cell r="F115" t="str">
            <v>Greenfield</v>
          </cell>
        </row>
        <row r="116">
          <cell r="F116" t="str">
            <v>Groton</v>
          </cell>
        </row>
        <row r="117">
          <cell r="F117" t="str">
            <v>Groveland</v>
          </cell>
        </row>
        <row r="118">
          <cell r="F118" t="str">
            <v>Hadley</v>
          </cell>
        </row>
        <row r="119">
          <cell r="F119" t="str">
            <v>Halifax</v>
          </cell>
        </row>
        <row r="120">
          <cell r="F120" t="str">
            <v>Hamilton</v>
          </cell>
        </row>
        <row r="121">
          <cell r="F121" t="str">
            <v>Hampden</v>
          </cell>
        </row>
        <row r="122">
          <cell r="F122" t="str">
            <v>Hancock</v>
          </cell>
        </row>
        <row r="123">
          <cell r="F123" t="str">
            <v>Hanover</v>
          </cell>
        </row>
        <row r="124">
          <cell r="F124" t="str">
            <v>Hanson</v>
          </cell>
        </row>
        <row r="125">
          <cell r="F125" t="str">
            <v>Hardwick</v>
          </cell>
        </row>
        <row r="126">
          <cell r="F126" t="str">
            <v>Harvard</v>
          </cell>
        </row>
        <row r="127">
          <cell r="F127" t="str">
            <v>Harwich</v>
          </cell>
        </row>
        <row r="128">
          <cell r="F128" t="str">
            <v>Hatfield</v>
          </cell>
        </row>
        <row r="129">
          <cell r="F129" t="str">
            <v>Haverhill</v>
          </cell>
        </row>
        <row r="130">
          <cell r="F130" t="str">
            <v>Hawley</v>
          </cell>
        </row>
        <row r="131">
          <cell r="F131" t="str">
            <v>Heath</v>
          </cell>
        </row>
        <row r="132">
          <cell r="F132" t="str">
            <v>Hingham</v>
          </cell>
        </row>
        <row r="133">
          <cell r="F133" t="str">
            <v>Hinsdale</v>
          </cell>
        </row>
        <row r="134">
          <cell r="F134" t="str">
            <v>Holbrook</v>
          </cell>
        </row>
        <row r="135">
          <cell r="F135" t="str">
            <v>Holden</v>
          </cell>
        </row>
        <row r="136">
          <cell r="F136" t="str">
            <v>Holland</v>
          </cell>
        </row>
        <row r="137">
          <cell r="F137" t="str">
            <v>Holliston</v>
          </cell>
        </row>
        <row r="138">
          <cell r="F138" t="str">
            <v>Holyoke</v>
          </cell>
        </row>
        <row r="139">
          <cell r="F139" t="str">
            <v>Hopedale</v>
          </cell>
        </row>
        <row r="140">
          <cell r="F140" t="str">
            <v>Hopkinton</v>
          </cell>
        </row>
        <row r="141">
          <cell r="F141" t="str">
            <v>Hubbardston</v>
          </cell>
        </row>
        <row r="142">
          <cell r="F142" t="str">
            <v>Hudson</v>
          </cell>
        </row>
        <row r="143">
          <cell r="F143" t="str">
            <v>Hull</v>
          </cell>
        </row>
        <row r="144">
          <cell r="F144" t="str">
            <v>Huntington</v>
          </cell>
        </row>
        <row r="145">
          <cell r="F145" t="str">
            <v>Ipswich</v>
          </cell>
        </row>
        <row r="146">
          <cell r="F146" t="str">
            <v>Kingston</v>
          </cell>
        </row>
        <row r="147">
          <cell r="F147" t="str">
            <v>Lakeville</v>
          </cell>
        </row>
        <row r="148">
          <cell r="F148" t="str">
            <v>Lancaster</v>
          </cell>
        </row>
        <row r="149">
          <cell r="F149" t="str">
            <v>Lanesborough</v>
          </cell>
        </row>
        <row r="150">
          <cell r="F150" t="str">
            <v>Lawrence</v>
          </cell>
        </row>
        <row r="151">
          <cell r="F151" t="str">
            <v>Lee</v>
          </cell>
        </row>
        <row r="152">
          <cell r="F152" t="str">
            <v>Leicester</v>
          </cell>
        </row>
        <row r="153">
          <cell r="F153" t="str">
            <v>Lenox</v>
          </cell>
        </row>
        <row r="154">
          <cell r="F154" t="str">
            <v>Leominster</v>
          </cell>
        </row>
        <row r="155">
          <cell r="F155" t="str">
            <v>Leverett</v>
          </cell>
        </row>
        <row r="156">
          <cell r="F156" t="str">
            <v>Lexington</v>
          </cell>
        </row>
        <row r="157">
          <cell r="F157" t="str">
            <v>Leyden</v>
          </cell>
        </row>
        <row r="158">
          <cell r="F158" t="str">
            <v>Lincoln</v>
          </cell>
        </row>
        <row r="159">
          <cell r="F159" t="str">
            <v>Littleton</v>
          </cell>
        </row>
        <row r="160">
          <cell r="F160" t="str">
            <v>Longmeadow</v>
          </cell>
        </row>
        <row r="161">
          <cell r="F161" t="str">
            <v>Lowell</v>
          </cell>
        </row>
        <row r="162">
          <cell r="F162" t="str">
            <v>Ludlow</v>
          </cell>
        </row>
        <row r="163">
          <cell r="F163" t="str">
            <v>Lunenburg</v>
          </cell>
        </row>
        <row r="164">
          <cell r="F164" t="str">
            <v>Lynn</v>
          </cell>
        </row>
        <row r="165">
          <cell r="F165" t="str">
            <v>Lynnfield</v>
          </cell>
        </row>
        <row r="166">
          <cell r="F166" t="str">
            <v>Malden</v>
          </cell>
        </row>
        <row r="167">
          <cell r="F167" t="str">
            <v>Manchester-by-the-Sea</v>
          </cell>
        </row>
        <row r="168">
          <cell r="F168" t="str">
            <v>Mansfield</v>
          </cell>
        </row>
        <row r="169">
          <cell r="F169" t="str">
            <v>Marblehead</v>
          </cell>
        </row>
        <row r="170">
          <cell r="F170" t="str">
            <v>Marion</v>
          </cell>
        </row>
        <row r="171">
          <cell r="F171" t="str">
            <v>Marlborough</v>
          </cell>
        </row>
        <row r="172">
          <cell r="F172" t="str">
            <v>Marshfield</v>
          </cell>
        </row>
        <row r="173">
          <cell r="F173" t="str">
            <v>Mashpee</v>
          </cell>
        </row>
        <row r="174">
          <cell r="F174" t="str">
            <v>Mattapoisett</v>
          </cell>
        </row>
        <row r="175">
          <cell r="F175" t="str">
            <v>Maynard</v>
          </cell>
        </row>
        <row r="176">
          <cell r="F176" t="str">
            <v>Medfield</v>
          </cell>
        </row>
        <row r="177">
          <cell r="F177" t="str">
            <v>Medford</v>
          </cell>
        </row>
        <row r="178">
          <cell r="F178" t="str">
            <v>Medway</v>
          </cell>
        </row>
        <row r="179">
          <cell r="F179" t="str">
            <v>Melrose</v>
          </cell>
        </row>
        <row r="180">
          <cell r="F180" t="str">
            <v>Mendon</v>
          </cell>
        </row>
        <row r="181">
          <cell r="F181" t="str">
            <v>Merrimac</v>
          </cell>
        </row>
        <row r="182">
          <cell r="F182" t="str">
            <v>Methuen</v>
          </cell>
        </row>
        <row r="183">
          <cell r="F183" t="str">
            <v>Middleborough</v>
          </cell>
        </row>
        <row r="184">
          <cell r="F184" t="str">
            <v>Middlefield</v>
          </cell>
        </row>
        <row r="185">
          <cell r="F185" t="str">
            <v>Middleton</v>
          </cell>
        </row>
        <row r="186">
          <cell r="F186" t="str">
            <v>Milford</v>
          </cell>
        </row>
        <row r="187">
          <cell r="F187" t="str">
            <v>Millbury</v>
          </cell>
        </row>
        <row r="188">
          <cell r="F188" t="str">
            <v>Millis</v>
          </cell>
        </row>
        <row r="189">
          <cell r="F189" t="str">
            <v>Millville</v>
          </cell>
        </row>
        <row r="190">
          <cell r="F190" t="str">
            <v>Milton</v>
          </cell>
        </row>
        <row r="191">
          <cell r="F191" t="str">
            <v>Monroe</v>
          </cell>
        </row>
        <row r="192">
          <cell r="F192" t="str">
            <v>Monson</v>
          </cell>
        </row>
        <row r="193">
          <cell r="F193" t="str">
            <v>Montague</v>
          </cell>
        </row>
        <row r="194">
          <cell r="F194" t="str">
            <v>Monterey</v>
          </cell>
        </row>
        <row r="195">
          <cell r="F195" t="str">
            <v>Montgomery</v>
          </cell>
        </row>
        <row r="196">
          <cell r="F196" t="str">
            <v>Mount Washington</v>
          </cell>
        </row>
        <row r="197">
          <cell r="F197" t="str">
            <v>Nahant</v>
          </cell>
        </row>
        <row r="198">
          <cell r="F198" t="str">
            <v>Nantucket</v>
          </cell>
        </row>
        <row r="199">
          <cell r="F199" t="str">
            <v>Natick</v>
          </cell>
        </row>
        <row r="200">
          <cell r="F200" t="str">
            <v>Needham</v>
          </cell>
        </row>
        <row r="201">
          <cell r="F201" t="str">
            <v>New Ashford</v>
          </cell>
        </row>
        <row r="202">
          <cell r="F202" t="str">
            <v>New Bedford</v>
          </cell>
        </row>
        <row r="203">
          <cell r="F203" t="str">
            <v>New Braintree</v>
          </cell>
        </row>
        <row r="204">
          <cell r="F204" t="str">
            <v>New Marlborough</v>
          </cell>
        </row>
        <row r="205">
          <cell r="F205" t="str">
            <v>New Salem</v>
          </cell>
        </row>
        <row r="206">
          <cell r="F206" t="str">
            <v>Newbury</v>
          </cell>
        </row>
        <row r="207">
          <cell r="F207" t="str">
            <v>Newburyport</v>
          </cell>
        </row>
        <row r="208">
          <cell r="F208" t="str">
            <v>Newton</v>
          </cell>
        </row>
        <row r="209">
          <cell r="F209" t="str">
            <v>Norfolk</v>
          </cell>
        </row>
        <row r="210">
          <cell r="F210" t="str">
            <v>North Adams</v>
          </cell>
        </row>
        <row r="211">
          <cell r="F211" t="str">
            <v>North Andover</v>
          </cell>
        </row>
        <row r="212">
          <cell r="F212" t="str">
            <v>North Attleborough</v>
          </cell>
        </row>
        <row r="213">
          <cell r="F213" t="str">
            <v>North Brookfield</v>
          </cell>
        </row>
        <row r="214">
          <cell r="F214" t="str">
            <v>North Reading</v>
          </cell>
        </row>
        <row r="215">
          <cell r="F215" t="str">
            <v>Northampton</v>
          </cell>
        </row>
        <row r="216">
          <cell r="F216" t="str">
            <v>Northborough</v>
          </cell>
        </row>
        <row r="217">
          <cell r="F217" t="str">
            <v>Northbridge</v>
          </cell>
        </row>
        <row r="218">
          <cell r="F218" t="str">
            <v>Northfield</v>
          </cell>
        </row>
        <row r="219">
          <cell r="F219" t="str">
            <v>Norton</v>
          </cell>
        </row>
        <row r="220">
          <cell r="F220" t="str">
            <v>Norwell</v>
          </cell>
        </row>
        <row r="221">
          <cell r="F221" t="str">
            <v>Norwood</v>
          </cell>
        </row>
        <row r="222">
          <cell r="F222" t="str">
            <v>Oak Bluffs</v>
          </cell>
        </row>
        <row r="223">
          <cell r="F223" t="str">
            <v>Oakham</v>
          </cell>
        </row>
        <row r="224">
          <cell r="F224" t="str">
            <v>Orange</v>
          </cell>
        </row>
        <row r="225">
          <cell r="F225" t="str">
            <v>Orleans</v>
          </cell>
        </row>
        <row r="226">
          <cell r="F226" t="str">
            <v>Otis</v>
          </cell>
        </row>
        <row r="227">
          <cell r="F227" t="str">
            <v>Oxford</v>
          </cell>
        </row>
        <row r="228">
          <cell r="F228" t="str">
            <v>Palmer</v>
          </cell>
        </row>
        <row r="229">
          <cell r="F229" t="str">
            <v>Paxton</v>
          </cell>
        </row>
        <row r="230">
          <cell r="F230" t="str">
            <v>Peabody</v>
          </cell>
        </row>
        <row r="231">
          <cell r="F231" t="str">
            <v>Pelham</v>
          </cell>
        </row>
        <row r="232">
          <cell r="F232" t="str">
            <v>Pembroke</v>
          </cell>
        </row>
        <row r="233">
          <cell r="F233" t="str">
            <v>Pepperell</v>
          </cell>
        </row>
        <row r="234">
          <cell r="F234" t="str">
            <v>Peru</v>
          </cell>
        </row>
        <row r="235">
          <cell r="F235" t="str">
            <v>Petersham</v>
          </cell>
        </row>
        <row r="236">
          <cell r="F236" t="str">
            <v>Phillipston</v>
          </cell>
        </row>
        <row r="237">
          <cell r="F237" t="str">
            <v>Pittsfield</v>
          </cell>
        </row>
        <row r="238">
          <cell r="F238" t="str">
            <v>Plainfield</v>
          </cell>
        </row>
        <row r="239">
          <cell r="F239" t="str">
            <v>Plainville</v>
          </cell>
        </row>
        <row r="240">
          <cell r="F240" t="str">
            <v>Plymouth</v>
          </cell>
        </row>
        <row r="241">
          <cell r="F241" t="str">
            <v>Plympton</v>
          </cell>
        </row>
        <row r="242">
          <cell r="F242" t="str">
            <v>Princeton</v>
          </cell>
        </row>
        <row r="243">
          <cell r="F243" t="str">
            <v>Provincetown</v>
          </cell>
        </row>
        <row r="244">
          <cell r="F244" t="str">
            <v>Quincy</v>
          </cell>
        </row>
        <row r="245">
          <cell r="F245" t="str">
            <v>Randolph</v>
          </cell>
        </row>
        <row r="246">
          <cell r="F246" t="str">
            <v>Raynham</v>
          </cell>
        </row>
        <row r="247">
          <cell r="F247" t="str">
            <v>Reading</v>
          </cell>
        </row>
        <row r="248">
          <cell r="F248" t="str">
            <v>Rehoboth</v>
          </cell>
        </row>
        <row r="249">
          <cell r="F249" t="str">
            <v>Revere</v>
          </cell>
        </row>
        <row r="250">
          <cell r="F250" t="str">
            <v>Richmond</v>
          </cell>
        </row>
        <row r="251">
          <cell r="F251" t="str">
            <v>Rochester</v>
          </cell>
        </row>
        <row r="252">
          <cell r="F252" t="str">
            <v>Rockland</v>
          </cell>
        </row>
        <row r="253">
          <cell r="F253" t="str">
            <v>Rockport</v>
          </cell>
        </row>
        <row r="254">
          <cell r="F254" t="str">
            <v>Rowe</v>
          </cell>
        </row>
        <row r="255">
          <cell r="F255" t="str">
            <v>Rowley</v>
          </cell>
        </row>
        <row r="256">
          <cell r="F256" t="str">
            <v>Royalston</v>
          </cell>
        </row>
        <row r="257">
          <cell r="F257" t="str">
            <v>Russell</v>
          </cell>
        </row>
        <row r="258">
          <cell r="F258" t="str">
            <v>Rutland</v>
          </cell>
        </row>
        <row r="259">
          <cell r="F259" t="str">
            <v>Salem</v>
          </cell>
        </row>
        <row r="260">
          <cell r="F260" t="str">
            <v>Salisbury</v>
          </cell>
        </row>
        <row r="261">
          <cell r="F261" t="str">
            <v>Sandisfield</v>
          </cell>
        </row>
        <row r="262">
          <cell r="F262" t="str">
            <v>Sandwich</v>
          </cell>
        </row>
        <row r="263">
          <cell r="F263" t="str">
            <v>Saugus</v>
          </cell>
        </row>
        <row r="264">
          <cell r="F264" t="str">
            <v>Savoy</v>
          </cell>
        </row>
        <row r="265">
          <cell r="F265" t="str">
            <v>Scituate</v>
          </cell>
        </row>
        <row r="266">
          <cell r="F266" t="str">
            <v>Seekonk</v>
          </cell>
        </row>
        <row r="267">
          <cell r="F267" t="str">
            <v>Sharon</v>
          </cell>
        </row>
        <row r="268">
          <cell r="F268" t="str">
            <v>Sheffield</v>
          </cell>
        </row>
        <row r="269">
          <cell r="F269" t="str">
            <v>Shelburne</v>
          </cell>
        </row>
        <row r="270">
          <cell r="F270" t="str">
            <v>Sherborn</v>
          </cell>
        </row>
        <row r="271">
          <cell r="F271" t="str">
            <v>Shirley</v>
          </cell>
        </row>
        <row r="272">
          <cell r="F272" t="str">
            <v>Shrewsbury</v>
          </cell>
        </row>
        <row r="273">
          <cell r="F273" t="str">
            <v>Shutesbury</v>
          </cell>
        </row>
        <row r="274">
          <cell r="F274" t="str">
            <v>Somerset</v>
          </cell>
        </row>
        <row r="275">
          <cell r="F275" t="str">
            <v>Somerville</v>
          </cell>
        </row>
        <row r="276">
          <cell r="F276" t="str">
            <v>South Hadley</v>
          </cell>
        </row>
        <row r="277">
          <cell r="F277" t="str">
            <v>Southampton</v>
          </cell>
        </row>
        <row r="278">
          <cell r="F278" t="str">
            <v>Southborough</v>
          </cell>
        </row>
        <row r="279">
          <cell r="F279" t="str">
            <v>Southbridge</v>
          </cell>
        </row>
        <row r="280">
          <cell r="F280" t="str">
            <v>Southwick</v>
          </cell>
        </row>
        <row r="281">
          <cell r="F281" t="str">
            <v>Spencer</v>
          </cell>
        </row>
        <row r="282">
          <cell r="F282" t="str">
            <v>Springfield</v>
          </cell>
        </row>
        <row r="283">
          <cell r="F283" t="str">
            <v>Sterling</v>
          </cell>
        </row>
        <row r="284">
          <cell r="F284" t="str">
            <v>Stockbridge</v>
          </cell>
        </row>
        <row r="285">
          <cell r="F285" t="str">
            <v>Stoneham</v>
          </cell>
        </row>
        <row r="286">
          <cell r="F286" t="str">
            <v>Stoughton</v>
          </cell>
        </row>
        <row r="287">
          <cell r="F287" t="str">
            <v>Stow</v>
          </cell>
        </row>
        <row r="288">
          <cell r="F288" t="str">
            <v>Sturbridge</v>
          </cell>
        </row>
        <row r="289">
          <cell r="F289" t="str">
            <v>Sudbury</v>
          </cell>
        </row>
        <row r="290">
          <cell r="F290" t="str">
            <v>Sunderland</v>
          </cell>
        </row>
        <row r="291">
          <cell r="F291" t="str">
            <v>Sutton</v>
          </cell>
        </row>
        <row r="292">
          <cell r="F292" t="str">
            <v>Swampscott</v>
          </cell>
        </row>
        <row r="293">
          <cell r="F293" t="str">
            <v>Swansea</v>
          </cell>
        </row>
        <row r="294">
          <cell r="F294" t="str">
            <v>Taunton</v>
          </cell>
        </row>
        <row r="295">
          <cell r="F295" t="str">
            <v>Templeton</v>
          </cell>
        </row>
        <row r="296">
          <cell r="F296" t="str">
            <v>Tewksbury</v>
          </cell>
        </row>
        <row r="297">
          <cell r="F297" t="str">
            <v>Tisbury</v>
          </cell>
        </row>
        <row r="298">
          <cell r="F298" t="str">
            <v>Tolland</v>
          </cell>
        </row>
        <row r="299">
          <cell r="F299" t="str">
            <v>Topsfield</v>
          </cell>
        </row>
        <row r="300">
          <cell r="F300" t="str">
            <v>Townsend</v>
          </cell>
        </row>
        <row r="301">
          <cell r="F301" t="str">
            <v>Truro</v>
          </cell>
        </row>
        <row r="302">
          <cell r="F302" t="str">
            <v>Tyngsborough</v>
          </cell>
        </row>
        <row r="303">
          <cell r="F303" t="str">
            <v>Tyringham</v>
          </cell>
        </row>
        <row r="304">
          <cell r="F304" t="str">
            <v>Upton</v>
          </cell>
        </row>
        <row r="305">
          <cell r="F305" t="str">
            <v>Uxbridge</v>
          </cell>
        </row>
        <row r="306">
          <cell r="F306" t="str">
            <v>Wakefield</v>
          </cell>
        </row>
        <row r="307">
          <cell r="F307" t="str">
            <v>Wales</v>
          </cell>
        </row>
        <row r="308">
          <cell r="F308" t="str">
            <v>Walpole</v>
          </cell>
        </row>
        <row r="309">
          <cell r="F309" t="str">
            <v>Waltham</v>
          </cell>
        </row>
        <row r="310">
          <cell r="F310" t="str">
            <v>Ware</v>
          </cell>
        </row>
        <row r="311">
          <cell r="F311" t="str">
            <v>Wareham</v>
          </cell>
        </row>
        <row r="312">
          <cell r="F312" t="str">
            <v>Warren</v>
          </cell>
        </row>
        <row r="313">
          <cell r="F313" t="str">
            <v>Warwick</v>
          </cell>
        </row>
        <row r="314">
          <cell r="F314" t="str">
            <v>Washington</v>
          </cell>
        </row>
        <row r="315">
          <cell r="F315" t="str">
            <v>Watertown</v>
          </cell>
        </row>
        <row r="316">
          <cell r="F316" t="str">
            <v>Wayland</v>
          </cell>
        </row>
        <row r="317">
          <cell r="F317" t="str">
            <v>Webster</v>
          </cell>
        </row>
        <row r="318">
          <cell r="F318" t="str">
            <v>Wellesley</v>
          </cell>
        </row>
        <row r="319">
          <cell r="F319" t="str">
            <v>Wellfleet</v>
          </cell>
        </row>
        <row r="320">
          <cell r="F320" t="str">
            <v>Wendell</v>
          </cell>
        </row>
        <row r="321">
          <cell r="F321" t="str">
            <v>Wenham</v>
          </cell>
        </row>
        <row r="322">
          <cell r="F322" t="str">
            <v>West Boylston</v>
          </cell>
        </row>
        <row r="323">
          <cell r="F323" t="str">
            <v>West Bridgewater</v>
          </cell>
        </row>
        <row r="324">
          <cell r="F324" t="str">
            <v>West Brookfield</v>
          </cell>
        </row>
        <row r="325">
          <cell r="F325" t="str">
            <v>West Newbury</v>
          </cell>
        </row>
        <row r="326">
          <cell r="F326" t="str">
            <v>West Springfield</v>
          </cell>
        </row>
        <row r="327">
          <cell r="F327" t="str">
            <v>West Stockbridge</v>
          </cell>
        </row>
        <row r="328">
          <cell r="F328" t="str">
            <v>West Tisbury</v>
          </cell>
        </row>
        <row r="329">
          <cell r="F329" t="str">
            <v>Westborough</v>
          </cell>
        </row>
        <row r="330">
          <cell r="F330" t="str">
            <v>Westfield</v>
          </cell>
        </row>
        <row r="331">
          <cell r="F331" t="str">
            <v>Westford</v>
          </cell>
        </row>
        <row r="332">
          <cell r="F332" t="str">
            <v>Westhampton</v>
          </cell>
        </row>
        <row r="333">
          <cell r="F333" t="str">
            <v>Westminster</v>
          </cell>
        </row>
        <row r="334">
          <cell r="F334" t="str">
            <v>Weston</v>
          </cell>
        </row>
        <row r="335">
          <cell r="F335" t="str">
            <v>Westport</v>
          </cell>
        </row>
        <row r="336">
          <cell r="F336" t="str">
            <v>Westwood</v>
          </cell>
        </row>
        <row r="337">
          <cell r="F337" t="str">
            <v>Weymouth</v>
          </cell>
        </row>
        <row r="338">
          <cell r="F338" t="str">
            <v>Whately</v>
          </cell>
        </row>
        <row r="339">
          <cell r="F339" t="str">
            <v>Whitman</v>
          </cell>
        </row>
        <row r="340">
          <cell r="F340" t="str">
            <v>Wilbraham</v>
          </cell>
        </row>
        <row r="341">
          <cell r="F341" t="str">
            <v>Williamsburg</v>
          </cell>
        </row>
        <row r="342">
          <cell r="F342" t="str">
            <v>Williamstown</v>
          </cell>
        </row>
        <row r="343">
          <cell r="F343" t="str">
            <v>Wilmington</v>
          </cell>
        </row>
        <row r="344">
          <cell r="F344" t="str">
            <v>Winchendon</v>
          </cell>
        </row>
        <row r="345">
          <cell r="F345" t="str">
            <v>Winchester</v>
          </cell>
        </row>
        <row r="346">
          <cell r="F346" t="str">
            <v>Windsor</v>
          </cell>
        </row>
        <row r="347">
          <cell r="F347" t="str">
            <v>Winthrop</v>
          </cell>
        </row>
        <row r="348">
          <cell r="F348" t="str">
            <v>Woburn</v>
          </cell>
        </row>
        <row r="349">
          <cell r="F349" t="str">
            <v>Worcester</v>
          </cell>
        </row>
        <row r="350">
          <cell r="F350" t="str">
            <v>Worthington</v>
          </cell>
        </row>
        <row r="351">
          <cell r="F351" t="str">
            <v>Wrentham</v>
          </cell>
        </row>
        <row r="352">
          <cell r="F352" t="str">
            <v>Yarmouth</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Ryan Kingston" id="{65F521D2-0005-4FC7-A6B8-F7FC385153AF}" userId="7d5ac8568ab42d70" providerId="Windows Live"/>
  <person displayName="Snyder, Catie (ENE)" id="{5D99D3E5-CE97-4A3C-8C5E-3A627F69C427}" userId="S::Catie.Snyder@mass.gov::d46419d6-58be-4f58-ab79-c3439423f95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7" dT="2021-10-06T19:14:30.46" personId="{5D99D3E5-CE97-4A3C-8C5E-3A627F69C427}" id="{A1C5A8F0-6D0C-43BB-8556-04D73B8F6214}">
    <text>I think this one might be missing the header - is this Section 1(a)? Should there also be a 1(b) on this sheet?</text>
  </threadedComment>
</ThreadedComments>
</file>

<file path=xl/threadedComments/threadedComment2.xml><?xml version="1.0" encoding="utf-8"?>
<ThreadedComments xmlns="http://schemas.microsoft.com/office/spreadsheetml/2018/threadedcomments" xmlns:x="http://schemas.openxmlformats.org/spreadsheetml/2006/main">
  <threadedComment ref="AD31" dT="2020-08-26T15:07:51.43" personId="{65F521D2-0005-4FC7-A6B8-F7FC385153AF}" id="{745DA904-F801-40A8-B3BA-B7D6D1F7004F}">
    <text>Add "including seed mix or species planted, if applicable"</text>
  </threadedComment>
</ThreadedComments>
</file>

<file path=xl/threadedComments/threadedComment3.xml><?xml version="1.0" encoding="utf-8"?>
<ThreadedComments xmlns="http://schemas.microsoft.com/office/spreadsheetml/2018/threadedcomments" xmlns:x="http://schemas.openxmlformats.org/spreadsheetml/2006/main">
  <threadedComment ref="D21" dT="2019-08-21T17:03:49.02" personId="{00000000-0000-0000-0000-000000000000}" id="{221ECB09-67B0-462E-8126-B49A172D4D54}">
    <text>Exact size TBD; likely 4-4.5</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6.bin"/><Relationship Id="rId4" Type="http://schemas.microsoft.com/office/2017/10/relationships/threadedComment" Target="../threadedComments/threadedComment2.xml"/></Relationships>
</file>

<file path=xl/worksheets/_rels/sheet22.xml.rels><?xml version="1.0" encoding="UTF-8" standalone="yes"?>
<Relationships xmlns="http://schemas.openxmlformats.org/package/2006/relationships"><Relationship Id="rId26" Type="http://schemas.openxmlformats.org/officeDocument/2006/relationships/hyperlink" Target="mailto:Erik_Shaw@uml.edu" TargetMode="External"/><Relationship Id="rId21" Type="http://schemas.openxmlformats.org/officeDocument/2006/relationships/hyperlink" Target="https://massgov-my.sharepoint.com/Photos/Green%20Buildings/UML%20University%20Crossing%20(Green%20Roof).jpg" TargetMode="External"/><Relationship Id="rId42" Type="http://schemas.openxmlformats.org/officeDocument/2006/relationships/hyperlink" Target="https://massgov-my.sharepoint.com/Photos/Green%20Buildings/MCLA%20Feigenbaum%20(2).JPG" TargetMode="External"/><Relationship Id="rId47" Type="http://schemas.openxmlformats.org/officeDocument/2006/relationships/hyperlink" Target="mailto:tara.mitchell@dot.state.ma.us" TargetMode="External"/><Relationship Id="rId63" Type="http://schemas.openxmlformats.org/officeDocument/2006/relationships/hyperlink" Target="mailto:tara.mitchell@dot.state.ma.us" TargetMode="External"/><Relationship Id="rId68" Type="http://schemas.openxmlformats.org/officeDocument/2006/relationships/hyperlink" Target="https://massgov-my.sharepoint.com/Photos/Pollinator%20Photos/UMass%20Lowell" TargetMode="External"/><Relationship Id="rId16" Type="http://schemas.openxmlformats.org/officeDocument/2006/relationships/hyperlink" Target="mailto:Denise.Breiteneicher@mwra.com" TargetMode="External"/><Relationship Id="rId11" Type="http://schemas.openxmlformats.org/officeDocument/2006/relationships/hyperlink" Target="https://massgov-my.sharepoint.com/Photos/Pollinator/Bristol%20CC/Bristol%20CC%20No%20Mow%20Area.jpg" TargetMode="External"/><Relationship Id="rId24" Type="http://schemas.openxmlformats.org/officeDocument/2006/relationships/hyperlink" Target="https://massgov-my.sharepoint.com/Photos/Green%20Buildings/NSCC%20Health%20Professions%20Building%20(Green%20Roof).jpg" TargetMode="External"/><Relationship Id="rId32" Type="http://schemas.openxmlformats.org/officeDocument/2006/relationships/hyperlink" Target="https://massgov-my.sharepoint.com/Photos/Pollinator/Dept.%20of%20Correction" TargetMode="External"/><Relationship Id="rId37" Type="http://schemas.openxmlformats.org/officeDocument/2006/relationships/hyperlink" Target="https://massgov-my.sharepoint.com/Photos/Green%20Buildings/MBTA%20Orient%20Heights%20Station%20(Green%20Roof).JPG" TargetMode="External"/><Relationship Id="rId40" Type="http://schemas.openxmlformats.org/officeDocument/2006/relationships/hyperlink" Target="https://massgov-my.sharepoint.com/Photos/Pollinator/Massasoit%20CC" TargetMode="External"/><Relationship Id="rId45" Type="http://schemas.openxmlformats.org/officeDocument/2006/relationships/hyperlink" Target="http://www.beecityusa.org/current-bee-campuses.html" TargetMode="External"/><Relationship Id="rId53" Type="http://schemas.openxmlformats.org/officeDocument/2006/relationships/hyperlink" Target="mailto:tara.mitchell@dot.state.ma.us" TargetMode="External"/><Relationship Id="rId58" Type="http://schemas.openxmlformats.org/officeDocument/2006/relationships/hyperlink" Target="mailto:tara.mitchell@dot.state.ma.us" TargetMode="External"/><Relationship Id="rId66" Type="http://schemas.openxmlformats.org/officeDocument/2006/relationships/hyperlink" Target="mailto:tara.mitchell@dot.state.ma.us" TargetMode="External"/><Relationship Id="rId74" Type="http://schemas.openxmlformats.org/officeDocument/2006/relationships/hyperlink" Target="https://massgov-my.sharepoint.com/Photos/Pollinator%20Photos/UMass%20Amherst/Limited%20Mow%20Zone%202019" TargetMode="External"/><Relationship Id="rId5" Type="http://schemas.openxmlformats.org/officeDocument/2006/relationships/hyperlink" Target="mailto:joan.muller@mass.gov" TargetMode="External"/><Relationship Id="rId61" Type="http://schemas.openxmlformats.org/officeDocument/2006/relationships/hyperlink" Target="mailto:tara.mitchell@dot.state.ma.us" TargetMode="External"/><Relationship Id="rId19" Type="http://schemas.openxmlformats.org/officeDocument/2006/relationships/hyperlink" Target="https://massgov-my.sharepoint.com/Photos/Green%20Buildings/SSU%20Marsh%20Hall%20green%20roof.jpg" TargetMode="External"/><Relationship Id="rId14" Type="http://schemas.openxmlformats.org/officeDocument/2006/relationships/hyperlink" Target="https://massgov-my.sharepoint.com/Photos/Pollinator/DCR/Waquoit%20Bay" TargetMode="External"/><Relationship Id="rId22" Type="http://schemas.openxmlformats.org/officeDocument/2006/relationships/hyperlink" Target="https://massgov-my.sharepoint.com/Photos/Green%20Buildings/UMA%20Integrative%20Learning%20Center%20(ILC)%20with%20Green%20Roof.jpg" TargetMode="External"/><Relationship Id="rId27" Type="http://schemas.openxmlformats.org/officeDocument/2006/relationships/hyperlink" Target="mailto:Erik_Shaw@uml.edu" TargetMode="External"/><Relationship Id="rId30" Type="http://schemas.openxmlformats.org/officeDocument/2006/relationships/hyperlink" Target="mailto:joe.desa@bristolcc.edu" TargetMode="External"/><Relationship Id="rId35" Type="http://schemas.openxmlformats.org/officeDocument/2006/relationships/hyperlink" Target="https://massgov-my.sharepoint.com/Photos/Pollinator/State%20Police%20Academy%20(New%20Braintree)%20-%20No%20Mow%20Zones" TargetMode="External"/><Relationship Id="rId43" Type="http://schemas.openxmlformats.org/officeDocument/2006/relationships/hyperlink" Target="mailto:tara.mitchell@dot.state.ma.us" TargetMode="External"/><Relationship Id="rId48" Type="http://schemas.openxmlformats.org/officeDocument/2006/relationships/hyperlink" Target="https://massgov-my.sharepoint.com/Photos/Pollinator/MassDOT/Native%20Meadows" TargetMode="External"/><Relationship Id="rId56" Type="http://schemas.openxmlformats.org/officeDocument/2006/relationships/hyperlink" Target="mailto:tara.mitchell@dot.state.ma.us" TargetMode="External"/><Relationship Id="rId64" Type="http://schemas.openxmlformats.org/officeDocument/2006/relationships/hyperlink" Target="mailto:tara.mitchell@dot.state.ma.us" TargetMode="External"/><Relationship Id="rId69" Type="http://schemas.openxmlformats.org/officeDocument/2006/relationships/hyperlink" Target="mailto:aoguma@massasoit.mass.edu;%20mbankson@massasoit.mass.edu" TargetMode="External"/><Relationship Id="rId77" Type="http://schemas.microsoft.com/office/2017/10/relationships/threadedComment" Target="../threadedComments/threadedComment3.xml"/><Relationship Id="rId8" Type="http://schemas.openxmlformats.org/officeDocument/2006/relationships/hyperlink" Target="https://massgov-my.sharepoint.com/Photos/Pollinator/DCR/DCR%20Purgatory%20Chasm%20Visitor%20Center%20Butterfly%20Garden.JPG" TargetMode="External"/><Relationship Id="rId51" Type="http://schemas.openxmlformats.org/officeDocument/2006/relationships/hyperlink" Target="mailto:ken.mackenzie@mass.gov" TargetMode="External"/><Relationship Id="rId72" Type="http://schemas.openxmlformats.org/officeDocument/2006/relationships/hyperlink" Target="mailto:lmichalopoul@umass.edu" TargetMode="External"/><Relationship Id="rId3" Type="http://schemas.openxmlformats.org/officeDocument/2006/relationships/hyperlink" Target="mailto:szisk@qcc.mass.edu" TargetMode="External"/><Relationship Id="rId12" Type="http://schemas.openxmlformats.org/officeDocument/2006/relationships/hyperlink" Target="mailto:joe.desa@bristolcc.edu" TargetMode="External"/><Relationship Id="rId17" Type="http://schemas.openxmlformats.org/officeDocument/2006/relationships/hyperlink" Target="mailto:david.paulson@mass.gov" TargetMode="External"/><Relationship Id="rId25" Type="http://schemas.openxmlformats.org/officeDocument/2006/relationships/hyperlink" Target="https://massgov-my.sharepoint.com/Photos/Green%20Buildings/MassDEP%20Wall%20Experiment%20Station%20-%20Green%20Roof.jpg" TargetMode="External"/><Relationship Id="rId33" Type="http://schemas.openxmlformats.org/officeDocument/2006/relationships/hyperlink" Target="https://massgov-my.sharepoint.com/Photos/Pollinator%20Photos/Taunton%20State%20Hospital" TargetMode="External"/><Relationship Id="rId38" Type="http://schemas.openxmlformats.org/officeDocument/2006/relationships/hyperlink" Target="https://massgov-my.sharepoint.com/Photos/Green%20Buildings/MBTA%20Hingham%20Terminal%20(Green%20Roof).JPG" TargetMode="External"/><Relationship Id="rId46" Type="http://schemas.openxmlformats.org/officeDocument/2006/relationships/hyperlink" Target="http://www.beecityusa.org/current-bee-campuses.html" TargetMode="External"/><Relationship Id="rId59" Type="http://schemas.openxmlformats.org/officeDocument/2006/relationships/hyperlink" Target="mailto:tara.mitchell@dot.state.ma.us" TargetMode="External"/><Relationship Id="rId67" Type="http://schemas.openxmlformats.org/officeDocument/2006/relationships/hyperlink" Target="mailto:jmoser@westfield.ma.edu" TargetMode="External"/><Relationship Id="rId20" Type="http://schemas.openxmlformats.org/officeDocument/2006/relationships/hyperlink" Target="mailto:jwicks@northshore.edu" TargetMode="External"/><Relationship Id="rId41" Type="http://schemas.openxmlformats.org/officeDocument/2006/relationships/hyperlink" Target="mailto:joe.desa@bristolcc.edu" TargetMode="External"/><Relationship Id="rId54" Type="http://schemas.openxmlformats.org/officeDocument/2006/relationships/hyperlink" Target="mailto:tara.mitchell@dot.state.ma.us" TargetMode="External"/><Relationship Id="rId62" Type="http://schemas.openxmlformats.org/officeDocument/2006/relationships/hyperlink" Target="mailto:tara.mitchell@dot.state.ma.us" TargetMode="External"/><Relationship Id="rId70" Type="http://schemas.openxmlformats.org/officeDocument/2006/relationships/hyperlink" Target="mailto:aoguma@massasoit.mass.edu;%20mbankson@massasoit.mass.edu" TargetMode="External"/><Relationship Id="rId75" Type="http://schemas.openxmlformats.org/officeDocument/2006/relationships/vmlDrawing" Target="../drawings/vmlDrawing4.vml"/><Relationship Id="rId1" Type="http://schemas.openxmlformats.org/officeDocument/2006/relationships/hyperlink" Target="http://www.mcla.edu/news1/2017-Nov/sophomore-spearheads-save-the-bees-campaignLBE%20requested%20information" TargetMode="External"/><Relationship Id="rId6" Type="http://schemas.openxmlformats.org/officeDocument/2006/relationships/hyperlink" Target="mailto:joan.muller@mass.gov" TargetMode="External"/><Relationship Id="rId15" Type="http://schemas.openxmlformats.org/officeDocument/2006/relationships/hyperlink" Target="mailto:Denise.Breiteneicher@mwra.com" TargetMode="External"/><Relationship Id="rId23" Type="http://schemas.openxmlformats.org/officeDocument/2006/relationships/hyperlink" Target="https://massgov-my.sharepoint.com/Photos/Pollinator/UMass%20Amherst" TargetMode="External"/><Relationship Id="rId28" Type="http://schemas.openxmlformats.org/officeDocument/2006/relationships/hyperlink" Target="mailto:tgallagher@salemstate.edu" TargetMode="External"/><Relationship Id="rId36" Type="http://schemas.openxmlformats.org/officeDocument/2006/relationships/hyperlink" Target="https://massgov-my.sharepoint.com/Photos/Pollinator/DFW%20Headquarters" TargetMode="External"/><Relationship Id="rId49" Type="http://schemas.openxmlformats.org/officeDocument/2006/relationships/hyperlink" Target="https://massgov-my.sharepoint.com/Photos/Pollinator/MassDOT/No%20&amp;%20Low%20Mow%20Zones" TargetMode="External"/><Relationship Id="rId57" Type="http://schemas.openxmlformats.org/officeDocument/2006/relationships/hyperlink" Target="mailto:tara.mitchell@dot.state.ma.us" TargetMode="External"/><Relationship Id="rId10" Type="http://schemas.openxmlformats.org/officeDocument/2006/relationships/hyperlink" Target="mailto:ruth.helfeld@mass.gov" TargetMode="External"/><Relationship Id="rId31" Type="http://schemas.openxmlformats.org/officeDocument/2006/relationships/hyperlink" Target="https://massgov-my.sharepoint.com/Photos/Pollinator/Dept.%20of%20Correction" TargetMode="External"/><Relationship Id="rId44" Type="http://schemas.openxmlformats.org/officeDocument/2006/relationships/hyperlink" Target="https://www.mass.gov/info-details/leading-by-example-progress-overview" TargetMode="External"/><Relationship Id="rId52" Type="http://schemas.openxmlformats.org/officeDocument/2006/relationships/hyperlink" Target="mailto:ken.mackenzie@mass.gov" TargetMode="External"/><Relationship Id="rId60" Type="http://schemas.openxmlformats.org/officeDocument/2006/relationships/hyperlink" Target="mailto:tara.mitchell@dot.state.ma.us" TargetMode="External"/><Relationship Id="rId65" Type="http://schemas.openxmlformats.org/officeDocument/2006/relationships/hyperlink" Target="mailto:tara.mitchell@dot.state.ma.us" TargetMode="External"/><Relationship Id="rId73" Type="http://schemas.openxmlformats.org/officeDocument/2006/relationships/hyperlink" Target="https://massgov-my.sharepoint.com/Photos/Pollinator%20Photos/UMass%20Amherst/Limited%20Mow%20Zone%202019" TargetMode="External"/><Relationship Id="rId4" Type="http://schemas.openxmlformats.org/officeDocument/2006/relationships/hyperlink" Target="https://www.umass.edu/cp/john-w-olver-design-building" TargetMode="External"/><Relationship Id="rId9" Type="http://schemas.openxmlformats.org/officeDocument/2006/relationships/hyperlink" Target="mailto:ruth.helfeld@mass.gov" TargetMode="External"/><Relationship Id="rId13" Type="http://schemas.openxmlformats.org/officeDocument/2006/relationships/hyperlink" Target="https://massgov-my.sharepoint.com/Photos/Pollinator/DCR/Waquoit%20Bay" TargetMode="External"/><Relationship Id="rId18" Type="http://schemas.openxmlformats.org/officeDocument/2006/relationships/hyperlink" Target="mailto:Umbe.Green@umb.edu" TargetMode="External"/><Relationship Id="rId39" Type="http://schemas.openxmlformats.org/officeDocument/2006/relationships/hyperlink" Target="https://massgov-my.sharepoint.com/Photos/Pollinator/Massasoit%20CC" TargetMode="External"/><Relationship Id="rId34" Type="http://schemas.openxmlformats.org/officeDocument/2006/relationships/hyperlink" Target="https://massgov-my.sharepoint.com/Photos/Pollinator/State%20Police%20Academy%20(New%20Braintree)%20-%20No%20Mow%20Zones" TargetMode="External"/><Relationship Id="rId50" Type="http://schemas.openxmlformats.org/officeDocument/2006/relationships/hyperlink" Target="mailto:ken.mackenzie@mass.gov" TargetMode="External"/><Relationship Id="rId55" Type="http://schemas.openxmlformats.org/officeDocument/2006/relationships/hyperlink" Target="mailto:tara.mitchell@dot.state.ma.us" TargetMode="External"/><Relationship Id="rId76" Type="http://schemas.openxmlformats.org/officeDocument/2006/relationships/comments" Target="../comments4.xml"/><Relationship Id="rId7" Type="http://schemas.openxmlformats.org/officeDocument/2006/relationships/hyperlink" Target="https://massgov-my.sharepoint.com/Photos/Pollinator/DCR/DCR%20Finnegan%20Park%20Wildflower%20Meadow.jpg" TargetMode="External"/><Relationship Id="rId71" Type="http://schemas.openxmlformats.org/officeDocument/2006/relationships/hyperlink" Target="mailto:lmichalopoul@umass.edu" TargetMode="External"/><Relationship Id="rId2" Type="http://schemas.openxmlformats.org/officeDocument/2006/relationships/hyperlink" Target="https://massgov-my.sharepoint.com/Photos/Pollinator/DCR/DCR%20Middlesex%20Fells%20Botume%20House%20Visitor%20Center.jpg" TargetMode="External"/><Relationship Id="rId29" Type="http://schemas.openxmlformats.org/officeDocument/2006/relationships/hyperlink" Target="mailto:esmall@facil.umass.edu"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xml.rels><?xml version="1.0" encoding="UTF-8" standalone="yes"?>
<Relationships xmlns="http://schemas.openxmlformats.org/package/2006/relationships"><Relationship Id="rId1" Type="http://schemas.openxmlformats.org/officeDocument/2006/relationships/hyperlink" Target="https://www.mass.gov/info-details/leading-by-example-executive-order-594-decarbonizing-and-minimizing-environmental-impacts-of-state-government"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mailto:hlarosee@massart.edu" TargetMode="External"/><Relationship Id="rId13" Type="http://schemas.openxmlformats.org/officeDocument/2006/relationships/hyperlink" Target="mailto:kbrasili@framingham.edu" TargetMode="External"/><Relationship Id="rId3" Type="http://schemas.openxmlformats.org/officeDocument/2006/relationships/hyperlink" Target="mailto:Barbara.Cadima@bristolcc.edu" TargetMode="External"/><Relationship Id="rId7" Type="http://schemas.openxmlformats.org/officeDocument/2006/relationships/hyperlink" Target="mailto:jlobuono@fitchburgstate.edu" TargetMode="External"/><Relationship Id="rId12" Type="http://schemas.openxmlformats.org/officeDocument/2006/relationships/hyperlink" Target="mailto:greg.walters@umassd.edu" TargetMode="External"/><Relationship Id="rId17" Type="http://schemas.openxmlformats.org/officeDocument/2006/relationships/printerSettings" Target="../printerSettings/printerSettings3.bin"/><Relationship Id="rId2" Type="http://schemas.openxmlformats.org/officeDocument/2006/relationships/hyperlink" Target="mailto:kcmacdonald@bridgew.edu" TargetMode="External"/><Relationship Id="rId16" Type="http://schemas.openxmlformats.org/officeDocument/2006/relationships/hyperlink" Target="mailto:ametcalfe@maritime.edu" TargetMode="External"/><Relationship Id="rId1" Type="http://schemas.openxmlformats.org/officeDocument/2006/relationships/hyperlink" Target="mailto:kjason@bridgew.edu" TargetMode="External"/><Relationship Id="rId6" Type="http://schemas.openxmlformats.org/officeDocument/2006/relationships/hyperlink" Target="mailto:szazzera@capecod.edu" TargetMode="External"/><Relationship Id="rId11" Type="http://schemas.openxmlformats.org/officeDocument/2006/relationships/hyperlink" Target="mailto:Khall@rcc.mass.edu" TargetMode="External"/><Relationship Id="rId5" Type="http://schemas.openxmlformats.org/officeDocument/2006/relationships/hyperlink" Target="mailto:jjacquart@umassd.edu" TargetMode="External"/><Relationship Id="rId15" Type="http://schemas.openxmlformats.org/officeDocument/2006/relationships/hyperlink" Target="mailto:robert.huang@mwra.com" TargetMode="External"/><Relationship Id="rId10" Type="http://schemas.openxmlformats.org/officeDocument/2006/relationships/hyperlink" Target="mailto:scott.davidson@northshore.edu" TargetMode="External"/><Relationship Id="rId4" Type="http://schemas.openxmlformats.org/officeDocument/2006/relationships/hyperlink" Target="mailto:memckenzie@fitchburgstate.edu" TargetMode="External"/><Relationship Id="rId9" Type="http://schemas.openxmlformats.org/officeDocument/2006/relationships/hyperlink" Target="mailto:jholbroo2@massasoit.mass.edu" TargetMode="External"/><Relationship Id="rId14" Type="http://schemas.openxmlformats.org/officeDocument/2006/relationships/hyperlink" Target="mailto:carol.davidian@jud.state.ma.u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90"/>
  <sheetViews>
    <sheetView tabSelected="1" zoomScale="110" zoomScaleNormal="100" workbookViewId="0">
      <selection activeCell="A25" sqref="A25"/>
    </sheetView>
  </sheetViews>
  <sheetFormatPr baseColWidth="10" defaultColWidth="0" defaultRowHeight="15" zeroHeight="1" x14ac:dyDescent="0.2"/>
  <cols>
    <col min="1" max="1" width="2.33203125" style="149" customWidth="1"/>
    <col min="2" max="2" width="19" style="301" customWidth="1"/>
    <col min="3" max="3" width="10.1640625" style="301" customWidth="1"/>
    <col min="4" max="10" width="12.33203125" style="301" customWidth="1"/>
    <col min="11" max="15" width="10.1640625" style="301" customWidth="1"/>
    <col min="16" max="16" width="15.5" style="301" customWidth="1"/>
    <col min="17" max="17" width="23.83203125" style="301" customWidth="1"/>
    <col min="18" max="16384" width="9.1640625" style="301" hidden="1"/>
  </cols>
  <sheetData>
    <row r="1" spans="1:20" x14ac:dyDescent="0.2"/>
    <row r="2" spans="1:20" ht="16" x14ac:dyDescent="0.2">
      <c r="B2" s="857" t="s">
        <v>0</v>
      </c>
      <c r="C2" s="857"/>
      <c r="D2" s="857"/>
      <c r="E2" s="857"/>
      <c r="F2" s="857"/>
      <c r="G2" s="857"/>
      <c r="H2" s="857"/>
      <c r="I2" s="857"/>
      <c r="J2" s="857"/>
      <c r="K2" s="797"/>
      <c r="L2" s="797"/>
      <c r="M2" s="797"/>
      <c r="N2" s="797"/>
      <c r="O2" s="797"/>
      <c r="P2" s="797"/>
      <c r="Q2" s="797"/>
      <c r="R2" s="797"/>
      <c r="S2" s="797"/>
      <c r="T2" s="797"/>
    </row>
    <row r="3" spans="1:20" ht="16" x14ac:dyDescent="0.2">
      <c r="B3" s="857" t="s">
        <v>1</v>
      </c>
      <c r="C3" s="857"/>
      <c r="D3" s="857"/>
      <c r="E3" s="857"/>
      <c r="F3" s="857"/>
      <c r="G3" s="857"/>
      <c r="H3" s="857"/>
      <c r="I3" s="857"/>
      <c r="J3" s="857"/>
      <c r="K3" s="797"/>
      <c r="L3" s="797"/>
      <c r="M3" s="797"/>
      <c r="N3" s="797"/>
      <c r="O3" s="797"/>
      <c r="P3" s="797"/>
      <c r="Q3" s="797"/>
      <c r="R3" s="797"/>
      <c r="S3" s="797"/>
      <c r="T3" s="797"/>
    </row>
    <row r="4" spans="1:20" ht="16" x14ac:dyDescent="0.2">
      <c r="B4" s="858" t="s">
        <v>2</v>
      </c>
      <c r="C4" s="858"/>
      <c r="D4" s="858"/>
      <c r="E4" s="858"/>
      <c r="F4" s="858"/>
      <c r="G4" s="858"/>
      <c r="H4" s="858"/>
      <c r="I4" s="858"/>
      <c r="J4" s="858"/>
      <c r="K4" s="797"/>
      <c r="L4" s="797"/>
      <c r="M4" s="797"/>
      <c r="N4" s="797"/>
      <c r="O4" s="797"/>
      <c r="P4" s="797"/>
      <c r="Q4" s="797"/>
      <c r="R4" s="797"/>
      <c r="S4" s="797"/>
      <c r="T4" s="797"/>
    </row>
    <row r="5" spans="1:20" ht="16" x14ac:dyDescent="0.2">
      <c r="B5" s="858" t="s">
        <v>1469</v>
      </c>
      <c r="C5" s="858"/>
      <c r="D5" s="858"/>
      <c r="E5" s="858"/>
      <c r="F5" s="858"/>
      <c r="G5" s="858"/>
      <c r="H5" s="858"/>
      <c r="I5" s="858"/>
      <c r="J5" s="858"/>
      <c r="K5" s="797"/>
      <c r="L5" s="797"/>
      <c r="M5" s="797"/>
      <c r="N5" s="797"/>
      <c r="O5" s="797"/>
      <c r="P5" s="797"/>
      <c r="Q5" s="797"/>
      <c r="R5" s="797"/>
      <c r="S5" s="797"/>
      <c r="T5" s="797"/>
    </row>
    <row r="6" spans="1:20" ht="16" x14ac:dyDescent="0.2">
      <c r="B6" s="859" t="s">
        <v>1525</v>
      </c>
      <c r="C6" s="859"/>
      <c r="D6" s="859"/>
      <c r="E6" s="859"/>
      <c r="F6" s="859"/>
      <c r="G6" s="859"/>
      <c r="H6" s="859"/>
      <c r="I6" s="859"/>
      <c r="J6" s="859"/>
      <c r="K6" s="797"/>
      <c r="L6" s="797"/>
      <c r="M6" s="797"/>
      <c r="N6" s="797"/>
      <c r="O6" s="797"/>
      <c r="P6" s="797"/>
      <c r="Q6" s="797"/>
      <c r="R6" s="797"/>
      <c r="S6" s="797"/>
      <c r="T6" s="797"/>
    </row>
    <row r="7" spans="1:20" ht="16" thickBot="1" x14ac:dyDescent="0.25"/>
    <row r="8" spans="1:20" s="298" customFormat="1" ht="25" thickBot="1" x14ac:dyDescent="0.25">
      <c r="A8" s="149"/>
      <c r="B8" s="834" t="s">
        <v>1465</v>
      </c>
      <c r="C8" s="835"/>
      <c r="D8" s="835"/>
      <c r="E8" s="835"/>
      <c r="F8" s="835"/>
      <c r="G8" s="835"/>
      <c r="H8" s="835"/>
      <c r="I8" s="835"/>
      <c r="J8" s="835"/>
      <c r="K8" s="835"/>
      <c r="L8" s="835"/>
      <c r="M8" s="835"/>
      <c r="N8" s="835"/>
      <c r="O8" s="835"/>
      <c r="P8" s="836"/>
      <c r="Q8" s="796"/>
      <c r="R8" s="794"/>
      <c r="S8" s="794"/>
      <c r="T8" s="795"/>
    </row>
    <row r="9" spans="1:20" s="298" customFormat="1" ht="39" customHeight="1" thickBot="1" x14ac:dyDescent="0.25">
      <c r="A9" s="149"/>
      <c r="B9" s="837" t="s">
        <v>1542</v>
      </c>
      <c r="C9" s="837"/>
      <c r="D9" s="837"/>
      <c r="E9" s="837"/>
      <c r="F9" s="837"/>
      <c r="G9" s="837"/>
      <c r="H9" s="837"/>
      <c r="I9" s="837"/>
      <c r="J9" s="837"/>
      <c r="K9" s="837"/>
      <c r="L9" s="837"/>
      <c r="M9" s="837"/>
      <c r="N9" s="837"/>
      <c r="O9" s="837"/>
      <c r="P9" s="837"/>
      <c r="Q9" s="301"/>
    </row>
    <row r="10" spans="1:20" s="298" customFormat="1" ht="39" customHeight="1" thickBot="1" x14ac:dyDescent="0.25">
      <c r="A10" s="149"/>
      <c r="B10" s="837"/>
      <c r="C10" s="837"/>
      <c r="D10" s="837"/>
      <c r="E10" s="837"/>
      <c r="F10" s="837"/>
      <c r="G10" s="837"/>
      <c r="H10" s="837"/>
      <c r="I10" s="837"/>
      <c r="J10" s="837"/>
      <c r="K10" s="837"/>
      <c r="L10" s="837"/>
      <c r="M10" s="837"/>
      <c r="N10" s="837"/>
      <c r="O10" s="837"/>
      <c r="P10" s="837"/>
      <c r="Q10" s="301"/>
    </row>
    <row r="11" spans="1:20" s="298" customFormat="1" ht="60" customHeight="1" thickBot="1" x14ac:dyDescent="0.25">
      <c r="A11" s="149"/>
      <c r="B11" s="837"/>
      <c r="C11" s="837"/>
      <c r="D11" s="837"/>
      <c r="E11" s="837"/>
      <c r="F11" s="837"/>
      <c r="G11" s="837"/>
      <c r="H11" s="837"/>
      <c r="I11" s="837"/>
      <c r="J11" s="837"/>
      <c r="K11" s="837"/>
      <c r="L11" s="837"/>
      <c r="M11" s="837"/>
      <c r="N11" s="837"/>
      <c r="O11" s="837"/>
      <c r="P11" s="837"/>
      <c r="Q11" s="301"/>
    </row>
    <row r="12" spans="1:20" s="149" customFormat="1" ht="9" customHeight="1" x14ac:dyDescent="0.2"/>
    <row r="13" spans="1:20" s="298" customFormat="1" ht="15" customHeight="1" x14ac:dyDescent="0.2">
      <c r="A13" s="149"/>
      <c r="B13" s="838" t="s">
        <v>1543</v>
      </c>
      <c r="C13" s="838"/>
      <c r="D13" s="838"/>
      <c r="E13" s="838"/>
      <c r="F13" s="838"/>
      <c r="G13" s="838"/>
      <c r="H13" s="838"/>
      <c r="I13" s="838"/>
      <c r="J13" s="838"/>
      <c r="K13" s="838"/>
      <c r="L13" s="838"/>
      <c r="M13" s="838"/>
      <c r="N13" s="838"/>
      <c r="O13" s="838"/>
      <c r="P13" s="838"/>
      <c r="Q13" s="301"/>
    </row>
    <row r="14" spans="1:20" s="298" customFormat="1" ht="15" customHeight="1" x14ac:dyDescent="0.2">
      <c r="A14" s="149"/>
      <c r="B14" s="838"/>
      <c r="C14" s="838"/>
      <c r="D14" s="838"/>
      <c r="E14" s="838"/>
      <c r="F14" s="838"/>
      <c r="G14" s="838"/>
      <c r="H14" s="838"/>
      <c r="I14" s="838"/>
      <c r="J14" s="838"/>
      <c r="K14" s="838"/>
      <c r="L14" s="838"/>
      <c r="M14" s="838"/>
      <c r="N14" s="838"/>
      <c r="O14" s="838"/>
      <c r="P14" s="838"/>
      <c r="Q14" s="301"/>
    </row>
    <row r="15" spans="1:20" s="298" customFormat="1" ht="15" customHeight="1" x14ac:dyDescent="0.2">
      <c r="A15" s="149"/>
      <c r="B15" s="838"/>
      <c r="C15" s="838"/>
      <c r="D15" s="838"/>
      <c r="E15" s="838"/>
      <c r="F15" s="838"/>
      <c r="G15" s="838"/>
      <c r="H15" s="838"/>
      <c r="I15" s="838"/>
      <c r="J15" s="838"/>
      <c r="K15" s="838"/>
      <c r="L15" s="838"/>
      <c r="M15" s="838"/>
      <c r="N15" s="838"/>
      <c r="O15" s="838"/>
      <c r="P15" s="838"/>
      <c r="Q15" s="301"/>
    </row>
    <row r="16" spans="1:20" s="298" customFormat="1" ht="15.75" customHeight="1" x14ac:dyDescent="0.2">
      <c r="A16" s="149"/>
      <c r="B16" s="838"/>
      <c r="C16" s="838"/>
      <c r="D16" s="838"/>
      <c r="E16" s="838"/>
      <c r="F16" s="838"/>
      <c r="G16" s="838"/>
      <c r="H16" s="838"/>
      <c r="I16" s="838"/>
      <c r="J16" s="838"/>
      <c r="K16" s="838"/>
      <c r="L16" s="838"/>
      <c r="M16" s="838"/>
      <c r="N16" s="838"/>
      <c r="O16" s="838"/>
      <c r="P16" s="838"/>
      <c r="Q16" s="301"/>
    </row>
    <row r="17" spans="1:19" ht="11" customHeight="1" x14ac:dyDescent="0.2">
      <c r="B17" s="798"/>
      <c r="C17" s="798"/>
      <c r="D17" s="798"/>
      <c r="E17" s="798"/>
      <c r="F17" s="798"/>
      <c r="G17" s="798"/>
      <c r="H17" s="798"/>
      <c r="I17" s="798"/>
      <c r="J17" s="798"/>
      <c r="K17" s="798"/>
      <c r="L17" s="798"/>
      <c r="M17" s="798"/>
      <c r="N17" s="798"/>
      <c r="O17" s="798"/>
      <c r="P17" s="798"/>
    </row>
    <row r="18" spans="1:19" ht="24" customHeight="1" x14ac:dyDescent="0.2">
      <c r="B18" s="860" t="s">
        <v>1466</v>
      </c>
      <c r="C18" s="860"/>
      <c r="D18" s="860"/>
      <c r="E18" s="860"/>
      <c r="F18" s="860"/>
      <c r="G18" s="860"/>
      <c r="H18" s="860"/>
      <c r="I18" s="860"/>
      <c r="J18" s="860"/>
      <c r="K18" s="860"/>
      <c r="L18" s="860"/>
      <c r="M18" s="860"/>
      <c r="N18" s="860"/>
      <c r="O18" s="860"/>
      <c r="P18" s="860"/>
      <c r="Q18" s="789"/>
      <c r="R18" s="779"/>
      <c r="S18" s="779"/>
    </row>
    <row r="19" spans="1:19" s="76" customFormat="1" ht="15" customHeight="1" x14ac:dyDescent="0.2">
      <c r="B19" s="860"/>
      <c r="C19" s="860"/>
      <c r="D19" s="860"/>
      <c r="E19" s="860"/>
      <c r="F19" s="860"/>
      <c r="G19" s="860"/>
      <c r="H19" s="860"/>
      <c r="I19" s="860"/>
      <c r="J19" s="860"/>
      <c r="K19" s="860"/>
      <c r="L19" s="860"/>
      <c r="M19" s="860"/>
      <c r="N19" s="860"/>
      <c r="O19" s="860"/>
      <c r="P19" s="860"/>
      <c r="Q19" s="790"/>
      <c r="R19" s="780"/>
      <c r="S19" s="780"/>
    </row>
    <row r="20" spans="1:19" s="76" customFormat="1" ht="16" customHeight="1" thickBot="1" x14ac:dyDescent="0.25">
      <c r="A20" s="782"/>
      <c r="B20" s="861"/>
      <c r="C20" s="861"/>
      <c r="D20" s="861"/>
      <c r="E20" s="861"/>
      <c r="F20" s="861"/>
      <c r="G20" s="861"/>
      <c r="H20" s="861"/>
      <c r="I20" s="861"/>
      <c r="J20" s="861"/>
      <c r="K20" s="861"/>
      <c r="L20" s="861"/>
      <c r="M20" s="861"/>
      <c r="N20" s="861"/>
      <c r="O20" s="861"/>
      <c r="P20" s="861"/>
      <c r="Q20" s="782"/>
      <c r="R20" s="781"/>
      <c r="S20" s="781"/>
    </row>
    <row r="21" spans="1:19" s="76" customFormat="1" ht="25" customHeight="1" x14ac:dyDescent="0.2">
      <c r="A21" s="119"/>
      <c r="B21" s="862" t="s">
        <v>3</v>
      </c>
      <c r="C21" s="862"/>
      <c r="D21" s="847" t="s">
        <v>1526</v>
      </c>
      <c r="E21" s="847"/>
      <c r="F21" s="847"/>
      <c r="G21" s="847"/>
      <c r="H21" s="847"/>
      <c r="I21" s="847"/>
      <c r="J21" s="847"/>
      <c r="K21" s="847"/>
      <c r="L21" s="847"/>
      <c r="M21" s="847"/>
      <c r="N21" s="847"/>
      <c r="O21" s="847"/>
      <c r="P21" s="847"/>
      <c r="Q21" s="791"/>
      <c r="R21" s="783"/>
      <c r="S21" s="783"/>
    </row>
    <row r="22" spans="1:19" s="76" customFormat="1" ht="25" customHeight="1" thickBot="1" x14ac:dyDescent="0.25">
      <c r="A22" s="119"/>
      <c r="B22" s="863"/>
      <c r="C22" s="863"/>
      <c r="D22" s="848"/>
      <c r="E22" s="848"/>
      <c r="F22" s="848"/>
      <c r="G22" s="848"/>
      <c r="H22" s="848"/>
      <c r="I22" s="848"/>
      <c r="J22" s="848"/>
      <c r="K22" s="848"/>
      <c r="L22" s="848"/>
      <c r="M22" s="848"/>
      <c r="N22" s="848"/>
      <c r="O22" s="848"/>
      <c r="P22" s="848"/>
      <c r="Q22" s="792"/>
      <c r="R22" s="784"/>
      <c r="S22" s="784"/>
    </row>
    <row r="23" spans="1:19" s="76" customFormat="1" ht="25" customHeight="1" x14ac:dyDescent="0.2">
      <c r="A23" s="119"/>
      <c r="B23" s="862" t="s">
        <v>1540</v>
      </c>
      <c r="C23" s="862"/>
      <c r="D23" s="847" t="s">
        <v>1645</v>
      </c>
      <c r="E23" s="847"/>
      <c r="F23" s="847"/>
      <c r="G23" s="847"/>
      <c r="H23" s="847"/>
      <c r="I23" s="847"/>
      <c r="J23" s="847"/>
      <c r="K23" s="847"/>
      <c r="L23" s="847"/>
      <c r="M23" s="847"/>
      <c r="N23" s="847"/>
      <c r="O23" s="847"/>
      <c r="P23" s="847"/>
      <c r="Q23" s="793"/>
      <c r="R23" s="787"/>
      <c r="S23" s="787"/>
    </row>
    <row r="24" spans="1:19" s="76" customFormat="1" ht="25" customHeight="1" thickBot="1" x14ac:dyDescent="0.25">
      <c r="A24" s="119"/>
      <c r="B24" s="863"/>
      <c r="C24" s="863"/>
      <c r="D24" s="848"/>
      <c r="E24" s="848"/>
      <c r="F24" s="848"/>
      <c r="G24" s="848"/>
      <c r="H24" s="848"/>
      <c r="I24" s="848"/>
      <c r="J24" s="848"/>
      <c r="K24" s="848"/>
      <c r="L24" s="848"/>
      <c r="M24" s="848"/>
      <c r="N24" s="848"/>
      <c r="O24" s="848"/>
      <c r="P24" s="848"/>
      <c r="Q24" s="793"/>
      <c r="R24" s="787"/>
      <c r="S24" s="787"/>
    </row>
    <row r="25" spans="1:19" s="76" customFormat="1" ht="28" customHeight="1" x14ac:dyDescent="0.2">
      <c r="A25" s="119"/>
      <c r="B25" s="862" t="s">
        <v>5</v>
      </c>
      <c r="C25" s="862"/>
      <c r="D25" s="847" t="s">
        <v>1529</v>
      </c>
      <c r="E25" s="847"/>
      <c r="F25" s="847"/>
      <c r="G25" s="847"/>
      <c r="H25" s="847"/>
      <c r="I25" s="847"/>
      <c r="J25" s="847"/>
      <c r="K25" s="847"/>
      <c r="L25" s="847"/>
      <c r="M25" s="847"/>
      <c r="N25" s="847"/>
      <c r="O25" s="847"/>
      <c r="P25" s="847"/>
      <c r="Q25" s="791"/>
      <c r="R25" s="783"/>
      <c r="S25" s="785"/>
    </row>
    <row r="26" spans="1:19" s="76" customFormat="1" ht="28" customHeight="1" thickBot="1" x14ac:dyDescent="0.25">
      <c r="A26" s="119"/>
      <c r="B26" s="863"/>
      <c r="C26" s="863"/>
      <c r="D26" s="848"/>
      <c r="E26" s="848"/>
      <c r="F26" s="848"/>
      <c r="G26" s="848"/>
      <c r="H26" s="848"/>
      <c r="I26" s="848"/>
      <c r="J26" s="848"/>
      <c r="K26" s="848"/>
      <c r="L26" s="848"/>
      <c r="M26" s="848"/>
      <c r="N26" s="848"/>
      <c r="O26" s="848"/>
      <c r="P26" s="848"/>
      <c r="Q26" s="792"/>
      <c r="R26" s="784"/>
      <c r="S26" s="786"/>
    </row>
    <row r="27" spans="1:19" s="76" customFormat="1" ht="28" customHeight="1" x14ac:dyDescent="0.2">
      <c r="A27" s="119"/>
      <c r="B27" s="862" t="s">
        <v>20</v>
      </c>
      <c r="C27" s="862"/>
      <c r="D27" s="847" t="s">
        <v>1644</v>
      </c>
      <c r="E27" s="847"/>
      <c r="F27" s="847"/>
      <c r="G27" s="847"/>
      <c r="H27" s="847"/>
      <c r="I27" s="847"/>
      <c r="J27" s="847"/>
      <c r="K27" s="847"/>
      <c r="L27" s="847"/>
      <c r="M27" s="847"/>
      <c r="N27" s="847"/>
      <c r="O27" s="847"/>
      <c r="P27" s="847"/>
      <c r="Q27" s="791"/>
      <c r="R27" s="783"/>
      <c r="S27" s="785"/>
    </row>
    <row r="28" spans="1:19" s="76" customFormat="1" ht="28" customHeight="1" x14ac:dyDescent="0.2">
      <c r="A28" s="119"/>
      <c r="B28" s="865"/>
      <c r="C28" s="865"/>
      <c r="D28" s="864"/>
      <c r="E28" s="864"/>
      <c r="F28" s="864"/>
      <c r="G28" s="864"/>
      <c r="H28" s="864"/>
      <c r="I28" s="864"/>
      <c r="J28" s="864"/>
      <c r="K28" s="864"/>
      <c r="L28" s="864"/>
      <c r="M28" s="864"/>
      <c r="N28" s="864"/>
      <c r="O28" s="864"/>
      <c r="P28" s="864"/>
      <c r="Q28" s="793"/>
      <c r="R28" s="787"/>
      <c r="S28" s="788"/>
    </row>
    <row r="29" spans="1:19" s="76" customFormat="1" ht="17" thickBot="1" x14ac:dyDescent="0.25">
      <c r="A29" s="302"/>
      <c r="B29" s="150"/>
      <c r="C29" s="150"/>
      <c r="D29" s="150"/>
      <c r="E29" s="150"/>
      <c r="F29" s="150"/>
      <c r="G29" s="150"/>
      <c r="H29" s="150"/>
      <c r="I29" s="150"/>
      <c r="J29" s="150"/>
      <c r="K29" s="150"/>
      <c r="L29" s="150"/>
      <c r="M29" s="150"/>
      <c r="N29" s="150"/>
      <c r="O29" s="150"/>
      <c r="P29" s="150"/>
      <c r="Q29" s="301"/>
      <c r="R29" s="301"/>
      <c r="S29" s="301"/>
    </row>
    <row r="30" spans="1:19" s="76" customFormat="1" ht="20" thickBot="1" x14ac:dyDescent="0.25">
      <c r="A30" s="300"/>
      <c r="B30" s="839" t="s">
        <v>1544</v>
      </c>
      <c r="C30" s="840"/>
      <c r="D30" s="840"/>
      <c r="E30" s="840"/>
      <c r="F30" s="840"/>
      <c r="G30" s="840"/>
      <c r="H30" s="840"/>
      <c r="I30" s="840"/>
      <c r="J30" s="840"/>
      <c r="K30" s="840"/>
      <c r="L30" s="840"/>
      <c r="M30" s="840"/>
      <c r="N30" s="840"/>
      <c r="O30" s="840"/>
      <c r="P30" s="841"/>
      <c r="Q30" s="119"/>
    </row>
    <row r="31" spans="1:19" s="76" customFormat="1" x14ac:dyDescent="0.2">
      <c r="A31" s="299"/>
      <c r="B31" s="842" t="s">
        <v>6</v>
      </c>
      <c r="C31" s="845" t="s">
        <v>7</v>
      </c>
      <c r="D31" s="845"/>
      <c r="E31" s="845"/>
      <c r="F31" s="845"/>
      <c r="G31" s="845"/>
      <c r="H31" s="845"/>
      <c r="I31" s="845"/>
      <c r="J31" s="845"/>
      <c r="K31" s="845"/>
      <c r="L31" s="845"/>
      <c r="M31" s="845"/>
      <c r="N31" s="845"/>
      <c r="O31" s="845"/>
      <c r="P31" s="845"/>
      <c r="Q31" s="119"/>
    </row>
    <row r="32" spans="1:19" s="76" customFormat="1" ht="15" customHeight="1" x14ac:dyDescent="0.2">
      <c r="A32" s="299"/>
      <c r="B32" s="843"/>
      <c r="C32" s="846"/>
      <c r="D32" s="846"/>
      <c r="E32" s="846"/>
      <c r="F32" s="846"/>
      <c r="G32" s="846"/>
      <c r="H32" s="846"/>
      <c r="I32" s="846"/>
      <c r="J32" s="846"/>
      <c r="K32" s="846"/>
      <c r="L32" s="846"/>
      <c r="M32" s="846"/>
      <c r="N32" s="846"/>
      <c r="O32" s="846"/>
      <c r="P32" s="846"/>
      <c r="Q32" s="119"/>
    </row>
    <row r="33" spans="1:17" s="76" customFormat="1" ht="15" customHeight="1" thickBot="1" x14ac:dyDescent="0.25">
      <c r="A33" s="299"/>
      <c r="B33" s="844"/>
      <c r="C33" s="846"/>
      <c r="D33" s="846"/>
      <c r="E33" s="846"/>
      <c r="F33" s="846"/>
      <c r="G33" s="846"/>
      <c r="H33" s="846"/>
      <c r="I33" s="846"/>
      <c r="J33" s="846"/>
      <c r="K33" s="846"/>
      <c r="L33" s="846"/>
      <c r="M33" s="846"/>
      <c r="N33" s="846"/>
      <c r="O33" s="846"/>
      <c r="P33" s="846"/>
      <c r="Q33" s="119"/>
    </row>
    <row r="34" spans="1:17" s="76" customFormat="1" ht="15" customHeight="1" x14ac:dyDescent="0.2">
      <c r="A34" s="299"/>
      <c r="B34" s="842" t="s">
        <v>1540</v>
      </c>
      <c r="C34" s="849" t="s">
        <v>1545</v>
      </c>
      <c r="D34" s="849"/>
      <c r="E34" s="849"/>
      <c r="F34" s="849"/>
      <c r="G34" s="849"/>
      <c r="H34" s="849"/>
      <c r="I34" s="849"/>
      <c r="J34" s="849"/>
      <c r="K34" s="849"/>
      <c r="L34" s="849"/>
      <c r="M34" s="849"/>
      <c r="N34" s="849"/>
      <c r="O34" s="849"/>
      <c r="P34" s="849"/>
      <c r="Q34" s="119"/>
    </row>
    <row r="35" spans="1:17" s="76" customFormat="1" ht="15" customHeight="1" x14ac:dyDescent="0.2">
      <c r="A35" s="299"/>
      <c r="B35" s="843"/>
      <c r="C35" s="850"/>
      <c r="D35" s="850"/>
      <c r="E35" s="850"/>
      <c r="F35" s="850"/>
      <c r="G35" s="850"/>
      <c r="H35" s="850"/>
      <c r="I35" s="850"/>
      <c r="J35" s="850"/>
      <c r="K35" s="850"/>
      <c r="L35" s="850"/>
      <c r="M35" s="850"/>
      <c r="N35" s="850"/>
      <c r="O35" s="850"/>
      <c r="P35" s="850"/>
      <c r="Q35" s="119"/>
    </row>
    <row r="36" spans="1:17" s="76" customFormat="1" ht="15" customHeight="1" thickBot="1" x14ac:dyDescent="0.25">
      <c r="A36" s="299"/>
      <c r="B36" s="844"/>
      <c r="C36" s="850"/>
      <c r="D36" s="850"/>
      <c r="E36" s="850"/>
      <c r="F36" s="850"/>
      <c r="G36" s="850"/>
      <c r="H36" s="850"/>
      <c r="I36" s="850"/>
      <c r="J36" s="850"/>
      <c r="K36" s="850"/>
      <c r="L36" s="850"/>
      <c r="M36" s="850"/>
      <c r="N36" s="850"/>
      <c r="O36" s="850"/>
      <c r="P36" s="850"/>
      <c r="Q36" s="119"/>
    </row>
    <row r="37" spans="1:17" s="76" customFormat="1" ht="16" customHeight="1" x14ac:dyDescent="0.2">
      <c r="A37" s="299"/>
      <c r="B37" s="842" t="s">
        <v>8</v>
      </c>
      <c r="C37" s="849" t="s">
        <v>9</v>
      </c>
      <c r="D37" s="849"/>
      <c r="E37" s="849"/>
      <c r="F37" s="849"/>
      <c r="G37" s="849"/>
      <c r="H37" s="849"/>
      <c r="I37" s="849"/>
      <c r="J37" s="849"/>
      <c r="K37" s="849"/>
      <c r="L37" s="849"/>
      <c r="M37" s="849"/>
      <c r="N37" s="849"/>
      <c r="O37" s="849"/>
      <c r="P37" s="849"/>
      <c r="Q37" s="119"/>
    </row>
    <row r="38" spans="1:17" s="76" customFormat="1" x14ac:dyDescent="0.2">
      <c r="A38" s="299"/>
      <c r="B38" s="843"/>
      <c r="C38" s="850"/>
      <c r="D38" s="850"/>
      <c r="E38" s="850"/>
      <c r="F38" s="850"/>
      <c r="G38" s="850"/>
      <c r="H38" s="850"/>
      <c r="I38" s="850"/>
      <c r="J38" s="850"/>
      <c r="K38" s="850"/>
      <c r="L38" s="850"/>
      <c r="M38" s="850"/>
      <c r="N38" s="850"/>
      <c r="O38" s="850"/>
      <c r="P38" s="850"/>
      <c r="Q38" s="119"/>
    </row>
    <row r="39" spans="1:17" s="76" customFormat="1" ht="16" thickBot="1" x14ac:dyDescent="0.25">
      <c r="A39" s="299"/>
      <c r="B39" s="844"/>
      <c r="C39" s="850"/>
      <c r="D39" s="850"/>
      <c r="E39" s="850"/>
      <c r="F39" s="850"/>
      <c r="G39" s="850"/>
      <c r="H39" s="850"/>
      <c r="I39" s="850"/>
      <c r="J39" s="850"/>
      <c r="K39" s="850"/>
      <c r="L39" s="850"/>
      <c r="M39" s="850"/>
      <c r="N39" s="850"/>
      <c r="O39" s="850"/>
      <c r="P39" s="850"/>
      <c r="Q39" s="119"/>
    </row>
    <row r="40" spans="1:17" s="76" customFormat="1" x14ac:dyDescent="0.2">
      <c r="A40" s="299"/>
      <c r="B40" s="842" t="s">
        <v>10</v>
      </c>
      <c r="C40" s="845" t="s">
        <v>11</v>
      </c>
      <c r="D40" s="845"/>
      <c r="E40" s="845"/>
      <c r="F40" s="845"/>
      <c r="G40" s="845"/>
      <c r="H40" s="845"/>
      <c r="I40" s="845"/>
      <c r="J40" s="845"/>
      <c r="K40" s="845"/>
      <c r="L40" s="845"/>
      <c r="M40" s="845"/>
      <c r="N40" s="845"/>
      <c r="O40" s="845"/>
      <c r="P40" s="845"/>
      <c r="Q40" s="119"/>
    </row>
    <row r="41" spans="1:17" s="76" customFormat="1" x14ac:dyDescent="0.2">
      <c r="A41" s="299"/>
      <c r="B41" s="843"/>
      <c r="C41" s="846"/>
      <c r="D41" s="846"/>
      <c r="E41" s="846"/>
      <c r="F41" s="846"/>
      <c r="G41" s="846"/>
      <c r="H41" s="846"/>
      <c r="I41" s="846"/>
      <c r="J41" s="846"/>
      <c r="K41" s="846"/>
      <c r="L41" s="846"/>
      <c r="M41" s="846"/>
      <c r="N41" s="846"/>
      <c r="O41" s="846"/>
      <c r="P41" s="846"/>
      <c r="Q41" s="119"/>
    </row>
    <row r="42" spans="1:17" s="76" customFormat="1" x14ac:dyDescent="0.2">
      <c r="A42" s="299"/>
      <c r="B42" s="843"/>
      <c r="C42" s="846"/>
      <c r="D42" s="846"/>
      <c r="E42" s="846"/>
      <c r="F42" s="846"/>
      <c r="G42" s="846"/>
      <c r="H42" s="846"/>
      <c r="I42" s="846"/>
      <c r="J42" s="846"/>
      <c r="K42" s="846"/>
      <c r="L42" s="846"/>
      <c r="M42" s="846"/>
      <c r="N42" s="846"/>
      <c r="O42" s="846"/>
      <c r="P42" s="846"/>
      <c r="Q42" s="119"/>
    </row>
    <row r="43" spans="1:17" s="76" customFormat="1" ht="9" customHeight="1" thickBot="1" x14ac:dyDescent="0.25">
      <c r="A43" s="299"/>
      <c r="B43" s="844"/>
      <c r="C43" s="851"/>
      <c r="D43" s="851"/>
      <c r="E43" s="851"/>
      <c r="F43" s="851"/>
      <c r="G43" s="851"/>
      <c r="H43" s="851"/>
      <c r="I43" s="851"/>
      <c r="J43" s="851"/>
      <c r="K43" s="851"/>
      <c r="L43" s="851"/>
      <c r="M43" s="851"/>
      <c r="N43" s="851"/>
      <c r="O43" s="851"/>
      <c r="P43" s="851"/>
      <c r="Q43" s="119"/>
    </row>
    <row r="44" spans="1:17" s="76" customFormat="1" x14ac:dyDescent="0.2">
      <c r="A44" s="299"/>
      <c r="B44" s="842" t="s">
        <v>4</v>
      </c>
      <c r="C44" s="845" t="s">
        <v>12</v>
      </c>
      <c r="D44" s="845"/>
      <c r="E44" s="845"/>
      <c r="F44" s="845"/>
      <c r="G44" s="845"/>
      <c r="H44" s="845"/>
      <c r="I44" s="845"/>
      <c r="J44" s="845"/>
      <c r="K44" s="845"/>
      <c r="L44" s="845"/>
      <c r="M44" s="845"/>
      <c r="N44" s="845"/>
      <c r="O44" s="845"/>
      <c r="P44" s="845"/>
      <c r="Q44" s="119"/>
    </row>
    <row r="45" spans="1:17" s="76" customFormat="1" x14ac:dyDescent="0.2">
      <c r="A45" s="299"/>
      <c r="B45" s="843"/>
      <c r="C45" s="846"/>
      <c r="D45" s="846"/>
      <c r="E45" s="846"/>
      <c r="F45" s="846"/>
      <c r="G45" s="846"/>
      <c r="H45" s="846"/>
      <c r="I45" s="846"/>
      <c r="J45" s="846"/>
      <c r="K45" s="846"/>
      <c r="L45" s="846"/>
      <c r="M45" s="846"/>
      <c r="N45" s="846"/>
      <c r="O45" s="846"/>
      <c r="P45" s="846"/>
      <c r="Q45" s="119"/>
    </row>
    <row r="46" spans="1:17" s="76" customFormat="1" ht="16" thickBot="1" x14ac:dyDescent="0.25">
      <c r="A46" s="299"/>
      <c r="B46" s="844"/>
      <c r="C46" s="851"/>
      <c r="D46" s="851"/>
      <c r="E46" s="851"/>
      <c r="F46" s="851"/>
      <c r="G46" s="851"/>
      <c r="H46" s="851"/>
      <c r="I46" s="851"/>
      <c r="J46" s="851"/>
      <c r="K46" s="851"/>
      <c r="L46" s="851"/>
      <c r="M46" s="851"/>
      <c r="N46" s="851"/>
      <c r="O46" s="851"/>
      <c r="P46" s="851"/>
      <c r="Q46" s="119"/>
    </row>
    <row r="47" spans="1:17" s="76" customFormat="1" x14ac:dyDescent="0.2">
      <c r="A47" s="299"/>
      <c r="B47" s="842" t="s">
        <v>13</v>
      </c>
      <c r="C47" s="845" t="s">
        <v>14</v>
      </c>
      <c r="D47" s="845"/>
      <c r="E47" s="845"/>
      <c r="F47" s="845"/>
      <c r="G47" s="845"/>
      <c r="H47" s="845"/>
      <c r="I47" s="845"/>
      <c r="J47" s="845"/>
      <c r="K47" s="845"/>
      <c r="L47" s="845"/>
      <c r="M47" s="845"/>
      <c r="N47" s="845"/>
      <c r="O47" s="845"/>
      <c r="P47" s="845"/>
      <c r="Q47" s="119"/>
    </row>
    <row r="48" spans="1:17" s="76" customFormat="1" x14ac:dyDescent="0.2">
      <c r="A48" s="299"/>
      <c r="B48" s="843"/>
      <c r="C48" s="846"/>
      <c r="D48" s="846"/>
      <c r="E48" s="846"/>
      <c r="F48" s="846"/>
      <c r="G48" s="846"/>
      <c r="H48" s="846"/>
      <c r="I48" s="846"/>
      <c r="J48" s="846"/>
      <c r="K48" s="846"/>
      <c r="L48" s="846"/>
      <c r="M48" s="846"/>
      <c r="N48" s="846"/>
      <c r="O48" s="846"/>
      <c r="P48" s="846"/>
      <c r="Q48" s="119"/>
    </row>
    <row r="49" spans="1:19" s="76" customFormat="1" ht="16" thickBot="1" x14ac:dyDescent="0.25">
      <c r="A49" s="299"/>
      <c r="B49" s="844"/>
      <c r="C49" s="851"/>
      <c r="D49" s="851"/>
      <c r="E49" s="851"/>
      <c r="F49" s="851"/>
      <c r="G49" s="851"/>
      <c r="H49" s="851"/>
      <c r="I49" s="851"/>
      <c r="J49" s="851"/>
      <c r="K49" s="851"/>
      <c r="L49" s="851"/>
      <c r="M49" s="851"/>
      <c r="N49" s="851"/>
      <c r="O49" s="851"/>
      <c r="P49" s="851"/>
      <c r="Q49" s="119"/>
    </row>
    <row r="50" spans="1:19" s="76" customFormat="1" x14ac:dyDescent="0.2">
      <c r="A50" s="299"/>
      <c r="B50" s="842" t="s">
        <v>15</v>
      </c>
      <c r="C50" s="849" t="s">
        <v>16</v>
      </c>
      <c r="D50" s="849"/>
      <c r="E50" s="849"/>
      <c r="F50" s="849"/>
      <c r="G50" s="849"/>
      <c r="H50" s="849"/>
      <c r="I50" s="849"/>
      <c r="J50" s="849"/>
      <c r="K50" s="849"/>
      <c r="L50" s="849"/>
      <c r="M50" s="849"/>
      <c r="N50" s="849"/>
      <c r="O50" s="849"/>
      <c r="P50" s="849"/>
      <c r="Q50" s="119"/>
    </row>
    <row r="51" spans="1:19" s="76" customFormat="1" x14ac:dyDescent="0.2">
      <c r="A51" s="299"/>
      <c r="B51" s="843"/>
      <c r="C51" s="850"/>
      <c r="D51" s="850"/>
      <c r="E51" s="850"/>
      <c r="F51" s="850"/>
      <c r="G51" s="850"/>
      <c r="H51" s="850"/>
      <c r="I51" s="850"/>
      <c r="J51" s="850"/>
      <c r="K51" s="850"/>
      <c r="L51" s="850"/>
      <c r="M51" s="850"/>
      <c r="N51" s="850"/>
      <c r="O51" s="850"/>
      <c r="P51" s="850"/>
      <c r="Q51" s="119"/>
    </row>
    <row r="52" spans="1:19" s="76" customFormat="1" ht="16" thickBot="1" x14ac:dyDescent="0.25">
      <c r="A52" s="299"/>
      <c r="B52" s="843"/>
      <c r="C52" s="850"/>
      <c r="D52" s="850"/>
      <c r="E52" s="850"/>
      <c r="F52" s="850"/>
      <c r="G52" s="850"/>
      <c r="H52" s="850"/>
      <c r="I52" s="850"/>
      <c r="J52" s="850"/>
      <c r="K52" s="850"/>
      <c r="L52" s="850"/>
      <c r="M52" s="850"/>
      <c r="N52" s="850"/>
      <c r="O52" s="850"/>
      <c r="P52" s="850"/>
      <c r="Q52" s="119"/>
    </row>
    <row r="53" spans="1:19" s="76" customFormat="1" x14ac:dyDescent="0.2">
      <c r="A53" s="299"/>
      <c r="B53" s="842" t="s">
        <v>5</v>
      </c>
      <c r="C53" s="845" t="s">
        <v>1642</v>
      </c>
      <c r="D53" s="845"/>
      <c r="E53" s="845"/>
      <c r="F53" s="845"/>
      <c r="G53" s="845"/>
      <c r="H53" s="845"/>
      <c r="I53" s="845"/>
      <c r="J53" s="845"/>
      <c r="K53" s="845"/>
      <c r="L53" s="845"/>
      <c r="M53" s="845"/>
      <c r="N53" s="845"/>
      <c r="O53" s="845"/>
      <c r="P53" s="845"/>
      <c r="Q53" s="119"/>
    </row>
    <row r="54" spans="1:19" s="76" customFormat="1" ht="21" customHeight="1" x14ac:dyDescent="0.2">
      <c r="A54" s="299"/>
      <c r="B54" s="843"/>
      <c r="C54" s="846"/>
      <c r="D54" s="846"/>
      <c r="E54" s="846"/>
      <c r="F54" s="846"/>
      <c r="G54" s="846"/>
      <c r="H54" s="846"/>
      <c r="I54" s="846"/>
      <c r="J54" s="846"/>
      <c r="K54" s="846"/>
      <c r="L54" s="846"/>
      <c r="M54" s="846"/>
      <c r="N54" s="846"/>
      <c r="O54" s="846"/>
      <c r="P54" s="846"/>
      <c r="Q54" s="119"/>
    </row>
    <row r="55" spans="1:19" s="76" customFormat="1" ht="26" customHeight="1" thickBot="1" x14ac:dyDescent="0.25">
      <c r="A55" s="299"/>
      <c r="B55" s="843"/>
      <c r="C55" s="846"/>
      <c r="D55" s="846"/>
      <c r="E55" s="846"/>
      <c r="F55" s="846"/>
      <c r="G55" s="846"/>
      <c r="H55" s="846"/>
      <c r="I55" s="846"/>
      <c r="J55" s="846"/>
      <c r="K55" s="846"/>
      <c r="L55" s="846"/>
      <c r="M55" s="846"/>
      <c r="N55" s="846"/>
      <c r="O55" s="846"/>
      <c r="P55" s="846"/>
      <c r="Q55" s="119"/>
    </row>
    <row r="56" spans="1:19" s="298" customFormat="1" ht="17" customHeight="1" x14ac:dyDescent="0.2">
      <c r="A56" s="299"/>
      <c r="B56" s="842" t="s">
        <v>19</v>
      </c>
      <c r="C56" s="849" t="s">
        <v>1546</v>
      </c>
      <c r="D56" s="849"/>
      <c r="E56" s="849"/>
      <c r="F56" s="849"/>
      <c r="G56" s="849"/>
      <c r="H56" s="849"/>
      <c r="I56" s="849"/>
      <c r="J56" s="849"/>
      <c r="K56" s="849"/>
      <c r="L56" s="849"/>
      <c r="M56" s="849"/>
      <c r="N56" s="849"/>
      <c r="O56" s="849"/>
      <c r="P56" s="849"/>
      <c r="Q56" s="119"/>
      <c r="R56" s="76"/>
      <c r="S56" s="76"/>
    </row>
    <row r="57" spans="1:19" s="298" customFormat="1" ht="17" customHeight="1" thickBot="1" x14ac:dyDescent="0.25">
      <c r="A57" s="299"/>
      <c r="B57" s="844"/>
      <c r="C57" s="854"/>
      <c r="D57" s="854"/>
      <c r="E57" s="854"/>
      <c r="F57" s="854"/>
      <c r="G57" s="854"/>
      <c r="H57" s="854"/>
      <c r="I57" s="854"/>
      <c r="J57" s="854"/>
      <c r="K57" s="854"/>
      <c r="L57" s="854"/>
      <c r="M57" s="854"/>
      <c r="N57" s="854"/>
      <c r="O57" s="854"/>
      <c r="P57" s="854"/>
      <c r="Q57" s="119"/>
      <c r="R57" s="76"/>
      <c r="S57" s="76"/>
    </row>
    <row r="58" spans="1:19" s="298" customFormat="1" ht="17" customHeight="1" x14ac:dyDescent="0.2">
      <c r="A58" s="299"/>
      <c r="B58" s="842" t="s">
        <v>17</v>
      </c>
      <c r="C58" s="846" t="s">
        <v>18</v>
      </c>
      <c r="D58" s="846"/>
      <c r="E58" s="846"/>
      <c r="F58" s="846"/>
      <c r="G58" s="846"/>
      <c r="H58" s="846"/>
      <c r="I58" s="846"/>
      <c r="J58" s="846"/>
      <c r="K58" s="846"/>
      <c r="L58" s="846"/>
      <c r="M58" s="846"/>
      <c r="N58" s="846"/>
      <c r="O58" s="846"/>
      <c r="P58" s="846"/>
      <c r="Q58" s="119"/>
      <c r="R58" s="76"/>
      <c r="S58" s="76"/>
    </row>
    <row r="59" spans="1:19" s="298" customFormat="1" ht="17" customHeight="1" thickBot="1" x14ac:dyDescent="0.25">
      <c r="A59" s="299"/>
      <c r="B59" s="843"/>
      <c r="C59" s="846"/>
      <c r="D59" s="846"/>
      <c r="E59" s="846"/>
      <c r="F59" s="846"/>
      <c r="G59" s="846"/>
      <c r="H59" s="846"/>
      <c r="I59" s="846"/>
      <c r="J59" s="846"/>
      <c r="K59" s="846"/>
      <c r="L59" s="846"/>
      <c r="M59" s="846"/>
      <c r="N59" s="846"/>
      <c r="O59" s="846"/>
      <c r="P59" s="846"/>
      <c r="Q59" s="119"/>
      <c r="R59" s="76"/>
      <c r="S59" s="76"/>
    </row>
    <row r="60" spans="1:19" s="298" customFormat="1" ht="17" customHeight="1" x14ac:dyDescent="0.2">
      <c r="A60" s="299"/>
      <c r="B60" s="855" t="s">
        <v>20</v>
      </c>
      <c r="C60" s="849" t="s">
        <v>1547</v>
      </c>
      <c r="D60" s="849"/>
      <c r="E60" s="849"/>
      <c r="F60" s="849"/>
      <c r="G60" s="849"/>
      <c r="H60" s="849"/>
      <c r="I60" s="849"/>
      <c r="J60" s="849"/>
      <c r="K60" s="849"/>
      <c r="L60" s="849"/>
      <c r="M60" s="849"/>
      <c r="N60" s="849"/>
      <c r="O60" s="849"/>
      <c r="P60" s="849"/>
      <c r="Q60" s="119"/>
      <c r="R60" s="76"/>
      <c r="S60" s="76"/>
    </row>
    <row r="61" spans="1:19" s="298" customFormat="1" ht="17" customHeight="1" thickBot="1" x14ac:dyDescent="0.25">
      <c r="A61" s="299"/>
      <c r="B61" s="856"/>
      <c r="C61" s="854"/>
      <c r="D61" s="854"/>
      <c r="E61" s="854"/>
      <c r="F61" s="854"/>
      <c r="G61" s="854"/>
      <c r="H61" s="854"/>
      <c r="I61" s="854"/>
      <c r="J61" s="854"/>
      <c r="K61" s="854"/>
      <c r="L61" s="854"/>
      <c r="M61" s="854"/>
      <c r="N61" s="854"/>
      <c r="O61" s="854"/>
      <c r="P61" s="854"/>
      <c r="Q61" s="119"/>
      <c r="R61" s="76"/>
      <c r="S61" s="76"/>
    </row>
    <row r="62" spans="1:19" ht="16" thickBot="1" x14ac:dyDescent="0.25">
      <c r="B62" s="303"/>
      <c r="C62" s="303"/>
      <c r="D62" s="303"/>
      <c r="E62" s="303"/>
      <c r="F62" s="303"/>
      <c r="G62" s="303"/>
      <c r="H62" s="303"/>
      <c r="I62" s="303"/>
      <c r="J62" s="303"/>
      <c r="K62" s="303"/>
      <c r="L62" s="303"/>
      <c r="M62" s="303"/>
      <c r="N62" s="303"/>
      <c r="O62" s="303"/>
      <c r="P62" s="303"/>
    </row>
    <row r="63" spans="1:19" ht="16" thickBot="1" x14ac:dyDescent="0.25">
      <c r="B63" s="853" t="s">
        <v>22</v>
      </c>
      <c r="C63" s="853"/>
      <c r="D63" s="853"/>
      <c r="E63" s="853"/>
      <c r="F63" s="853"/>
      <c r="G63" s="853"/>
      <c r="H63" s="853"/>
      <c r="I63" s="853"/>
      <c r="J63" s="853"/>
      <c r="K63" s="853"/>
      <c r="L63" s="853"/>
      <c r="M63" s="853"/>
      <c r="N63" s="853"/>
      <c r="O63" s="853"/>
      <c r="P63" s="853"/>
      <c r="R63" s="298"/>
      <c r="S63" s="298"/>
    </row>
    <row r="64" spans="1:19" x14ac:dyDescent="0.2">
      <c r="B64" s="852" t="s">
        <v>1543</v>
      </c>
      <c r="C64" s="852"/>
      <c r="D64" s="852"/>
      <c r="E64" s="852"/>
      <c r="F64" s="852"/>
      <c r="G64" s="852"/>
      <c r="H64" s="852"/>
      <c r="I64" s="852"/>
      <c r="J64" s="852"/>
      <c r="K64" s="852"/>
      <c r="L64" s="852"/>
      <c r="M64" s="852"/>
      <c r="N64" s="852"/>
      <c r="O64" s="852"/>
      <c r="P64" s="852"/>
      <c r="R64" s="298"/>
      <c r="S64" s="298"/>
    </row>
    <row r="65" spans="1:19" x14ac:dyDescent="0.2">
      <c r="B65" s="838"/>
      <c r="C65" s="838"/>
      <c r="D65" s="838"/>
      <c r="E65" s="838"/>
      <c r="F65" s="838"/>
      <c r="G65" s="838"/>
      <c r="H65" s="838"/>
      <c r="I65" s="838"/>
      <c r="J65" s="838"/>
      <c r="K65" s="838"/>
      <c r="L65" s="838"/>
      <c r="M65" s="838"/>
      <c r="N65" s="838"/>
      <c r="O65" s="838"/>
      <c r="P65" s="838"/>
      <c r="R65" s="298"/>
      <c r="S65" s="298"/>
    </row>
    <row r="66" spans="1:19" hidden="1" x14ac:dyDescent="0.2">
      <c r="B66" s="838"/>
      <c r="C66" s="838"/>
      <c r="D66" s="838"/>
      <c r="E66" s="838"/>
      <c r="F66" s="838"/>
      <c r="G66" s="838"/>
      <c r="H66" s="838"/>
      <c r="I66" s="838"/>
      <c r="J66" s="838"/>
      <c r="K66" s="838"/>
      <c r="L66" s="838"/>
      <c r="M66" s="838"/>
      <c r="N66" s="838"/>
      <c r="O66" s="838"/>
      <c r="P66" s="838"/>
      <c r="R66" s="298"/>
      <c r="S66" s="298"/>
    </row>
    <row r="67" spans="1:19" x14ac:dyDescent="0.2">
      <c r="B67" s="838"/>
      <c r="C67" s="838"/>
      <c r="D67" s="838"/>
      <c r="E67" s="838"/>
      <c r="F67" s="838"/>
      <c r="G67" s="838"/>
      <c r="H67" s="838"/>
      <c r="I67" s="838"/>
      <c r="J67" s="838"/>
      <c r="K67" s="838"/>
      <c r="L67" s="838"/>
      <c r="M67" s="838"/>
      <c r="N67" s="838"/>
      <c r="O67" s="838"/>
      <c r="P67" s="838"/>
      <c r="R67" s="298"/>
      <c r="S67" s="298"/>
    </row>
    <row r="68" spans="1:19" hidden="1" x14ac:dyDescent="0.2">
      <c r="B68" s="838"/>
      <c r="C68" s="838"/>
      <c r="D68" s="838"/>
      <c r="E68" s="838"/>
      <c r="F68" s="838"/>
      <c r="G68" s="838"/>
      <c r="H68" s="838"/>
      <c r="I68" s="838"/>
      <c r="J68" s="838"/>
      <c r="K68" s="838"/>
      <c r="L68" s="838"/>
      <c r="M68" s="838"/>
      <c r="N68" s="838"/>
      <c r="O68" s="838"/>
      <c r="P68" s="838"/>
      <c r="R68" s="298"/>
      <c r="S68" s="298"/>
    </row>
    <row r="69" spans="1:19" hidden="1" x14ac:dyDescent="0.2">
      <c r="A69" s="298"/>
      <c r="B69" s="838"/>
      <c r="C69" s="838"/>
      <c r="D69" s="838"/>
      <c r="E69" s="838"/>
      <c r="F69" s="838"/>
      <c r="G69" s="838"/>
      <c r="H69" s="838"/>
      <c r="I69" s="838"/>
      <c r="J69" s="838"/>
      <c r="K69" s="838"/>
      <c r="L69" s="838"/>
      <c r="M69" s="838"/>
      <c r="N69" s="838"/>
      <c r="O69" s="838"/>
      <c r="P69" s="838"/>
      <c r="R69" s="298"/>
      <c r="S69" s="298"/>
    </row>
    <row r="70" spans="1:19" x14ac:dyDescent="0.2">
      <c r="B70" s="838"/>
      <c r="C70" s="838"/>
      <c r="D70" s="838"/>
      <c r="E70" s="838"/>
      <c r="F70" s="838"/>
      <c r="G70" s="838"/>
      <c r="H70" s="838"/>
      <c r="I70" s="838"/>
      <c r="J70" s="838"/>
      <c r="K70" s="838"/>
      <c r="L70" s="838"/>
      <c r="M70" s="838"/>
      <c r="N70" s="838"/>
      <c r="O70" s="838"/>
      <c r="P70" s="838"/>
    </row>
    <row r="71" spans="1:19" x14ac:dyDescent="0.2"/>
    <row r="72" spans="1:19" x14ac:dyDescent="0.2"/>
    <row r="73" spans="1:19" x14ac:dyDescent="0.2"/>
    <row r="74" spans="1:19" x14ac:dyDescent="0.2"/>
    <row r="75" spans="1:19" x14ac:dyDescent="0.2"/>
    <row r="76" spans="1:19" x14ac:dyDescent="0.2"/>
    <row r="77" spans="1:19" x14ac:dyDescent="0.2"/>
    <row r="78" spans="1:19" x14ac:dyDescent="0.2"/>
    <row r="79" spans="1:19" x14ac:dyDescent="0.2"/>
    <row r="80" spans="1:19" x14ac:dyDescent="0.2"/>
    <row r="81" x14ac:dyDescent="0.2"/>
    <row r="82" x14ac:dyDescent="0.2"/>
    <row r="83" x14ac:dyDescent="0.2"/>
    <row r="84" x14ac:dyDescent="0.2"/>
    <row r="85" x14ac:dyDescent="0.2"/>
    <row r="86" x14ac:dyDescent="0.2"/>
    <row r="87" x14ac:dyDescent="0.2"/>
    <row r="88" x14ac:dyDescent="0.2"/>
    <row r="89" x14ac:dyDescent="0.2"/>
    <row r="90" x14ac:dyDescent="0.2"/>
  </sheetData>
  <sheetProtection algorithmName="SHA-512" hashValue="kNIQzFbslUwyjKNJcmp8ly8/Wke41JEKEnq7kS22F9nWQM1YfLI2Y5j1a8FcqbcUFj+wf3xi7OTDEJ8C8Lw2tQ==" saltValue="mKgzPHAJTET06vdWw7ZWBQ==" spinCount="100000" sheet="1" selectLockedCells="1"/>
  <mergeCells count="42">
    <mergeCell ref="B34:B36"/>
    <mergeCell ref="C34:P36"/>
    <mergeCell ref="D27:P28"/>
    <mergeCell ref="B27:C28"/>
    <mergeCell ref="B25:C26"/>
    <mergeCell ref="B2:J2"/>
    <mergeCell ref="B3:J3"/>
    <mergeCell ref="B4:J4"/>
    <mergeCell ref="B5:J5"/>
    <mergeCell ref="B6:J6"/>
    <mergeCell ref="B64:P70"/>
    <mergeCell ref="B63:P63"/>
    <mergeCell ref="B56:B57"/>
    <mergeCell ref="C56:P57"/>
    <mergeCell ref="B60:B61"/>
    <mergeCell ref="C60:P61"/>
    <mergeCell ref="B58:B59"/>
    <mergeCell ref="C58:P59"/>
    <mergeCell ref="B47:B49"/>
    <mergeCell ref="C47:P49"/>
    <mergeCell ref="B50:B52"/>
    <mergeCell ref="C50:P52"/>
    <mergeCell ref="B53:B55"/>
    <mergeCell ref="C53:P55"/>
    <mergeCell ref="B37:B39"/>
    <mergeCell ref="C37:P39"/>
    <mergeCell ref="B40:B43"/>
    <mergeCell ref="C40:P43"/>
    <mergeCell ref="B44:B46"/>
    <mergeCell ref="C44:P46"/>
    <mergeCell ref="B8:P8"/>
    <mergeCell ref="B9:P11"/>
    <mergeCell ref="B13:P16"/>
    <mergeCell ref="B30:P30"/>
    <mergeCell ref="B31:B33"/>
    <mergeCell ref="C31:P33"/>
    <mergeCell ref="D21:P22"/>
    <mergeCell ref="D25:P26"/>
    <mergeCell ref="B18:P20"/>
    <mergeCell ref="B23:C24"/>
    <mergeCell ref="D23:P24"/>
    <mergeCell ref="B21:C22"/>
  </mergeCells>
  <hyperlinks>
    <hyperlink ref="B31:B33" location="'Contact Information'!A1" display="Contact Info" xr:uid="{00000000-0004-0000-0200-000000000000}"/>
    <hyperlink ref="B37:B39" location="'Square Footage'!A1" display="Square Footage" xr:uid="{00000000-0004-0000-0200-000001000000}"/>
    <hyperlink ref="B40:B43" location="'Electricity Consumption'!A1" display="Electricity Consumption" xr:uid="{00000000-0004-0000-0200-000002000000}"/>
    <hyperlink ref="B47:B49" location="'Vehicle&amp;Other Fuel Consumption'!A1" display="Vehicle &amp; Other Fuel Consumption" xr:uid="{00000000-0004-0000-0200-000004000000}"/>
    <hyperlink ref="B50:B52" location="'Installed Clean Power'!A1" display="Installed Clean Power" xr:uid="{00000000-0004-0000-0200-000006000000}"/>
    <hyperlink ref="B56:B57" location="'EV Charging Stations'!A1" display="EV Charging Stations" xr:uid="{00000000-0004-0000-0200-000007000000}"/>
    <hyperlink ref="B53:B55" location="'Vehicle Fleet'!A1" display="Vehicle Fleet" xr:uid="{00000000-0004-0000-0200-00000C000000}"/>
    <hyperlink ref="B44:B46" location="'Building Fuel Consumption'!A1" display="Building Fuel Consumption" xr:uid="{00000000-0004-0000-0200-000003000000}"/>
    <hyperlink ref="B60" location="Recycling!A1" display="Recycling" xr:uid="{00000000-0004-0000-0200-000008000000}"/>
    <hyperlink ref="B60:B61" location="Sustainability!A1" display="Sustainability" xr:uid="{F18C06E5-DCF5-5F45-B4BF-B23070F3FC6A}"/>
    <hyperlink ref="B34:B36" location="'EO 594'!A1" display="EO 594" xr:uid="{40A213A1-29B7-5D4A-ADF8-A81D4354B212}"/>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fitToPage="1"/>
  </sheetPr>
  <dimension ref="A1:R79"/>
  <sheetViews>
    <sheetView showGridLines="0" topLeftCell="A46" zoomScale="94" zoomScaleNormal="100" workbookViewId="0">
      <selection activeCell="J77" sqref="J77"/>
    </sheetView>
  </sheetViews>
  <sheetFormatPr baseColWidth="10" defaultColWidth="0" defaultRowHeight="16" x14ac:dyDescent="0.2"/>
  <cols>
    <col min="1" max="1" width="1.5" style="11" customWidth="1"/>
    <col min="2" max="2" width="10.5" style="11" customWidth="1"/>
    <col min="3" max="3" width="65.1640625" style="11" customWidth="1"/>
    <col min="4" max="4" width="3" style="11" customWidth="1"/>
    <col min="5" max="5" width="27" style="11" customWidth="1"/>
    <col min="6" max="6" width="20.5" style="249" customWidth="1"/>
    <col min="7" max="7" width="17.83203125" style="13" customWidth="1"/>
    <col min="8" max="8" width="23.1640625" style="11" customWidth="1"/>
    <col min="9" max="9" width="13.5" style="11" customWidth="1"/>
    <col min="10" max="10" width="18" style="272" customWidth="1"/>
    <col min="11" max="11" width="20.83203125" style="272" customWidth="1"/>
    <col min="12" max="12" width="20.83203125" style="11" customWidth="1"/>
    <col min="13" max="13" width="9.1640625" style="11" customWidth="1"/>
    <col min="14" max="14" width="9.1640625" style="11" hidden="1" customWidth="1"/>
    <col min="15" max="16384" width="9.1640625" style="11" hidden="1"/>
  </cols>
  <sheetData>
    <row r="1" spans="2:18" hidden="1" x14ac:dyDescent="0.2">
      <c r="B1" s="1046" t="s">
        <v>23</v>
      </c>
      <c r="C1" s="1046"/>
      <c r="D1" s="1046"/>
      <c r="E1" s="1046"/>
      <c r="F1" s="1046"/>
      <c r="G1" s="1046"/>
      <c r="H1" s="1046"/>
      <c r="I1" s="1046"/>
      <c r="J1" s="1046"/>
      <c r="K1" s="1046"/>
      <c r="L1" s="1046"/>
      <c r="M1" s="691"/>
      <c r="N1" s="691"/>
      <c r="O1" s="691"/>
      <c r="P1" s="691"/>
      <c r="Q1" s="691"/>
      <c r="R1" s="691"/>
    </row>
    <row r="2" spans="2:18" ht="15.75" customHeight="1" x14ac:dyDescent="0.2">
      <c r="B2" s="1008" t="s">
        <v>502</v>
      </c>
      <c r="C2" s="1047" t="s">
        <v>503</v>
      </c>
      <c r="D2" s="1048"/>
      <c r="E2" s="1048"/>
      <c r="F2" s="1048"/>
      <c r="G2" s="1048"/>
      <c r="H2" s="1048"/>
      <c r="I2" s="1048"/>
      <c r="J2" s="1048"/>
      <c r="K2" s="1048"/>
      <c r="L2" s="1048"/>
      <c r="M2" s="24"/>
      <c r="N2" s="24"/>
      <c r="O2" s="24"/>
      <c r="P2" s="24"/>
      <c r="Q2" s="24"/>
      <c r="R2" s="24"/>
    </row>
    <row r="3" spans="2:18" x14ac:dyDescent="0.2">
      <c r="B3" s="1008"/>
      <c r="C3" s="1047"/>
      <c r="D3" s="1048"/>
      <c r="E3" s="1048"/>
      <c r="F3" s="1048"/>
      <c r="G3" s="1048"/>
      <c r="H3" s="1048"/>
      <c r="I3" s="1048"/>
      <c r="J3" s="1048"/>
      <c r="K3" s="1048"/>
      <c r="L3" s="1048"/>
      <c r="M3" s="24"/>
      <c r="N3" s="24"/>
      <c r="O3" s="24"/>
      <c r="P3" s="24"/>
      <c r="Q3" s="24"/>
      <c r="R3" s="24"/>
    </row>
    <row r="4" spans="2:18" ht="15.75" customHeight="1" x14ac:dyDescent="0.2">
      <c r="B4" s="1008"/>
      <c r="C4" s="1049" t="s">
        <v>504</v>
      </c>
      <c r="D4" s="1050"/>
      <c r="E4" s="1050"/>
      <c r="F4" s="1050"/>
      <c r="G4" s="1050"/>
      <c r="H4" s="1050"/>
      <c r="I4" s="1050"/>
      <c r="J4" s="1050"/>
      <c r="K4" s="1050"/>
      <c r="L4" s="1050"/>
      <c r="M4" s="24"/>
      <c r="N4" s="24"/>
      <c r="O4" s="24"/>
      <c r="P4" s="24"/>
      <c r="Q4" s="24"/>
      <c r="R4" s="24"/>
    </row>
    <row r="5" spans="2:18" ht="15.75" customHeight="1" x14ac:dyDescent="0.2">
      <c r="B5" s="1008"/>
      <c r="C5" s="1051" t="s">
        <v>505</v>
      </c>
      <c r="D5" s="1052"/>
      <c r="E5" s="1052"/>
      <c r="F5" s="1052"/>
      <c r="G5" s="1052"/>
      <c r="H5" s="1052"/>
      <c r="I5" s="1052"/>
      <c r="J5" s="1052"/>
      <c r="K5" s="1052"/>
      <c r="L5" s="1052"/>
      <c r="M5" s="24"/>
      <c r="N5" s="24"/>
      <c r="O5" s="24"/>
      <c r="P5" s="24"/>
      <c r="Q5" s="24"/>
      <c r="R5" s="24"/>
    </row>
    <row r="6" spans="2:18" ht="18.75" customHeight="1" x14ac:dyDescent="0.2">
      <c r="B6" s="691"/>
      <c r="C6" s="691"/>
      <c r="D6" s="691"/>
      <c r="E6" s="691"/>
      <c r="F6" s="705"/>
      <c r="G6" s="692"/>
      <c r="H6" s="691"/>
      <c r="I6" s="691"/>
      <c r="L6" s="691"/>
      <c r="M6" s="691"/>
      <c r="N6" s="691"/>
      <c r="O6" s="691"/>
      <c r="P6" s="691"/>
      <c r="Q6" s="691"/>
      <c r="R6" s="691"/>
    </row>
    <row r="7" spans="2:18" s="129" customFormat="1" ht="15" hidden="1" customHeight="1" x14ac:dyDescent="0.2">
      <c r="B7" s="693"/>
      <c r="C7" s="693"/>
      <c r="D7" s="866" t="s">
        <v>28</v>
      </c>
      <c r="E7" s="866"/>
      <c r="F7" s="1067"/>
      <c r="G7" s="1065" t="str">
        <f>'Contact Information '!J9</f>
        <v>Please select your answer from the dropdown</v>
      </c>
      <c r="H7" s="1066"/>
      <c r="I7" s="673"/>
      <c r="J7" s="379"/>
      <c r="K7" s="379"/>
      <c r="L7" s="693"/>
      <c r="M7" s="693"/>
      <c r="N7" s="693"/>
      <c r="O7" s="693"/>
      <c r="P7" s="693"/>
      <c r="Q7" s="693"/>
      <c r="R7" s="693"/>
    </row>
    <row r="8" spans="2:18" ht="26.25" hidden="1" customHeight="1" x14ac:dyDescent="0.2">
      <c r="B8" s="691"/>
      <c r="C8" s="691"/>
      <c r="D8" s="691"/>
      <c r="E8" s="691"/>
      <c r="F8" s="705"/>
      <c r="G8" s="691"/>
      <c r="H8" s="691"/>
      <c r="I8" s="691"/>
      <c r="L8" s="691"/>
      <c r="M8" s="691"/>
      <c r="N8" s="691"/>
      <c r="O8" s="691"/>
      <c r="P8" s="691"/>
      <c r="Q8" s="691"/>
      <c r="R8" s="691"/>
    </row>
    <row r="9" spans="2:18" ht="21" x14ac:dyDescent="0.2">
      <c r="B9" s="1045" t="s">
        <v>506</v>
      </c>
      <c r="C9" s="1045"/>
      <c r="D9" s="1045"/>
      <c r="E9" s="1045"/>
      <c r="F9" s="1045"/>
      <c r="G9" s="1045"/>
      <c r="H9" s="1045"/>
      <c r="I9" s="1045"/>
      <c r="J9" s="1045"/>
      <c r="K9" s="1045"/>
      <c r="L9" s="1045"/>
      <c r="M9" s="691"/>
      <c r="N9" s="691"/>
      <c r="O9" s="691"/>
      <c r="P9" s="691"/>
      <c r="Q9" s="691"/>
      <c r="R9" s="691"/>
    </row>
    <row r="10" spans="2:18" ht="15.75" customHeight="1" x14ac:dyDescent="0.2">
      <c r="B10" s="1058" t="s">
        <v>454</v>
      </c>
      <c r="C10" s="1059" t="s">
        <v>507</v>
      </c>
      <c r="D10" s="1059"/>
      <c r="E10" s="1059"/>
      <c r="F10" s="1059"/>
      <c r="G10" s="1059"/>
      <c r="H10" s="1059"/>
      <c r="I10" s="1059"/>
      <c r="J10" s="1059"/>
      <c r="K10" s="1059"/>
      <c r="L10" s="1059"/>
      <c r="M10" s="691"/>
      <c r="N10" s="691"/>
      <c r="O10" s="691"/>
      <c r="P10" s="691"/>
      <c r="Q10" s="691"/>
      <c r="R10" s="691"/>
    </row>
    <row r="11" spans="2:18" ht="17.25" customHeight="1" thickBot="1" x14ac:dyDescent="0.25">
      <c r="B11" s="1058"/>
      <c r="C11" s="1059"/>
      <c r="D11" s="1059"/>
      <c r="E11" s="1059"/>
      <c r="F11" s="1059"/>
      <c r="G11" s="1059"/>
      <c r="H11" s="1059"/>
      <c r="I11" s="1059"/>
      <c r="J11" s="1059"/>
      <c r="K11" s="1059"/>
      <c r="L11" s="1059"/>
      <c r="M11" s="691"/>
      <c r="N11" s="691"/>
      <c r="O11" s="691"/>
      <c r="P11" s="691"/>
      <c r="Q11" s="691"/>
      <c r="R11" s="691"/>
    </row>
    <row r="12" spans="2:18" ht="17.25" customHeight="1" x14ac:dyDescent="0.2">
      <c r="B12" s="1057" t="s">
        <v>508</v>
      </c>
      <c r="C12" s="1059" t="s">
        <v>509</v>
      </c>
      <c r="D12" s="1059"/>
      <c r="E12" s="1059"/>
      <c r="F12" s="1059"/>
      <c r="G12" s="1059"/>
      <c r="H12" s="1059"/>
      <c r="I12" s="1059"/>
      <c r="J12" s="1059"/>
      <c r="K12" s="1059"/>
      <c r="L12" s="1059"/>
      <c r="M12" s="691"/>
      <c r="N12" s="691"/>
      <c r="O12" s="691"/>
      <c r="P12" s="691"/>
      <c r="Q12" s="691"/>
      <c r="R12" s="691"/>
    </row>
    <row r="13" spans="2:18" ht="17.25" customHeight="1" thickBot="1" x14ac:dyDescent="0.25">
      <c r="B13" s="1058"/>
      <c r="C13" s="1059"/>
      <c r="D13" s="1059"/>
      <c r="E13" s="1059"/>
      <c r="F13" s="1059"/>
      <c r="G13" s="1059"/>
      <c r="H13" s="1059"/>
      <c r="I13" s="1059"/>
      <c r="J13" s="1059"/>
      <c r="K13" s="1059"/>
      <c r="L13" s="1059"/>
      <c r="M13" s="691"/>
      <c r="N13" s="691"/>
      <c r="O13" s="691"/>
      <c r="P13" s="691"/>
      <c r="Q13" s="691"/>
      <c r="R13" s="691"/>
    </row>
    <row r="14" spans="2:18" ht="15.75" customHeight="1" x14ac:dyDescent="0.2">
      <c r="B14" s="1057" t="s">
        <v>407</v>
      </c>
      <c r="C14" s="1059" t="s">
        <v>510</v>
      </c>
      <c r="D14" s="1059"/>
      <c r="E14" s="1059"/>
      <c r="F14" s="1059"/>
      <c r="G14" s="1059"/>
      <c r="H14" s="1059"/>
      <c r="I14" s="1059"/>
      <c r="J14" s="1059"/>
      <c r="K14" s="1059"/>
      <c r="L14" s="1059"/>
      <c r="M14" s="691"/>
      <c r="N14" s="691"/>
      <c r="O14" s="691"/>
      <c r="P14" s="691"/>
      <c r="Q14" s="691"/>
      <c r="R14" s="691"/>
    </row>
    <row r="15" spans="2:18" ht="17.25" customHeight="1" x14ac:dyDescent="0.2">
      <c r="B15" s="1058"/>
      <c r="C15" s="1059"/>
      <c r="D15" s="1059"/>
      <c r="E15" s="1059"/>
      <c r="F15" s="1059"/>
      <c r="G15" s="1059"/>
      <c r="H15" s="1059"/>
      <c r="I15" s="1059"/>
      <c r="J15" s="1059"/>
      <c r="K15" s="1059"/>
      <c r="L15" s="1059"/>
      <c r="M15" s="691"/>
      <c r="N15" s="691"/>
      <c r="O15" s="691"/>
      <c r="P15" s="691"/>
      <c r="Q15" s="691"/>
      <c r="R15" s="691"/>
    </row>
    <row r="16" spans="2:18" ht="19.5" customHeight="1" x14ac:dyDescent="0.2">
      <c r="B16" s="691"/>
      <c r="C16" s="691"/>
      <c r="D16" s="691"/>
      <c r="E16" s="691"/>
      <c r="F16" s="705"/>
      <c r="G16" s="692"/>
      <c r="H16" s="691"/>
      <c r="I16" s="691"/>
      <c r="L16" s="691"/>
      <c r="M16" s="691"/>
      <c r="N16" s="691"/>
      <c r="O16" s="691"/>
      <c r="P16" s="691"/>
      <c r="Q16" s="691"/>
      <c r="R16" s="691"/>
    </row>
    <row r="17" spans="1:12" ht="19" x14ac:dyDescent="0.2">
      <c r="A17" s="691"/>
      <c r="B17" s="1054" t="s">
        <v>511</v>
      </c>
      <c r="C17" s="1054"/>
      <c r="D17" s="1054"/>
      <c r="E17" s="1054"/>
      <c r="F17" s="1054"/>
      <c r="G17" s="1054"/>
      <c r="H17" s="1054"/>
      <c r="I17" s="1054"/>
      <c r="J17" s="1054"/>
      <c r="K17" s="1054"/>
      <c r="L17" s="1054"/>
    </row>
    <row r="18" spans="1:12" ht="19" x14ac:dyDescent="0.2">
      <c r="A18" s="691"/>
      <c r="B18" s="1054" t="s">
        <v>512</v>
      </c>
      <c r="C18" s="1054"/>
      <c r="D18" s="1054"/>
      <c r="E18" s="1054"/>
      <c r="F18" s="1054"/>
      <c r="G18" s="1054"/>
      <c r="H18" s="1054"/>
      <c r="I18" s="1054"/>
      <c r="J18" s="1054"/>
      <c r="K18" s="1054"/>
      <c r="L18" s="1054"/>
    </row>
    <row r="19" spans="1:12" ht="15.75" customHeight="1" x14ac:dyDescent="0.2">
      <c r="A19" s="691"/>
      <c r="B19" s="1039" t="s">
        <v>513</v>
      </c>
      <c r="C19" s="1039"/>
      <c r="D19" s="1039"/>
      <c r="E19" s="1039"/>
      <c r="F19" s="1039"/>
      <c r="G19" s="1039"/>
      <c r="H19" s="1039"/>
      <c r="I19" s="1039"/>
      <c r="J19" s="1039"/>
      <c r="K19" s="1039"/>
      <c r="L19" s="1039"/>
    </row>
    <row r="20" spans="1:12" ht="15.75" customHeight="1" x14ac:dyDescent="0.2">
      <c r="A20" s="691"/>
      <c r="B20" s="1055" t="s">
        <v>1536</v>
      </c>
      <c r="C20" s="1055"/>
      <c r="D20" s="1055"/>
      <c r="E20" s="1055"/>
      <c r="F20" s="1055"/>
      <c r="G20" s="1055"/>
      <c r="H20" s="1055"/>
      <c r="I20" s="1055"/>
      <c r="J20" s="1055"/>
      <c r="K20" s="1055"/>
      <c r="L20" s="1055"/>
    </row>
    <row r="21" spans="1:12" ht="17" thickBot="1" x14ac:dyDescent="0.25">
      <c r="A21" s="691"/>
      <c r="B21" s="1056" t="s">
        <v>514</v>
      </c>
      <c r="C21" s="1056"/>
      <c r="D21" s="1056"/>
      <c r="E21" s="1056"/>
      <c r="F21" s="1056"/>
      <c r="G21" s="1056"/>
      <c r="H21" s="1056"/>
      <c r="I21" s="1056"/>
      <c r="J21" s="1056"/>
      <c r="K21" s="1056"/>
      <c r="L21" s="1056"/>
    </row>
    <row r="22" spans="1:12" ht="19.5" customHeight="1" thickBot="1" x14ac:dyDescent="0.25">
      <c r="A22" s="691"/>
      <c r="B22" s="498"/>
      <c r="C22" s="1068" t="s">
        <v>515</v>
      </c>
      <c r="D22" s="1068"/>
      <c r="E22" s="669" t="s">
        <v>516</v>
      </c>
      <c r="F22" s="252" t="s">
        <v>517</v>
      </c>
      <c r="G22" s="669" t="s">
        <v>518</v>
      </c>
      <c r="H22" s="671" t="s">
        <v>519</v>
      </c>
      <c r="I22" s="1060" t="s">
        <v>520</v>
      </c>
      <c r="J22" s="1060"/>
      <c r="K22" s="1060"/>
      <c r="L22" s="1060"/>
    </row>
    <row r="23" spans="1:12" s="12" customFormat="1" ht="17" thickBot="1" x14ac:dyDescent="0.25">
      <c r="A23" s="691"/>
      <c r="B23" s="241">
        <v>1</v>
      </c>
      <c r="C23" s="1069" t="str">
        <f>IFERROR(VLOOKUP($G$7&amp;$B23,'Renewable &amp; Onsite Gen Sites'!$A:AA,5,FALSE)," ")</f>
        <v xml:space="preserve"> </v>
      </c>
      <c r="D23" s="1070"/>
      <c r="E23" s="236" t="str">
        <f>IFERROR(VLOOKUP($G$7&amp;$B23,'Renewable &amp; Onsite Gen Sites'!$A:AA,8,FALSE)," ")</f>
        <v xml:space="preserve"> </v>
      </c>
      <c r="F23" s="250" t="str">
        <f>IFERROR(VLOOKUP($G$7&amp;$B23,'Renewable &amp; Onsite Gen Sites'!$A:AA,13,FALSE)," ")</f>
        <v xml:space="preserve"> </v>
      </c>
      <c r="G23" s="236" t="str">
        <f>IFERROR(VLOOKUP($G$7&amp;$B23,'Renewable &amp; Onsite Gen Sites'!$A:AA,3,FALSE)," ")</f>
        <v xml:space="preserve"> </v>
      </c>
      <c r="H23" s="238" t="str">
        <f>IFERROR(VLOOKUP($G$7&amp;$B23,'Renewable &amp; Onsite Gen Sites'!$A:AA,15,FALSE)," ")</f>
        <v xml:space="preserve"> </v>
      </c>
      <c r="I23" s="1033"/>
      <c r="J23" s="1034"/>
      <c r="K23" s="1034"/>
      <c r="L23" s="1034"/>
    </row>
    <row r="24" spans="1:12" s="12" customFormat="1" ht="17" thickBot="1" x14ac:dyDescent="0.25">
      <c r="A24" s="691"/>
      <c r="B24" s="242">
        <v>2</v>
      </c>
      <c r="C24" s="1042" t="str">
        <f>IFERROR(VLOOKUP($G$7&amp;$B24,'Renewable &amp; Onsite Gen Sites'!$A:AA,5,FALSE)," ")</f>
        <v xml:space="preserve"> </v>
      </c>
      <c r="D24" s="1043"/>
      <c r="E24" s="243" t="str">
        <f>IFERROR(VLOOKUP($G$7&amp;$B24,'Renewable &amp; Onsite Gen Sites'!$A:AA,8,FALSE)," ")</f>
        <v xml:space="preserve"> </v>
      </c>
      <c r="F24" s="251" t="str">
        <f>IFERROR(VLOOKUP($G$7&amp;$B24,'Renewable &amp; Onsite Gen Sites'!$A:AA,13,FALSE)," ")</f>
        <v xml:space="preserve"> </v>
      </c>
      <c r="G24" s="243" t="str">
        <f>IFERROR(VLOOKUP($G$7&amp;$B24,'Renewable &amp; Onsite Gen Sites'!$A:AA,3,FALSE)," ")</f>
        <v xml:space="preserve"> </v>
      </c>
      <c r="H24" s="240" t="str">
        <f>IFERROR(VLOOKUP($G$7&amp;$B24,'Renewable &amp; Onsite Gen Sites'!$A:AA,15,FALSE)," ")</f>
        <v xml:space="preserve"> </v>
      </c>
      <c r="I24" s="1033"/>
      <c r="J24" s="1034" t="str">
        <f>IFERROR(VLOOKUP($G$7&amp;$B24,'Renewable &amp; Onsite Gen Sites'!$A:AA,20,FALSE)," ")</f>
        <v xml:space="preserve"> </v>
      </c>
      <c r="K24" s="1034"/>
      <c r="L24" s="1034"/>
    </row>
    <row r="25" spans="1:12" s="12" customFormat="1" ht="17" thickBot="1" x14ac:dyDescent="0.25">
      <c r="A25" s="691"/>
      <c r="B25" s="242">
        <v>3</v>
      </c>
      <c r="C25" s="1042" t="str">
        <f>IFERROR(VLOOKUP($G$7&amp;$B25,'Renewable &amp; Onsite Gen Sites'!$A:AA,5,FALSE)," ")</f>
        <v xml:space="preserve"> </v>
      </c>
      <c r="D25" s="1043"/>
      <c r="E25" s="243" t="str">
        <f>IFERROR(VLOOKUP($G$7&amp;$B25,'Renewable &amp; Onsite Gen Sites'!$A:AA,8,FALSE)," ")</f>
        <v xml:space="preserve"> </v>
      </c>
      <c r="F25" s="251" t="str">
        <f>IFERROR(VLOOKUP($G$7&amp;$B25,'Renewable &amp; Onsite Gen Sites'!$A:AA,13,FALSE)," ")</f>
        <v xml:space="preserve"> </v>
      </c>
      <c r="G25" s="243" t="str">
        <f>IFERROR(VLOOKUP($G$7&amp;$B25,'Renewable &amp; Onsite Gen Sites'!$A:AA,3,FALSE)," ")</f>
        <v xml:space="preserve"> </v>
      </c>
      <c r="H25" s="240" t="str">
        <f>IFERROR(VLOOKUP($G$7&amp;$B25,'Renewable &amp; Onsite Gen Sites'!$A:AA,15,FALSE)," ")</f>
        <v xml:space="preserve"> </v>
      </c>
      <c r="I25" s="1033"/>
      <c r="J25" s="1034" t="str">
        <f>IFERROR(VLOOKUP($G$7&amp;$B25,'Renewable &amp; Onsite Gen Sites'!$A:AA,20,FALSE)," ")</f>
        <v xml:space="preserve"> </v>
      </c>
      <c r="K25" s="1034"/>
      <c r="L25" s="1034"/>
    </row>
    <row r="26" spans="1:12" s="12" customFormat="1" ht="17" thickBot="1" x14ac:dyDescent="0.25">
      <c r="A26" s="691"/>
      <c r="B26" s="242">
        <v>4</v>
      </c>
      <c r="C26" s="1042" t="str">
        <f>IFERROR(VLOOKUP($G$7&amp;$B26,'Renewable &amp; Onsite Gen Sites'!$A:AA,5,FALSE)," ")</f>
        <v xml:space="preserve"> </v>
      </c>
      <c r="D26" s="1043"/>
      <c r="E26" s="243" t="str">
        <f>IFERROR(VLOOKUP($G$7&amp;$B26,'Renewable &amp; Onsite Gen Sites'!$A:AA,8,FALSE)," ")</f>
        <v xml:space="preserve"> </v>
      </c>
      <c r="F26" s="251" t="str">
        <f>IFERROR(VLOOKUP($G$7&amp;$B26,'Renewable &amp; Onsite Gen Sites'!$A:AA,13,FALSE)," ")</f>
        <v xml:space="preserve"> </v>
      </c>
      <c r="G26" s="243" t="str">
        <f>IFERROR(VLOOKUP($G$7&amp;$B26,'Renewable &amp; Onsite Gen Sites'!$A:AA,3,FALSE)," ")</f>
        <v xml:space="preserve"> </v>
      </c>
      <c r="H26" s="240" t="str">
        <f>IFERROR(VLOOKUP($G$7&amp;$B26,'Renewable &amp; Onsite Gen Sites'!$A:AA,15,FALSE)," ")</f>
        <v xml:space="preserve"> </v>
      </c>
      <c r="I26" s="1033"/>
      <c r="J26" s="1034"/>
      <c r="K26" s="1034"/>
      <c r="L26" s="1034"/>
    </row>
    <row r="27" spans="1:12" s="273" customFormat="1" ht="17" thickBot="1" x14ac:dyDescent="0.25">
      <c r="A27" s="706"/>
      <c r="B27" s="241">
        <v>5</v>
      </c>
      <c r="C27" s="1042" t="str">
        <f>IFERROR(VLOOKUP($G$7&amp;$B27,'Renewable &amp; Onsite Gen Sites'!$A:AA,5,FALSE)," ")</f>
        <v xml:space="preserve"> </v>
      </c>
      <c r="D27" s="1043"/>
      <c r="E27" s="236" t="str">
        <f>IFERROR(VLOOKUP($G$7&amp;$B27,'Renewable &amp; Onsite Gen Sites'!$A:AA,8,FALSE)," ")</f>
        <v xml:space="preserve"> </v>
      </c>
      <c r="F27" s="251" t="str">
        <f>IFERROR(VLOOKUP($G$7&amp;$B27,'Renewable &amp; Onsite Gen Sites'!$A:AA,13,FALSE)," ")</f>
        <v xml:space="preserve"> </v>
      </c>
      <c r="G27" s="236" t="str">
        <f>IFERROR(VLOOKUP($G$7&amp;$B27,'Renewable &amp; Onsite Gen Sites'!$A:AA,3,FALSE)," ")</f>
        <v xml:space="preserve"> </v>
      </c>
      <c r="H27" s="238" t="str">
        <f>IFERROR(VLOOKUP($G$7&amp;$B27,'Renewable &amp; Onsite Gen Sites'!$A:AA,15,FALSE)," ")</f>
        <v xml:space="preserve"> </v>
      </c>
      <c r="I27" s="1033"/>
      <c r="J27" s="1034" t="str">
        <f>IFERROR(VLOOKUP($G$7&amp;$B27,'Renewable &amp; Onsite Gen Sites'!$A:AA,20,FALSE)," ")</f>
        <v xml:space="preserve"> </v>
      </c>
      <c r="K27" s="1034"/>
      <c r="L27" s="1034"/>
    </row>
    <row r="28" spans="1:12" s="159" customFormat="1" ht="17" thickBot="1" x14ac:dyDescent="0.25">
      <c r="A28" s="707"/>
      <c r="B28" s="242">
        <v>6</v>
      </c>
      <c r="C28" s="1042" t="str">
        <f>IFERROR(VLOOKUP($G$7&amp;$B28,'Renewable &amp; Onsite Gen Sites'!$A:AA,5,FALSE)," ")</f>
        <v xml:space="preserve"> </v>
      </c>
      <c r="D28" s="1043"/>
      <c r="E28" s="243" t="str">
        <f>IFERROR(VLOOKUP($G$7&amp;$B28,'Renewable &amp; Onsite Gen Sites'!$A:AA,8,FALSE)," ")</f>
        <v xml:space="preserve"> </v>
      </c>
      <c r="F28" s="251" t="str">
        <f>IFERROR(VLOOKUP($G$7&amp;$B28,'Renewable &amp; Onsite Gen Sites'!$A:AA,13,FALSE)," ")</f>
        <v xml:space="preserve"> </v>
      </c>
      <c r="G28" s="243" t="str">
        <f>IFERROR(VLOOKUP($G$7&amp;$B28,'Renewable &amp; Onsite Gen Sites'!$A:AA,3,FALSE)," ")</f>
        <v xml:space="preserve"> </v>
      </c>
      <c r="H28" s="240" t="str">
        <f>IFERROR(VLOOKUP($G$7&amp;$B28,'Renewable &amp; Onsite Gen Sites'!$A:AA,15,FALSE)," ")</f>
        <v xml:space="preserve"> </v>
      </c>
      <c r="I28" s="1033"/>
      <c r="J28" s="1034" t="str">
        <f>IFERROR(VLOOKUP($G$7&amp;$B28,'Renewable &amp; Onsite Gen Sites'!$A:AA,20,FALSE)," ")</f>
        <v xml:space="preserve"> </v>
      </c>
      <c r="K28" s="1034"/>
      <c r="L28" s="1034"/>
    </row>
    <row r="29" spans="1:12" s="159" customFormat="1" ht="17" thickBot="1" x14ac:dyDescent="0.25">
      <c r="A29" s="707"/>
      <c r="B29" s="242">
        <v>7</v>
      </c>
      <c r="C29" s="1042" t="str">
        <f>IFERROR(VLOOKUP($G$7&amp;$B29,'Renewable &amp; Onsite Gen Sites'!$A:AA,5,FALSE)," ")</f>
        <v xml:space="preserve"> </v>
      </c>
      <c r="D29" s="1043"/>
      <c r="E29" s="243" t="str">
        <f>IFERROR(VLOOKUP($G$7&amp;$B29,'Renewable &amp; Onsite Gen Sites'!$A:AA,8,FALSE)," ")</f>
        <v xml:space="preserve"> </v>
      </c>
      <c r="F29" s="251" t="str">
        <f>IFERROR(VLOOKUP($G$7&amp;$B29,'Renewable &amp; Onsite Gen Sites'!$A:AA,13,FALSE)," ")</f>
        <v xml:space="preserve"> </v>
      </c>
      <c r="G29" s="243" t="str">
        <f>IFERROR(VLOOKUP($G$7&amp;$B29,'Renewable &amp; Onsite Gen Sites'!$A:AA,3,FALSE)," ")</f>
        <v xml:space="preserve"> </v>
      </c>
      <c r="H29" s="240" t="str">
        <f>IFERROR(VLOOKUP($G$7&amp;$B29,'Renewable &amp; Onsite Gen Sites'!$A:AA,15,FALSE)," ")</f>
        <v xml:space="preserve"> </v>
      </c>
      <c r="I29" s="1033"/>
      <c r="J29" s="1034" t="str">
        <f>IFERROR(VLOOKUP($G$7&amp;$B29,'Renewable &amp; Onsite Gen Sites'!$A:AA,20,FALSE)," ")</f>
        <v xml:space="preserve"> </v>
      </c>
      <c r="K29" s="1034"/>
      <c r="L29" s="1034"/>
    </row>
    <row r="30" spans="1:12" s="159" customFormat="1" ht="17" thickBot="1" x14ac:dyDescent="0.25">
      <c r="A30" s="707"/>
      <c r="B30" s="242">
        <v>8</v>
      </c>
      <c r="C30" s="1042" t="str">
        <f>IFERROR(VLOOKUP($G$7&amp;$B30,'Renewable &amp; Onsite Gen Sites'!$A:AA,5,FALSE)," ")</f>
        <v xml:space="preserve"> </v>
      </c>
      <c r="D30" s="1043"/>
      <c r="E30" s="243" t="str">
        <f>IFERROR(VLOOKUP($G$7&amp;$B30,'Renewable &amp; Onsite Gen Sites'!$A:AA,8,FALSE)," ")</f>
        <v xml:space="preserve"> </v>
      </c>
      <c r="F30" s="251" t="str">
        <f>IFERROR(VLOOKUP($G$7&amp;$B30,'Renewable &amp; Onsite Gen Sites'!$A:AA,13,FALSE)," ")</f>
        <v xml:space="preserve"> </v>
      </c>
      <c r="G30" s="243" t="str">
        <f>IFERROR(VLOOKUP($G$7&amp;$B30,'Renewable &amp; Onsite Gen Sites'!$A:AA,3,FALSE)," ")</f>
        <v xml:space="preserve"> </v>
      </c>
      <c r="H30" s="240" t="str">
        <f>IFERROR(VLOOKUP($G$7&amp;$B30,'Renewable &amp; Onsite Gen Sites'!$A:AA,15,FALSE)," ")</f>
        <v xml:space="preserve"> </v>
      </c>
      <c r="I30" s="1033"/>
      <c r="J30" s="1034" t="str">
        <f>IFERROR(VLOOKUP($G$7&amp;$B30,'Renewable &amp; Onsite Gen Sites'!$A:AA,20,FALSE)," ")</f>
        <v xml:space="preserve"> </v>
      </c>
      <c r="K30" s="1034"/>
      <c r="L30" s="1034"/>
    </row>
    <row r="31" spans="1:12" s="159" customFormat="1" ht="17" thickBot="1" x14ac:dyDescent="0.25">
      <c r="A31" s="707"/>
      <c r="B31" s="242">
        <v>9</v>
      </c>
      <c r="C31" s="1042" t="str">
        <f>IFERROR(VLOOKUP($G$7&amp;$B31,'Renewable &amp; Onsite Gen Sites'!$A:AA,5,FALSE)," ")</f>
        <v xml:space="preserve"> </v>
      </c>
      <c r="D31" s="1043"/>
      <c r="E31" s="243" t="str">
        <f>IFERROR(VLOOKUP($G$7&amp;$B31,'Renewable &amp; Onsite Gen Sites'!$A:AA,8,FALSE)," ")</f>
        <v xml:space="preserve"> </v>
      </c>
      <c r="F31" s="251" t="str">
        <f>IFERROR(VLOOKUP($G$7&amp;$B31,'Renewable &amp; Onsite Gen Sites'!$A:AA,13,FALSE)," ")</f>
        <v xml:space="preserve"> </v>
      </c>
      <c r="G31" s="243" t="str">
        <f>IFERROR(VLOOKUP($G$7&amp;$B31,'Renewable &amp; Onsite Gen Sites'!$A:AA,3,FALSE)," ")</f>
        <v xml:space="preserve"> </v>
      </c>
      <c r="H31" s="240" t="str">
        <f>IFERROR(VLOOKUP($G$7&amp;$B31,'Renewable &amp; Onsite Gen Sites'!$A:AA,15,FALSE)," ")</f>
        <v xml:space="preserve"> </v>
      </c>
      <c r="I31" s="1033"/>
      <c r="J31" s="1034" t="str">
        <f>IFERROR(VLOOKUP($G$7&amp;$B31,'Renewable &amp; Onsite Gen Sites'!$A:AA,20,FALSE)," ")</f>
        <v xml:space="preserve"> </v>
      </c>
      <c r="K31" s="1034"/>
      <c r="L31" s="1034"/>
    </row>
    <row r="32" spans="1:12" s="159" customFormat="1" ht="17" thickBot="1" x14ac:dyDescent="0.25">
      <c r="A32" s="707"/>
      <c r="B32" s="242">
        <v>10</v>
      </c>
      <c r="C32" s="1042" t="str">
        <f>IFERROR(VLOOKUP($G$7&amp;$B32,'Renewable &amp; Onsite Gen Sites'!$A:AA,5,FALSE)," ")</f>
        <v xml:space="preserve"> </v>
      </c>
      <c r="D32" s="1043"/>
      <c r="E32" s="243" t="str">
        <f>IFERROR(VLOOKUP($G$7&amp;$B32,'Renewable &amp; Onsite Gen Sites'!$A:AA,8,FALSE)," ")</f>
        <v xml:space="preserve"> </v>
      </c>
      <c r="F32" s="251" t="str">
        <f>IFERROR(VLOOKUP($G$7&amp;$B32,'Renewable &amp; Onsite Gen Sites'!$A:AA,13,FALSE)," ")</f>
        <v xml:space="preserve"> </v>
      </c>
      <c r="G32" s="243" t="str">
        <f>IFERROR(VLOOKUP($G$7&amp;$B32,'Renewable &amp; Onsite Gen Sites'!$A:AA,3,FALSE)," ")</f>
        <v xml:space="preserve"> </v>
      </c>
      <c r="H32" s="240" t="str">
        <f>IFERROR(VLOOKUP($G$7&amp;$B32,'Renewable &amp; Onsite Gen Sites'!$A:AA,15,FALSE)," ")</f>
        <v xml:space="preserve"> </v>
      </c>
      <c r="I32" s="1033"/>
      <c r="J32" s="1034" t="str">
        <f>IFERROR(VLOOKUP($G$7&amp;$B32,'Renewable &amp; Onsite Gen Sites'!$A:AA,20,FALSE)," ")</f>
        <v xml:space="preserve"> </v>
      </c>
      <c r="K32" s="1034"/>
      <c r="L32" s="1034"/>
    </row>
    <row r="33" spans="2:12" s="159" customFormat="1" ht="17" thickBot="1" x14ac:dyDescent="0.25">
      <c r="B33" s="242">
        <v>11</v>
      </c>
      <c r="C33" s="1042" t="str">
        <f>IFERROR(VLOOKUP($G$7&amp;$B33,'Renewable &amp; Onsite Gen Sites'!$A:AA,5,FALSE)," ")</f>
        <v xml:space="preserve"> </v>
      </c>
      <c r="D33" s="1043"/>
      <c r="E33" s="243" t="str">
        <f>IFERROR(VLOOKUP($G$7&amp;$B33,'Renewable &amp; Onsite Gen Sites'!$A:AA,8,FALSE)," ")</f>
        <v xml:space="preserve"> </v>
      </c>
      <c r="F33" s="251" t="str">
        <f>IFERROR(VLOOKUP($G$7&amp;$B33,'Renewable &amp; Onsite Gen Sites'!$A:AA,13,FALSE)," ")</f>
        <v xml:space="preserve"> </v>
      </c>
      <c r="G33" s="243" t="str">
        <f>IFERROR(VLOOKUP($G$7&amp;$B33,'Renewable &amp; Onsite Gen Sites'!$A:AA,3,FALSE)," ")</f>
        <v xml:space="preserve"> </v>
      </c>
      <c r="H33" s="240" t="str">
        <f>IFERROR(VLOOKUP($G$7&amp;$B33,'Renewable &amp; Onsite Gen Sites'!$A:AA,15,FALSE)," ")</f>
        <v xml:space="preserve"> </v>
      </c>
      <c r="I33" s="1033"/>
      <c r="J33" s="1034" t="str">
        <f>IFERROR(VLOOKUP($G$7&amp;$B33,'Renewable &amp; Onsite Gen Sites'!$A:AA,20,FALSE)," ")</f>
        <v xml:space="preserve"> </v>
      </c>
      <c r="K33" s="1034"/>
      <c r="L33" s="1034"/>
    </row>
    <row r="34" spans="2:12" s="159" customFormat="1" ht="17" thickBot="1" x14ac:dyDescent="0.25">
      <c r="B34" s="242">
        <v>12</v>
      </c>
      <c r="C34" s="1042" t="str">
        <f>IFERROR(VLOOKUP($G$7&amp;$B34,'Renewable &amp; Onsite Gen Sites'!$A:AA,5,FALSE)," ")</f>
        <v xml:space="preserve"> </v>
      </c>
      <c r="D34" s="1043"/>
      <c r="E34" s="243" t="str">
        <f>IFERROR(VLOOKUP($G$7&amp;$B34,'Renewable &amp; Onsite Gen Sites'!$A:AA,8,FALSE)," ")</f>
        <v xml:space="preserve"> </v>
      </c>
      <c r="F34" s="251" t="str">
        <f>IFERROR(VLOOKUP($G$7&amp;$B34,'Renewable &amp; Onsite Gen Sites'!$A:AA,13,FALSE)," ")</f>
        <v xml:space="preserve"> </v>
      </c>
      <c r="G34" s="243" t="str">
        <f>IFERROR(VLOOKUP($G$7&amp;$B34,'Renewable &amp; Onsite Gen Sites'!$A:AA,3,FALSE)," ")</f>
        <v xml:space="preserve"> </v>
      </c>
      <c r="H34" s="240" t="str">
        <f>IFERROR(VLOOKUP($G$7&amp;$B34,'Renewable &amp; Onsite Gen Sites'!$A:AA,15,FALSE)," ")</f>
        <v xml:space="preserve"> </v>
      </c>
      <c r="I34" s="1033"/>
      <c r="J34" s="1034" t="str">
        <f>IFERROR(VLOOKUP($G$7&amp;$B34,'Renewable &amp; Onsite Gen Sites'!$A:AA,20,FALSE)," ")</f>
        <v xml:space="preserve"> </v>
      </c>
      <c r="K34" s="1034"/>
      <c r="L34" s="1034"/>
    </row>
    <row r="35" spans="2:12" s="159" customFormat="1" ht="17" thickBot="1" x14ac:dyDescent="0.25">
      <c r="B35" s="242">
        <v>13</v>
      </c>
      <c r="C35" s="1042" t="str">
        <f>IFERROR(VLOOKUP($G$7&amp;$B35,'Renewable &amp; Onsite Gen Sites'!$A:AA,5,FALSE)," ")</f>
        <v xml:space="preserve"> </v>
      </c>
      <c r="D35" s="1043"/>
      <c r="E35" s="243" t="str">
        <f>IFERROR(VLOOKUP($G$7&amp;$B35,'Renewable &amp; Onsite Gen Sites'!$A:AA,8,FALSE)," ")</f>
        <v xml:space="preserve"> </v>
      </c>
      <c r="F35" s="251" t="str">
        <f>IFERROR(VLOOKUP($G$7&amp;$B35,'Renewable &amp; Onsite Gen Sites'!$A:AA,13,FALSE)," ")</f>
        <v xml:space="preserve"> </v>
      </c>
      <c r="G35" s="243" t="str">
        <f>IFERROR(VLOOKUP($G$7&amp;$B35,'Renewable &amp; Onsite Gen Sites'!$A:AA,3,FALSE)," ")</f>
        <v xml:space="preserve"> </v>
      </c>
      <c r="H35" s="240" t="str">
        <f>IFERROR(VLOOKUP($G$7&amp;$B35,'Renewable &amp; Onsite Gen Sites'!$A:AA,15,FALSE)," ")</f>
        <v xml:space="preserve"> </v>
      </c>
      <c r="I35" s="1033"/>
      <c r="J35" s="1034" t="str">
        <f>IFERROR(VLOOKUP($G$7&amp;$B35,'Renewable &amp; Onsite Gen Sites'!$A:AA,20,FALSE)," ")</f>
        <v xml:space="preserve"> </v>
      </c>
      <c r="K35" s="1034"/>
      <c r="L35" s="1034"/>
    </row>
    <row r="36" spans="2:12" s="159" customFormat="1" ht="17" thickBot="1" x14ac:dyDescent="0.25">
      <c r="B36" s="242">
        <v>14</v>
      </c>
      <c r="C36" s="1042" t="str">
        <f>IFERROR(VLOOKUP($G$7&amp;$B36,'Renewable &amp; Onsite Gen Sites'!$A:AA,5,FALSE)," ")</f>
        <v xml:space="preserve"> </v>
      </c>
      <c r="D36" s="1043"/>
      <c r="E36" s="243" t="str">
        <f>IFERROR(VLOOKUP($G$7&amp;$B36,'Renewable &amp; Onsite Gen Sites'!$A:AA,8,FALSE)," ")</f>
        <v xml:space="preserve"> </v>
      </c>
      <c r="F36" s="251" t="str">
        <f>IFERROR(VLOOKUP($G$7&amp;$B36,'Renewable &amp; Onsite Gen Sites'!$A:AA,13,FALSE)," ")</f>
        <v xml:space="preserve"> </v>
      </c>
      <c r="G36" s="243" t="str">
        <f>IFERROR(VLOOKUP($G$7&amp;$B36,'Renewable &amp; Onsite Gen Sites'!$A:AA,3,FALSE)," ")</f>
        <v xml:space="preserve"> </v>
      </c>
      <c r="H36" s="240" t="str">
        <f>IFERROR(VLOOKUP($G$7&amp;$B36,'Renewable &amp; Onsite Gen Sites'!$A:AA,15,FALSE)," ")</f>
        <v xml:space="preserve"> </v>
      </c>
      <c r="I36" s="1033"/>
      <c r="J36" s="1034" t="str">
        <f>IFERROR(VLOOKUP($G$7&amp;$B36,'Renewable &amp; Onsite Gen Sites'!$A:AA,20,FALSE)," ")</f>
        <v xml:space="preserve"> </v>
      </c>
      <c r="K36" s="1034"/>
      <c r="L36" s="1034"/>
    </row>
    <row r="37" spans="2:12" s="159" customFormat="1" ht="17" thickBot="1" x14ac:dyDescent="0.25">
      <c r="B37" s="242">
        <v>15</v>
      </c>
      <c r="C37" s="1042" t="str">
        <f>IFERROR(VLOOKUP($G$7&amp;$B37,'Renewable &amp; Onsite Gen Sites'!$A:AA,5,FALSE)," ")</f>
        <v xml:space="preserve"> </v>
      </c>
      <c r="D37" s="1043"/>
      <c r="E37" s="243" t="str">
        <f>IFERROR(VLOOKUP($G$7&amp;$B37,'Renewable &amp; Onsite Gen Sites'!$A:AA,8,FALSE)," ")</f>
        <v xml:space="preserve"> </v>
      </c>
      <c r="F37" s="251" t="str">
        <f>IFERROR(VLOOKUP($G$7&amp;$B37,'Renewable &amp; Onsite Gen Sites'!$A:AA,13,FALSE)," ")</f>
        <v xml:space="preserve"> </v>
      </c>
      <c r="G37" s="243" t="str">
        <f>IFERROR(VLOOKUP($G$7&amp;$B37,'Renewable &amp; Onsite Gen Sites'!$A:AA,3,FALSE)," ")</f>
        <v xml:space="preserve"> </v>
      </c>
      <c r="H37" s="240" t="str">
        <f>IFERROR(VLOOKUP($G$7&amp;$B37,'Renewable &amp; Onsite Gen Sites'!$A:AA,15,FALSE)," ")</f>
        <v xml:space="preserve"> </v>
      </c>
      <c r="I37" s="1033"/>
      <c r="J37" s="1034" t="str">
        <f>IFERROR(VLOOKUP($G$7&amp;$B37,'Renewable &amp; Onsite Gen Sites'!$A:AA,20,FALSE)," ")</f>
        <v xml:space="preserve"> </v>
      </c>
      <c r="K37" s="1034"/>
      <c r="L37" s="1034"/>
    </row>
    <row r="38" spans="2:12" s="159" customFormat="1" ht="17" thickBot="1" x14ac:dyDescent="0.25">
      <c r="B38" s="244">
        <v>16</v>
      </c>
      <c r="C38" s="1042" t="str">
        <f>IFERROR(VLOOKUP($G$7&amp;$B38,'Renewable &amp; Onsite Gen Sites'!$A:AA,5,FALSE)," ")</f>
        <v xml:space="preserve"> </v>
      </c>
      <c r="D38" s="1043"/>
      <c r="E38" s="269" t="str">
        <f>IFERROR(VLOOKUP($G$7&amp;$B38,'Renewable &amp; Onsite Gen Sites'!$A:AA,8,FALSE)," ")</f>
        <v xml:space="preserve"> </v>
      </c>
      <c r="F38" s="270" t="str">
        <f>IFERROR(VLOOKUP($G$7&amp;$B38,'Renewable &amp; Onsite Gen Sites'!$A:AA,13,FALSE)," ")</f>
        <v xml:space="preserve"> </v>
      </c>
      <c r="G38" s="269" t="str">
        <f>IFERROR(VLOOKUP($G$7&amp;$B38,'Renewable &amp; Onsite Gen Sites'!$A:AA,3,FALSE)," ")</f>
        <v xml:space="preserve"> </v>
      </c>
      <c r="H38" s="271" t="str">
        <f>IFERROR(VLOOKUP($G$7&amp;$B38,'Renewable &amp; Onsite Gen Sites'!$A:AA,15,FALSE)," ")</f>
        <v xml:space="preserve"> </v>
      </c>
      <c r="I38" s="1033"/>
      <c r="J38" s="1034" t="str">
        <f>IFERROR(VLOOKUP($G$7&amp;$B38,'Renewable &amp; Onsite Gen Sites'!$A:AA,20,FALSE)," ")</f>
        <v xml:space="preserve"> </v>
      </c>
      <c r="K38" s="1034"/>
      <c r="L38" s="1034"/>
    </row>
    <row r="39" spans="2:12" s="159" customFormat="1" ht="18.75" customHeight="1" thickBot="1" x14ac:dyDescent="0.25">
      <c r="B39" s="1071" t="s">
        <v>521</v>
      </c>
      <c r="C39" s="1071"/>
      <c r="D39" s="1071"/>
      <c r="E39" s="1071"/>
      <c r="F39" s="1071"/>
      <c r="G39" s="1071"/>
      <c r="H39" s="1071"/>
      <c r="I39" s="1071"/>
      <c r="J39" s="1071"/>
      <c r="K39" s="1071"/>
      <c r="L39" s="1071"/>
    </row>
    <row r="40" spans="2:12" s="160" customFormat="1" ht="17" thickBot="1" x14ac:dyDescent="0.25">
      <c r="B40" s="308"/>
      <c r="C40" s="1041" t="s">
        <v>522</v>
      </c>
      <c r="D40" s="1041"/>
      <c r="E40" s="309"/>
      <c r="F40" s="310"/>
      <c r="G40" s="311" t="s">
        <v>420</v>
      </c>
      <c r="H40" s="309" t="str">
        <f>IFERROR(VLOOKUP($G$7&amp;$B40,'Renewable &amp; Onsite Gen Sites'!$A:AA,15,FALSE)," ")</f>
        <v xml:space="preserve"> </v>
      </c>
      <c r="I40" s="497"/>
      <c r="J40" s="1072"/>
      <c r="K40" s="1072"/>
      <c r="L40" s="1073"/>
    </row>
    <row r="41" spans="2:12" s="158" customFormat="1" ht="17" thickBot="1" x14ac:dyDescent="0.25">
      <c r="B41" s="312"/>
      <c r="C41" s="1041" t="s">
        <v>522</v>
      </c>
      <c r="D41" s="1041"/>
      <c r="E41" s="309"/>
      <c r="F41" s="314"/>
      <c r="G41" s="670" t="s">
        <v>420</v>
      </c>
      <c r="H41" s="313" t="str">
        <f>IFERROR(VLOOKUP($G$7&amp;$B41,'Renewable &amp; Onsite Gen Sites'!$A:AA,15,FALSE)," ")</f>
        <v xml:space="preserve"> </v>
      </c>
      <c r="I41" s="672"/>
      <c r="J41" s="1036"/>
      <c r="K41" s="1036"/>
      <c r="L41" s="1053"/>
    </row>
    <row r="42" spans="2:12" ht="17" thickBot="1" x14ac:dyDescent="0.25">
      <c r="B42" s="312"/>
      <c r="C42" s="1041" t="s">
        <v>522</v>
      </c>
      <c r="D42" s="1041"/>
      <c r="E42" s="313" t="str">
        <f>IFERROR(VLOOKUP($G$7&amp;$B42,'Renewable &amp; Onsite Gen Sites'!$A:AA,8,FALSE)," ")</f>
        <v xml:space="preserve"> </v>
      </c>
      <c r="F42" s="314" t="str">
        <f>IFERROR(VLOOKUP($G$7&amp;$B42,'Renewable &amp; Onsite Gen Sites'!$A:AA,13,FALSE)," ")</f>
        <v xml:space="preserve"> </v>
      </c>
      <c r="G42" s="670" t="s">
        <v>420</v>
      </c>
      <c r="H42" s="313" t="str">
        <f>IFERROR(VLOOKUP($G$7&amp;$B42,'Renewable &amp; Onsite Gen Sites'!$A:AA,15,FALSE)," ")</f>
        <v xml:space="preserve"> </v>
      </c>
      <c r="I42" s="672"/>
      <c r="J42" s="1036"/>
      <c r="K42" s="1036"/>
      <c r="L42" s="1053"/>
    </row>
    <row r="43" spans="2:12" ht="17" thickBot="1" x14ac:dyDescent="0.25">
      <c r="B43" s="312"/>
      <c r="C43" s="1041" t="s">
        <v>522</v>
      </c>
      <c r="D43" s="1041"/>
      <c r="E43" s="313" t="str">
        <f>IFERROR(VLOOKUP($G$7&amp;$B43,'Renewable &amp; Onsite Gen Sites'!$A:AA,8,FALSE)," ")</f>
        <v xml:space="preserve"> </v>
      </c>
      <c r="F43" s="314" t="str">
        <f>IFERROR(VLOOKUP($G$7&amp;$B43,'Renewable &amp; Onsite Gen Sites'!$A:AA,13,FALSE)," ")</f>
        <v xml:space="preserve"> </v>
      </c>
      <c r="G43" s="670" t="s">
        <v>420</v>
      </c>
      <c r="H43" s="313" t="str">
        <f>IFERROR(VLOOKUP($G$7&amp;$B43,'Renewable &amp; Onsite Gen Sites'!$A:AA,15,FALSE)," ")</f>
        <v xml:space="preserve"> </v>
      </c>
      <c r="I43" s="672"/>
      <c r="J43" s="1036"/>
      <c r="K43" s="1036"/>
      <c r="L43" s="1053"/>
    </row>
    <row r="44" spans="2:12" ht="25.5" customHeight="1" x14ac:dyDescent="0.2">
      <c r="B44" s="691"/>
      <c r="C44" s="708"/>
      <c r="D44" s="708"/>
      <c r="E44" s="708"/>
      <c r="F44" s="709"/>
      <c r="G44" s="710"/>
      <c r="H44" s="708"/>
      <c r="I44" s="708"/>
      <c r="L44" s="691"/>
    </row>
    <row r="45" spans="2:12" ht="18.75" customHeight="1" x14ac:dyDescent="0.2">
      <c r="B45" s="1038" t="s">
        <v>523</v>
      </c>
      <c r="C45" s="1038"/>
      <c r="D45" s="1038"/>
      <c r="E45" s="1038"/>
      <c r="F45" s="1038"/>
      <c r="G45" s="1038"/>
      <c r="H45" s="1038"/>
      <c r="I45" s="1038"/>
      <c r="J45" s="1038"/>
      <c r="K45" s="1038"/>
      <c r="L45" s="1038"/>
    </row>
    <row r="46" spans="2:12" s="488" customFormat="1" ht="18.75" customHeight="1" x14ac:dyDescent="0.2">
      <c r="B46" s="1038" t="s">
        <v>524</v>
      </c>
      <c r="C46" s="1038"/>
      <c r="D46" s="1038"/>
      <c r="E46" s="1038"/>
      <c r="F46" s="1038"/>
      <c r="G46" s="1038"/>
      <c r="H46" s="1038"/>
      <c r="I46" s="1038"/>
      <c r="J46" s="1038"/>
      <c r="K46" s="1038"/>
      <c r="L46" s="1038"/>
    </row>
    <row r="47" spans="2:12" x14ac:dyDescent="0.2">
      <c r="B47" s="1039" t="s">
        <v>525</v>
      </c>
      <c r="C47" s="1039"/>
      <c r="D47" s="1039"/>
      <c r="E47" s="1039"/>
      <c r="F47" s="1039"/>
      <c r="G47" s="1039"/>
      <c r="H47" s="1039"/>
      <c r="I47" s="1039"/>
      <c r="J47" s="1039"/>
      <c r="K47" s="1039"/>
      <c r="L47" s="1039"/>
    </row>
    <row r="48" spans="2:12" s="158" customFormat="1" ht="18.75" customHeight="1" thickBot="1" x14ac:dyDescent="0.25">
      <c r="B48" s="1040" t="s">
        <v>526</v>
      </c>
      <c r="C48" s="1040"/>
      <c r="D48" s="1040"/>
      <c r="E48" s="1040"/>
      <c r="F48" s="1040"/>
      <c r="G48" s="1040"/>
      <c r="H48" s="1040"/>
      <c r="I48" s="1040"/>
      <c r="J48" s="1040"/>
      <c r="K48" s="1040"/>
      <c r="L48" s="1040"/>
    </row>
    <row r="49" spans="2:13" ht="18" thickBot="1" x14ac:dyDescent="0.25">
      <c r="B49" s="669"/>
      <c r="C49" s="1037" t="s">
        <v>515</v>
      </c>
      <c r="D49" s="1037"/>
      <c r="E49" s="669" t="s">
        <v>516</v>
      </c>
      <c r="F49" s="252" t="s">
        <v>527</v>
      </c>
      <c r="G49" s="668" t="s">
        <v>528</v>
      </c>
      <c r="H49" s="669" t="s">
        <v>518</v>
      </c>
      <c r="I49" s="1044" t="s">
        <v>520</v>
      </c>
      <c r="J49" s="1044"/>
      <c r="K49" s="1044"/>
      <c r="L49" s="1044"/>
    </row>
    <row r="50" spans="2:13" ht="17" thickBot="1" x14ac:dyDescent="0.25">
      <c r="B50" s="236">
        <v>1</v>
      </c>
      <c r="C50" s="1076" t="str">
        <f>IFERROR(VLOOKUP($G$7&amp;$B50,'Renewable Thermal Sites'!A:G,7,FALSE)," ")</f>
        <v xml:space="preserve"> </v>
      </c>
      <c r="D50" s="1070"/>
      <c r="E50" s="237" t="str">
        <f>IFERROR(VLOOKUP($G$7&amp;$B50,'Renewable Thermal Sites'!A:H,8,FALSE)," ")</f>
        <v xml:space="preserve"> </v>
      </c>
      <c r="F50" s="250" t="str">
        <f>IFERROR(VLOOKUP($G$7&amp;$B50,'Renewable Thermal Sites'!A:I,9,FALSE)," ")</f>
        <v xml:space="preserve"> </v>
      </c>
      <c r="G50" s="238" t="str">
        <f>IFERROR(VLOOKUP($G$7&amp;$B50,'Renewable Thermal Sites'!A:J,10,FALSE)," ")</f>
        <v xml:space="preserve"> </v>
      </c>
      <c r="H50" s="238" t="str">
        <f>IFERROR(VLOOKUP($G$7&amp;$B50,'Renewable Thermal Sites'!A:I,3,FALSE)," ")</f>
        <v xml:space="preserve"> </v>
      </c>
      <c r="I50" s="1033"/>
      <c r="J50" s="1034"/>
      <c r="K50" s="1034"/>
      <c r="L50" s="1034"/>
    </row>
    <row r="51" spans="2:13" ht="17" thickBot="1" x14ac:dyDescent="0.25">
      <c r="B51" s="243">
        <v>2</v>
      </c>
      <c r="C51" s="1076" t="str">
        <f>IFERROR(VLOOKUP($G$7&amp;$B51,'Renewable Thermal Sites'!A:G,7,FALSE)," ")</f>
        <v xml:space="preserve"> </v>
      </c>
      <c r="D51" s="1070"/>
      <c r="E51" s="239" t="str">
        <f>IFERROR(VLOOKUP($G$7&amp;$B51,'Renewable Thermal Sites'!A:H,8,FALSE)," ")</f>
        <v xml:space="preserve"> </v>
      </c>
      <c r="F51" s="251" t="str">
        <f>IFERROR(VLOOKUP($G$7&amp;$B51,'Renewable Thermal Sites'!A:I,9,FALSE)," ")</f>
        <v xml:space="preserve"> </v>
      </c>
      <c r="G51" s="240" t="str">
        <f>IFERROR(VLOOKUP($G$7&amp;$B51,'Renewable Thermal Sites'!A:J,10,FALSE)," ")</f>
        <v xml:space="preserve"> </v>
      </c>
      <c r="H51" s="240" t="str">
        <f>IFERROR(VLOOKUP($G$7&amp;$B51,'Renewable Thermal Sites'!A:I,3,FALSE)," ")</f>
        <v xml:space="preserve"> </v>
      </c>
      <c r="I51" s="1033"/>
      <c r="J51" s="1034"/>
      <c r="K51" s="1034"/>
      <c r="L51" s="1034"/>
    </row>
    <row r="52" spans="2:13" ht="17" thickBot="1" x14ac:dyDescent="0.25">
      <c r="B52" s="243">
        <v>3</v>
      </c>
      <c r="C52" s="1077" t="str">
        <f>IFERROR(VLOOKUP($G$7&amp;$B52,'Renewable Thermal Sites'!A:F,6,FALSE)," ")</f>
        <v xml:space="preserve"> </v>
      </c>
      <c r="D52" s="1043"/>
      <c r="E52" s="239" t="str">
        <f>IFERROR(VLOOKUP($G$7&amp;$B52,'Renewable Thermal Sites'!A:H,8,FALSE)," ")</f>
        <v xml:space="preserve"> </v>
      </c>
      <c r="F52" s="251" t="str">
        <f>IFERROR(VLOOKUP($G$7&amp;$B52,'Renewable Thermal Sites'!A:I,9,FALSE)," ")</f>
        <v xml:space="preserve"> </v>
      </c>
      <c r="G52" s="240" t="str">
        <f>IFERROR(VLOOKUP($G$7&amp;$B52,'Renewable Thermal Sites'!A:J,10,FALSE)," ")</f>
        <v xml:space="preserve"> </v>
      </c>
      <c r="H52" s="240" t="str">
        <f>IFERROR(VLOOKUP($G$7&amp;$B52,'Renewable Thermal Sites'!A:I,3,FALSE)," ")</f>
        <v xml:space="preserve"> </v>
      </c>
      <c r="I52" s="1033"/>
      <c r="J52" s="1034"/>
      <c r="K52" s="1034"/>
      <c r="L52" s="1034"/>
    </row>
    <row r="53" spans="2:13" ht="17" thickBot="1" x14ac:dyDescent="0.25">
      <c r="B53" s="243">
        <v>4</v>
      </c>
      <c r="C53" s="1077" t="str">
        <f>IFERROR(VLOOKUP($G$7&amp;$B53,'Renewable Thermal Sites'!A:F,6,FALSE)," ")</f>
        <v xml:space="preserve"> </v>
      </c>
      <c r="D53" s="1043"/>
      <c r="E53" s="239" t="str">
        <f>IFERROR(VLOOKUP($G$7&amp;$B53,'Renewable Thermal Sites'!A:H,8,FALSE)," ")</f>
        <v xml:space="preserve"> </v>
      </c>
      <c r="F53" s="251" t="str">
        <f>IFERROR(VLOOKUP($G$7&amp;$B53,'Renewable Thermal Sites'!A:I,9,FALSE)," ")</f>
        <v xml:space="preserve"> </v>
      </c>
      <c r="G53" s="240" t="str">
        <f>IFERROR(VLOOKUP($G$7&amp;$B53,'Renewable Thermal Sites'!A:J,10,FALSE)," ")</f>
        <v xml:space="preserve"> </v>
      </c>
      <c r="H53" s="240" t="str">
        <f>IFERROR(VLOOKUP($G$7&amp;$B53,'Renewable Thermal Sites'!A:I,3,FALSE)," ")</f>
        <v xml:space="preserve"> </v>
      </c>
      <c r="I53" s="1033"/>
      <c r="J53" s="1034"/>
      <c r="K53" s="1034"/>
      <c r="L53" s="1034"/>
    </row>
    <row r="54" spans="2:13" ht="17" thickBot="1" x14ac:dyDescent="0.25">
      <c r="B54" s="243">
        <v>5</v>
      </c>
      <c r="C54" s="1077" t="str">
        <f>IFERROR(VLOOKUP($G$7&amp;$B54,'Renewable Thermal Sites'!A:F,6,FALSE)," ")</f>
        <v xml:space="preserve"> </v>
      </c>
      <c r="D54" s="1043"/>
      <c r="E54" s="239" t="str">
        <f>IFERROR(VLOOKUP($G$7&amp;$B54,'Renewable Thermal Sites'!A:H,8,FALSE)," ")</f>
        <v xml:space="preserve"> </v>
      </c>
      <c r="F54" s="251" t="str">
        <f>IFERROR(VLOOKUP($G$7&amp;$B54,'Renewable Thermal Sites'!A:I,9,FALSE)," ")</f>
        <v xml:space="preserve"> </v>
      </c>
      <c r="G54" s="240" t="str">
        <f>IFERROR(VLOOKUP($G$7&amp;$B54,'Renewable Thermal Sites'!A:J,10,FALSE)," ")</f>
        <v xml:space="preserve"> </v>
      </c>
      <c r="H54" s="240" t="str">
        <f>IFERROR(VLOOKUP($G$7&amp;$B54,'Renewable Thermal Sites'!A:I,3,FALSE)," ")</f>
        <v xml:space="preserve"> </v>
      </c>
      <c r="I54" s="1033"/>
      <c r="J54" s="1034"/>
      <c r="K54" s="1034"/>
      <c r="L54" s="1034"/>
    </row>
    <row r="55" spans="2:13" ht="19.5" customHeight="1" thickBot="1" x14ac:dyDescent="0.25">
      <c r="B55" s="1062" t="s">
        <v>529</v>
      </c>
      <c r="C55" s="1062"/>
      <c r="D55" s="1062"/>
      <c r="E55" s="1062"/>
      <c r="F55" s="1062"/>
      <c r="G55" s="1062"/>
      <c r="H55" s="1062"/>
      <c r="I55" s="1062"/>
      <c r="J55" s="1062"/>
      <c r="K55" s="1062"/>
      <c r="L55" s="1062"/>
    </row>
    <row r="56" spans="2:13" ht="17" thickBot="1" x14ac:dyDescent="0.25">
      <c r="B56" s="315">
        <v>6</v>
      </c>
      <c r="C56" s="1041" t="s">
        <v>522</v>
      </c>
      <c r="D56" s="1041"/>
      <c r="E56" s="316"/>
      <c r="F56" s="317"/>
      <c r="G56" s="670" t="s">
        <v>477</v>
      </c>
      <c r="H56" s="670" t="s">
        <v>420</v>
      </c>
      <c r="I56" s="1035"/>
      <c r="J56" s="1036"/>
      <c r="K56" s="1036"/>
      <c r="L56" s="1036"/>
    </row>
    <row r="57" spans="2:13" ht="17" thickBot="1" x14ac:dyDescent="0.25">
      <c r="B57" s="315">
        <v>7</v>
      </c>
      <c r="C57" s="1041" t="s">
        <v>522</v>
      </c>
      <c r="D57" s="1041"/>
      <c r="E57" s="316"/>
      <c r="F57" s="317"/>
      <c r="G57" s="670" t="s">
        <v>477</v>
      </c>
      <c r="H57" s="670" t="s">
        <v>420</v>
      </c>
      <c r="I57" s="1035"/>
      <c r="J57" s="1036"/>
      <c r="K57" s="1036"/>
      <c r="L57" s="1036"/>
    </row>
    <row r="58" spans="2:13" ht="17" thickBot="1" x14ac:dyDescent="0.25">
      <c r="B58" s="315">
        <v>8</v>
      </c>
      <c r="C58" s="1041" t="s">
        <v>522</v>
      </c>
      <c r="D58" s="1041"/>
      <c r="E58" s="316"/>
      <c r="F58" s="317"/>
      <c r="G58" s="670" t="s">
        <v>477</v>
      </c>
      <c r="H58" s="670" t="s">
        <v>420</v>
      </c>
      <c r="I58" s="1035"/>
      <c r="J58" s="1036"/>
      <c r="K58" s="1036"/>
      <c r="L58" s="1036"/>
    </row>
    <row r="59" spans="2:13" ht="17" thickBot="1" x14ac:dyDescent="0.25">
      <c r="B59" s="315">
        <v>9</v>
      </c>
      <c r="C59" s="1041" t="s">
        <v>522</v>
      </c>
      <c r="D59" s="1041"/>
      <c r="E59" s="316"/>
      <c r="F59" s="317"/>
      <c r="G59" s="670" t="s">
        <v>477</v>
      </c>
      <c r="H59" s="670" t="s">
        <v>420</v>
      </c>
      <c r="I59" s="1035"/>
      <c r="J59" s="1036"/>
      <c r="K59" s="1036"/>
      <c r="L59" s="1036"/>
    </row>
    <row r="60" spans="2:13" ht="17.25" customHeight="1" thickBot="1" x14ac:dyDescent="0.25">
      <c r="B60" s="315">
        <v>10</v>
      </c>
      <c r="C60" s="1074" t="s">
        <v>522</v>
      </c>
      <c r="D60" s="1075"/>
      <c r="E60" s="233"/>
      <c r="F60" s="253"/>
      <c r="G60" s="234" t="s">
        <v>477</v>
      </c>
      <c r="H60" s="235" t="s">
        <v>420</v>
      </c>
      <c r="I60" s="1035"/>
      <c r="J60" s="1036"/>
      <c r="K60" s="1036"/>
      <c r="L60" s="1036"/>
    </row>
    <row r="61" spans="2:13" x14ac:dyDescent="0.2">
      <c r="B61" s="691"/>
      <c r="C61" s="691"/>
      <c r="D61" s="691"/>
      <c r="E61" s="691"/>
      <c r="F61" s="705"/>
      <c r="G61" s="692"/>
      <c r="H61" s="691"/>
      <c r="I61" s="691"/>
      <c r="L61" s="691"/>
    </row>
    <row r="62" spans="2:13" ht="8" customHeight="1" x14ac:dyDescent="0.2">
      <c r="B62" s="691"/>
      <c r="C62" s="691"/>
      <c r="D62" s="691"/>
      <c r="E62" s="691"/>
      <c r="F62" s="705"/>
      <c r="G62" s="691"/>
      <c r="H62" s="691"/>
      <c r="I62" s="691"/>
      <c r="L62" s="691"/>
    </row>
    <row r="63" spans="2:13" ht="18.75" customHeight="1" x14ac:dyDescent="0.2">
      <c r="B63" s="1038" t="s">
        <v>530</v>
      </c>
      <c r="C63" s="1038"/>
      <c r="D63" s="1038"/>
      <c r="E63" s="1038"/>
      <c r="F63" s="1038"/>
      <c r="G63" s="1038"/>
      <c r="H63" s="1038"/>
      <c r="I63" s="1038"/>
      <c r="J63" s="1038"/>
      <c r="K63" s="1038"/>
      <c r="L63" s="1038"/>
    </row>
    <row r="64" spans="2:13" ht="18.75" customHeight="1" x14ac:dyDescent="0.2">
      <c r="B64" s="1038" t="s">
        <v>531</v>
      </c>
      <c r="C64" s="1038"/>
      <c r="D64" s="1038"/>
      <c r="E64" s="1038"/>
      <c r="F64" s="1038"/>
      <c r="G64" s="1038"/>
      <c r="H64" s="1038"/>
      <c r="I64" s="1038"/>
      <c r="J64" s="1038"/>
      <c r="K64" s="1038"/>
      <c r="L64" s="1038"/>
      <c r="M64" s="691"/>
    </row>
    <row r="65" spans="2:13" x14ac:dyDescent="0.2">
      <c r="B65" s="1039" t="s">
        <v>532</v>
      </c>
      <c r="C65" s="1039"/>
      <c r="D65" s="1039"/>
      <c r="E65" s="1039"/>
      <c r="F65" s="1039"/>
      <c r="G65" s="1039"/>
      <c r="H65" s="1039"/>
      <c r="I65" s="1039"/>
      <c r="J65" s="1039"/>
      <c r="K65" s="1039"/>
      <c r="L65" s="1039"/>
      <c r="M65" s="691"/>
    </row>
    <row r="66" spans="2:13" x14ac:dyDescent="0.2">
      <c r="B66" s="1040" t="s">
        <v>526</v>
      </c>
      <c r="C66" s="1040"/>
      <c r="D66" s="1040"/>
      <c r="E66" s="1040"/>
      <c r="F66" s="1040"/>
      <c r="G66" s="1040"/>
      <c r="H66" s="1040"/>
      <c r="I66" s="1040"/>
      <c r="J66" s="1040"/>
      <c r="K66" s="1040"/>
      <c r="L66" s="1040"/>
      <c r="M66" s="691"/>
    </row>
    <row r="67" spans="2:13" ht="48" customHeight="1" thickBot="1" x14ac:dyDescent="0.25">
      <c r="B67" s="669"/>
      <c r="C67" s="1037" t="s">
        <v>515</v>
      </c>
      <c r="D67" s="1037"/>
      <c r="E67" s="252" t="s">
        <v>533</v>
      </c>
      <c r="F67" s="489" t="s">
        <v>534</v>
      </c>
      <c r="G67" s="668" t="s">
        <v>535</v>
      </c>
      <c r="H67" s="668" t="s">
        <v>519</v>
      </c>
      <c r="I67" s="668" t="s">
        <v>1537</v>
      </c>
      <c r="J67" s="768" t="s">
        <v>1607</v>
      </c>
      <c r="K67" s="765" t="s">
        <v>1538</v>
      </c>
      <c r="L67" s="671" t="s">
        <v>520</v>
      </c>
      <c r="M67" s="272"/>
    </row>
    <row r="68" spans="2:13" ht="17" thickBot="1" x14ac:dyDescent="0.25">
      <c r="B68" s="589">
        <v>1</v>
      </c>
      <c r="C68" s="1063" t="str">
        <f>IFERROR(VLOOKUP($G$7&amp;$B68,'Energy Storage Source'!A:J,2,FALSE)," ")</f>
        <v xml:space="preserve"> </v>
      </c>
      <c r="D68" s="1064"/>
      <c r="E68" s="590" t="str">
        <f>IFERROR(VLOOKUP($G$7&amp;$B68,'Energy Storage Source'!A:J,3,FALSE)," ")</f>
        <v xml:space="preserve"> </v>
      </c>
      <c r="F68" s="590" t="str">
        <f>IFERROR(VLOOKUP($G$7&amp;$B68,'Energy Storage Source'!A:J,4,FALSE)," ")</f>
        <v xml:space="preserve"> </v>
      </c>
      <c r="G68" s="591" t="str">
        <f>IFERROR(VLOOKUP($G$7&amp;$B68,'Energy Storage Source'!A:J,6,FALSE)," ")</f>
        <v xml:space="preserve"> </v>
      </c>
      <c r="H68" s="591" t="str">
        <f>IFERROR(VLOOKUP($G$7&amp;$B68,'Energy Storage Source'!A:J,6,FALSE)," ")</f>
        <v xml:space="preserve"> </v>
      </c>
      <c r="I68" s="592" t="str">
        <f>IFERROR(VLOOKUP($G$7&amp;$B68,'Energy Storage Source'!A:J,7,FALSE)," ")</f>
        <v xml:space="preserve"> </v>
      </c>
      <c r="J68" s="592" t="str">
        <f>IFERROR(VLOOKUP($G$7&amp;$B68,'Energy Storage Source'!B:K,8,FALSE)," ")</f>
        <v xml:space="preserve"> </v>
      </c>
      <c r="K68" s="833"/>
      <c r="L68" s="833"/>
      <c r="M68" s="272"/>
    </row>
    <row r="69" spans="2:13" ht="17" thickBot="1" x14ac:dyDescent="0.25">
      <c r="B69" s="589">
        <v>2</v>
      </c>
      <c r="C69" s="1063" t="str">
        <f>IFERROR(VLOOKUP($G$7&amp;$B69,'Energy Storage Source'!A:J,2,FALSE)," ")</f>
        <v xml:space="preserve"> </v>
      </c>
      <c r="D69" s="1064"/>
      <c r="E69" s="590" t="str">
        <f>IFERROR(VLOOKUP($G$7&amp;$B69,'Energy Storage Source'!A:J,3,FALSE)," ")</f>
        <v xml:space="preserve"> </v>
      </c>
      <c r="F69" s="590" t="str">
        <f>IFERROR(VLOOKUP($G$7&amp;$B69,'Energy Storage Source'!A:J,4,FALSE)," ")</f>
        <v xml:space="preserve"> </v>
      </c>
      <c r="G69" s="591" t="str">
        <f>IFERROR(VLOOKUP($G$7&amp;$B69,'Energy Storage Source'!A:J,6,FALSE)," ")</f>
        <v xml:space="preserve"> </v>
      </c>
      <c r="H69" s="591" t="str">
        <f>IFERROR(VLOOKUP($G$7&amp;$B69,'Energy Storage Source'!A:J,6,FALSE)," ")</f>
        <v xml:space="preserve"> </v>
      </c>
      <c r="I69" s="592" t="str">
        <f>IFERROR(VLOOKUP($G$7&amp;$B69,'Energy Storage Source'!A:J,7,FALSE)," ")</f>
        <v xml:space="preserve"> </v>
      </c>
      <c r="J69" s="592" t="str">
        <f>IFERROR(VLOOKUP($G$7&amp;$B69,'Energy Storage Source'!B:K,8,FALSE)," ")</f>
        <v xml:space="preserve"> </v>
      </c>
      <c r="K69" s="833"/>
      <c r="L69" s="833"/>
      <c r="M69" s="272"/>
    </row>
    <row r="70" spans="2:13" ht="17" thickBot="1" x14ac:dyDescent="0.25">
      <c r="B70" s="589">
        <v>3</v>
      </c>
      <c r="C70" s="1063" t="str">
        <f>IFERROR(VLOOKUP($G$7&amp;$B70,'Energy Storage Source'!A:J,2,FALSE)," ")</f>
        <v xml:space="preserve"> </v>
      </c>
      <c r="D70" s="1064"/>
      <c r="E70" s="590" t="str">
        <f>IFERROR(VLOOKUP($G$7&amp;$B70,'Energy Storage Source'!A:J,3,FALSE)," ")</f>
        <v xml:space="preserve"> </v>
      </c>
      <c r="F70" s="590" t="str">
        <f>IFERROR(VLOOKUP($G$7&amp;$B70,'Energy Storage Source'!A:J,4,FALSE)," ")</f>
        <v xml:space="preserve"> </v>
      </c>
      <c r="G70" s="591" t="str">
        <f>IFERROR(VLOOKUP($G$7&amp;$B70,'Energy Storage Source'!A:J,6,FALSE)," ")</f>
        <v xml:space="preserve"> </v>
      </c>
      <c r="H70" s="591" t="str">
        <f>IFERROR(VLOOKUP($G$7&amp;$B70,'Energy Storage Source'!A:J,6,FALSE)," ")</f>
        <v xml:space="preserve"> </v>
      </c>
      <c r="I70" s="592" t="str">
        <f>IFERROR(VLOOKUP($G$7&amp;$B70,'Energy Storage Source'!A:J,7,FALSE)," ")</f>
        <v xml:space="preserve"> </v>
      </c>
      <c r="J70" s="592" t="str">
        <f>IFERROR(VLOOKUP($G$7&amp;$B70,'Energy Storage Source'!B:K,8,FALSE)," ")</f>
        <v xml:space="preserve"> </v>
      </c>
      <c r="K70" s="833"/>
      <c r="L70" s="833"/>
      <c r="M70" s="272"/>
    </row>
    <row r="71" spans="2:13" ht="17" thickBot="1" x14ac:dyDescent="0.25">
      <c r="B71" s="589">
        <v>4</v>
      </c>
      <c r="C71" s="1063" t="str">
        <f>IFERROR(VLOOKUP($G$7&amp;$B71,'Energy Storage Source'!A:J,2,FALSE)," ")</f>
        <v xml:space="preserve"> </v>
      </c>
      <c r="D71" s="1064"/>
      <c r="E71" s="590" t="str">
        <f>IFERROR(VLOOKUP($G$7&amp;$B71,'Energy Storage Source'!A:J,3,FALSE)," ")</f>
        <v xml:space="preserve"> </v>
      </c>
      <c r="F71" s="590" t="str">
        <f>IFERROR(VLOOKUP($G$7&amp;$B71,'Energy Storage Source'!A:J,4,FALSE)," ")</f>
        <v xml:space="preserve"> </v>
      </c>
      <c r="G71" s="591" t="str">
        <f>IFERROR(VLOOKUP($G$7&amp;$B71,'Energy Storage Source'!A:J,6,FALSE)," ")</f>
        <v xml:space="preserve"> </v>
      </c>
      <c r="H71" s="591" t="str">
        <f>IFERROR(VLOOKUP($G$7&amp;$B71,'Energy Storage Source'!A:J,6,FALSE)," ")</f>
        <v xml:space="preserve"> </v>
      </c>
      <c r="I71" s="592" t="str">
        <f>IFERROR(VLOOKUP($G$7&amp;$B71,'Energy Storage Source'!A:J,7,FALSE)," ")</f>
        <v xml:space="preserve"> </v>
      </c>
      <c r="J71" s="592" t="str">
        <f>IFERROR(VLOOKUP($G$7&amp;$B71,'Energy Storage Source'!B:K,8,FALSE)," ")</f>
        <v xml:space="preserve"> </v>
      </c>
      <c r="K71" s="833"/>
      <c r="L71" s="833"/>
      <c r="M71" s="272"/>
    </row>
    <row r="72" spans="2:13" ht="17" thickBot="1" x14ac:dyDescent="0.25">
      <c r="B72" s="589">
        <v>5</v>
      </c>
      <c r="C72" s="1063" t="str">
        <f>IFERROR(VLOOKUP($G$7&amp;$B72,'Energy Storage Source'!A:J,2,FALSE)," ")</f>
        <v xml:space="preserve"> </v>
      </c>
      <c r="D72" s="1064"/>
      <c r="E72" s="590" t="str">
        <f>IFERROR(VLOOKUP($G$7&amp;$B72,'Energy Storage Source'!A:J,3,FALSE)," ")</f>
        <v xml:space="preserve"> </v>
      </c>
      <c r="F72" s="590" t="str">
        <f>IFERROR(VLOOKUP($G$7&amp;$B72,'Energy Storage Source'!A:J,4,FALSE)," ")</f>
        <v xml:space="preserve"> </v>
      </c>
      <c r="G72" s="591" t="str">
        <f>IFERROR(VLOOKUP($G$7&amp;$B72,'Energy Storage Source'!A:J,6,FALSE)," ")</f>
        <v xml:space="preserve"> </v>
      </c>
      <c r="H72" s="591" t="str">
        <f>IFERROR(VLOOKUP($G$7&amp;$B72,'Energy Storage Source'!A:J,6,FALSE)," ")</f>
        <v xml:space="preserve"> </v>
      </c>
      <c r="I72" s="592" t="str">
        <f>IFERROR(VLOOKUP($G$7&amp;$B72,'Energy Storage Source'!A:J,7,FALSE)," ")</f>
        <v xml:space="preserve"> </v>
      </c>
      <c r="J72" s="592" t="str">
        <f>IFERROR(VLOOKUP($G$7&amp;$B72,'Energy Storage Source'!B:K,8,FALSE)," ")</f>
        <v xml:space="preserve"> </v>
      </c>
      <c r="K72" s="833"/>
      <c r="L72" s="833"/>
      <c r="M72" s="272"/>
    </row>
    <row r="73" spans="2:13" ht="17" thickBot="1" x14ac:dyDescent="0.25">
      <c r="B73" s="1061" t="s">
        <v>542</v>
      </c>
      <c r="C73" s="1061"/>
      <c r="D73" s="1061"/>
      <c r="E73" s="1061"/>
      <c r="F73" s="1061"/>
      <c r="G73" s="1061"/>
      <c r="H73" s="1061"/>
      <c r="I73" s="1061"/>
      <c r="J73" s="1062"/>
      <c r="K73" s="1062"/>
      <c r="L73" s="1061"/>
      <c r="M73" s="691"/>
    </row>
    <row r="74" spans="2:13" ht="17" thickBot="1" x14ac:dyDescent="0.25">
      <c r="B74" s="315"/>
      <c r="C74" s="1041" t="s">
        <v>522</v>
      </c>
      <c r="D74" s="1041"/>
      <c r="E74" s="316" t="s">
        <v>444</v>
      </c>
      <c r="F74" s="317"/>
      <c r="G74" s="670"/>
      <c r="H74" s="670" t="s">
        <v>543</v>
      </c>
      <c r="I74" s="670"/>
      <c r="J74" s="771" t="s">
        <v>364</v>
      </c>
      <c r="K74" s="771"/>
      <c r="L74" s="318"/>
      <c r="M74" s="691"/>
    </row>
    <row r="75" spans="2:13" ht="17" thickBot="1" x14ac:dyDescent="0.25">
      <c r="B75" s="315"/>
      <c r="C75" s="1041" t="s">
        <v>522</v>
      </c>
      <c r="D75" s="1041"/>
      <c r="E75" s="316" t="s">
        <v>444</v>
      </c>
      <c r="F75" s="317"/>
      <c r="G75" s="670"/>
      <c r="H75" s="670" t="s">
        <v>543</v>
      </c>
      <c r="I75" s="670"/>
      <c r="J75" s="771" t="s">
        <v>364</v>
      </c>
      <c r="K75" s="771"/>
      <c r="L75" s="318"/>
      <c r="M75" s="691"/>
    </row>
    <row r="76" spans="2:13" ht="17" thickBot="1" x14ac:dyDescent="0.25">
      <c r="B76" s="315"/>
      <c r="C76" s="1041" t="s">
        <v>522</v>
      </c>
      <c r="D76" s="1041"/>
      <c r="E76" s="316" t="s">
        <v>444</v>
      </c>
      <c r="F76" s="317"/>
      <c r="G76" s="670"/>
      <c r="H76" s="670" t="s">
        <v>543</v>
      </c>
      <c r="I76" s="670"/>
      <c r="J76" s="771" t="s">
        <v>364</v>
      </c>
      <c r="K76" s="771"/>
      <c r="L76" s="318"/>
      <c r="M76" s="691"/>
    </row>
    <row r="77" spans="2:13" ht="17" thickBot="1" x14ac:dyDescent="0.25">
      <c r="B77" s="315"/>
      <c r="C77" s="1041" t="s">
        <v>522</v>
      </c>
      <c r="D77" s="1041"/>
      <c r="E77" s="316" t="s">
        <v>444</v>
      </c>
      <c r="F77" s="317"/>
      <c r="G77" s="670"/>
      <c r="H77" s="670" t="s">
        <v>543</v>
      </c>
      <c r="I77" s="670"/>
      <c r="J77" s="771" t="s">
        <v>364</v>
      </c>
      <c r="K77" s="771"/>
      <c r="L77" s="318"/>
      <c r="M77" s="691"/>
    </row>
    <row r="78" spans="2:13" x14ac:dyDescent="0.2">
      <c r="B78" s="691"/>
      <c r="C78" s="691"/>
      <c r="D78" s="691"/>
      <c r="E78" s="691"/>
      <c r="F78" s="705"/>
      <c r="G78" s="692"/>
      <c r="H78" s="691"/>
      <c r="I78" s="691"/>
      <c r="L78" s="691"/>
      <c r="M78" s="691"/>
    </row>
    <row r="79" spans="2:13" x14ac:dyDescent="0.2">
      <c r="B79" s="691"/>
      <c r="C79" s="691"/>
      <c r="D79" s="691"/>
      <c r="E79" s="691"/>
      <c r="F79" s="705"/>
      <c r="G79" s="692"/>
      <c r="H79" s="691"/>
      <c r="I79" s="691"/>
      <c r="L79" s="691"/>
      <c r="M79" s="691"/>
    </row>
  </sheetData>
  <sheetProtection algorithmName="SHA-512" hashValue="5cqTpJ7qhc025Rhmoz1TY3WYC1sbEoF1YWs6QhCDfebHacx/tqudgbE5BxRQ7Uo7LdrtTVf0n/pqZFdnfON33Q==" saltValue="LhfRdSNaTba+y57RaDqiRQ==" spinCount="100000" sheet="1" selectLockedCells="1"/>
  <mergeCells count="104">
    <mergeCell ref="I59:L59"/>
    <mergeCell ref="C56:D56"/>
    <mergeCell ref="C57:D57"/>
    <mergeCell ref="C58:D58"/>
    <mergeCell ref="B55:L55"/>
    <mergeCell ref="I50:L50"/>
    <mergeCell ref="I51:L51"/>
    <mergeCell ref="I52:L52"/>
    <mergeCell ref="I53:L53"/>
    <mergeCell ref="I54:L54"/>
    <mergeCell ref="I56:L56"/>
    <mergeCell ref="I57:L57"/>
    <mergeCell ref="I58:L58"/>
    <mergeCell ref="C67:D67"/>
    <mergeCell ref="B66:L66"/>
    <mergeCell ref="B65:L65"/>
    <mergeCell ref="B63:L63"/>
    <mergeCell ref="B64:L64"/>
    <mergeCell ref="C31:D31"/>
    <mergeCell ref="C32:D32"/>
    <mergeCell ref="B2:B5"/>
    <mergeCell ref="G7:H7"/>
    <mergeCell ref="D7:F7"/>
    <mergeCell ref="B10:B11"/>
    <mergeCell ref="B12:B13"/>
    <mergeCell ref="C29:D29"/>
    <mergeCell ref="C30:D30"/>
    <mergeCell ref="C22:D22"/>
    <mergeCell ref="C23:D23"/>
    <mergeCell ref="C26:D26"/>
    <mergeCell ref="C27:D27"/>
    <mergeCell ref="C28:D28"/>
    <mergeCell ref="C24:D24"/>
    <mergeCell ref="C25:D25"/>
    <mergeCell ref="C42:D42"/>
    <mergeCell ref="B39:L39"/>
    <mergeCell ref="J40:L40"/>
    <mergeCell ref="C74:D74"/>
    <mergeCell ref="C75:D75"/>
    <mergeCell ref="C76:D76"/>
    <mergeCell ref="C77:D77"/>
    <mergeCell ref="B73:L73"/>
    <mergeCell ref="C68:D68"/>
    <mergeCell ref="C69:D69"/>
    <mergeCell ref="C70:D70"/>
    <mergeCell ref="C71:D71"/>
    <mergeCell ref="C72:D72"/>
    <mergeCell ref="B9:L9"/>
    <mergeCell ref="B1:L1"/>
    <mergeCell ref="C2:L3"/>
    <mergeCell ref="C4:L4"/>
    <mergeCell ref="C5:L5"/>
    <mergeCell ref="J41:L41"/>
    <mergeCell ref="J42:L42"/>
    <mergeCell ref="J43:L43"/>
    <mergeCell ref="B17:L17"/>
    <mergeCell ref="B18:L18"/>
    <mergeCell ref="B19:L19"/>
    <mergeCell ref="B20:L20"/>
    <mergeCell ref="B21:L21"/>
    <mergeCell ref="B14:B15"/>
    <mergeCell ref="C14:L15"/>
    <mergeCell ref="C10:L11"/>
    <mergeCell ref="C12:L13"/>
    <mergeCell ref="I22:L22"/>
    <mergeCell ref="I23:L23"/>
    <mergeCell ref="I24:L24"/>
    <mergeCell ref="I25:L25"/>
    <mergeCell ref="I26:L26"/>
    <mergeCell ref="I27:L27"/>
    <mergeCell ref="I28:L28"/>
    <mergeCell ref="I60:L60"/>
    <mergeCell ref="C49:D49"/>
    <mergeCell ref="B45:L45"/>
    <mergeCell ref="B46:L46"/>
    <mergeCell ref="B47:L47"/>
    <mergeCell ref="B48:L48"/>
    <mergeCell ref="C43:D43"/>
    <mergeCell ref="C33:D33"/>
    <mergeCell ref="C34:D34"/>
    <mergeCell ref="C35:D35"/>
    <mergeCell ref="C36:D36"/>
    <mergeCell ref="C38:D38"/>
    <mergeCell ref="C37:D37"/>
    <mergeCell ref="C40:D40"/>
    <mergeCell ref="C41:D41"/>
    <mergeCell ref="I49:L49"/>
    <mergeCell ref="I38:L38"/>
    <mergeCell ref="C59:D59"/>
    <mergeCell ref="C60:D60"/>
    <mergeCell ref="C50:D50"/>
    <mergeCell ref="C51:D51"/>
    <mergeCell ref="C52:D52"/>
    <mergeCell ref="C53:D53"/>
    <mergeCell ref="C54:D54"/>
    <mergeCell ref="I29:L29"/>
    <mergeCell ref="I30:L30"/>
    <mergeCell ref="I31:L31"/>
    <mergeCell ref="I32:L32"/>
    <mergeCell ref="I33:L33"/>
    <mergeCell ref="I34:L34"/>
    <mergeCell ref="I35:L35"/>
    <mergeCell ref="I36:L36"/>
    <mergeCell ref="I37:L37"/>
  </mergeCells>
  <conditionalFormatting sqref="C24:C38">
    <cfRule type="expression" dxfId="37" priority="6">
      <formula>J24="in progress"</formula>
    </cfRule>
  </conditionalFormatting>
  <conditionalFormatting sqref="E24:E38">
    <cfRule type="expression" dxfId="36" priority="4">
      <formula>J24="in progress"</formula>
    </cfRule>
  </conditionalFormatting>
  <conditionalFormatting sqref="F24:F38">
    <cfRule type="expression" dxfId="35" priority="3">
      <formula>J24="in progress"</formula>
    </cfRule>
  </conditionalFormatting>
  <conditionalFormatting sqref="G24:G38">
    <cfRule type="expression" dxfId="34" priority="2">
      <formula>J24="in progress"</formula>
    </cfRule>
  </conditionalFormatting>
  <conditionalFormatting sqref="H24:H38">
    <cfRule type="expression" dxfId="33" priority="1">
      <formula>J24="in progress"</formula>
    </cfRule>
  </conditionalFormatting>
  <conditionalFormatting sqref="D23:D38">
    <cfRule type="expression" dxfId="32" priority="93">
      <formula>L23="in progress"</formula>
    </cfRule>
  </conditionalFormatting>
  <conditionalFormatting sqref="E23">
    <cfRule type="expression" dxfId="31" priority="94">
      <formula>#REF!="in progress"</formula>
    </cfRule>
  </conditionalFormatting>
  <conditionalFormatting sqref="F23">
    <cfRule type="expression" dxfId="30" priority="95">
      <formula>#REF!="in progress"</formula>
    </cfRule>
  </conditionalFormatting>
  <conditionalFormatting sqref="G23">
    <cfRule type="expression" dxfId="29" priority="96">
      <formula>#REF!="in progress"</formula>
    </cfRule>
  </conditionalFormatting>
  <conditionalFormatting sqref="C23">
    <cfRule type="expression" dxfId="28" priority="97">
      <formula>#REF!="in progress"</formula>
    </cfRule>
  </conditionalFormatting>
  <conditionalFormatting sqref="H23">
    <cfRule type="expression" dxfId="27" priority="98">
      <formula>#REF!="in progress"</formula>
    </cfRule>
  </conditionalFormatting>
  <pageMargins left="0.7" right="0.7" top="0.75" bottom="0.75" header="0.3" footer="0.3"/>
  <pageSetup scale="45" fitToHeight="0" orientation="landscape" r:id="rId1"/>
  <ignoredErrors>
    <ignoredError sqref="E42:H43 H40 H41" unlockedFormula="1"/>
  </ignoredErrors>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B00-000000000000}">
          <x14:formula1>
            <xm:f>Source!$O$2:$O$6</xm:f>
          </x14:formula1>
          <xm:sqref>G56:G60</xm:sqref>
        </x14:dataValidation>
        <x14:dataValidation type="list" allowBlank="1" showInputMessage="1" showErrorMessage="1" xr:uid="{00000000-0002-0000-0B00-000001000000}">
          <x14:formula1>
            <xm:f>Source!$D$1:$D$7</xm:f>
          </x14:formula1>
          <xm:sqref>G50:G54</xm:sqref>
        </x14:dataValidation>
        <x14:dataValidation type="list" allowBlank="1" showInputMessage="1" showErrorMessage="1" xr:uid="{00000000-0002-0000-0B00-000002000000}">
          <x14:formula1>
            <xm:f>Source!$B$1:$B$7</xm:f>
          </x14:formula1>
          <xm:sqref>H56:H60</xm:sqref>
        </x14:dataValidation>
        <x14:dataValidation type="list" allowBlank="1" showInputMessage="1" showErrorMessage="1" xr:uid="{00000000-0002-0000-0B00-000003000000}">
          <x14:formula1>
            <xm:f>Source!$A$1:$A$9</xm:f>
          </x14:formula1>
          <xm:sqref>G40:G43</xm:sqref>
        </x14:dataValidation>
        <x14:dataValidation type="list" allowBlank="1" showInputMessage="1" showErrorMessage="1" xr:uid="{00000000-0002-0000-0B00-000004000000}">
          <x14:formula1>
            <xm:f>Source!$AG$1:$AG$5</xm:f>
          </x14:formula1>
          <xm:sqref>E74:E77</xm:sqref>
        </x14:dataValidation>
        <x14:dataValidation type="list" allowBlank="1" showInputMessage="1" showErrorMessage="1" xr:uid="{00000000-0002-0000-0B00-000005000000}">
          <x14:formula1>
            <xm:f>Source!$AI$1:$AI$4</xm:f>
          </x14:formula1>
          <xm:sqref>H74:H77</xm:sqref>
        </x14:dataValidation>
        <x14:dataValidation type="list" allowBlank="1" showInputMessage="1" showErrorMessage="1" xr:uid="{C430A965-504C-514B-B380-73EE16520620}">
          <x14:formula1>
            <xm:f>Source!$AZ$1:$AZ$6</xm:f>
          </x14:formula1>
          <xm:sqref>J74:J77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58"/>
  <sheetViews>
    <sheetView zoomScale="101" workbookViewId="0">
      <selection activeCell="G23" sqref="G23"/>
    </sheetView>
  </sheetViews>
  <sheetFormatPr baseColWidth="10" defaultColWidth="8.83203125" defaultRowHeight="15" x14ac:dyDescent="0.2"/>
  <cols>
    <col min="1" max="1" width="20.5" bestFit="1" customWidth="1"/>
    <col min="2" max="7" width="27.5" customWidth="1"/>
    <col min="8" max="8" width="45.1640625" customWidth="1"/>
    <col min="9" max="9" width="15.33203125" customWidth="1"/>
    <col min="10" max="10" width="14.5" customWidth="1"/>
  </cols>
  <sheetData>
    <row r="1" spans="1:11" ht="18" thickBot="1" x14ac:dyDescent="0.25">
      <c r="A1" s="669" t="s">
        <v>544</v>
      </c>
      <c r="B1" s="669" t="s">
        <v>515</v>
      </c>
      <c r="C1" s="252" t="s">
        <v>533</v>
      </c>
      <c r="D1" s="489" t="s">
        <v>534</v>
      </c>
      <c r="E1" s="668" t="s">
        <v>535</v>
      </c>
      <c r="F1" s="668" t="s">
        <v>519</v>
      </c>
      <c r="G1" s="668" t="s">
        <v>536</v>
      </c>
      <c r="H1" s="668" t="s">
        <v>537</v>
      </c>
      <c r="I1" s="668" t="s">
        <v>445</v>
      </c>
      <c r="J1" s="668" t="s">
        <v>446</v>
      </c>
      <c r="K1" s="85"/>
    </row>
    <row r="2" spans="1:11" s="582" customFormat="1" x14ac:dyDescent="0.2">
      <c r="A2" s="582" t="str">
        <f>I2&amp;J2</f>
        <v>UMass Dartmouth1</v>
      </c>
      <c r="B2" s="582" t="s">
        <v>313</v>
      </c>
      <c r="C2" s="582" t="s">
        <v>545</v>
      </c>
      <c r="D2" s="582">
        <v>520</v>
      </c>
      <c r="E2" s="582" t="s">
        <v>1609</v>
      </c>
      <c r="F2" s="582" t="s">
        <v>1609</v>
      </c>
      <c r="G2" s="582" t="s">
        <v>1609</v>
      </c>
      <c r="I2" s="582" t="s">
        <v>313</v>
      </c>
      <c r="J2" s="582">
        <v>1</v>
      </c>
      <c r="K2" s="582" t="str">
        <f>VLOOKUP(I2,Source!F:F,1,FALSE)</f>
        <v>UMass Dartmouth</v>
      </c>
    </row>
    <row r="3" spans="1:11" x14ac:dyDescent="0.2">
      <c r="A3" s="582" t="str">
        <f>I3&amp;J3</f>
        <v>UMass Boston1</v>
      </c>
      <c r="B3" s="582" t="s">
        <v>304</v>
      </c>
      <c r="C3" s="582" t="s">
        <v>546</v>
      </c>
      <c r="D3" s="582">
        <v>500</v>
      </c>
      <c r="E3" s="582" t="s">
        <v>1609</v>
      </c>
      <c r="F3" s="582" t="s">
        <v>1609</v>
      </c>
      <c r="G3" s="582" t="s">
        <v>1609</v>
      </c>
      <c r="H3" s="582" t="s">
        <v>1606</v>
      </c>
      <c r="I3" s="582" t="s">
        <v>304</v>
      </c>
      <c r="J3" s="582">
        <v>1</v>
      </c>
      <c r="K3" s="582" t="str">
        <f>VLOOKUP(I3,Source!F:F,1,FALSE)</f>
        <v>UMass Boston</v>
      </c>
    </row>
    <row r="4" spans="1:11" x14ac:dyDescent="0.2">
      <c r="A4" s="582" t="str">
        <f>I4&amp;J4</f>
        <v>UMass Amherst1</v>
      </c>
      <c r="B4" s="582" t="s">
        <v>299</v>
      </c>
      <c r="C4" s="582" t="s">
        <v>546</v>
      </c>
      <c r="D4" s="582">
        <v>1000</v>
      </c>
      <c r="E4" s="582" t="s">
        <v>1609</v>
      </c>
      <c r="F4" s="582" t="s">
        <v>1609</v>
      </c>
      <c r="G4" s="582" t="s">
        <v>1609</v>
      </c>
      <c r="H4" s="85"/>
      <c r="I4" s="85" t="s">
        <v>299</v>
      </c>
      <c r="J4" s="85">
        <v>1</v>
      </c>
      <c r="K4" s="582" t="str">
        <f>VLOOKUP(I4,Source!F:F,1,FALSE)</f>
        <v>UMass Amherst</v>
      </c>
    </row>
    <row r="5" spans="1:11" x14ac:dyDescent="0.2">
      <c r="A5" s="582" t="str">
        <f t="shared" ref="A5:A19" si="0">I5&amp;J5</f>
        <v/>
      </c>
      <c r="B5" s="85"/>
      <c r="C5" s="85"/>
      <c r="D5" s="85"/>
      <c r="E5" s="85"/>
      <c r="F5" s="85"/>
      <c r="G5" s="85"/>
      <c r="H5" s="85"/>
      <c r="I5" s="85"/>
      <c r="J5" s="85"/>
      <c r="K5" s="85" t="e">
        <f>VLOOKUP(I5,Source!F:F,1,FALSE)</f>
        <v>#N/A</v>
      </c>
    </row>
    <row r="6" spans="1:11" x14ac:dyDescent="0.2">
      <c r="A6" s="582" t="str">
        <f t="shared" si="0"/>
        <v/>
      </c>
      <c r="B6" s="85"/>
      <c r="C6" s="85"/>
      <c r="D6" s="85"/>
      <c r="E6" s="85"/>
      <c r="F6" s="85"/>
      <c r="G6" s="85"/>
      <c r="H6" s="85"/>
      <c r="I6" s="85"/>
      <c r="J6" s="85"/>
      <c r="K6" s="85" t="e">
        <f>VLOOKUP(I6,Source!F:F,1,FALSE)</f>
        <v>#N/A</v>
      </c>
    </row>
    <row r="7" spans="1:11" x14ac:dyDescent="0.2">
      <c r="A7" s="582" t="str">
        <f t="shared" si="0"/>
        <v/>
      </c>
      <c r="B7" s="85"/>
      <c r="C7" s="85"/>
      <c r="D7" s="85"/>
      <c r="E7" s="85"/>
      <c r="F7" s="85"/>
      <c r="G7" s="85"/>
      <c r="H7" s="85"/>
      <c r="I7" s="85"/>
      <c r="J7" s="85"/>
      <c r="K7" s="85" t="e">
        <f>VLOOKUP(I7,Source!F:F,1,FALSE)</f>
        <v>#N/A</v>
      </c>
    </row>
    <row r="8" spans="1:11" x14ac:dyDescent="0.2">
      <c r="A8" s="582" t="str">
        <f t="shared" si="0"/>
        <v/>
      </c>
      <c r="B8" s="85"/>
      <c r="C8" s="85"/>
      <c r="D8" s="85"/>
      <c r="E8" s="85"/>
      <c r="F8" s="85"/>
      <c r="G8" s="85"/>
      <c r="H8" s="85"/>
      <c r="I8" s="85"/>
      <c r="J8" s="85"/>
      <c r="K8" s="85" t="e">
        <f>VLOOKUP(I8,Source!F:F,1,FALSE)</f>
        <v>#N/A</v>
      </c>
    </row>
    <row r="9" spans="1:11" x14ac:dyDescent="0.2">
      <c r="A9" s="582" t="str">
        <f t="shared" si="0"/>
        <v/>
      </c>
      <c r="B9" s="85"/>
      <c r="C9" s="85"/>
      <c r="D9" s="85"/>
      <c r="E9" s="85"/>
      <c r="F9" s="85"/>
      <c r="G9" s="85"/>
      <c r="H9" s="85"/>
      <c r="I9" s="85"/>
      <c r="J9" s="85"/>
      <c r="K9" s="85" t="e">
        <f>VLOOKUP(I9,Source!F:F,1,FALSE)</f>
        <v>#N/A</v>
      </c>
    </row>
    <row r="10" spans="1:11" x14ac:dyDescent="0.2">
      <c r="A10" s="582" t="str">
        <f t="shared" si="0"/>
        <v/>
      </c>
      <c r="B10" s="85"/>
      <c r="C10" s="85"/>
      <c r="D10" s="85"/>
      <c r="E10" s="85"/>
      <c r="F10" s="85"/>
      <c r="G10" s="85"/>
      <c r="H10" s="85"/>
      <c r="I10" s="85"/>
      <c r="J10" s="85"/>
      <c r="K10" s="85" t="e">
        <f>VLOOKUP(I10,Source!F:F,1,FALSE)</f>
        <v>#N/A</v>
      </c>
    </row>
    <row r="11" spans="1:11" x14ac:dyDescent="0.2">
      <c r="A11" s="582" t="str">
        <f t="shared" si="0"/>
        <v/>
      </c>
      <c r="B11" s="85"/>
      <c r="C11" s="85"/>
      <c r="D11" s="85"/>
      <c r="E11" s="85"/>
      <c r="F11" s="85"/>
      <c r="G11" s="85"/>
      <c r="H11" s="85"/>
      <c r="I11" s="85"/>
      <c r="J11" s="85"/>
      <c r="K11" s="85" t="e">
        <f>VLOOKUP(I11,Source!F:F,1,FALSE)</f>
        <v>#N/A</v>
      </c>
    </row>
    <row r="12" spans="1:11" x14ac:dyDescent="0.2">
      <c r="A12" s="582" t="str">
        <f t="shared" si="0"/>
        <v/>
      </c>
      <c r="B12" s="85"/>
      <c r="C12" s="85"/>
      <c r="D12" s="85"/>
      <c r="E12" s="85"/>
      <c r="F12" s="85"/>
      <c r="G12" s="85"/>
      <c r="H12" s="85"/>
      <c r="I12" s="85"/>
      <c r="J12" s="85"/>
      <c r="K12" s="85" t="e">
        <f>VLOOKUP(I12,Source!F:F,1,FALSE)</f>
        <v>#N/A</v>
      </c>
    </row>
    <row r="13" spans="1:11" x14ac:dyDescent="0.2">
      <c r="A13" s="582" t="str">
        <f t="shared" si="0"/>
        <v/>
      </c>
      <c r="B13" s="85"/>
      <c r="C13" s="85"/>
      <c r="D13" s="85"/>
      <c r="E13" s="85"/>
      <c r="F13" s="85"/>
      <c r="G13" s="85"/>
      <c r="H13" s="85"/>
      <c r="I13" s="85"/>
      <c r="J13" s="85"/>
      <c r="K13" s="85" t="e">
        <f>VLOOKUP(I13,Source!F:F,1,FALSE)</f>
        <v>#N/A</v>
      </c>
    </row>
    <row r="14" spans="1:11" x14ac:dyDescent="0.2">
      <c r="A14" s="582" t="str">
        <f t="shared" si="0"/>
        <v/>
      </c>
      <c r="B14" s="85"/>
      <c r="C14" s="85"/>
      <c r="D14" s="85"/>
      <c r="E14" s="85"/>
      <c r="F14" s="85"/>
      <c r="G14" s="85"/>
      <c r="H14" s="85"/>
      <c r="I14" s="85"/>
      <c r="J14" s="85"/>
      <c r="K14" s="85" t="e">
        <f>VLOOKUP(I14,Source!F:F,1,FALSE)</f>
        <v>#N/A</v>
      </c>
    </row>
    <row r="15" spans="1:11" x14ac:dyDescent="0.2">
      <c r="A15" s="582" t="str">
        <f t="shared" si="0"/>
        <v/>
      </c>
      <c r="B15" s="85"/>
      <c r="C15" s="85"/>
      <c r="D15" s="85"/>
      <c r="E15" s="85"/>
      <c r="F15" s="85"/>
      <c r="G15" s="85"/>
      <c r="H15" s="85"/>
      <c r="I15" s="85"/>
      <c r="J15" s="85"/>
      <c r="K15" s="85" t="e">
        <f>VLOOKUP(I15,Source!F:F,1,FALSE)</f>
        <v>#N/A</v>
      </c>
    </row>
    <row r="16" spans="1:11" x14ac:dyDescent="0.2">
      <c r="A16" s="582" t="str">
        <f t="shared" si="0"/>
        <v/>
      </c>
      <c r="B16" s="85"/>
      <c r="C16" s="85"/>
      <c r="D16" s="85"/>
      <c r="E16" s="85"/>
      <c r="F16" s="85"/>
      <c r="G16" s="85"/>
      <c r="H16" s="85"/>
      <c r="I16" s="85"/>
      <c r="J16" s="85"/>
      <c r="K16" s="85" t="e">
        <f>VLOOKUP(I16,Source!F:F,1,FALSE)</f>
        <v>#N/A</v>
      </c>
    </row>
    <row r="17" spans="1:11" x14ac:dyDescent="0.2">
      <c r="A17" s="582" t="str">
        <f t="shared" si="0"/>
        <v/>
      </c>
      <c r="B17" s="85"/>
      <c r="C17" s="85"/>
      <c r="D17" s="85"/>
      <c r="E17" s="85"/>
      <c r="F17" s="85"/>
      <c r="G17" s="85"/>
      <c r="H17" s="85"/>
      <c r="I17" s="85"/>
      <c r="J17" s="85"/>
      <c r="K17" s="85" t="e">
        <f>VLOOKUP(I17,Source!F:F,1,FALSE)</f>
        <v>#N/A</v>
      </c>
    </row>
    <row r="18" spans="1:11" x14ac:dyDescent="0.2">
      <c r="A18" s="582" t="str">
        <f t="shared" si="0"/>
        <v/>
      </c>
      <c r="B18" s="85"/>
      <c r="C18" s="85"/>
      <c r="D18" s="85"/>
      <c r="E18" s="85"/>
      <c r="F18" s="85"/>
      <c r="G18" s="85"/>
      <c r="H18" s="85"/>
      <c r="I18" s="85"/>
      <c r="J18" s="85"/>
      <c r="K18" s="85" t="e">
        <f>VLOOKUP(I18,Source!F:F,1,FALSE)</f>
        <v>#N/A</v>
      </c>
    </row>
    <row r="19" spans="1:11" x14ac:dyDescent="0.2">
      <c r="A19" s="582" t="str">
        <f t="shared" si="0"/>
        <v/>
      </c>
      <c r="B19" s="85"/>
      <c r="C19" s="85"/>
      <c r="D19" s="85"/>
      <c r="E19" s="85"/>
      <c r="F19" s="85"/>
      <c r="G19" s="85"/>
      <c r="H19" s="85"/>
      <c r="I19" s="85"/>
      <c r="J19" s="85"/>
      <c r="K19" s="85" t="e">
        <f>VLOOKUP(I19,Source!F:F,1,FALSE)</f>
        <v>#N/A</v>
      </c>
    </row>
    <row r="20" spans="1:11" x14ac:dyDescent="0.2">
      <c r="A20" s="85"/>
      <c r="B20" s="85"/>
      <c r="C20" s="85"/>
      <c r="D20" s="85"/>
      <c r="E20" s="85"/>
      <c r="F20" s="85"/>
      <c r="G20" s="85"/>
      <c r="H20" s="85"/>
      <c r="I20" s="85"/>
      <c r="J20" s="85"/>
      <c r="K20" s="85" t="e">
        <f>VLOOKUP(I20,Source!F:F,1,FALSE)</f>
        <v>#N/A</v>
      </c>
    </row>
    <row r="21" spans="1:11" x14ac:dyDescent="0.2">
      <c r="A21" s="85"/>
      <c r="B21" s="85"/>
      <c r="C21" s="85"/>
      <c r="D21" s="85"/>
      <c r="E21" s="85"/>
      <c r="F21" s="85"/>
      <c r="G21" s="85"/>
      <c r="H21" s="85"/>
      <c r="I21" s="85"/>
      <c r="J21" s="85"/>
      <c r="K21" s="85" t="e">
        <f>VLOOKUP(I21,Source!F:F,1,FALSE)</f>
        <v>#N/A</v>
      </c>
    </row>
    <row r="22" spans="1:11" x14ac:dyDescent="0.2">
      <c r="A22" s="85"/>
      <c r="B22" s="85"/>
      <c r="C22" s="85"/>
      <c r="D22" s="85"/>
      <c r="E22" s="85"/>
      <c r="F22" s="85"/>
      <c r="G22" s="85"/>
      <c r="H22" s="85"/>
      <c r="I22" s="85"/>
      <c r="J22" s="85"/>
      <c r="K22" s="85" t="e">
        <f>VLOOKUP(I22,Source!F:F,1,FALSE)</f>
        <v>#N/A</v>
      </c>
    </row>
    <row r="23" spans="1:11" x14ac:dyDescent="0.2">
      <c r="A23" s="85"/>
      <c r="B23" s="85"/>
      <c r="C23" s="85"/>
      <c r="D23" s="85"/>
      <c r="E23" s="85"/>
      <c r="F23" s="85"/>
      <c r="G23" s="85"/>
      <c r="H23" s="85"/>
      <c r="I23" s="85"/>
      <c r="J23" s="85"/>
      <c r="K23" s="85" t="e">
        <f>VLOOKUP(I23,Source!F:F,1,FALSE)</f>
        <v>#N/A</v>
      </c>
    </row>
    <row r="24" spans="1:11" x14ac:dyDescent="0.2">
      <c r="A24" s="85"/>
      <c r="B24" s="85"/>
      <c r="C24" s="85"/>
      <c r="D24" s="85"/>
      <c r="E24" s="85"/>
      <c r="F24" s="85"/>
      <c r="G24" s="85"/>
      <c r="H24" s="85"/>
      <c r="I24" s="85"/>
      <c r="J24" s="85"/>
      <c r="K24" s="85" t="e">
        <f>VLOOKUP(I24,Source!F:F,1,FALSE)</f>
        <v>#N/A</v>
      </c>
    </row>
    <row r="25" spans="1:11" x14ac:dyDescent="0.2">
      <c r="A25" s="85"/>
      <c r="B25" s="85"/>
      <c r="C25" s="85"/>
      <c r="D25" s="85"/>
      <c r="E25" s="85"/>
      <c r="F25" s="85"/>
      <c r="G25" s="85"/>
      <c r="H25" s="85"/>
      <c r="I25" s="85"/>
      <c r="J25" s="85"/>
      <c r="K25" s="85" t="e">
        <f>VLOOKUP(I25,Source!F:F,1,FALSE)</f>
        <v>#N/A</v>
      </c>
    </row>
    <row r="26" spans="1:11" x14ac:dyDescent="0.2">
      <c r="A26" s="85"/>
      <c r="B26" s="85"/>
      <c r="C26" s="85"/>
      <c r="D26" s="85"/>
      <c r="E26" s="85"/>
      <c r="F26" s="85"/>
      <c r="G26" s="85"/>
      <c r="H26" s="85"/>
      <c r="I26" s="85"/>
      <c r="J26" s="85"/>
      <c r="K26" s="85" t="e">
        <f>VLOOKUP(I26,Source!F:F,1,FALSE)</f>
        <v>#N/A</v>
      </c>
    </row>
    <row r="27" spans="1:11" x14ac:dyDescent="0.2">
      <c r="A27" s="85"/>
      <c r="B27" s="85"/>
      <c r="C27" s="85"/>
      <c r="D27" s="85"/>
      <c r="E27" s="85"/>
      <c r="F27" s="85"/>
      <c r="G27" s="85"/>
      <c r="H27" s="85"/>
      <c r="I27" s="85"/>
      <c r="J27" s="85"/>
      <c r="K27" s="85" t="e">
        <f>VLOOKUP(I27,Source!F:F,1,FALSE)</f>
        <v>#N/A</v>
      </c>
    </row>
    <row r="28" spans="1:11" x14ac:dyDescent="0.2">
      <c r="A28" s="85"/>
      <c r="B28" s="85"/>
      <c r="C28" s="85"/>
      <c r="D28" s="85"/>
      <c r="E28" s="85"/>
      <c r="F28" s="85"/>
      <c r="G28" s="85"/>
      <c r="H28" s="85"/>
      <c r="I28" s="85"/>
      <c r="J28" s="85"/>
      <c r="K28" s="85" t="e">
        <f>VLOOKUP(I28,Source!F:F,1,FALSE)</f>
        <v>#N/A</v>
      </c>
    </row>
    <row r="29" spans="1:11" x14ac:dyDescent="0.2">
      <c r="A29" s="85"/>
      <c r="B29" s="85"/>
      <c r="C29" s="85"/>
      <c r="D29" s="85"/>
      <c r="E29" s="85"/>
      <c r="F29" s="85"/>
      <c r="G29" s="85"/>
      <c r="H29" s="85"/>
      <c r="I29" s="85"/>
      <c r="J29" s="85"/>
      <c r="K29" s="85" t="e">
        <f>VLOOKUP(I29,Source!F:F,1,FALSE)</f>
        <v>#N/A</v>
      </c>
    </row>
    <row r="30" spans="1:11" x14ac:dyDescent="0.2">
      <c r="A30" s="85"/>
      <c r="B30" s="85"/>
      <c r="C30" s="85"/>
      <c r="D30" s="85"/>
      <c r="E30" s="85"/>
      <c r="F30" s="85"/>
      <c r="G30" s="85"/>
      <c r="H30" s="85"/>
      <c r="I30" s="85"/>
      <c r="J30" s="85"/>
      <c r="K30" s="85" t="e">
        <f>VLOOKUP(I30,Source!F:F,1,FALSE)</f>
        <v>#N/A</v>
      </c>
    </row>
    <row r="31" spans="1:11" x14ac:dyDescent="0.2">
      <c r="A31" s="85"/>
      <c r="B31" s="85"/>
      <c r="C31" s="85"/>
      <c r="D31" s="85"/>
      <c r="E31" s="85"/>
      <c r="F31" s="85"/>
      <c r="G31" s="85"/>
      <c r="H31" s="85"/>
      <c r="I31" s="85"/>
      <c r="J31" s="85"/>
      <c r="K31" s="85" t="e">
        <f>VLOOKUP(I31,Source!F:F,1,FALSE)</f>
        <v>#N/A</v>
      </c>
    </row>
    <row r="32" spans="1:11" x14ac:dyDescent="0.2">
      <c r="A32" s="85"/>
      <c r="B32" s="85"/>
      <c r="C32" s="85"/>
      <c r="D32" s="85"/>
      <c r="E32" s="85"/>
      <c r="F32" s="85"/>
      <c r="G32" s="85"/>
      <c r="H32" s="85"/>
      <c r="I32" s="85"/>
      <c r="J32" s="85"/>
      <c r="K32" s="85" t="e">
        <f>VLOOKUP(I32,Source!F:F,1,FALSE)</f>
        <v>#N/A</v>
      </c>
    </row>
    <row r="33" spans="11:11" x14ac:dyDescent="0.2">
      <c r="K33" s="85" t="e">
        <f>VLOOKUP(I33,Source!F:F,1,FALSE)</f>
        <v>#N/A</v>
      </c>
    </row>
    <row r="34" spans="11:11" x14ac:dyDescent="0.2">
      <c r="K34" s="85" t="e">
        <f>VLOOKUP(I34,Source!F:F,1,FALSE)</f>
        <v>#N/A</v>
      </c>
    </row>
    <row r="35" spans="11:11" x14ac:dyDescent="0.2">
      <c r="K35" s="85" t="e">
        <f>VLOOKUP(I35,Source!F:F,1,FALSE)</f>
        <v>#N/A</v>
      </c>
    </row>
    <row r="36" spans="11:11" x14ac:dyDescent="0.2">
      <c r="K36" s="85" t="e">
        <f>VLOOKUP(I36,Source!F:F,1,FALSE)</f>
        <v>#N/A</v>
      </c>
    </row>
    <row r="37" spans="11:11" x14ac:dyDescent="0.2">
      <c r="K37" s="85" t="e">
        <f>VLOOKUP(I37,Source!F:F,1,FALSE)</f>
        <v>#N/A</v>
      </c>
    </row>
    <row r="38" spans="11:11" x14ac:dyDescent="0.2">
      <c r="K38" s="85" t="e">
        <f>VLOOKUP(I38,Source!F:F,1,FALSE)</f>
        <v>#N/A</v>
      </c>
    </row>
    <row r="39" spans="11:11" x14ac:dyDescent="0.2">
      <c r="K39" s="85" t="e">
        <f>VLOOKUP(I39,Source!F:F,1,FALSE)</f>
        <v>#N/A</v>
      </c>
    </row>
    <row r="40" spans="11:11" x14ac:dyDescent="0.2">
      <c r="K40" s="85" t="e">
        <f>VLOOKUP(I40,Source!F:F,1,FALSE)</f>
        <v>#N/A</v>
      </c>
    </row>
    <row r="41" spans="11:11" x14ac:dyDescent="0.2">
      <c r="K41" s="85" t="e">
        <f>VLOOKUP(I41,Source!F:F,1,FALSE)</f>
        <v>#N/A</v>
      </c>
    </row>
    <row r="42" spans="11:11" x14ac:dyDescent="0.2">
      <c r="K42" s="85" t="e">
        <f>VLOOKUP(I42,Source!F:F,1,FALSE)</f>
        <v>#N/A</v>
      </c>
    </row>
    <row r="43" spans="11:11" x14ac:dyDescent="0.2">
      <c r="K43" s="85" t="e">
        <f>VLOOKUP(I43,Source!F:F,1,FALSE)</f>
        <v>#N/A</v>
      </c>
    </row>
    <row r="44" spans="11:11" x14ac:dyDescent="0.2">
      <c r="K44" s="85" t="e">
        <f>VLOOKUP(I44,Source!F:F,1,FALSE)</f>
        <v>#N/A</v>
      </c>
    </row>
    <row r="45" spans="11:11" x14ac:dyDescent="0.2">
      <c r="K45" s="85" t="e">
        <f>VLOOKUP(I45,Source!F:F,1,FALSE)</f>
        <v>#N/A</v>
      </c>
    </row>
    <row r="46" spans="11:11" x14ac:dyDescent="0.2">
      <c r="K46" s="85" t="e">
        <f>VLOOKUP(I46,Source!F:F,1,FALSE)</f>
        <v>#N/A</v>
      </c>
    </row>
    <row r="47" spans="11:11" x14ac:dyDescent="0.2">
      <c r="K47" s="85" t="e">
        <f>VLOOKUP(I47,Source!F:F,1,FALSE)</f>
        <v>#N/A</v>
      </c>
    </row>
    <row r="48" spans="11:11" x14ac:dyDescent="0.2">
      <c r="K48" s="85" t="e">
        <f>VLOOKUP(I48,Source!F:F,1,FALSE)</f>
        <v>#N/A</v>
      </c>
    </row>
    <row r="49" spans="11:11" x14ac:dyDescent="0.2">
      <c r="K49" s="85" t="e">
        <f>VLOOKUP(I49,Source!F:F,1,FALSE)</f>
        <v>#N/A</v>
      </c>
    </row>
    <row r="50" spans="11:11" x14ac:dyDescent="0.2">
      <c r="K50" s="85" t="e">
        <f>VLOOKUP(I50,Source!F:F,1,FALSE)</f>
        <v>#N/A</v>
      </c>
    </row>
    <row r="51" spans="11:11" x14ac:dyDescent="0.2">
      <c r="K51" s="85" t="e">
        <f>VLOOKUP(I51,Source!F:F,1,FALSE)</f>
        <v>#N/A</v>
      </c>
    </row>
    <row r="52" spans="11:11" x14ac:dyDescent="0.2">
      <c r="K52" s="85" t="e">
        <f>VLOOKUP(I52,Source!F:F,1,FALSE)</f>
        <v>#N/A</v>
      </c>
    </row>
    <row r="53" spans="11:11" x14ac:dyDescent="0.2">
      <c r="K53" s="85" t="e">
        <f>VLOOKUP(I53,Source!F:F,1,FALSE)</f>
        <v>#N/A</v>
      </c>
    </row>
    <row r="54" spans="11:11" x14ac:dyDescent="0.2">
      <c r="K54" s="85" t="e">
        <f>VLOOKUP(I54,Source!F:F,1,FALSE)</f>
        <v>#N/A</v>
      </c>
    </row>
    <row r="55" spans="11:11" x14ac:dyDescent="0.2">
      <c r="K55" s="85" t="e">
        <f>VLOOKUP(I55,Source!F:F,1,FALSE)</f>
        <v>#N/A</v>
      </c>
    </row>
    <row r="56" spans="11:11" x14ac:dyDescent="0.2">
      <c r="K56" s="85" t="e">
        <f>VLOOKUP(I56,Source!F:F,1,FALSE)</f>
        <v>#N/A</v>
      </c>
    </row>
    <row r="57" spans="11:11" x14ac:dyDescent="0.2">
      <c r="K57" s="85" t="e">
        <f>VLOOKUP(I57,Source!F:F,1,FALSE)</f>
        <v>#N/A</v>
      </c>
    </row>
    <row r="58" spans="11:11" x14ac:dyDescent="0.2">
      <c r="K58" s="85" t="e">
        <f>VLOOKUP(I58,Source!F:F,1,FALSE)</f>
        <v>#N/A</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AA146"/>
  <sheetViews>
    <sheetView topLeftCell="A121" workbookViewId="0">
      <selection activeCell="Z136" sqref="Z136:AA137"/>
    </sheetView>
  </sheetViews>
  <sheetFormatPr baseColWidth="10" defaultColWidth="8.83203125" defaultRowHeight="15" x14ac:dyDescent="0.2"/>
  <cols>
    <col min="1" max="1" width="42.5" customWidth="1"/>
    <col min="2" max="2" width="18.33203125" bestFit="1" customWidth="1"/>
    <col min="3" max="3" width="27.5" customWidth="1"/>
    <col min="4" max="4" width="18.33203125" bestFit="1" customWidth="1"/>
    <col min="5" max="5" width="61.33203125" bestFit="1" customWidth="1"/>
    <col min="6" max="6" width="11.5" style="20" bestFit="1" customWidth="1"/>
    <col min="7" max="7" width="16.33203125" customWidth="1"/>
    <col min="8" max="8" width="12.5" bestFit="1" customWidth="1"/>
    <col min="9" max="9" width="5.5" customWidth="1"/>
    <col min="10" max="10" width="6" customWidth="1"/>
    <col min="11" max="11" width="10.6640625" customWidth="1"/>
    <col min="12" max="12" width="10.6640625" style="21" customWidth="1"/>
    <col min="13" max="13" width="13" style="20" bestFit="1" customWidth="1"/>
    <col min="14" max="14" width="11" customWidth="1"/>
    <col min="15" max="15" width="11" style="85" customWidth="1"/>
    <col min="16" max="17" width="9.1640625" customWidth="1"/>
    <col min="18" max="18" width="10.5" customWidth="1"/>
    <col min="19" max="19" width="13.83203125" customWidth="1"/>
    <col min="20" max="20" width="16.6640625" customWidth="1"/>
    <col min="21" max="21" width="9.1640625" style="248" customWidth="1"/>
    <col min="22" max="22" width="11.5" customWidth="1"/>
    <col min="23" max="23" width="19.33203125" customWidth="1"/>
    <col min="24" max="24" width="12.33203125" customWidth="1"/>
    <col min="25" max="25" width="49.1640625" bestFit="1" customWidth="1"/>
  </cols>
  <sheetData>
    <row r="1" spans="1:27" ht="64" x14ac:dyDescent="0.2">
      <c r="A1" s="382" t="str">
        <f t="shared" ref="A1:A30" si="0">Y1&amp;Z1</f>
        <v>Agency#</v>
      </c>
      <c r="B1" s="382" t="s">
        <v>425</v>
      </c>
      <c r="C1" s="382" t="s">
        <v>547</v>
      </c>
      <c r="D1" s="17" t="s">
        <v>548</v>
      </c>
      <c r="E1" s="17" t="s">
        <v>549</v>
      </c>
      <c r="F1" s="18" t="s">
        <v>550</v>
      </c>
      <c r="G1" s="17" t="s">
        <v>551</v>
      </c>
      <c r="H1" s="17" t="s">
        <v>552</v>
      </c>
      <c r="I1" s="17" t="s">
        <v>553</v>
      </c>
      <c r="J1" s="17" t="s">
        <v>554</v>
      </c>
      <c r="K1" s="17" t="s">
        <v>555</v>
      </c>
      <c r="L1" s="19" t="s">
        <v>556</v>
      </c>
      <c r="M1" s="18" t="s">
        <v>550</v>
      </c>
      <c r="N1" s="382" t="s">
        <v>557</v>
      </c>
      <c r="O1" s="382" t="s">
        <v>558</v>
      </c>
      <c r="P1" s="382" t="s">
        <v>559</v>
      </c>
      <c r="Q1" s="383" t="s">
        <v>560</v>
      </c>
      <c r="R1" s="383" t="s">
        <v>561</v>
      </c>
      <c r="S1" s="383" t="s">
        <v>562</v>
      </c>
      <c r="T1" s="382" t="s">
        <v>563</v>
      </c>
      <c r="U1" s="246" t="s">
        <v>564</v>
      </c>
      <c r="V1" s="382" t="s">
        <v>565</v>
      </c>
      <c r="W1" s="382" t="s">
        <v>566</v>
      </c>
      <c r="X1" s="382" t="s">
        <v>567</v>
      </c>
      <c r="Y1" s="382" t="s">
        <v>445</v>
      </c>
      <c r="Z1" s="382" t="s">
        <v>446</v>
      </c>
      <c r="AA1" s="85"/>
    </row>
    <row r="2" spans="1:27" x14ac:dyDescent="0.2">
      <c r="A2" s="61" t="str">
        <f t="shared" si="0"/>
        <v>Berkshire Comm. College1</v>
      </c>
      <c r="B2" s="384" t="s">
        <v>568</v>
      </c>
      <c r="C2" s="61" t="s">
        <v>569</v>
      </c>
      <c r="D2" s="56" t="s">
        <v>570</v>
      </c>
      <c r="E2" s="40" t="s">
        <v>571</v>
      </c>
      <c r="F2" s="41">
        <v>110.88</v>
      </c>
      <c r="G2" s="42" t="s">
        <v>572</v>
      </c>
      <c r="H2" s="42" t="s">
        <v>573</v>
      </c>
      <c r="I2" s="43" t="s">
        <v>574</v>
      </c>
      <c r="J2" s="44">
        <v>1201</v>
      </c>
      <c r="K2" s="45">
        <v>40751</v>
      </c>
      <c r="L2" s="46">
        <v>2011</v>
      </c>
      <c r="M2" s="41">
        <v>110.88</v>
      </c>
      <c r="N2" s="54" t="s">
        <v>575</v>
      </c>
      <c r="O2" s="54" t="s">
        <v>576</v>
      </c>
      <c r="P2" s="61"/>
      <c r="Q2" s="61"/>
      <c r="R2" s="61"/>
      <c r="S2" s="61"/>
      <c r="T2" s="61" t="s">
        <v>577</v>
      </c>
      <c r="U2" s="265">
        <v>0.13639999999999999</v>
      </c>
      <c r="V2" s="63">
        <f t="shared" ref="V2:V7" si="1">M2*8760*U2</f>
        <v>132486.52031999998</v>
      </c>
      <c r="W2" s="61"/>
      <c r="X2" s="61"/>
      <c r="Y2" s="40" t="s">
        <v>51</v>
      </c>
      <c r="Z2" s="61">
        <v>1</v>
      </c>
      <c r="AA2" s="85" t="str">
        <f>VLOOKUP(Y2,Source!F:F,1,FALSE)</f>
        <v>Berkshire Comm. College</v>
      </c>
    </row>
    <row r="3" spans="1:27" x14ac:dyDescent="0.2">
      <c r="A3" s="61" t="str">
        <f t="shared" si="0"/>
        <v>Berkshire Comm. College2</v>
      </c>
      <c r="B3" s="384" t="s">
        <v>568</v>
      </c>
      <c r="C3" s="61" t="s">
        <v>569</v>
      </c>
      <c r="D3" s="56" t="s">
        <v>578</v>
      </c>
      <c r="E3" s="40" t="s">
        <v>579</v>
      </c>
      <c r="F3" s="41">
        <v>73.92</v>
      </c>
      <c r="G3" s="42" t="s">
        <v>572</v>
      </c>
      <c r="H3" s="42" t="s">
        <v>573</v>
      </c>
      <c r="I3" s="43" t="s">
        <v>574</v>
      </c>
      <c r="J3" s="44">
        <v>1201</v>
      </c>
      <c r="K3" s="45">
        <v>40751</v>
      </c>
      <c r="L3" s="46">
        <v>2011</v>
      </c>
      <c r="M3" s="41">
        <v>73.92</v>
      </c>
      <c r="N3" s="54" t="s">
        <v>575</v>
      </c>
      <c r="O3" s="54" t="s">
        <v>576</v>
      </c>
      <c r="P3" s="61"/>
      <c r="Q3" s="61"/>
      <c r="R3" s="61"/>
      <c r="S3" s="61"/>
      <c r="T3" s="61" t="s">
        <v>577</v>
      </c>
      <c r="U3" s="265">
        <v>0.13639999999999999</v>
      </c>
      <c r="V3" s="63">
        <f t="shared" si="1"/>
        <v>88324.346880000012</v>
      </c>
      <c r="W3" s="61"/>
      <c r="X3" s="61"/>
      <c r="Y3" s="40" t="s">
        <v>51</v>
      </c>
      <c r="Z3" s="61">
        <v>2</v>
      </c>
      <c r="AA3" s="85" t="str">
        <f>VLOOKUP(Y3,Source!F:F,1,FALSE)</f>
        <v>Berkshire Comm. College</v>
      </c>
    </row>
    <row r="4" spans="1:27" x14ac:dyDescent="0.2">
      <c r="A4" s="61" t="str">
        <f t="shared" si="0"/>
        <v>Berkshire Comm. College3</v>
      </c>
      <c r="B4" s="384" t="s">
        <v>568</v>
      </c>
      <c r="C4" s="61" t="s">
        <v>569</v>
      </c>
      <c r="D4" s="56" t="s">
        <v>580</v>
      </c>
      <c r="E4" s="40" t="s">
        <v>581</v>
      </c>
      <c r="F4" s="41">
        <v>69.3</v>
      </c>
      <c r="G4" s="42" t="s">
        <v>572</v>
      </c>
      <c r="H4" s="42" t="s">
        <v>573</v>
      </c>
      <c r="I4" s="43" t="s">
        <v>574</v>
      </c>
      <c r="J4" s="44">
        <v>1201</v>
      </c>
      <c r="K4" s="45">
        <v>40751</v>
      </c>
      <c r="L4" s="46">
        <v>2011</v>
      </c>
      <c r="M4" s="41">
        <v>69.3</v>
      </c>
      <c r="N4" s="54" t="s">
        <v>575</v>
      </c>
      <c r="O4" s="54" t="s">
        <v>576</v>
      </c>
      <c r="P4" s="61"/>
      <c r="Q4" s="61"/>
      <c r="R4" s="61"/>
      <c r="S4" s="61"/>
      <c r="T4" s="61" t="s">
        <v>577</v>
      </c>
      <c r="U4" s="265">
        <v>0.13639999999999999</v>
      </c>
      <c r="V4" s="63">
        <f t="shared" si="1"/>
        <v>82804.075199999992</v>
      </c>
      <c r="W4" s="61"/>
      <c r="X4" s="61"/>
      <c r="Y4" s="40" t="s">
        <v>51</v>
      </c>
      <c r="Z4" s="61">
        <v>3</v>
      </c>
      <c r="AA4" s="85" t="str">
        <f>VLOOKUP(Y4,Source!F:F,1,FALSE)</f>
        <v>Berkshire Comm. College</v>
      </c>
    </row>
    <row r="5" spans="1:27" x14ac:dyDescent="0.2">
      <c r="A5" s="61" t="str">
        <f t="shared" si="0"/>
        <v>Berkshire Comm. College4</v>
      </c>
      <c r="B5" s="384" t="s">
        <v>568</v>
      </c>
      <c r="C5" s="61" t="s">
        <v>569</v>
      </c>
      <c r="D5" s="56" t="s">
        <v>582</v>
      </c>
      <c r="E5" s="40" t="s">
        <v>583</v>
      </c>
      <c r="F5" s="41">
        <v>17.64</v>
      </c>
      <c r="G5" s="42" t="s">
        <v>572</v>
      </c>
      <c r="H5" s="42" t="s">
        <v>573</v>
      </c>
      <c r="I5" s="43" t="s">
        <v>574</v>
      </c>
      <c r="J5" s="44">
        <v>1201</v>
      </c>
      <c r="K5" s="45">
        <v>40751</v>
      </c>
      <c r="L5" s="46">
        <v>2011</v>
      </c>
      <c r="M5" s="41">
        <v>17.64</v>
      </c>
      <c r="N5" s="54" t="s">
        <v>575</v>
      </c>
      <c r="O5" s="54" t="s">
        <v>576</v>
      </c>
      <c r="P5" s="61"/>
      <c r="Q5" s="61"/>
      <c r="R5" s="61"/>
      <c r="S5" s="61"/>
      <c r="T5" s="61" t="s">
        <v>577</v>
      </c>
      <c r="U5" s="265">
        <v>0.13639999999999999</v>
      </c>
      <c r="V5" s="63">
        <f t="shared" si="1"/>
        <v>21077.400959999999</v>
      </c>
      <c r="W5" s="61"/>
      <c r="X5" s="61"/>
      <c r="Y5" s="40" t="s">
        <v>51</v>
      </c>
      <c r="Z5" s="61">
        <v>4</v>
      </c>
      <c r="AA5" s="85" t="str">
        <f>VLOOKUP(Y5,Source!F:F,1,FALSE)</f>
        <v>Berkshire Comm. College</v>
      </c>
    </row>
    <row r="6" spans="1:27" x14ac:dyDescent="0.2">
      <c r="A6" s="61" t="str">
        <f t="shared" si="0"/>
        <v>Berkshire Comm. College5</v>
      </c>
      <c r="B6" s="384" t="s">
        <v>568</v>
      </c>
      <c r="C6" s="61" t="s">
        <v>569</v>
      </c>
      <c r="D6" s="56" t="s">
        <v>584</v>
      </c>
      <c r="E6" s="40" t="s">
        <v>585</v>
      </c>
      <c r="F6" s="41">
        <v>92.4</v>
      </c>
      <c r="G6" s="42" t="s">
        <v>572</v>
      </c>
      <c r="H6" s="42" t="s">
        <v>573</v>
      </c>
      <c r="I6" s="43" t="s">
        <v>574</v>
      </c>
      <c r="J6" s="44">
        <v>1201</v>
      </c>
      <c r="K6" s="45">
        <v>40751</v>
      </c>
      <c r="L6" s="46">
        <v>2011</v>
      </c>
      <c r="M6" s="41">
        <v>92.4</v>
      </c>
      <c r="N6" s="54" t="s">
        <v>575</v>
      </c>
      <c r="O6" s="54" t="s">
        <v>576</v>
      </c>
      <c r="P6" s="61"/>
      <c r="Q6" s="61"/>
      <c r="R6" s="61"/>
      <c r="S6" s="61"/>
      <c r="T6" s="61" t="s">
        <v>577</v>
      </c>
      <c r="U6" s="265">
        <v>0.13639999999999999</v>
      </c>
      <c r="V6" s="63">
        <f t="shared" si="1"/>
        <v>110405.43359999999</v>
      </c>
      <c r="W6" s="61"/>
      <c r="X6" s="61"/>
      <c r="Y6" s="40" t="s">
        <v>51</v>
      </c>
      <c r="Z6" s="61">
        <v>5</v>
      </c>
      <c r="AA6" s="85" t="str">
        <f>VLOOKUP(Y6,Source!F:F,1,FALSE)</f>
        <v>Berkshire Comm. College</v>
      </c>
    </row>
    <row r="7" spans="1:27" s="430" customFormat="1" x14ac:dyDescent="0.2">
      <c r="A7" s="417" t="str">
        <f t="shared" si="0"/>
        <v>Bridgewater State University1</v>
      </c>
      <c r="B7" s="418" t="s">
        <v>568</v>
      </c>
      <c r="C7" s="417" t="s">
        <v>569</v>
      </c>
      <c r="D7" s="419" t="s">
        <v>586</v>
      </c>
      <c r="E7" s="420" t="s">
        <v>56</v>
      </c>
      <c r="F7" s="421">
        <v>103.488</v>
      </c>
      <c r="G7" s="419" t="s">
        <v>587</v>
      </c>
      <c r="H7" s="422" t="s">
        <v>588</v>
      </c>
      <c r="I7" s="423" t="s">
        <v>574</v>
      </c>
      <c r="J7" s="424">
        <v>2325</v>
      </c>
      <c r="K7" s="425">
        <v>40682</v>
      </c>
      <c r="L7" s="426">
        <v>2011</v>
      </c>
      <c r="M7" s="421">
        <v>103.488</v>
      </c>
      <c r="N7" s="427" t="s">
        <v>575</v>
      </c>
      <c r="O7" s="427" t="s">
        <v>589</v>
      </c>
      <c r="P7" s="417"/>
      <c r="Q7" s="417"/>
      <c r="R7" s="417"/>
      <c r="S7" s="417"/>
      <c r="T7" s="417" t="s">
        <v>577</v>
      </c>
      <c r="U7" s="428">
        <v>0.13639999999999999</v>
      </c>
      <c r="V7" s="429">
        <f t="shared" si="1"/>
        <v>123654.08563199999</v>
      </c>
      <c r="W7" s="417"/>
      <c r="X7" s="417"/>
      <c r="Y7" s="420" t="s">
        <v>56</v>
      </c>
      <c r="Z7" s="417">
        <v>1</v>
      </c>
      <c r="AA7" s="430" t="str">
        <f>VLOOKUP(Y7,Source!F:F,1,FALSE)</f>
        <v>Bridgewater State University</v>
      </c>
    </row>
    <row r="8" spans="1:27" s="430" customFormat="1" x14ac:dyDescent="0.2">
      <c r="A8" s="417" t="str">
        <f t="shared" si="0"/>
        <v>Bridgewater State University2</v>
      </c>
      <c r="B8" s="418" t="s">
        <v>590</v>
      </c>
      <c r="C8" s="431" t="s">
        <v>591</v>
      </c>
      <c r="D8" s="419"/>
      <c r="E8" s="431" t="s">
        <v>56</v>
      </c>
      <c r="F8" s="421">
        <v>1300</v>
      </c>
      <c r="G8" s="419" t="s">
        <v>587</v>
      </c>
      <c r="H8" s="431" t="s">
        <v>588</v>
      </c>
      <c r="I8" s="423" t="s">
        <v>574</v>
      </c>
      <c r="J8" s="424">
        <v>2325</v>
      </c>
      <c r="K8" s="425"/>
      <c r="L8" s="426">
        <v>2005</v>
      </c>
      <c r="M8" s="421">
        <v>1300</v>
      </c>
      <c r="N8" s="427" t="s">
        <v>575</v>
      </c>
      <c r="O8" s="427" t="s">
        <v>576</v>
      </c>
      <c r="P8" s="432"/>
      <c r="Q8" s="433"/>
      <c r="R8" s="417"/>
      <c r="S8" s="417"/>
      <c r="T8" s="417" t="s">
        <v>577</v>
      </c>
      <c r="U8" s="417"/>
      <c r="V8" s="417"/>
      <c r="W8" s="431" t="s">
        <v>592</v>
      </c>
      <c r="X8" s="417"/>
      <c r="Y8" s="420" t="s">
        <v>56</v>
      </c>
      <c r="Z8" s="417">
        <v>2</v>
      </c>
      <c r="AA8" s="430" t="str">
        <f>VLOOKUP(Y8,Source!F:F,1,FALSE)</f>
        <v>Bridgewater State University</v>
      </c>
    </row>
    <row r="9" spans="1:27" s="430" customFormat="1" x14ac:dyDescent="0.2">
      <c r="A9" s="417" t="str">
        <f t="shared" si="0"/>
        <v>Bristol Comm. College1</v>
      </c>
      <c r="B9" s="418" t="s">
        <v>568</v>
      </c>
      <c r="C9" s="417" t="s">
        <v>569</v>
      </c>
      <c r="D9" s="419" t="s">
        <v>593</v>
      </c>
      <c r="E9" s="427" t="s">
        <v>594</v>
      </c>
      <c r="F9" s="421">
        <v>86</v>
      </c>
      <c r="G9" s="417" t="s">
        <v>595</v>
      </c>
      <c r="H9" s="431" t="s">
        <v>596</v>
      </c>
      <c r="I9" s="423" t="s">
        <v>574</v>
      </c>
      <c r="J9" s="424">
        <v>2720</v>
      </c>
      <c r="K9" s="425">
        <v>40544</v>
      </c>
      <c r="L9" s="426">
        <v>2009</v>
      </c>
      <c r="M9" s="421">
        <v>86</v>
      </c>
      <c r="N9" s="427" t="s">
        <v>575</v>
      </c>
      <c r="O9" s="427" t="s">
        <v>576</v>
      </c>
      <c r="P9" s="417"/>
      <c r="Q9" s="417"/>
      <c r="R9" s="417"/>
      <c r="S9" s="417"/>
      <c r="T9" s="417" t="s">
        <v>577</v>
      </c>
      <c r="U9" s="428">
        <v>0.13639999999999999</v>
      </c>
      <c r="V9" s="429">
        <f>M9*8760*U9</f>
        <v>102758.30399999999</v>
      </c>
      <c r="W9" s="418"/>
      <c r="X9" s="418"/>
      <c r="Y9" s="420" t="s">
        <v>69</v>
      </c>
      <c r="Z9" s="417">
        <v>1</v>
      </c>
      <c r="AA9" s="430" t="str">
        <f>VLOOKUP(Y9,Source!F:F,1,FALSE)</f>
        <v>Bristol Comm. College</v>
      </c>
    </row>
    <row r="10" spans="1:27" s="430" customFormat="1" ht="16" x14ac:dyDescent="0.2">
      <c r="A10" s="417" t="str">
        <f t="shared" si="0"/>
        <v>Bristol Comm. College2</v>
      </c>
      <c r="B10" s="418" t="s">
        <v>568</v>
      </c>
      <c r="C10" s="417" t="s">
        <v>569</v>
      </c>
      <c r="D10" s="419"/>
      <c r="E10" s="711" t="s">
        <v>597</v>
      </c>
      <c r="F10" s="421">
        <v>10</v>
      </c>
      <c r="G10" s="417" t="s">
        <v>595</v>
      </c>
      <c r="H10" s="431" t="s">
        <v>596</v>
      </c>
      <c r="I10" s="417" t="s">
        <v>574</v>
      </c>
      <c r="J10" s="424">
        <v>2720</v>
      </c>
      <c r="K10" s="425"/>
      <c r="L10" s="426">
        <v>2009</v>
      </c>
      <c r="M10" s="421">
        <v>10</v>
      </c>
      <c r="N10" s="427" t="s">
        <v>575</v>
      </c>
      <c r="O10" s="427" t="s">
        <v>576</v>
      </c>
      <c r="P10" s="417"/>
      <c r="Q10" s="417"/>
      <c r="R10" s="417"/>
      <c r="S10" s="417"/>
      <c r="T10" s="417" t="s">
        <v>577</v>
      </c>
      <c r="U10" s="428">
        <v>0.13639999999999999</v>
      </c>
      <c r="V10" s="429">
        <f>M10*8760*U10</f>
        <v>11948.64</v>
      </c>
      <c r="W10" s="417"/>
      <c r="X10" s="417"/>
      <c r="Y10" s="420" t="s">
        <v>69</v>
      </c>
      <c r="Z10" s="417">
        <v>2</v>
      </c>
      <c r="AA10" s="430" t="str">
        <f>VLOOKUP(Y10,Source!F:F,1,FALSE)</f>
        <v>Bristol Comm. College</v>
      </c>
    </row>
    <row r="11" spans="1:27" s="430" customFormat="1" ht="16" x14ac:dyDescent="0.2">
      <c r="A11" s="417" t="str">
        <f t="shared" si="0"/>
        <v>Bristol Comm. College3</v>
      </c>
      <c r="B11" s="418" t="s">
        <v>568</v>
      </c>
      <c r="C11" s="431" t="s">
        <v>402</v>
      </c>
      <c r="D11" s="419"/>
      <c r="E11" s="711" t="s">
        <v>597</v>
      </c>
      <c r="F11" s="421">
        <v>6</v>
      </c>
      <c r="G11" s="417" t="s">
        <v>595</v>
      </c>
      <c r="H11" s="431" t="s">
        <v>596</v>
      </c>
      <c r="I11" s="417" t="s">
        <v>574</v>
      </c>
      <c r="J11" s="424">
        <v>2720</v>
      </c>
      <c r="K11" s="425"/>
      <c r="L11" s="426">
        <v>2009</v>
      </c>
      <c r="M11" s="421">
        <v>6</v>
      </c>
      <c r="N11" s="427" t="s">
        <v>575</v>
      </c>
      <c r="O11" s="427" t="s">
        <v>576</v>
      </c>
      <c r="P11" s="417"/>
      <c r="Q11" s="417"/>
      <c r="R11" s="417"/>
      <c r="S11" s="418"/>
      <c r="T11" s="417" t="s">
        <v>577</v>
      </c>
      <c r="U11" s="432">
        <v>0.26</v>
      </c>
      <c r="V11" s="429">
        <f>M11*8760*U11</f>
        <v>13665.6</v>
      </c>
      <c r="W11" s="431"/>
      <c r="X11" s="417"/>
      <c r="Y11" s="420" t="s">
        <v>69</v>
      </c>
      <c r="Z11" s="417">
        <v>3</v>
      </c>
      <c r="AA11" s="430" t="str">
        <f>VLOOKUP(Y11,Source!F:F,1,FALSE)</f>
        <v>Bristol Comm. College</v>
      </c>
    </row>
    <row r="12" spans="1:27" s="430" customFormat="1" x14ac:dyDescent="0.2">
      <c r="A12" s="417" t="str">
        <f t="shared" si="0"/>
        <v>Bristol Comm. College4</v>
      </c>
      <c r="B12" s="418" t="s">
        <v>568</v>
      </c>
      <c r="C12" s="427" t="s">
        <v>598</v>
      </c>
      <c r="D12" s="419" t="s">
        <v>599</v>
      </c>
      <c r="E12" s="420" t="s">
        <v>600</v>
      </c>
      <c r="F12" s="421">
        <v>3187.14</v>
      </c>
      <c r="G12" s="417" t="s">
        <v>595</v>
      </c>
      <c r="H12" s="431" t="s">
        <v>596</v>
      </c>
      <c r="I12" s="417" t="s">
        <v>574</v>
      </c>
      <c r="J12" s="424">
        <v>2720</v>
      </c>
      <c r="K12" s="425">
        <v>42131</v>
      </c>
      <c r="L12" s="469">
        <v>2015</v>
      </c>
      <c r="M12" s="421">
        <v>3187.14</v>
      </c>
      <c r="N12" s="427" t="s">
        <v>575</v>
      </c>
      <c r="O12" s="427" t="s">
        <v>589</v>
      </c>
      <c r="P12" s="417"/>
      <c r="Q12" s="417"/>
      <c r="R12" s="417"/>
      <c r="S12" s="417"/>
      <c r="T12" s="417" t="s">
        <v>577</v>
      </c>
      <c r="U12" s="470">
        <v>0.13639999999999999</v>
      </c>
      <c r="V12" s="429">
        <f>M12*8760*U12</f>
        <v>3808198.8489599996</v>
      </c>
      <c r="W12" s="417"/>
      <c r="X12" s="417"/>
      <c r="Y12" s="420" t="s">
        <v>69</v>
      </c>
      <c r="Z12" s="417">
        <v>4</v>
      </c>
      <c r="AA12" s="430" t="str">
        <f>VLOOKUP(Y12,Source!F:F,1,FALSE)</f>
        <v>Bristol Comm. College</v>
      </c>
    </row>
    <row r="13" spans="1:27" x14ac:dyDescent="0.2">
      <c r="A13" s="61" t="str">
        <f t="shared" si="0"/>
        <v>Bunker Hill Comm. College1</v>
      </c>
      <c r="B13" s="384" t="s">
        <v>590</v>
      </c>
      <c r="C13" s="47" t="s">
        <v>591</v>
      </c>
      <c r="D13" s="56" t="s">
        <v>601</v>
      </c>
      <c r="E13" s="40" t="s">
        <v>602</v>
      </c>
      <c r="F13" s="41">
        <v>75</v>
      </c>
      <c r="G13" s="61" t="s">
        <v>603</v>
      </c>
      <c r="H13" s="47" t="s">
        <v>604</v>
      </c>
      <c r="I13" s="61" t="s">
        <v>574</v>
      </c>
      <c r="J13" s="44">
        <v>2129</v>
      </c>
      <c r="K13" s="45">
        <v>41612</v>
      </c>
      <c r="L13" s="25">
        <v>2014</v>
      </c>
      <c r="M13" s="41">
        <v>75</v>
      </c>
      <c r="N13" s="54" t="s">
        <v>575</v>
      </c>
      <c r="O13" s="54" t="s">
        <v>50</v>
      </c>
      <c r="P13" s="61"/>
      <c r="Q13" s="61"/>
      <c r="R13" s="61"/>
      <c r="S13" s="61"/>
      <c r="T13" s="61" t="s">
        <v>577</v>
      </c>
      <c r="U13" s="61"/>
      <c r="V13" s="61"/>
      <c r="W13" s="61"/>
      <c r="X13" s="61"/>
      <c r="Y13" s="40" t="s">
        <v>78</v>
      </c>
      <c r="Z13" s="61">
        <v>1</v>
      </c>
      <c r="AA13" s="85" t="str">
        <f>VLOOKUP(Y13,Source!F:F,1,FALSE)</f>
        <v>Bunker Hill Comm. College</v>
      </c>
    </row>
    <row r="14" spans="1:27" x14ac:dyDescent="0.2">
      <c r="A14" s="61" t="str">
        <f t="shared" si="0"/>
        <v>Bureau of the State House1</v>
      </c>
      <c r="B14" s="384" t="s">
        <v>568</v>
      </c>
      <c r="C14" s="61" t="s">
        <v>569</v>
      </c>
      <c r="D14" s="56"/>
      <c r="E14" s="47" t="s">
        <v>447</v>
      </c>
      <c r="F14" s="41">
        <v>15</v>
      </c>
      <c r="G14" s="61" t="s">
        <v>605</v>
      </c>
      <c r="H14" s="61" t="s">
        <v>604</v>
      </c>
      <c r="I14" s="61" t="s">
        <v>574</v>
      </c>
      <c r="J14" s="44">
        <v>1233</v>
      </c>
      <c r="K14" s="45"/>
      <c r="L14" s="25">
        <v>2010</v>
      </c>
      <c r="M14" s="41">
        <v>15</v>
      </c>
      <c r="N14" s="61" t="s">
        <v>606</v>
      </c>
      <c r="O14" s="61" t="s">
        <v>576</v>
      </c>
      <c r="P14" s="61"/>
      <c r="Q14" s="61"/>
      <c r="R14" s="61"/>
      <c r="S14" s="61"/>
      <c r="T14" s="61" t="s">
        <v>577</v>
      </c>
      <c r="U14" s="265">
        <v>0.13639999999999999</v>
      </c>
      <c r="V14" s="63">
        <f t="shared" ref="V14:V19" si="2">M14*8760*U14</f>
        <v>17922.96</v>
      </c>
      <c r="W14" s="61"/>
      <c r="X14" s="61"/>
      <c r="Y14" s="40" t="s">
        <v>83</v>
      </c>
      <c r="Z14" s="61">
        <v>1</v>
      </c>
      <c r="AA14" s="85" t="str">
        <f>VLOOKUP(Y14,Source!F:F,1,FALSE)</f>
        <v>Bureau of the State House</v>
      </c>
    </row>
    <row r="15" spans="1:27" x14ac:dyDescent="0.2">
      <c r="A15" s="61" t="str">
        <f t="shared" si="0"/>
        <v>Cape Cod Comm. College1</v>
      </c>
      <c r="B15" s="384" t="s">
        <v>568</v>
      </c>
      <c r="C15" s="61" t="s">
        <v>569</v>
      </c>
      <c r="D15" s="56" t="s">
        <v>607</v>
      </c>
      <c r="E15" s="40" t="s">
        <v>608</v>
      </c>
      <c r="F15" s="41">
        <v>1.7549999999999999</v>
      </c>
      <c r="G15" s="56" t="s">
        <v>609</v>
      </c>
      <c r="H15" s="42" t="s">
        <v>610</v>
      </c>
      <c r="I15" s="43" t="s">
        <v>574</v>
      </c>
      <c r="J15" s="44">
        <v>2668</v>
      </c>
      <c r="K15" s="45">
        <v>39686</v>
      </c>
      <c r="L15" s="46">
        <v>2013</v>
      </c>
      <c r="M15" s="41">
        <v>1.7549999999999999</v>
      </c>
      <c r="N15" s="54" t="s">
        <v>575</v>
      </c>
      <c r="O15" s="54" t="s">
        <v>576</v>
      </c>
      <c r="P15" s="61"/>
      <c r="Q15" s="61"/>
      <c r="R15" s="61"/>
      <c r="S15" s="61"/>
      <c r="T15" s="61" t="s">
        <v>577</v>
      </c>
      <c r="U15" s="265">
        <v>0.13639999999999999</v>
      </c>
      <c r="V15" s="63">
        <f t="shared" si="2"/>
        <v>2096.98632</v>
      </c>
      <c r="W15" s="61"/>
      <c r="X15" s="61"/>
      <c r="Y15" s="40" t="s">
        <v>84</v>
      </c>
      <c r="Z15" s="61">
        <v>1</v>
      </c>
      <c r="AA15" s="85" t="str">
        <f>VLOOKUP(Y15,Source!F:F,1,FALSE)</f>
        <v>Cape Cod Comm. College</v>
      </c>
    </row>
    <row r="16" spans="1:27" x14ac:dyDescent="0.2">
      <c r="A16" s="61" t="str">
        <f t="shared" si="0"/>
        <v>Cape Cod Comm. College2</v>
      </c>
      <c r="B16" s="384" t="s">
        <v>568</v>
      </c>
      <c r="C16" s="61" t="s">
        <v>611</v>
      </c>
      <c r="D16" s="56" t="s">
        <v>612</v>
      </c>
      <c r="E16" s="40" t="s">
        <v>608</v>
      </c>
      <c r="F16" s="41">
        <v>661.5</v>
      </c>
      <c r="G16" s="56" t="s">
        <v>609</v>
      </c>
      <c r="H16" s="42" t="s">
        <v>610</v>
      </c>
      <c r="I16" s="43" t="s">
        <v>574</v>
      </c>
      <c r="J16" s="44">
        <v>2668</v>
      </c>
      <c r="K16" s="45">
        <v>41233</v>
      </c>
      <c r="L16" s="46">
        <v>2013</v>
      </c>
      <c r="M16" s="41">
        <v>661.5</v>
      </c>
      <c r="N16" s="54" t="s">
        <v>575</v>
      </c>
      <c r="O16" s="54" t="s">
        <v>576</v>
      </c>
      <c r="P16" s="61"/>
      <c r="Q16" s="61"/>
      <c r="R16" s="61"/>
      <c r="S16" s="61"/>
      <c r="T16" s="61" t="s">
        <v>577</v>
      </c>
      <c r="U16" s="265">
        <v>0.13639999999999999</v>
      </c>
      <c r="V16" s="63">
        <f t="shared" si="2"/>
        <v>790402.53599999996</v>
      </c>
      <c r="W16" s="61"/>
      <c r="X16" s="61"/>
      <c r="Y16" s="40" t="s">
        <v>84</v>
      </c>
      <c r="Z16" s="61">
        <v>2</v>
      </c>
      <c r="AA16" s="85" t="str">
        <f>VLOOKUP(Y16,Source!F:F,1,FALSE)</f>
        <v>Cape Cod Comm. College</v>
      </c>
    </row>
    <row r="17" spans="1:27" x14ac:dyDescent="0.2">
      <c r="A17" s="61" t="str">
        <f t="shared" si="0"/>
        <v>Cape Cod Comm. College3</v>
      </c>
      <c r="B17" s="384" t="s">
        <v>568</v>
      </c>
      <c r="C17" s="61" t="s">
        <v>569</v>
      </c>
      <c r="D17" s="56" t="s">
        <v>613</v>
      </c>
      <c r="E17" s="40" t="s">
        <v>614</v>
      </c>
      <c r="F17" s="41">
        <v>2.5</v>
      </c>
      <c r="G17" s="56" t="s">
        <v>609</v>
      </c>
      <c r="H17" s="42" t="s">
        <v>610</v>
      </c>
      <c r="I17" s="43" t="s">
        <v>574</v>
      </c>
      <c r="J17" s="44">
        <v>2668</v>
      </c>
      <c r="K17" s="45">
        <v>38572</v>
      </c>
      <c r="L17" s="46">
        <v>2013</v>
      </c>
      <c r="M17" s="41">
        <v>2.5</v>
      </c>
      <c r="N17" s="54" t="s">
        <v>575</v>
      </c>
      <c r="O17" s="54" t="s">
        <v>576</v>
      </c>
      <c r="P17" s="61"/>
      <c r="Q17" s="61"/>
      <c r="R17" s="61"/>
      <c r="S17" s="61"/>
      <c r="T17" s="61" t="s">
        <v>577</v>
      </c>
      <c r="U17" s="265">
        <v>0.13639999999999999</v>
      </c>
      <c r="V17" s="63">
        <f t="shared" si="2"/>
        <v>2987.16</v>
      </c>
      <c r="W17" s="61"/>
      <c r="X17" s="61"/>
      <c r="Y17" s="40" t="s">
        <v>84</v>
      </c>
      <c r="Z17" s="61">
        <v>3</v>
      </c>
      <c r="AA17" s="85" t="str">
        <f>VLOOKUP(Y17,Source!F:F,1,FALSE)</f>
        <v>Cape Cod Comm. College</v>
      </c>
    </row>
    <row r="18" spans="1:27" x14ac:dyDescent="0.2">
      <c r="A18" s="61" t="str">
        <f t="shared" si="0"/>
        <v>Cape Cod Comm. College4</v>
      </c>
      <c r="B18" s="384" t="s">
        <v>568</v>
      </c>
      <c r="C18" s="61" t="s">
        <v>569</v>
      </c>
      <c r="D18" s="56" t="s">
        <v>615</v>
      </c>
      <c r="E18" s="40" t="s">
        <v>616</v>
      </c>
      <c r="F18" s="41">
        <v>2.52</v>
      </c>
      <c r="G18" s="56" t="s">
        <v>609</v>
      </c>
      <c r="H18" s="42" t="s">
        <v>610</v>
      </c>
      <c r="I18" s="43" t="s">
        <v>574</v>
      </c>
      <c r="J18" s="44">
        <v>2668</v>
      </c>
      <c r="K18" s="45">
        <v>39251</v>
      </c>
      <c r="L18" s="46">
        <v>2013</v>
      </c>
      <c r="M18" s="41">
        <v>2.52</v>
      </c>
      <c r="N18" s="54" t="s">
        <v>575</v>
      </c>
      <c r="O18" s="54" t="s">
        <v>576</v>
      </c>
      <c r="P18" s="61"/>
      <c r="Q18" s="61"/>
      <c r="R18" s="61"/>
      <c r="S18" s="61"/>
      <c r="T18" s="61" t="s">
        <v>577</v>
      </c>
      <c r="U18" s="265">
        <v>0.13639999999999999</v>
      </c>
      <c r="V18" s="63">
        <f t="shared" si="2"/>
        <v>3011.05728</v>
      </c>
      <c r="W18" s="61"/>
      <c r="X18" s="61"/>
      <c r="Y18" s="40" t="s">
        <v>84</v>
      </c>
      <c r="Z18" s="61">
        <v>4</v>
      </c>
      <c r="AA18" s="85" t="str">
        <f>VLOOKUP(Y18,Source!F:F,1,FALSE)</f>
        <v>Cape Cod Comm. College</v>
      </c>
    </row>
    <row r="19" spans="1:27" x14ac:dyDescent="0.2">
      <c r="A19" s="61" t="str">
        <f t="shared" si="0"/>
        <v>Cape Cod Comm. College5</v>
      </c>
      <c r="B19" s="384" t="s">
        <v>568</v>
      </c>
      <c r="C19" s="61" t="s">
        <v>569</v>
      </c>
      <c r="D19" s="56" t="s">
        <v>617</v>
      </c>
      <c r="E19" s="40" t="s">
        <v>618</v>
      </c>
      <c r="F19" s="41">
        <v>25.73</v>
      </c>
      <c r="G19" s="56" t="s">
        <v>609</v>
      </c>
      <c r="H19" s="42" t="s">
        <v>610</v>
      </c>
      <c r="I19" s="43" t="s">
        <v>574</v>
      </c>
      <c r="J19" s="44">
        <v>2668</v>
      </c>
      <c r="K19" s="45">
        <v>38718</v>
      </c>
      <c r="L19" s="46">
        <v>2006</v>
      </c>
      <c r="M19" s="41">
        <v>25.73</v>
      </c>
      <c r="N19" s="54" t="s">
        <v>575</v>
      </c>
      <c r="O19" s="54" t="s">
        <v>576</v>
      </c>
      <c r="P19" s="61"/>
      <c r="Q19" s="61"/>
      <c r="R19" s="61"/>
      <c r="S19" s="61"/>
      <c r="T19" s="61" t="s">
        <v>577</v>
      </c>
      <c r="U19" s="265">
        <v>0.13639999999999999</v>
      </c>
      <c r="V19" s="63">
        <f t="shared" si="2"/>
        <v>30743.850720000002</v>
      </c>
      <c r="W19" s="61"/>
      <c r="X19" s="61"/>
      <c r="Y19" s="40" t="s">
        <v>84</v>
      </c>
      <c r="Z19" s="61">
        <v>5</v>
      </c>
      <c r="AA19" s="85" t="str">
        <f>VLOOKUP(Y19,Source!F:F,1,FALSE)</f>
        <v>Cape Cod Comm. College</v>
      </c>
    </row>
    <row r="20" spans="1:27" ht="16" x14ac:dyDescent="0.2">
      <c r="A20" s="61" t="str">
        <f t="shared" si="0"/>
        <v>Chelsea Soldier's Home1</v>
      </c>
      <c r="B20" s="384" t="s">
        <v>568</v>
      </c>
      <c r="C20" s="61" t="s">
        <v>569</v>
      </c>
      <c r="D20" s="56" t="s">
        <v>619</v>
      </c>
      <c r="E20" s="47" t="s">
        <v>620</v>
      </c>
      <c r="F20" s="41">
        <v>58.5</v>
      </c>
      <c r="G20" s="56" t="s">
        <v>621</v>
      </c>
      <c r="H20" s="47" t="s">
        <v>622</v>
      </c>
      <c r="I20" s="61" t="s">
        <v>574</v>
      </c>
      <c r="J20" s="44">
        <v>2150</v>
      </c>
      <c r="K20" s="45">
        <v>40544</v>
      </c>
      <c r="L20" s="46">
        <v>2008</v>
      </c>
      <c r="M20" s="41">
        <v>58.5</v>
      </c>
      <c r="N20" s="61" t="s">
        <v>623</v>
      </c>
      <c r="O20" s="61" t="s">
        <v>576</v>
      </c>
      <c r="P20" s="61"/>
      <c r="Q20" s="61"/>
      <c r="R20" s="61"/>
      <c r="S20" s="61"/>
      <c r="T20" s="61" t="s">
        <v>577</v>
      </c>
      <c r="U20" s="265">
        <v>0.13639999999999999</v>
      </c>
      <c r="V20" s="63">
        <f t="shared" ref="V20:V30" si="3">M20*8760*U20</f>
        <v>69899.543999999994</v>
      </c>
      <c r="W20" s="384"/>
      <c r="X20" s="384"/>
      <c r="Y20" s="605" t="s">
        <v>97</v>
      </c>
      <c r="Z20" s="61">
        <v>1</v>
      </c>
      <c r="AA20" s="85" t="str">
        <f>VLOOKUP(Y20,Source!F:F,1,FALSE)</f>
        <v>Chelsea Soldier's Home</v>
      </c>
    </row>
    <row r="21" spans="1:27" ht="16" x14ac:dyDescent="0.2">
      <c r="A21" s="61" t="str">
        <f t="shared" si="0"/>
        <v>Dept. of Conservation and Recreation1</v>
      </c>
      <c r="B21" s="384" t="s">
        <v>568</v>
      </c>
      <c r="C21" s="61" t="s">
        <v>569</v>
      </c>
      <c r="D21" s="56"/>
      <c r="E21" s="47" t="s">
        <v>624</v>
      </c>
      <c r="F21" s="41">
        <v>31.5</v>
      </c>
      <c r="G21" s="61" t="s">
        <v>625</v>
      </c>
      <c r="H21" s="47" t="s">
        <v>604</v>
      </c>
      <c r="I21" s="61" t="s">
        <v>574</v>
      </c>
      <c r="J21" s="44"/>
      <c r="K21" s="45"/>
      <c r="L21" s="46">
        <v>2012</v>
      </c>
      <c r="M21" s="41">
        <v>31.5</v>
      </c>
      <c r="N21" s="54" t="s">
        <v>626</v>
      </c>
      <c r="O21" s="54" t="s">
        <v>576</v>
      </c>
      <c r="P21" s="61"/>
      <c r="Q21" s="61"/>
      <c r="R21" s="61"/>
      <c r="S21" s="61"/>
      <c r="T21" s="61" t="s">
        <v>577</v>
      </c>
      <c r="U21" s="265">
        <v>0.13639999999999999</v>
      </c>
      <c r="V21" s="63">
        <f t="shared" si="3"/>
        <v>37638.216</v>
      </c>
      <c r="W21" s="61"/>
      <c r="X21" s="61"/>
      <c r="Y21" s="65" t="s">
        <v>98</v>
      </c>
      <c r="Z21" s="61">
        <v>1</v>
      </c>
      <c r="AA21" s="85" t="str">
        <f>VLOOKUP(Y21,Source!F:F,1,FALSE)</f>
        <v>Dept. of Conservation and Recreation</v>
      </c>
    </row>
    <row r="22" spans="1:27" ht="16" x14ac:dyDescent="0.2">
      <c r="A22" s="61" t="str">
        <f t="shared" si="0"/>
        <v>Dept. of Conservation and Recreation2</v>
      </c>
      <c r="B22" s="384" t="s">
        <v>568</v>
      </c>
      <c r="C22" s="61" t="s">
        <v>569</v>
      </c>
      <c r="D22" s="56"/>
      <c r="E22" s="47" t="s">
        <v>627</v>
      </c>
      <c r="F22" s="41">
        <v>8</v>
      </c>
      <c r="G22" s="61" t="s">
        <v>625</v>
      </c>
      <c r="H22" s="47" t="s">
        <v>604</v>
      </c>
      <c r="I22" s="61" t="s">
        <v>574</v>
      </c>
      <c r="J22" s="44"/>
      <c r="K22" s="45"/>
      <c r="L22" s="46">
        <v>2012</v>
      </c>
      <c r="M22" s="41">
        <v>8</v>
      </c>
      <c r="N22" s="54" t="s">
        <v>626</v>
      </c>
      <c r="O22" s="54" t="s">
        <v>576</v>
      </c>
      <c r="P22" s="61"/>
      <c r="Q22" s="61"/>
      <c r="R22" s="61"/>
      <c r="S22" s="61"/>
      <c r="T22" s="61" t="s">
        <v>577</v>
      </c>
      <c r="U22" s="265">
        <v>0.13639999999999999</v>
      </c>
      <c r="V22" s="63">
        <f t="shared" si="3"/>
        <v>9558.9120000000003</v>
      </c>
      <c r="W22" s="61"/>
      <c r="X22" s="61"/>
      <c r="Y22" s="65" t="s">
        <v>98</v>
      </c>
      <c r="Z22" s="61">
        <v>2</v>
      </c>
      <c r="AA22" s="85" t="str">
        <f>VLOOKUP(Y22,Source!F:F,1,FALSE)</f>
        <v>Dept. of Conservation and Recreation</v>
      </c>
    </row>
    <row r="23" spans="1:27" ht="16" x14ac:dyDescent="0.2">
      <c r="A23" s="61" t="str">
        <f t="shared" si="0"/>
        <v>Dept. of Conservation and Recreation3</v>
      </c>
      <c r="B23" s="384" t="s">
        <v>568</v>
      </c>
      <c r="C23" s="47" t="s">
        <v>611</v>
      </c>
      <c r="D23" s="56"/>
      <c r="E23" s="47" t="s">
        <v>628</v>
      </c>
      <c r="F23" s="41">
        <v>19</v>
      </c>
      <c r="G23" s="61" t="s">
        <v>629</v>
      </c>
      <c r="H23" s="47" t="s">
        <v>630</v>
      </c>
      <c r="I23" s="61" t="s">
        <v>574</v>
      </c>
      <c r="J23" s="44">
        <v>2536</v>
      </c>
      <c r="K23" s="45"/>
      <c r="L23" s="46">
        <v>2012</v>
      </c>
      <c r="M23" s="41">
        <v>19</v>
      </c>
      <c r="N23" s="54" t="s">
        <v>626</v>
      </c>
      <c r="O23" s="54" t="s">
        <v>576</v>
      </c>
      <c r="P23" s="61"/>
      <c r="Q23" s="61"/>
      <c r="R23" s="61"/>
      <c r="S23" s="61"/>
      <c r="T23" s="61" t="s">
        <v>577</v>
      </c>
      <c r="U23" s="265">
        <v>0.13639999999999999</v>
      </c>
      <c r="V23" s="63">
        <f t="shared" si="3"/>
        <v>22702.415999999997</v>
      </c>
      <c r="W23" s="61"/>
      <c r="X23" s="61"/>
      <c r="Y23" s="65" t="s">
        <v>98</v>
      </c>
      <c r="Z23" s="61">
        <v>3</v>
      </c>
      <c r="AA23" s="85" t="str">
        <f>VLOOKUP(Y23,Source!F:F,1,FALSE)</f>
        <v>Dept. of Conservation and Recreation</v>
      </c>
    </row>
    <row r="24" spans="1:27" ht="16" x14ac:dyDescent="0.2">
      <c r="A24" s="61" t="str">
        <f t="shared" si="0"/>
        <v>Dept. of Conservation and Recreation4</v>
      </c>
      <c r="B24" s="384" t="s">
        <v>568</v>
      </c>
      <c r="C24" s="61" t="s">
        <v>611</v>
      </c>
      <c r="D24" s="56" t="s">
        <v>631</v>
      </c>
      <c r="E24" s="40" t="s">
        <v>632</v>
      </c>
      <c r="F24" s="41">
        <v>47.8</v>
      </c>
      <c r="G24" s="42" t="s">
        <v>633</v>
      </c>
      <c r="H24" s="42" t="s">
        <v>634</v>
      </c>
      <c r="I24" s="43" t="s">
        <v>574</v>
      </c>
      <c r="J24" s="44">
        <v>2186</v>
      </c>
      <c r="K24" s="45">
        <v>40681</v>
      </c>
      <c r="L24" s="46">
        <v>2011</v>
      </c>
      <c r="M24" s="41">
        <v>47.8</v>
      </c>
      <c r="N24" s="54" t="s">
        <v>626</v>
      </c>
      <c r="O24" s="54" t="s">
        <v>576</v>
      </c>
      <c r="P24" s="61"/>
      <c r="Q24" s="61"/>
      <c r="R24" s="61"/>
      <c r="S24" s="61"/>
      <c r="T24" s="61" t="s">
        <v>577</v>
      </c>
      <c r="U24" s="265">
        <v>0.13639999999999999</v>
      </c>
      <c r="V24" s="63">
        <f t="shared" si="3"/>
        <v>57114.499199999998</v>
      </c>
      <c r="W24" s="61"/>
      <c r="X24" s="61"/>
      <c r="Y24" s="65" t="s">
        <v>98</v>
      </c>
      <c r="Z24" s="61">
        <v>4</v>
      </c>
      <c r="AA24" s="85" t="str">
        <f>VLOOKUP(Y24,Source!F:F,1,FALSE)</f>
        <v>Dept. of Conservation and Recreation</v>
      </c>
    </row>
    <row r="25" spans="1:27" ht="16" x14ac:dyDescent="0.2">
      <c r="A25" s="61" t="str">
        <f t="shared" si="0"/>
        <v>Dept. of Conservation and Recreation6</v>
      </c>
      <c r="B25" s="384" t="s">
        <v>568</v>
      </c>
      <c r="C25" s="54" t="s">
        <v>598</v>
      </c>
      <c r="D25" s="56"/>
      <c r="E25" s="47" t="s">
        <v>635</v>
      </c>
      <c r="F25" s="41">
        <v>105</v>
      </c>
      <c r="G25" s="61" t="s">
        <v>636</v>
      </c>
      <c r="H25" s="54" t="s">
        <v>637</v>
      </c>
      <c r="I25" s="61" t="s">
        <v>574</v>
      </c>
      <c r="J25" s="44"/>
      <c r="K25" s="45"/>
      <c r="L25" s="46">
        <v>2015</v>
      </c>
      <c r="M25" s="41">
        <v>105</v>
      </c>
      <c r="N25" s="54" t="s">
        <v>626</v>
      </c>
      <c r="O25" s="54" t="s">
        <v>576</v>
      </c>
      <c r="P25" s="61"/>
      <c r="Q25" s="61"/>
      <c r="R25" s="61"/>
      <c r="S25" s="61"/>
      <c r="T25" s="61" t="s">
        <v>577</v>
      </c>
      <c r="U25" s="265">
        <v>0.13639999999999999</v>
      </c>
      <c r="V25" s="63">
        <f t="shared" si="3"/>
        <v>125460.72</v>
      </c>
      <c r="W25" s="61"/>
      <c r="X25" s="61"/>
      <c r="Y25" s="65" t="s">
        <v>98</v>
      </c>
      <c r="Z25" s="61">
        <v>6</v>
      </c>
      <c r="AA25" s="85" t="str">
        <f>VLOOKUP(Y25,Source!F:F,1,FALSE)</f>
        <v>Dept. of Conservation and Recreation</v>
      </c>
    </row>
    <row r="26" spans="1:27" s="430" customFormat="1" x14ac:dyDescent="0.2">
      <c r="A26" s="417" t="str">
        <f t="shared" si="0"/>
        <v>Dept. of Correction1</v>
      </c>
      <c r="B26" s="418" t="s">
        <v>568</v>
      </c>
      <c r="C26" s="431" t="s">
        <v>611</v>
      </c>
      <c r="D26" s="419"/>
      <c r="E26" s="427" t="s">
        <v>638</v>
      </c>
      <c r="F26" s="421">
        <v>112</v>
      </c>
      <c r="G26" s="418" t="s">
        <v>639</v>
      </c>
      <c r="H26" s="431" t="s">
        <v>588</v>
      </c>
      <c r="I26" s="417" t="s">
        <v>574</v>
      </c>
      <c r="J26" s="424">
        <v>2324</v>
      </c>
      <c r="K26" s="425"/>
      <c r="L26" s="426">
        <v>2008</v>
      </c>
      <c r="M26" s="421">
        <v>112</v>
      </c>
      <c r="N26" s="427" t="s">
        <v>640</v>
      </c>
      <c r="O26" s="427" t="s">
        <v>576</v>
      </c>
      <c r="P26" s="418"/>
      <c r="Q26" s="418"/>
      <c r="R26" s="418"/>
      <c r="S26" s="418"/>
      <c r="T26" s="417" t="s">
        <v>577</v>
      </c>
      <c r="U26" s="428">
        <v>0.13639999999999999</v>
      </c>
      <c r="V26" s="429">
        <f t="shared" si="3"/>
        <v>133824.76799999998</v>
      </c>
      <c r="W26" s="431" t="s">
        <v>641</v>
      </c>
      <c r="X26" s="418"/>
      <c r="Y26" s="427" t="s">
        <v>99</v>
      </c>
      <c r="Z26" s="417">
        <v>1</v>
      </c>
      <c r="AA26" s="430" t="str">
        <f>VLOOKUP(Y26,Source!F:F,1,FALSE)</f>
        <v>Dept. of Correction</v>
      </c>
    </row>
    <row r="27" spans="1:27" s="430" customFormat="1" x14ac:dyDescent="0.2">
      <c r="A27" s="417" t="str">
        <f t="shared" si="0"/>
        <v>Dept. of Correction10</v>
      </c>
      <c r="B27" s="418" t="s">
        <v>568</v>
      </c>
      <c r="C27" s="431" t="s">
        <v>399</v>
      </c>
      <c r="D27" s="419"/>
      <c r="E27" s="427" t="s">
        <v>642</v>
      </c>
      <c r="F27" s="421">
        <v>103</v>
      </c>
      <c r="G27" s="418" t="s">
        <v>643</v>
      </c>
      <c r="H27" s="431" t="s">
        <v>644</v>
      </c>
      <c r="I27" s="417" t="s">
        <v>574</v>
      </c>
      <c r="J27" s="458">
        <v>2056</v>
      </c>
      <c r="K27" s="425"/>
      <c r="L27" s="426">
        <v>2008</v>
      </c>
      <c r="M27" s="421">
        <v>106</v>
      </c>
      <c r="N27" s="427" t="s">
        <v>640</v>
      </c>
      <c r="O27" s="427" t="s">
        <v>576</v>
      </c>
      <c r="P27" s="418"/>
      <c r="Q27" s="418"/>
      <c r="R27" s="418"/>
      <c r="S27" s="418"/>
      <c r="T27" s="417" t="s">
        <v>577</v>
      </c>
      <c r="U27" s="428">
        <v>0.13639999999999999</v>
      </c>
      <c r="V27" s="429">
        <f t="shared" si="3"/>
        <v>126655.58399999999</v>
      </c>
      <c r="W27" s="431" t="s">
        <v>645</v>
      </c>
      <c r="X27" s="418"/>
      <c r="Y27" s="427" t="s">
        <v>99</v>
      </c>
      <c r="Z27" s="417">
        <v>10</v>
      </c>
      <c r="AA27" s="430" t="str">
        <f>VLOOKUP(Y27,Source!F:F,1,FALSE)</f>
        <v>Dept. of Correction</v>
      </c>
    </row>
    <row r="28" spans="1:27" s="430" customFormat="1" x14ac:dyDescent="0.2">
      <c r="A28" s="417" t="str">
        <f t="shared" si="0"/>
        <v>Dept. of Correction11</v>
      </c>
      <c r="B28" s="418" t="s">
        <v>568</v>
      </c>
      <c r="C28" s="417" t="s">
        <v>611</v>
      </c>
      <c r="D28" s="419" t="s">
        <v>646</v>
      </c>
      <c r="E28" s="459" t="s">
        <v>1622</v>
      </c>
      <c r="F28" s="421">
        <v>206</v>
      </c>
      <c r="G28" s="460" t="s">
        <v>647</v>
      </c>
      <c r="H28" s="460" t="s">
        <v>648</v>
      </c>
      <c r="I28" s="423" t="s">
        <v>574</v>
      </c>
      <c r="J28" s="424">
        <v>1464</v>
      </c>
      <c r="K28" s="425">
        <v>40688</v>
      </c>
      <c r="L28" s="426">
        <v>2011</v>
      </c>
      <c r="M28" s="421">
        <v>206</v>
      </c>
      <c r="N28" s="427" t="s">
        <v>640</v>
      </c>
      <c r="O28" s="427" t="s">
        <v>576</v>
      </c>
      <c r="P28" s="417"/>
      <c r="Q28" s="417"/>
      <c r="R28" s="417"/>
      <c r="S28" s="417"/>
      <c r="T28" s="417" t="s">
        <v>577</v>
      </c>
      <c r="U28" s="428">
        <v>0.13639999999999999</v>
      </c>
      <c r="V28" s="429">
        <f t="shared" si="3"/>
        <v>246141.984</v>
      </c>
      <c r="W28" s="417"/>
      <c r="X28" s="417"/>
      <c r="Y28" s="427" t="s">
        <v>99</v>
      </c>
      <c r="Z28" s="417">
        <v>11</v>
      </c>
      <c r="AA28" s="430" t="str">
        <f>VLOOKUP(Y28,Source!F:F,1,FALSE)</f>
        <v>Dept. of Correction</v>
      </c>
    </row>
    <row r="29" spans="1:27" s="430" customFormat="1" x14ac:dyDescent="0.2">
      <c r="A29" s="417" t="str">
        <f t="shared" si="0"/>
        <v>Dept. of Correction12</v>
      </c>
      <c r="B29" s="418" t="s">
        <v>568</v>
      </c>
      <c r="C29" s="417" t="s">
        <v>569</v>
      </c>
      <c r="D29" s="419" t="s">
        <v>649</v>
      </c>
      <c r="E29" s="459" t="s">
        <v>650</v>
      </c>
      <c r="F29" s="421">
        <v>103.04</v>
      </c>
      <c r="G29" s="460" t="s">
        <v>651</v>
      </c>
      <c r="H29" s="460" t="s">
        <v>652</v>
      </c>
      <c r="I29" s="423" t="s">
        <v>574</v>
      </c>
      <c r="J29" s="458">
        <v>2071</v>
      </c>
      <c r="K29" s="425">
        <v>40736</v>
      </c>
      <c r="L29" s="426">
        <v>2011</v>
      </c>
      <c r="M29" s="421">
        <v>103.04</v>
      </c>
      <c r="N29" s="427" t="s">
        <v>640</v>
      </c>
      <c r="O29" s="427" t="s">
        <v>576</v>
      </c>
      <c r="P29" s="417"/>
      <c r="Q29" s="417"/>
      <c r="R29" s="417"/>
      <c r="S29" s="417"/>
      <c r="T29" s="417" t="s">
        <v>577</v>
      </c>
      <c r="U29" s="428">
        <v>0.13639999999999999</v>
      </c>
      <c r="V29" s="429">
        <f t="shared" si="3"/>
        <v>123118.78655999999</v>
      </c>
      <c r="W29" s="417"/>
      <c r="X29" s="417"/>
      <c r="Y29" s="427" t="s">
        <v>99</v>
      </c>
      <c r="Z29" s="417">
        <v>12</v>
      </c>
      <c r="AA29" s="430" t="str">
        <f>VLOOKUP(Y29,Source!F:F,1,FALSE)</f>
        <v>Dept. of Correction</v>
      </c>
    </row>
    <row r="30" spans="1:27" s="430" customFormat="1" x14ac:dyDescent="0.2">
      <c r="A30" s="417" t="str">
        <f t="shared" si="0"/>
        <v>Dept. of Correction13</v>
      </c>
      <c r="B30" s="418" t="s">
        <v>568</v>
      </c>
      <c r="C30" s="417" t="s">
        <v>569</v>
      </c>
      <c r="D30" s="419"/>
      <c r="E30" s="427" t="s">
        <v>1619</v>
      </c>
      <c r="F30" s="421">
        <v>61</v>
      </c>
      <c r="G30" s="418" t="s">
        <v>653</v>
      </c>
      <c r="H30" s="431" t="s">
        <v>652</v>
      </c>
      <c r="I30" s="417" t="s">
        <v>574</v>
      </c>
      <c r="J30" s="424">
        <v>2081</v>
      </c>
      <c r="K30" s="425"/>
      <c r="L30" s="426">
        <v>2008</v>
      </c>
      <c r="M30" s="421">
        <v>61</v>
      </c>
      <c r="N30" s="427" t="s">
        <v>640</v>
      </c>
      <c r="O30" s="427" t="s">
        <v>576</v>
      </c>
      <c r="P30" s="418"/>
      <c r="Q30" s="418"/>
      <c r="R30" s="418"/>
      <c r="S30" s="418"/>
      <c r="T30" s="417" t="s">
        <v>577</v>
      </c>
      <c r="U30" s="428">
        <v>0.13639999999999999</v>
      </c>
      <c r="V30" s="429">
        <f t="shared" si="3"/>
        <v>72886.703999999998</v>
      </c>
      <c r="W30" s="431" t="s">
        <v>654</v>
      </c>
      <c r="X30" s="418"/>
      <c r="Y30" s="427" t="s">
        <v>99</v>
      </c>
      <c r="Z30" s="417">
        <v>13</v>
      </c>
      <c r="AA30" s="430" t="str">
        <f>VLOOKUP(Y30,Source!F:F,1,FALSE)</f>
        <v>Dept. of Correction</v>
      </c>
    </row>
    <row r="31" spans="1:27" s="430" customFormat="1" x14ac:dyDescent="0.2">
      <c r="A31" s="417" t="str">
        <f t="shared" ref="A31:A61" si="4">Y31&amp;Z31</f>
        <v>Dept. of Correction2</v>
      </c>
      <c r="B31" s="418" t="s">
        <v>590</v>
      </c>
      <c r="C31" s="431" t="s">
        <v>591</v>
      </c>
      <c r="D31" s="419"/>
      <c r="E31" s="431" t="s">
        <v>1620</v>
      </c>
      <c r="F31" s="421">
        <v>1400</v>
      </c>
      <c r="G31" s="418" t="s">
        <v>639</v>
      </c>
      <c r="H31" s="431" t="s">
        <v>588</v>
      </c>
      <c r="I31" s="417" t="s">
        <v>574</v>
      </c>
      <c r="J31" s="424">
        <v>2324</v>
      </c>
      <c r="K31" s="425"/>
      <c r="L31" s="426">
        <v>2010</v>
      </c>
      <c r="M31" s="421">
        <v>1400</v>
      </c>
      <c r="N31" s="443" t="s">
        <v>640</v>
      </c>
      <c r="O31" s="427" t="s">
        <v>576</v>
      </c>
      <c r="P31" s="432"/>
      <c r="Q31" s="433"/>
      <c r="R31" s="417"/>
      <c r="S31" s="417"/>
      <c r="T31" s="417" t="s">
        <v>577</v>
      </c>
      <c r="U31" s="417"/>
      <c r="V31" s="417"/>
      <c r="W31" s="431" t="s">
        <v>655</v>
      </c>
      <c r="X31" s="417"/>
      <c r="Y31" s="427" t="s">
        <v>99</v>
      </c>
      <c r="Z31" s="417">
        <v>2</v>
      </c>
      <c r="AA31" s="430" t="str">
        <f>VLOOKUP(Y31,Source!F:F,1,FALSE)</f>
        <v>Dept. of Correction</v>
      </c>
    </row>
    <row r="32" spans="1:27" s="430" customFormat="1" x14ac:dyDescent="0.2">
      <c r="A32" s="417" t="str">
        <f t="shared" si="4"/>
        <v>Dept. of Correction3</v>
      </c>
      <c r="B32" s="418" t="s">
        <v>568</v>
      </c>
      <c r="C32" s="417" t="s">
        <v>611</v>
      </c>
      <c r="D32" s="419" t="s">
        <v>656</v>
      </c>
      <c r="E32" s="459" t="s">
        <v>657</v>
      </c>
      <c r="F32" s="421">
        <v>103.03</v>
      </c>
      <c r="G32" s="460" t="s">
        <v>658</v>
      </c>
      <c r="H32" s="460" t="s">
        <v>637</v>
      </c>
      <c r="I32" s="423" t="s">
        <v>574</v>
      </c>
      <c r="J32" s="424">
        <v>1742</v>
      </c>
      <c r="K32" s="425">
        <v>40515</v>
      </c>
      <c r="L32" s="426">
        <v>2011</v>
      </c>
      <c r="M32" s="421">
        <v>103.03</v>
      </c>
      <c r="N32" s="427" t="s">
        <v>640</v>
      </c>
      <c r="O32" s="427" t="s">
        <v>576</v>
      </c>
      <c r="P32" s="417"/>
      <c r="Q32" s="417"/>
      <c r="R32" s="417"/>
      <c r="S32" s="417"/>
      <c r="T32" s="417" t="s">
        <v>577</v>
      </c>
      <c r="U32" s="428">
        <v>0.13639999999999999</v>
      </c>
      <c r="V32" s="429">
        <f t="shared" ref="V32:V38" si="5">M32*8760*U32</f>
        <v>123106.83792000001</v>
      </c>
      <c r="W32" s="417"/>
      <c r="X32" s="417"/>
      <c r="Y32" s="427" t="s">
        <v>99</v>
      </c>
      <c r="Z32" s="417">
        <v>3</v>
      </c>
      <c r="AA32" s="430" t="str">
        <f>VLOOKUP(Y32,Source!F:F,1,FALSE)</f>
        <v>Dept. of Correction</v>
      </c>
    </row>
    <row r="33" spans="1:27" s="430" customFormat="1" x14ac:dyDescent="0.2">
      <c r="A33" s="417" t="str">
        <f t="shared" si="4"/>
        <v>Dept. of Correction4</v>
      </c>
      <c r="B33" s="418" t="s">
        <v>568</v>
      </c>
      <c r="C33" s="417" t="s">
        <v>611</v>
      </c>
      <c r="D33" s="419"/>
      <c r="E33" s="427" t="s">
        <v>659</v>
      </c>
      <c r="F33" s="421">
        <v>60</v>
      </c>
      <c r="G33" s="418" t="s">
        <v>660</v>
      </c>
      <c r="H33" s="431" t="s">
        <v>637</v>
      </c>
      <c r="I33" s="417" t="s">
        <v>574</v>
      </c>
      <c r="J33" s="424">
        <v>1742</v>
      </c>
      <c r="K33" s="425"/>
      <c r="L33" s="426">
        <v>2008</v>
      </c>
      <c r="M33" s="421">
        <v>60</v>
      </c>
      <c r="N33" s="427" t="s">
        <v>640</v>
      </c>
      <c r="O33" s="427" t="s">
        <v>576</v>
      </c>
      <c r="P33" s="418"/>
      <c r="Q33" s="418"/>
      <c r="R33" s="418"/>
      <c r="S33" s="418"/>
      <c r="T33" s="417" t="s">
        <v>577</v>
      </c>
      <c r="U33" s="428">
        <v>0.13639999999999999</v>
      </c>
      <c r="V33" s="429">
        <f t="shared" si="5"/>
        <v>71691.839999999997</v>
      </c>
      <c r="W33" s="431" t="s">
        <v>661</v>
      </c>
      <c r="X33" s="418"/>
      <c r="Y33" s="427" t="s">
        <v>99</v>
      </c>
      <c r="Z33" s="417">
        <v>4</v>
      </c>
      <c r="AA33" s="430" t="str">
        <f>VLOOKUP(Y33,Source!F:F,1,FALSE)</f>
        <v>Dept. of Correction</v>
      </c>
    </row>
    <row r="34" spans="1:27" s="430" customFormat="1" x14ac:dyDescent="0.2">
      <c r="A34" s="417" t="str">
        <f t="shared" si="4"/>
        <v>Dept. of Correction5</v>
      </c>
      <c r="B34" s="418" t="s">
        <v>568</v>
      </c>
      <c r="C34" s="417" t="s">
        <v>569</v>
      </c>
      <c r="D34" s="419"/>
      <c r="E34" s="431" t="s">
        <v>662</v>
      </c>
      <c r="F34" s="421">
        <v>4</v>
      </c>
      <c r="G34" s="418" t="s">
        <v>663</v>
      </c>
      <c r="H34" s="431" t="s">
        <v>664</v>
      </c>
      <c r="I34" s="417" t="s">
        <v>574</v>
      </c>
      <c r="J34" s="458">
        <v>1702</v>
      </c>
      <c r="K34" s="425"/>
      <c r="L34" s="426">
        <v>2008</v>
      </c>
      <c r="M34" s="421">
        <v>4</v>
      </c>
      <c r="N34" s="427" t="s">
        <v>640</v>
      </c>
      <c r="O34" s="427" t="s">
        <v>576</v>
      </c>
      <c r="P34" s="418"/>
      <c r="Q34" s="418"/>
      <c r="R34" s="418"/>
      <c r="S34" s="418"/>
      <c r="T34" s="417" t="s">
        <v>577</v>
      </c>
      <c r="U34" s="428">
        <v>0.13639999999999999</v>
      </c>
      <c r="V34" s="429">
        <f t="shared" si="5"/>
        <v>4779.4560000000001</v>
      </c>
      <c r="W34" s="431" t="s">
        <v>665</v>
      </c>
      <c r="X34" s="418"/>
      <c r="Y34" s="427" t="s">
        <v>99</v>
      </c>
      <c r="Z34" s="417">
        <v>5</v>
      </c>
      <c r="AA34" s="430" t="str">
        <f>VLOOKUP(Y34,Source!F:F,1,FALSE)</f>
        <v>Dept. of Correction</v>
      </c>
    </row>
    <row r="35" spans="1:27" s="430" customFormat="1" x14ac:dyDescent="0.2">
      <c r="A35" s="417" t="str">
        <f t="shared" si="4"/>
        <v>Dept. of Correction6</v>
      </c>
      <c r="B35" s="418" t="s">
        <v>568</v>
      </c>
      <c r="C35" s="417" t="s">
        <v>611</v>
      </c>
      <c r="D35" s="419"/>
      <c r="E35" s="427" t="s">
        <v>1621</v>
      </c>
      <c r="F35" s="421">
        <v>72</v>
      </c>
      <c r="G35" s="418" t="s">
        <v>666</v>
      </c>
      <c r="H35" s="431" t="s">
        <v>664</v>
      </c>
      <c r="I35" s="417" t="s">
        <v>574</v>
      </c>
      <c r="J35" s="458">
        <v>1702</v>
      </c>
      <c r="K35" s="425"/>
      <c r="L35" s="426">
        <v>2008</v>
      </c>
      <c r="M35" s="421">
        <v>72</v>
      </c>
      <c r="N35" s="427" t="s">
        <v>640</v>
      </c>
      <c r="O35" s="427" t="s">
        <v>576</v>
      </c>
      <c r="P35" s="418"/>
      <c r="Q35" s="418"/>
      <c r="R35" s="418"/>
      <c r="S35" s="418"/>
      <c r="T35" s="417" t="s">
        <v>577</v>
      </c>
      <c r="U35" s="428">
        <v>0.13639999999999999</v>
      </c>
      <c r="V35" s="429">
        <f t="shared" si="5"/>
        <v>86030.207999999999</v>
      </c>
      <c r="W35" s="431" t="s">
        <v>667</v>
      </c>
      <c r="X35" s="418"/>
      <c r="Y35" s="427" t="s">
        <v>99</v>
      </c>
      <c r="Z35" s="417">
        <v>6</v>
      </c>
      <c r="AA35" s="430" t="str">
        <f>VLOOKUP(Y35,Source!F:F,1,FALSE)</f>
        <v>Dept. of Correction</v>
      </c>
    </row>
    <row r="36" spans="1:27" s="430" customFormat="1" x14ac:dyDescent="0.2">
      <c r="A36" s="417" t="str">
        <f t="shared" si="4"/>
        <v>Dept. of Correction7</v>
      </c>
      <c r="B36" s="418" t="s">
        <v>568</v>
      </c>
      <c r="C36" s="431" t="s">
        <v>402</v>
      </c>
      <c r="D36" s="419" t="s">
        <v>668</v>
      </c>
      <c r="E36" s="431" t="s">
        <v>669</v>
      </c>
      <c r="F36" s="421">
        <v>3300</v>
      </c>
      <c r="G36" s="417" t="s">
        <v>670</v>
      </c>
      <c r="H36" s="431" t="s">
        <v>671</v>
      </c>
      <c r="I36" s="461" t="s">
        <v>574</v>
      </c>
      <c r="J36" s="424">
        <v>1440</v>
      </c>
      <c r="K36" s="425">
        <v>41306</v>
      </c>
      <c r="L36" s="426">
        <v>2012</v>
      </c>
      <c r="M36" s="421">
        <v>3300</v>
      </c>
      <c r="N36" s="427" t="s">
        <v>640</v>
      </c>
      <c r="O36" s="427" t="s">
        <v>576</v>
      </c>
      <c r="P36" s="417"/>
      <c r="Q36" s="417"/>
      <c r="R36" s="417"/>
      <c r="S36" s="418"/>
      <c r="T36" s="417" t="s">
        <v>577</v>
      </c>
      <c r="U36" s="432">
        <v>0.26</v>
      </c>
      <c r="V36" s="429">
        <f t="shared" si="5"/>
        <v>7516080</v>
      </c>
      <c r="W36" s="431" t="s">
        <v>672</v>
      </c>
      <c r="X36" s="417"/>
      <c r="Y36" s="427" t="s">
        <v>99</v>
      </c>
      <c r="Z36" s="417">
        <v>7</v>
      </c>
      <c r="AA36" s="430" t="str">
        <f>VLOOKUP(Y36,Source!F:F,1,FALSE)</f>
        <v>Dept. of Correction</v>
      </c>
    </row>
    <row r="37" spans="1:27" s="430" customFormat="1" x14ac:dyDescent="0.2">
      <c r="A37" s="417" t="str">
        <f t="shared" si="4"/>
        <v>Dept. of Correction8</v>
      </c>
      <c r="B37" s="418" t="s">
        <v>568</v>
      </c>
      <c r="C37" s="417" t="s">
        <v>611</v>
      </c>
      <c r="D37" s="419" t="s">
        <v>673</v>
      </c>
      <c r="E37" s="459" t="s">
        <v>674</v>
      </c>
      <c r="F37" s="421">
        <v>80.5</v>
      </c>
      <c r="G37" s="460" t="s">
        <v>675</v>
      </c>
      <c r="H37" s="460" t="s">
        <v>644</v>
      </c>
      <c r="I37" s="423" t="s">
        <v>574</v>
      </c>
      <c r="J37" s="458">
        <v>2056</v>
      </c>
      <c r="K37" s="425">
        <v>40589</v>
      </c>
      <c r="L37" s="426">
        <v>2011</v>
      </c>
      <c r="M37" s="421">
        <v>80.5</v>
      </c>
      <c r="N37" s="427" t="s">
        <v>640</v>
      </c>
      <c r="O37" s="427" t="s">
        <v>576</v>
      </c>
      <c r="P37" s="417"/>
      <c r="Q37" s="417"/>
      <c r="R37" s="417"/>
      <c r="S37" s="417"/>
      <c r="T37" s="417" t="s">
        <v>577</v>
      </c>
      <c r="U37" s="428">
        <v>0.13639999999999999</v>
      </c>
      <c r="V37" s="429">
        <f t="shared" si="5"/>
        <v>96186.551999999996</v>
      </c>
      <c r="W37" s="417"/>
      <c r="X37" s="417"/>
      <c r="Y37" s="427" t="s">
        <v>99</v>
      </c>
      <c r="Z37" s="417">
        <v>8</v>
      </c>
      <c r="AA37" s="430" t="str">
        <f>VLOOKUP(Y37,Source!F:F,1,FALSE)</f>
        <v>Dept. of Correction</v>
      </c>
    </row>
    <row r="38" spans="1:27" s="430" customFormat="1" x14ac:dyDescent="0.2">
      <c r="A38" s="417" t="str">
        <f t="shared" si="4"/>
        <v>Dept. of Correction9</v>
      </c>
      <c r="B38" s="418" t="s">
        <v>568</v>
      </c>
      <c r="C38" s="417" t="s">
        <v>611</v>
      </c>
      <c r="D38" s="419" t="s">
        <v>676</v>
      </c>
      <c r="E38" s="459" t="s">
        <v>677</v>
      </c>
      <c r="F38" s="421">
        <v>154.6</v>
      </c>
      <c r="G38" s="460" t="s">
        <v>643</v>
      </c>
      <c r="H38" s="460" t="s">
        <v>644</v>
      </c>
      <c r="I38" s="423" t="s">
        <v>574</v>
      </c>
      <c r="J38" s="458">
        <v>2056</v>
      </c>
      <c r="K38" s="425">
        <v>40623</v>
      </c>
      <c r="L38" s="426">
        <v>2011</v>
      </c>
      <c r="M38" s="421">
        <v>154.6</v>
      </c>
      <c r="N38" s="427" t="s">
        <v>640</v>
      </c>
      <c r="O38" s="427" t="s">
        <v>576</v>
      </c>
      <c r="P38" s="417"/>
      <c r="Q38" s="417"/>
      <c r="R38" s="417"/>
      <c r="S38" s="417"/>
      <c r="T38" s="417" t="s">
        <v>577</v>
      </c>
      <c r="U38" s="428">
        <v>0.13639999999999999</v>
      </c>
      <c r="V38" s="429">
        <f t="shared" si="5"/>
        <v>184725.97439999998</v>
      </c>
      <c r="W38" s="417"/>
      <c r="X38" s="417"/>
      <c r="Y38" s="427" t="s">
        <v>99</v>
      </c>
      <c r="Z38" s="417">
        <v>9</v>
      </c>
      <c r="AA38" s="430" t="str">
        <f>VLOOKUP(Y38,Source!F:F,1,FALSE)</f>
        <v>Dept. of Correction</v>
      </c>
    </row>
    <row r="39" spans="1:27" x14ac:dyDescent="0.2">
      <c r="A39" s="61" t="str">
        <f t="shared" si="4"/>
        <v>Dept. of Developmental Services1</v>
      </c>
      <c r="B39" s="384" t="s">
        <v>590</v>
      </c>
      <c r="C39" s="47" t="s">
        <v>591</v>
      </c>
      <c r="D39" s="56" t="s">
        <v>678</v>
      </c>
      <c r="E39" s="54" t="s">
        <v>679</v>
      </c>
      <c r="F39" s="41">
        <v>625</v>
      </c>
      <c r="G39" s="61" t="s">
        <v>680</v>
      </c>
      <c r="H39" s="384" t="s">
        <v>681</v>
      </c>
      <c r="I39" s="61" t="s">
        <v>574</v>
      </c>
      <c r="J39" s="44">
        <v>2093</v>
      </c>
      <c r="K39" s="45">
        <v>41244</v>
      </c>
      <c r="L39" s="46">
        <v>2012</v>
      </c>
      <c r="M39" s="41">
        <v>625</v>
      </c>
      <c r="N39" s="50" t="s">
        <v>623</v>
      </c>
      <c r="O39" s="50" t="s">
        <v>576</v>
      </c>
      <c r="P39" s="59"/>
      <c r="Q39" s="60"/>
      <c r="R39" s="61"/>
      <c r="S39" s="61"/>
      <c r="T39" s="61" t="s">
        <v>577</v>
      </c>
      <c r="U39" s="61"/>
      <c r="V39" s="61"/>
      <c r="W39" s="54" t="s">
        <v>682</v>
      </c>
      <c r="X39" s="61"/>
      <c r="Y39" s="40" t="s">
        <v>108</v>
      </c>
      <c r="Z39" s="61">
        <v>1</v>
      </c>
      <c r="AA39" s="85" t="str">
        <f>VLOOKUP(Y39,Source!F:F,1,FALSE)</f>
        <v>Dept. of Developmental Services</v>
      </c>
    </row>
    <row r="40" spans="1:27" x14ac:dyDescent="0.2">
      <c r="A40" s="61" t="str">
        <f t="shared" si="4"/>
        <v>Dept. of Developmental Services2</v>
      </c>
      <c r="B40" s="384" t="s">
        <v>568</v>
      </c>
      <c r="C40" s="61" t="s">
        <v>611</v>
      </c>
      <c r="D40" s="56" t="s">
        <v>683</v>
      </c>
      <c r="E40" s="54" t="s">
        <v>679</v>
      </c>
      <c r="F40" s="41">
        <v>501.6</v>
      </c>
      <c r="G40" s="61" t="s">
        <v>680</v>
      </c>
      <c r="H40" s="47" t="s">
        <v>681</v>
      </c>
      <c r="I40" s="61" t="s">
        <v>574</v>
      </c>
      <c r="J40" s="44">
        <v>2093</v>
      </c>
      <c r="K40" s="45">
        <v>41338</v>
      </c>
      <c r="L40" s="46">
        <v>2013</v>
      </c>
      <c r="M40" s="41">
        <v>501.6</v>
      </c>
      <c r="N40" s="61" t="s">
        <v>623</v>
      </c>
      <c r="O40" s="50" t="s">
        <v>576</v>
      </c>
      <c r="P40" s="61"/>
      <c r="Q40" s="61"/>
      <c r="R40" s="61"/>
      <c r="S40" s="61"/>
      <c r="T40" s="61" t="s">
        <v>577</v>
      </c>
      <c r="U40" s="265">
        <v>0.13639999999999999</v>
      </c>
      <c r="V40" s="63">
        <f>M40*8760*U40</f>
        <v>599343.78240000003</v>
      </c>
      <c r="W40" s="61"/>
      <c r="X40" s="61"/>
      <c r="Y40" s="40" t="s">
        <v>108</v>
      </c>
      <c r="Z40" s="61">
        <v>2</v>
      </c>
      <c r="AA40" s="85" t="str">
        <f>VLOOKUP(Y40,Source!F:F,1,FALSE)</f>
        <v>Dept. of Developmental Services</v>
      </c>
    </row>
    <row r="41" spans="1:27" x14ac:dyDescent="0.2">
      <c r="A41" s="61" t="str">
        <f t="shared" si="4"/>
        <v>Dept. of Fire Services1</v>
      </c>
      <c r="B41" s="384" t="s">
        <v>568</v>
      </c>
      <c r="C41" s="61" t="s">
        <v>569</v>
      </c>
      <c r="D41" s="56"/>
      <c r="E41" s="54" t="s">
        <v>684</v>
      </c>
      <c r="F41" s="41">
        <v>72</v>
      </c>
      <c r="G41" s="384" t="s">
        <v>685</v>
      </c>
      <c r="H41" s="47" t="s">
        <v>686</v>
      </c>
      <c r="I41" s="61" t="s">
        <v>574</v>
      </c>
      <c r="J41" s="44">
        <v>1775</v>
      </c>
      <c r="K41" s="45"/>
      <c r="L41" s="46">
        <v>2010</v>
      </c>
      <c r="M41" s="41">
        <v>72</v>
      </c>
      <c r="N41" s="54" t="s">
        <v>626</v>
      </c>
      <c r="O41" s="50" t="s">
        <v>576</v>
      </c>
      <c r="P41" s="384"/>
      <c r="Q41" s="61"/>
      <c r="R41" s="61"/>
      <c r="S41" s="384"/>
      <c r="T41" s="61" t="s">
        <v>577</v>
      </c>
      <c r="U41" s="265">
        <v>0.13639999999999999</v>
      </c>
      <c r="V41" s="63">
        <f>M41*8760*U41</f>
        <v>86030.207999999999</v>
      </c>
      <c r="W41" s="47" t="s">
        <v>684</v>
      </c>
      <c r="X41" s="384"/>
      <c r="Y41" s="40" t="s">
        <v>109</v>
      </c>
      <c r="Z41" s="61">
        <v>1</v>
      </c>
      <c r="AA41" s="85" t="str">
        <f>VLOOKUP(Y41,Source!F:F,1,FALSE)</f>
        <v>Dept. of Fire Services</v>
      </c>
    </row>
    <row r="42" spans="1:27" ht="16" x14ac:dyDescent="0.2">
      <c r="A42" s="61" t="str">
        <f t="shared" si="4"/>
        <v>Dept. of Fish and Game1</v>
      </c>
      <c r="B42" s="384" t="s">
        <v>568</v>
      </c>
      <c r="C42" s="61" t="s">
        <v>569</v>
      </c>
      <c r="D42" s="56"/>
      <c r="E42" s="54" t="s">
        <v>687</v>
      </c>
      <c r="F42" s="41">
        <v>294</v>
      </c>
      <c r="G42" s="39" t="s">
        <v>688</v>
      </c>
      <c r="H42" s="86" t="s">
        <v>689</v>
      </c>
      <c r="I42" s="86" t="s">
        <v>574</v>
      </c>
      <c r="J42" s="44">
        <v>1581</v>
      </c>
      <c r="K42" s="86"/>
      <c r="L42" s="49">
        <v>2015</v>
      </c>
      <c r="M42" s="41">
        <v>294</v>
      </c>
      <c r="N42" s="54" t="s">
        <v>575</v>
      </c>
      <c r="O42" s="50" t="s">
        <v>576</v>
      </c>
      <c r="P42" s="61"/>
      <c r="Q42" s="61"/>
      <c r="R42" s="61"/>
      <c r="S42" s="384"/>
      <c r="T42" s="61" t="s">
        <v>577</v>
      </c>
      <c r="U42" s="265">
        <v>0.13639999999999999</v>
      </c>
      <c r="V42" s="63">
        <f>M42*8760*U42</f>
        <v>351290.016</v>
      </c>
      <c r="W42" s="47" t="s">
        <v>352</v>
      </c>
      <c r="X42" s="384"/>
      <c r="Y42" s="65" t="s">
        <v>110</v>
      </c>
      <c r="Z42" s="384">
        <v>1</v>
      </c>
      <c r="AA42" s="85" t="str">
        <f>VLOOKUP(Y42,Source!F:F,1,FALSE)</f>
        <v>Dept. of Fish and Game</v>
      </c>
    </row>
    <row r="43" spans="1:27" x14ac:dyDescent="0.2">
      <c r="A43" s="61" t="str">
        <f t="shared" si="4"/>
        <v>Dept. of Mental Health1</v>
      </c>
      <c r="B43" s="384" t="s">
        <v>590</v>
      </c>
      <c r="C43" s="47" t="s">
        <v>591</v>
      </c>
      <c r="D43" s="56" t="s">
        <v>690</v>
      </c>
      <c r="E43" s="55" t="s">
        <v>452</v>
      </c>
      <c r="F43" s="41">
        <v>250</v>
      </c>
      <c r="G43" s="56" t="s">
        <v>691</v>
      </c>
      <c r="H43" s="47" t="s">
        <v>692</v>
      </c>
      <c r="I43" s="61" t="s">
        <v>574</v>
      </c>
      <c r="J43" s="44">
        <v>1602</v>
      </c>
      <c r="K43" s="45">
        <v>41183</v>
      </c>
      <c r="L43" s="46">
        <v>2013</v>
      </c>
      <c r="M43" s="41">
        <v>250</v>
      </c>
      <c r="N43" s="61" t="s">
        <v>623</v>
      </c>
      <c r="O43" s="50" t="s">
        <v>576</v>
      </c>
      <c r="P43" s="61"/>
      <c r="Q43" s="61"/>
      <c r="R43" s="61"/>
      <c r="S43" s="61"/>
      <c r="T43" s="61" t="s">
        <v>577</v>
      </c>
      <c r="U43" s="61"/>
      <c r="V43" s="61"/>
      <c r="W43" s="61"/>
      <c r="X43" s="61"/>
      <c r="Y43" s="40" t="s">
        <v>111</v>
      </c>
      <c r="Z43" s="61">
        <v>1</v>
      </c>
      <c r="AA43" s="85" t="str">
        <f>VLOOKUP(Y43,Source!F:F,1,FALSE)</f>
        <v>Dept. of Mental Health</v>
      </c>
    </row>
    <row r="44" spans="1:27" x14ac:dyDescent="0.2">
      <c r="A44" s="61" t="str">
        <f t="shared" si="4"/>
        <v>DHCD Canton Housing Authority1</v>
      </c>
      <c r="B44" s="384" t="s">
        <v>568</v>
      </c>
      <c r="C44" s="61" t="s">
        <v>569</v>
      </c>
      <c r="D44" s="56" t="s">
        <v>693</v>
      </c>
      <c r="E44" s="40" t="s">
        <v>694</v>
      </c>
      <c r="F44" s="41">
        <v>51.07</v>
      </c>
      <c r="G44" s="56" t="s">
        <v>695</v>
      </c>
      <c r="H44" s="42" t="s">
        <v>696</v>
      </c>
      <c r="I44" s="43" t="s">
        <v>574</v>
      </c>
      <c r="J44" s="44">
        <v>2021</v>
      </c>
      <c r="K44" s="45">
        <v>40905</v>
      </c>
      <c r="L44" s="46">
        <v>2012</v>
      </c>
      <c r="M44" s="41">
        <v>51.07</v>
      </c>
      <c r="N44" s="61" t="s">
        <v>623</v>
      </c>
      <c r="O44" s="50" t="s">
        <v>576</v>
      </c>
      <c r="P44" s="61"/>
      <c r="Q44" s="61"/>
      <c r="R44" s="61"/>
      <c r="S44" s="61"/>
      <c r="T44" s="61" t="s">
        <v>577</v>
      </c>
      <c r="U44" s="265">
        <v>0.13639999999999999</v>
      </c>
      <c r="V44" s="63">
        <f>M44*8760*U44</f>
        <v>61021.70448</v>
      </c>
      <c r="W44" s="61"/>
      <c r="X44" s="61"/>
      <c r="Y44" s="64" t="s">
        <v>697</v>
      </c>
      <c r="Z44" s="61">
        <v>1</v>
      </c>
      <c r="AA44" s="85" t="e">
        <f>VLOOKUP(Y44,Source!F:F,1,FALSE)</f>
        <v>#N/A</v>
      </c>
    </row>
    <row r="45" spans="1:27" ht="16" x14ac:dyDescent="0.2">
      <c r="A45" s="61" t="str">
        <f t="shared" si="4"/>
        <v>Div. of Capital Asset Management1</v>
      </c>
      <c r="B45" s="384" t="s">
        <v>568</v>
      </c>
      <c r="C45" s="66" t="s">
        <v>399</v>
      </c>
      <c r="D45" s="56" t="s">
        <v>698</v>
      </c>
      <c r="E45" s="57" t="s">
        <v>699</v>
      </c>
      <c r="F45" s="41">
        <v>29.4</v>
      </c>
      <c r="G45" s="53" t="s">
        <v>700</v>
      </c>
      <c r="H45" s="53" t="s">
        <v>701</v>
      </c>
      <c r="I45" s="53" t="s">
        <v>574</v>
      </c>
      <c r="J45" s="44">
        <v>1523</v>
      </c>
      <c r="K45" s="45">
        <v>41023</v>
      </c>
      <c r="L45" s="46">
        <v>2012</v>
      </c>
      <c r="M45" s="41">
        <v>29.4</v>
      </c>
      <c r="N45" s="61" t="s">
        <v>606</v>
      </c>
      <c r="O45" s="50" t="s">
        <v>576</v>
      </c>
      <c r="P45" s="61"/>
      <c r="Q45" s="61"/>
      <c r="R45" s="61"/>
      <c r="S45" s="61"/>
      <c r="T45" s="61" t="s">
        <v>577</v>
      </c>
      <c r="U45" s="265">
        <v>0.13639999999999999</v>
      </c>
      <c r="V45" s="63">
        <f>M45*8760*U45</f>
        <v>35129.001599999996</v>
      </c>
      <c r="W45" s="61"/>
      <c r="X45" s="61"/>
      <c r="Y45" s="65" t="s">
        <v>115</v>
      </c>
      <c r="Z45" s="61">
        <v>1</v>
      </c>
      <c r="AA45" s="85" t="str">
        <f>VLOOKUP(Y45,Source!F:F,1,FALSE)</f>
        <v>Div. of Capital Asset Management</v>
      </c>
    </row>
    <row r="46" spans="1:27" s="430" customFormat="1" x14ac:dyDescent="0.2">
      <c r="A46" s="417" t="str">
        <f t="shared" si="4"/>
        <v>Fitchburg State University1</v>
      </c>
      <c r="B46" s="418" t="s">
        <v>568</v>
      </c>
      <c r="C46" s="417" t="s">
        <v>569</v>
      </c>
      <c r="D46" s="419" t="s">
        <v>702</v>
      </c>
      <c r="E46" s="420" t="s">
        <v>703</v>
      </c>
      <c r="F46" s="421">
        <v>26.88</v>
      </c>
      <c r="G46" s="422" t="s">
        <v>704</v>
      </c>
      <c r="H46" s="422" t="s">
        <v>705</v>
      </c>
      <c r="I46" s="423" t="s">
        <v>574</v>
      </c>
      <c r="J46" s="424">
        <v>1420</v>
      </c>
      <c r="K46" s="425">
        <v>40679</v>
      </c>
      <c r="L46" s="426">
        <v>2011</v>
      </c>
      <c r="M46" s="421">
        <v>26.88</v>
      </c>
      <c r="N46" s="427" t="s">
        <v>575</v>
      </c>
      <c r="O46" s="427" t="s">
        <v>576</v>
      </c>
      <c r="P46" s="417"/>
      <c r="Q46" s="417"/>
      <c r="R46" s="417"/>
      <c r="S46" s="417"/>
      <c r="T46" s="417" t="s">
        <v>577</v>
      </c>
      <c r="U46" s="428">
        <v>0.13639999999999999</v>
      </c>
      <c r="V46" s="429">
        <f>M46*8760*U46</f>
        <v>32117.944319999995</v>
      </c>
      <c r="W46" s="417"/>
      <c r="X46" s="417"/>
      <c r="Y46" s="420" t="s">
        <v>117</v>
      </c>
      <c r="Z46" s="417">
        <v>1</v>
      </c>
      <c r="AA46" s="430" t="str">
        <f>VLOOKUP(Y46,Source!F:F,1,FALSE)</f>
        <v>Fitchburg State University</v>
      </c>
    </row>
    <row r="47" spans="1:27" s="430" customFormat="1" x14ac:dyDescent="0.2">
      <c r="A47" s="417" t="str">
        <f t="shared" si="4"/>
        <v>Fitchburg State University2</v>
      </c>
      <c r="B47" s="418" t="s">
        <v>568</v>
      </c>
      <c r="C47" s="417" t="s">
        <v>569</v>
      </c>
      <c r="D47" s="419" t="s">
        <v>706</v>
      </c>
      <c r="E47" s="420" t="s">
        <v>707</v>
      </c>
      <c r="F47" s="421">
        <v>61.74</v>
      </c>
      <c r="G47" s="422" t="s">
        <v>704</v>
      </c>
      <c r="H47" s="422" t="s">
        <v>705</v>
      </c>
      <c r="I47" s="423" t="s">
        <v>574</v>
      </c>
      <c r="J47" s="424">
        <v>1420</v>
      </c>
      <c r="K47" s="425">
        <v>40679</v>
      </c>
      <c r="L47" s="426">
        <v>2011</v>
      </c>
      <c r="M47" s="421">
        <v>61.74</v>
      </c>
      <c r="N47" s="427" t="s">
        <v>575</v>
      </c>
      <c r="O47" s="427" t="s">
        <v>576</v>
      </c>
      <c r="P47" s="417"/>
      <c r="Q47" s="417"/>
      <c r="R47" s="417"/>
      <c r="S47" s="417"/>
      <c r="T47" s="417" t="s">
        <v>577</v>
      </c>
      <c r="U47" s="428">
        <v>0.13639999999999999</v>
      </c>
      <c r="V47" s="429">
        <f>M47*8760*U47</f>
        <v>73770.903359999997</v>
      </c>
      <c r="W47" s="417"/>
      <c r="X47" s="417"/>
      <c r="Y47" s="420" t="s">
        <v>117</v>
      </c>
      <c r="Z47" s="417">
        <v>2</v>
      </c>
      <c r="AA47" s="430" t="str">
        <f>VLOOKUP(Y47,Source!F:F,1,FALSE)</f>
        <v>Fitchburg State University</v>
      </c>
    </row>
    <row r="48" spans="1:27" s="430" customFormat="1" x14ac:dyDescent="0.2">
      <c r="A48" s="417" t="str">
        <f t="shared" si="4"/>
        <v>Fitchburg State University3</v>
      </c>
      <c r="B48" s="418" t="s">
        <v>590</v>
      </c>
      <c r="C48" s="431" t="s">
        <v>591</v>
      </c>
      <c r="D48" s="419"/>
      <c r="E48" s="420" t="s">
        <v>117</v>
      </c>
      <c r="F48" s="462"/>
      <c r="G48" s="422" t="s">
        <v>704</v>
      </c>
      <c r="H48" s="422" t="s">
        <v>705</v>
      </c>
      <c r="I48" s="423" t="s">
        <v>574</v>
      </c>
      <c r="J48" s="424">
        <v>1420</v>
      </c>
      <c r="K48" s="425"/>
      <c r="L48" s="426">
        <v>2011</v>
      </c>
      <c r="M48" s="421"/>
      <c r="N48" s="427" t="s">
        <v>575</v>
      </c>
      <c r="O48" s="427" t="s">
        <v>576</v>
      </c>
      <c r="P48" s="417"/>
      <c r="Q48" s="417"/>
      <c r="R48" s="417"/>
      <c r="S48" s="417"/>
      <c r="T48" s="417" t="s">
        <v>577</v>
      </c>
      <c r="U48" s="463"/>
      <c r="V48" s="429"/>
      <c r="W48" s="421" t="s">
        <v>708</v>
      </c>
      <c r="X48" s="417"/>
      <c r="Y48" s="420" t="s">
        <v>117</v>
      </c>
      <c r="Z48" s="417">
        <v>3</v>
      </c>
      <c r="AA48" s="430" t="str">
        <f>VLOOKUP(Y48,Source!F:F,1,FALSE)</f>
        <v>Fitchburg State University</v>
      </c>
    </row>
    <row r="49" spans="1:27" s="430" customFormat="1" x14ac:dyDescent="0.2">
      <c r="A49" s="417" t="str">
        <f t="shared" si="4"/>
        <v>Framingham State University1</v>
      </c>
      <c r="B49" s="418" t="s">
        <v>568</v>
      </c>
      <c r="C49" s="417" t="s">
        <v>569</v>
      </c>
      <c r="D49" s="419" t="s">
        <v>709</v>
      </c>
      <c r="E49" s="420" t="s">
        <v>710</v>
      </c>
      <c r="F49" s="421">
        <v>69.3</v>
      </c>
      <c r="G49" s="422" t="s">
        <v>711</v>
      </c>
      <c r="H49" s="422" t="s">
        <v>664</v>
      </c>
      <c r="I49" s="423" t="s">
        <v>574</v>
      </c>
      <c r="J49" s="424">
        <v>1701</v>
      </c>
      <c r="K49" s="425">
        <v>40688</v>
      </c>
      <c r="L49" s="426">
        <v>2011</v>
      </c>
      <c r="M49" s="421">
        <v>69.3</v>
      </c>
      <c r="N49" s="427" t="s">
        <v>575</v>
      </c>
      <c r="O49" s="427" t="s">
        <v>576</v>
      </c>
      <c r="P49" s="417"/>
      <c r="Q49" s="417"/>
      <c r="R49" s="417"/>
      <c r="S49" s="417"/>
      <c r="T49" s="417" t="s">
        <v>577</v>
      </c>
      <c r="U49" s="428">
        <v>0.13639999999999999</v>
      </c>
      <c r="V49" s="429">
        <f t="shared" ref="V49:V54" si="6">M49*8760*U49</f>
        <v>82804.075199999992</v>
      </c>
      <c r="W49" s="417"/>
      <c r="X49" s="417"/>
      <c r="Y49" s="466" t="s">
        <v>130</v>
      </c>
      <c r="Z49" s="417">
        <v>1</v>
      </c>
      <c r="AA49" s="430" t="str">
        <f>VLOOKUP(Y49,Source!F:F,1,FALSE)</f>
        <v>Framingham State University</v>
      </c>
    </row>
    <row r="50" spans="1:27" s="430" customFormat="1" x14ac:dyDescent="0.2">
      <c r="A50" s="417" t="str">
        <f t="shared" si="4"/>
        <v>Framingham State University2</v>
      </c>
      <c r="B50" s="418" t="s">
        <v>568</v>
      </c>
      <c r="C50" s="417" t="s">
        <v>569</v>
      </c>
      <c r="D50" s="419" t="s">
        <v>712</v>
      </c>
      <c r="E50" s="420" t="s">
        <v>713</v>
      </c>
      <c r="F50" s="421">
        <v>29.4</v>
      </c>
      <c r="G50" s="422" t="s">
        <v>711</v>
      </c>
      <c r="H50" s="422" t="s">
        <v>664</v>
      </c>
      <c r="I50" s="423" t="s">
        <v>574</v>
      </c>
      <c r="J50" s="424">
        <v>1701</v>
      </c>
      <c r="K50" s="425">
        <v>40693</v>
      </c>
      <c r="L50" s="426">
        <v>2011</v>
      </c>
      <c r="M50" s="421">
        <v>29.4</v>
      </c>
      <c r="N50" s="427" t="s">
        <v>575</v>
      </c>
      <c r="O50" s="427" t="s">
        <v>576</v>
      </c>
      <c r="P50" s="417"/>
      <c r="Q50" s="417"/>
      <c r="R50" s="417"/>
      <c r="S50" s="417"/>
      <c r="T50" s="417" t="s">
        <v>577</v>
      </c>
      <c r="U50" s="428">
        <v>0.13639999999999999</v>
      </c>
      <c r="V50" s="429">
        <f t="shared" si="6"/>
        <v>35129.001599999996</v>
      </c>
      <c r="W50" s="417"/>
      <c r="X50" s="417"/>
      <c r="Y50" s="466" t="s">
        <v>130</v>
      </c>
      <c r="Z50" s="417">
        <v>2</v>
      </c>
      <c r="AA50" s="430" t="str">
        <f>VLOOKUP(Y50,Source!F:F,1,FALSE)</f>
        <v>Framingham State University</v>
      </c>
    </row>
    <row r="51" spans="1:27" s="430" customFormat="1" ht="16" x14ac:dyDescent="0.2">
      <c r="A51" s="417" t="str">
        <f>Y51&amp;Z51</f>
        <v>Greenfield Comm. College1</v>
      </c>
      <c r="B51" s="418" t="s">
        <v>568</v>
      </c>
      <c r="C51" s="417" t="s">
        <v>611</v>
      </c>
      <c r="D51" s="419" t="s">
        <v>714</v>
      </c>
      <c r="E51" s="468" t="s">
        <v>715</v>
      </c>
      <c r="F51" s="421">
        <v>78.540000000000006</v>
      </c>
      <c r="G51" s="461" t="s">
        <v>716</v>
      </c>
      <c r="H51" s="461" t="s">
        <v>717</v>
      </c>
      <c r="I51" s="461" t="s">
        <v>574</v>
      </c>
      <c r="J51" s="424">
        <v>1301</v>
      </c>
      <c r="K51" s="425">
        <v>40945</v>
      </c>
      <c r="L51" s="426">
        <v>2012</v>
      </c>
      <c r="M51" s="421">
        <v>78.540000000000006</v>
      </c>
      <c r="N51" s="427" t="s">
        <v>575</v>
      </c>
      <c r="O51" s="427" t="s">
        <v>576</v>
      </c>
      <c r="P51" s="417"/>
      <c r="Q51" s="417"/>
      <c r="R51" s="417"/>
      <c r="S51" s="417"/>
      <c r="T51" s="417" t="s">
        <v>577</v>
      </c>
      <c r="U51" s="428">
        <v>0.13639999999999999</v>
      </c>
      <c r="V51" s="429">
        <f t="shared" si="6"/>
        <v>93844.618560000003</v>
      </c>
      <c r="W51" s="417"/>
      <c r="X51" s="417"/>
      <c r="Y51" s="471" t="s">
        <v>143</v>
      </c>
      <c r="Z51" s="417">
        <v>1</v>
      </c>
      <c r="AA51" s="430" t="str">
        <f>VLOOKUP(Y51,Source!F:F,1,FALSE)</f>
        <v>Greenfield Comm. College</v>
      </c>
    </row>
    <row r="52" spans="1:27" ht="16" x14ac:dyDescent="0.2">
      <c r="A52" s="61" t="str">
        <f t="shared" si="4"/>
        <v>Mass. College of Liberal Arts1</v>
      </c>
      <c r="B52" s="384" t="s">
        <v>568</v>
      </c>
      <c r="C52" s="61" t="s">
        <v>569</v>
      </c>
      <c r="D52" s="56"/>
      <c r="E52" s="47" t="s">
        <v>718</v>
      </c>
      <c r="F52" s="41">
        <v>13</v>
      </c>
      <c r="G52" s="56" t="s">
        <v>719</v>
      </c>
      <c r="H52" s="42" t="s">
        <v>720</v>
      </c>
      <c r="I52" s="61" t="s">
        <v>574</v>
      </c>
      <c r="J52" s="44">
        <v>1247</v>
      </c>
      <c r="K52" s="45"/>
      <c r="L52" s="46">
        <v>2014</v>
      </c>
      <c r="M52" s="41">
        <v>13</v>
      </c>
      <c r="N52" s="54" t="s">
        <v>575</v>
      </c>
      <c r="O52" s="54" t="s">
        <v>576</v>
      </c>
      <c r="P52" s="61"/>
      <c r="Q52" s="61"/>
      <c r="R52" s="47"/>
      <c r="S52" s="384"/>
      <c r="T52" s="61" t="s">
        <v>577</v>
      </c>
      <c r="U52" s="265">
        <v>0.13639999999999999</v>
      </c>
      <c r="V52" s="63">
        <f t="shared" si="6"/>
        <v>15533.232</v>
      </c>
      <c r="W52" s="712" t="s">
        <v>721</v>
      </c>
      <c r="X52" s="384"/>
      <c r="Y52" s="606" t="s">
        <v>173</v>
      </c>
      <c r="Z52" s="61">
        <v>1</v>
      </c>
      <c r="AA52" s="85" t="str">
        <f>VLOOKUP(Y52,Source!F:F,1,FALSE)</f>
        <v>Mass. College of Liberal Arts</v>
      </c>
    </row>
    <row r="53" spans="1:27" ht="16" x14ac:dyDescent="0.2">
      <c r="A53" s="61" t="str">
        <f t="shared" si="4"/>
        <v>Mass. College of Liberal Arts2</v>
      </c>
      <c r="B53" s="384" t="s">
        <v>568</v>
      </c>
      <c r="C53" s="61" t="s">
        <v>569</v>
      </c>
      <c r="D53" s="56" t="s">
        <v>722</v>
      </c>
      <c r="E53" s="56" t="s">
        <v>723</v>
      </c>
      <c r="F53" s="41">
        <v>9</v>
      </c>
      <c r="G53" s="56" t="s">
        <v>719</v>
      </c>
      <c r="H53" s="42" t="s">
        <v>720</v>
      </c>
      <c r="I53" s="43" t="s">
        <v>574</v>
      </c>
      <c r="J53" s="44">
        <v>1247</v>
      </c>
      <c r="K53" s="45">
        <v>38640</v>
      </c>
      <c r="L53" s="46">
        <v>2014</v>
      </c>
      <c r="M53" s="41">
        <v>9</v>
      </c>
      <c r="N53" s="54" t="s">
        <v>575</v>
      </c>
      <c r="O53" s="54" t="s">
        <v>576</v>
      </c>
      <c r="P53" s="61"/>
      <c r="Q53" s="61"/>
      <c r="R53" s="61"/>
      <c r="S53" s="61"/>
      <c r="T53" s="61" t="s">
        <v>577</v>
      </c>
      <c r="U53" s="265">
        <v>0.13639999999999999</v>
      </c>
      <c r="V53" s="63">
        <f t="shared" si="6"/>
        <v>10753.776</v>
      </c>
      <c r="W53" s="61" t="s">
        <v>724</v>
      </c>
      <c r="X53" s="61"/>
      <c r="Y53" s="606" t="s">
        <v>173</v>
      </c>
      <c r="Z53" s="61">
        <v>2</v>
      </c>
      <c r="AA53" s="85" t="str">
        <f>VLOOKUP(Y53,Source!F:F,1,FALSE)</f>
        <v>Mass. College of Liberal Arts</v>
      </c>
    </row>
    <row r="54" spans="1:27" ht="16" x14ac:dyDescent="0.2">
      <c r="A54" s="61" t="str">
        <f t="shared" si="4"/>
        <v>Mass. College of Liberal Arts3</v>
      </c>
      <c r="B54" s="384" t="s">
        <v>568</v>
      </c>
      <c r="C54" s="47" t="s">
        <v>402</v>
      </c>
      <c r="D54" s="56"/>
      <c r="E54" s="47" t="s">
        <v>725</v>
      </c>
      <c r="F54" s="41">
        <v>1</v>
      </c>
      <c r="G54" s="56" t="s">
        <v>719</v>
      </c>
      <c r="H54" s="47" t="s">
        <v>720</v>
      </c>
      <c r="I54" s="61" t="s">
        <v>574</v>
      </c>
      <c r="J54" s="44">
        <v>1247</v>
      </c>
      <c r="K54" s="45"/>
      <c r="L54" s="46">
        <v>2014</v>
      </c>
      <c r="M54" s="41">
        <v>1</v>
      </c>
      <c r="N54" s="54" t="s">
        <v>575</v>
      </c>
      <c r="O54" s="54" t="s">
        <v>576</v>
      </c>
      <c r="P54" s="61"/>
      <c r="Q54" s="61"/>
      <c r="R54" s="61"/>
      <c r="S54" s="384"/>
      <c r="T54" s="61" t="s">
        <v>577</v>
      </c>
      <c r="U54" s="245">
        <v>0.26</v>
      </c>
      <c r="V54" s="63">
        <f t="shared" si="6"/>
        <v>2277.6</v>
      </c>
      <c r="W54" s="47"/>
      <c r="X54" s="61"/>
      <c r="Y54" s="606" t="s">
        <v>173</v>
      </c>
      <c r="Z54" s="61">
        <v>3</v>
      </c>
      <c r="AA54" s="85" t="str">
        <f>VLOOKUP(Y54,Source!F:F,1,FALSE)</f>
        <v>Mass. College of Liberal Arts</v>
      </c>
    </row>
    <row r="55" spans="1:27" ht="16" x14ac:dyDescent="0.2">
      <c r="A55" s="61" t="str">
        <f t="shared" si="4"/>
        <v>Mass. College of Liberal Arts4</v>
      </c>
      <c r="B55" s="384" t="s">
        <v>590</v>
      </c>
      <c r="C55" s="47" t="s">
        <v>591</v>
      </c>
      <c r="D55" s="56"/>
      <c r="E55" s="54" t="s">
        <v>726</v>
      </c>
      <c r="F55" s="41">
        <v>75</v>
      </c>
      <c r="G55" s="56" t="s">
        <v>719</v>
      </c>
      <c r="H55" s="47" t="s">
        <v>720</v>
      </c>
      <c r="I55" s="61" t="s">
        <v>574</v>
      </c>
      <c r="J55" s="44">
        <v>1247</v>
      </c>
      <c r="K55" s="45"/>
      <c r="L55" s="46">
        <v>2001</v>
      </c>
      <c r="M55" s="41">
        <v>75</v>
      </c>
      <c r="N55" s="54" t="s">
        <v>575</v>
      </c>
      <c r="O55" s="54" t="s">
        <v>576</v>
      </c>
      <c r="P55" s="59"/>
      <c r="Q55" s="60"/>
      <c r="R55" s="61"/>
      <c r="S55" s="61"/>
      <c r="T55" s="61" t="s">
        <v>577</v>
      </c>
      <c r="U55" s="61"/>
      <c r="V55" s="61"/>
      <c r="W55" s="712" t="s">
        <v>727</v>
      </c>
      <c r="X55" s="61"/>
      <c r="Y55" s="606" t="s">
        <v>173</v>
      </c>
      <c r="Z55" s="61">
        <v>4</v>
      </c>
      <c r="AA55" s="85" t="str">
        <f>VLOOKUP(Y55,Source!F:F,1,FALSE)</f>
        <v>Mass. College of Liberal Arts</v>
      </c>
    </row>
    <row r="56" spans="1:27" s="69" customFormat="1" ht="16" x14ac:dyDescent="0.2">
      <c r="A56" s="61" t="str">
        <f t="shared" si="4"/>
        <v>Mass. College of Liberal Arts5</v>
      </c>
      <c r="B56" s="384" t="s">
        <v>590</v>
      </c>
      <c r="C56" s="47" t="s">
        <v>591</v>
      </c>
      <c r="D56" s="56"/>
      <c r="E56" s="54" t="s">
        <v>726</v>
      </c>
      <c r="F56" s="41">
        <v>197</v>
      </c>
      <c r="G56" s="56" t="s">
        <v>728</v>
      </c>
      <c r="H56" s="47" t="s">
        <v>720</v>
      </c>
      <c r="I56" s="61" t="s">
        <v>574</v>
      </c>
      <c r="J56" s="44">
        <v>1248</v>
      </c>
      <c r="K56" s="45">
        <v>43070</v>
      </c>
      <c r="L56" s="46">
        <v>2018</v>
      </c>
      <c r="M56" s="41">
        <v>197</v>
      </c>
      <c r="N56" s="54" t="s">
        <v>575</v>
      </c>
      <c r="O56" s="54" t="s">
        <v>576</v>
      </c>
      <c r="P56" s="59"/>
      <c r="Q56" s="60"/>
      <c r="R56" s="61"/>
      <c r="S56" s="61"/>
      <c r="T56" s="61"/>
      <c r="U56" s="61"/>
      <c r="V56" s="61"/>
      <c r="W56" s="712"/>
      <c r="X56" s="61"/>
      <c r="Y56" s="606" t="s">
        <v>173</v>
      </c>
      <c r="Z56" s="61">
        <v>5</v>
      </c>
      <c r="AA56" s="69" t="str">
        <f>VLOOKUP(Y56,Source!F:F,1,FALSE)</f>
        <v>Mass. College of Liberal Arts</v>
      </c>
    </row>
    <row r="57" spans="1:27" ht="16" x14ac:dyDescent="0.2">
      <c r="A57" s="61" t="str">
        <f t="shared" si="4"/>
        <v>Mass. Maritime Academy1</v>
      </c>
      <c r="B57" s="384" t="s">
        <v>568</v>
      </c>
      <c r="C57" s="61" t="s">
        <v>569</v>
      </c>
      <c r="D57" s="56" t="s">
        <v>729</v>
      </c>
      <c r="E57" s="47" t="s">
        <v>730</v>
      </c>
      <c r="F57" s="41">
        <v>75</v>
      </c>
      <c r="G57" s="56" t="s">
        <v>731</v>
      </c>
      <c r="H57" s="47" t="s">
        <v>732</v>
      </c>
      <c r="I57" s="61" t="s">
        <v>574</v>
      </c>
      <c r="J57" s="44">
        <v>2532</v>
      </c>
      <c r="K57" s="45">
        <v>39402</v>
      </c>
      <c r="L57" s="46">
        <v>2007</v>
      </c>
      <c r="M57" s="41">
        <v>75</v>
      </c>
      <c r="N57" s="54" t="s">
        <v>575</v>
      </c>
      <c r="O57" s="54" t="s">
        <v>576</v>
      </c>
      <c r="P57" s="61"/>
      <c r="Q57" s="61"/>
      <c r="R57" s="47"/>
      <c r="S57" s="384"/>
      <c r="T57" s="61" t="s">
        <v>577</v>
      </c>
      <c r="U57" s="265">
        <v>0.13639999999999999</v>
      </c>
      <c r="V57" s="63">
        <f>M57*8760*U57</f>
        <v>89614.8</v>
      </c>
      <c r="W57" s="47" t="s">
        <v>733</v>
      </c>
      <c r="X57" s="384"/>
      <c r="Y57" s="606" t="s">
        <v>182</v>
      </c>
      <c r="Z57" s="61">
        <v>1</v>
      </c>
      <c r="AA57" s="85" t="str">
        <f>VLOOKUP(Y57,Source!F:F,1,FALSE)</f>
        <v>Mass. Maritime Academy</v>
      </c>
    </row>
    <row r="58" spans="1:27" s="6" customFormat="1" ht="16" x14ac:dyDescent="0.2">
      <c r="A58" s="61" t="str">
        <f t="shared" si="4"/>
        <v>Mass. Maritime Academy2</v>
      </c>
      <c r="B58" s="384" t="s">
        <v>568</v>
      </c>
      <c r="C58" s="61" t="s">
        <v>569</v>
      </c>
      <c r="D58" s="56"/>
      <c r="E58" s="47" t="s">
        <v>730</v>
      </c>
      <c r="F58" s="41">
        <v>103</v>
      </c>
      <c r="G58" s="56" t="s">
        <v>731</v>
      </c>
      <c r="H58" s="47" t="s">
        <v>732</v>
      </c>
      <c r="I58" s="61" t="s">
        <v>574</v>
      </c>
      <c r="J58" s="44">
        <v>2532</v>
      </c>
      <c r="K58" s="45"/>
      <c r="L58" s="46">
        <v>2014</v>
      </c>
      <c r="M58" s="41">
        <v>103</v>
      </c>
      <c r="N58" s="54" t="s">
        <v>575</v>
      </c>
      <c r="O58" s="54" t="s">
        <v>576</v>
      </c>
      <c r="P58" s="61"/>
      <c r="Q58" s="61"/>
      <c r="R58" s="54"/>
      <c r="S58" s="384"/>
      <c r="T58" s="61" t="s">
        <v>577</v>
      </c>
      <c r="U58" s="265">
        <v>0.13639999999999999</v>
      </c>
      <c r="V58" s="63">
        <f>M58*8760*U58</f>
        <v>123070.992</v>
      </c>
      <c r="W58" s="47" t="s">
        <v>734</v>
      </c>
      <c r="X58" s="384"/>
      <c r="Y58" s="606" t="s">
        <v>182</v>
      </c>
      <c r="Z58" s="61">
        <v>2</v>
      </c>
      <c r="AA58" s="85" t="str">
        <f>VLOOKUP(Y58,Source!F:F,1,FALSE)</f>
        <v>Mass. Maritime Academy</v>
      </c>
    </row>
    <row r="59" spans="1:27" ht="16" x14ac:dyDescent="0.2">
      <c r="A59" s="61" t="str">
        <f t="shared" si="4"/>
        <v>Mass. Maritime Academy3</v>
      </c>
      <c r="B59" s="384" t="s">
        <v>568</v>
      </c>
      <c r="C59" s="61" t="s">
        <v>569</v>
      </c>
      <c r="D59" s="56"/>
      <c r="E59" s="47" t="s">
        <v>730</v>
      </c>
      <c r="F59" s="41">
        <v>58</v>
      </c>
      <c r="G59" s="56" t="s">
        <v>731</v>
      </c>
      <c r="H59" s="47" t="s">
        <v>732</v>
      </c>
      <c r="I59" s="61" t="s">
        <v>574</v>
      </c>
      <c r="J59" s="44">
        <v>2532</v>
      </c>
      <c r="K59" s="45"/>
      <c r="L59" s="46">
        <v>2014</v>
      </c>
      <c r="M59" s="41">
        <v>58</v>
      </c>
      <c r="N59" s="54" t="s">
        <v>575</v>
      </c>
      <c r="O59" s="54" t="s">
        <v>576</v>
      </c>
      <c r="P59" s="61"/>
      <c r="Q59" s="61"/>
      <c r="R59" s="54"/>
      <c r="S59" s="384"/>
      <c r="T59" s="61" t="s">
        <v>577</v>
      </c>
      <c r="U59" s="265">
        <v>0.13639999999999999</v>
      </c>
      <c r="V59" s="63">
        <f>M59*8760*U59</f>
        <v>69302.111999999994</v>
      </c>
      <c r="W59" s="47" t="s">
        <v>735</v>
      </c>
      <c r="X59" s="384"/>
      <c r="Y59" s="606" t="s">
        <v>182</v>
      </c>
      <c r="Z59" s="61">
        <v>3</v>
      </c>
      <c r="AA59" s="85" t="str">
        <f>VLOOKUP(Y59,Source!F:F,1,FALSE)</f>
        <v>Mass. Maritime Academy</v>
      </c>
    </row>
    <row r="60" spans="1:27" ht="16" x14ac:dyDescent="0.2">
      <c r="A60" s="61" t="str">
        <f t="shared" si="4"/>
        <v>Mass. Maritime Academy4</v>
      </c>
      <c r="B60" s="384" t="s">
        <v>568</v>
      </c>
      <c r="C60" s="47" t="s">
        <v>402</v>
      </c>
      <c r="D60" s="56" t="s">
        <v>736</v>
      </c>
      <c r="E60" s="47" t="s">
        <v>737</v>
      </c>
      <c r="F60" s="41">
        <v>660</v>
      </c>
      <c r="G60" s="56" t="s">
        <v>731</v>
      </c>
      <c r="H60" s="47" t="s">
        <v>732</v>
      </c>
      <c r="I60" s="61" t="s">
        <v>574</v>
      </c>
      <c r="J60" s="44">
        <v>2532</v>
      </c>
      <c r="K60" s="45">
        <v>38882</v>
      </c>
      <c r="L60" s="46">
        <v>2006</v>
      </c>
      <c r="M60" s="41">
        <v>660</v>
      </c>
      <c r="N60" s="54" t="s">
        <v>575</v>
      </c>
      <c r="O60" s="54" t="s">
        <v>576</v>
      </c>
      <c r="P60" s="61"/>
      <c r="Q60" s="61"/>
      <c r="R60" s="61"/>
      <c r="S60" s="384"/>
      <c r="T60" s="61" t="s">
        <v>577</v>
      </c>
      <c r="U60" s="245">
        <v>0.26</v>
      </c>
      <c r="V60" s="63">
        <f>M60*8760*U60</f>
        <v>1503216</v>
      </c>
      <c r="W60" s="47"/>
      <c r="X60" s="61"/>
      <c r="Y60" s="65" t="s">
        <v>182</v>
      </c>
      <c r="Z60" s="384">
        <v>4</v>
      </c>
      <c r="AA60" s="85" t="str">
        <f>VLOOKUP(Y60,Source!F:F,1,FALSE)</f>
        <v>Mass. Maritime Academy</v>
      </c>
    </row>
    <row r="61" spans="1:27" s="6" customFormat="1" ht="16" x14ac:dyDescent="0.2">
      <c r="A61" s="61" t="str">
        <f t="shared" si="4"/>
        <v>Mass. Maritime Academy5</v>
      </c>
      <c r="B61" s="384" t="s">
        <v>590</v>
      </c>
      <c r="C61" s="47" t="s">
        <v>591</v>
      </c>
      <c r="D61" s="56" t="s">
        <v>738</v>
      </c>
      <c r="E61" s="47" t="s">
        <v>730</v>
      </c>
      <c r="F61" s="41">
        <v>195</v>
      </c>
      <c r="G61" s="56" t="s">
        <v>731</v>
      </c>
      <c r="H61" s="47" t="s">
        <v>732</v>
      </c>
      <c r="I61" s="61" t="s">
        <v>574</v>
      </c>
      <c r="J61" s="44">
        <v>2532</v>
      </c>
      <c r="K61" s="45">
        <v>39805</v>
      </c>
      <c r="L61" s="46">
        <v>2008</v>
      </c>
      <c r="M61" s="41">
        <v>195</v>
      </c>
      <c r="N61" s="54" t="s">
        <v>575</v>
      </c>
      <c r="O61" s="54" t="s">
        <v>576</v>
      </c>
      <c r="P61" s="59"/>
      <c r="Q61" s="60"/>
      <c r="R61" s="61"/>
      <c r="S61" s="61"/>
      <c r="T61" s="61" t="s">
        <v>577</v>
      </c>
      <c r="U61" s="247"/>
      <c r="V61" s="61"/>
      <c r="W61" s="47" t="s">
        <v>730</v>
      </c>
      <c r="X61" s="61"/>
      <c r="Y61" s="65" t="s">
        <v>182</v>
      </c>
      <c r="Z61" s="61">
        <v>5</v>
      </c>
      <c r="AA61" s="85" t="str">
        <f>VLOOKUP(Y61,Source!F:F,1,FALSE)</f>
        <v>Mass. Maritime Academy</v>
      </c>
    </row>
    <row r="62" spans="1:27" ht="16" x14ac:dyDescent="0.2">
      <c r="A62" s="61" t="str">
        <f t="shared" ref="A62:A73" si="7">Y62&amp;Z62</f>
        <v>Mass. Water Resources Authority1</v>
      </c>
      <c r="B62" s="384" t="s">
        <v>568</v>
      </c>
      <c r="C62" s="54" t="s">
        <v>739</v>
      </c>
      <c r="D62" s="56"/>
      <c r="E62" s="54" t="s">
        <v>740</v>
      </c>
      <c r="F62" s="41">
        <v>6000</v>
      </c>
      <c r="G62" s="52" t="s">
        <v>741</v>
      </c>
      <c r="H62" s="47" t="s">
        <v>742</v>
      </c>
      <c r="I62" s="43" t="s">
        <v>574</v>
      </c>
      <c r="J62" s="44">
        <v>2152</v>
      </c>
      <c r="K62" s="45"/>
      <c r="L62" s="46">
        <v>2002</v>
      </c>
      <c r="M62" s="41">
        <v>6000</v>
      </c>
      <c r="N62" s="50" t="s">
        <v>743</v>
      </c>
      <c r="O62" s="50" t="s">
        <v>576</v>
      </c>
      <c r="P62" s="59"/>
      <c r="Q62" s="60"/>
      <c r="R62" s="61"/>
      <c r="S62" s="61"/>
      <c r="T62" s="61" t="s">
        <v>577</v>
      </c>
      <c r="U62" s="61"/>
      <c r="V62" s="61"/>
      <c r="W62" s="54" t="s">
        <v>744</v>
      </c>
      <c r="X62" s="61"/>
      <c r="Y62" s="65" t="s">
        <v>191</v>
      </c>
      <c r="Z62" s="384">
        <v>1</v>
      </c>
      <c r="AA62" s="85" t="str">
        <f>VLOOKUP(Y62,Source!F:F,1,FALSE)</f>
        <v>Mass. Water Resources Authority</v>
      </c>
    </row>
    <row r="63" spans="1:27" ht="16" x14ac:dyDescent="0.2">
      <c r="A63" s="61" t="str">
        <f t="shared" si="7"/>
        <v>Mass. Water Resources Authority2</v>
      </c>
      <c r="B63" s="384" t="s">
        <v>568</v>
      </c>
      <c r="C63" s="47" t="s">
        <v>403</v>
      </c>
      <c r="D63" s="56" t="s">
        <v>745</v>
      </c>
      <c r="E63" s="54" t="s">
        <v>740</v>
      </c>
      <c r="F63" s="41">
        <v>2000</v>
      </c>
      <c r="G63" s="52" t="s">
        <v>741</v>
      </c>
      <c r="H63" s="47" t="s">
        <v>742</v>
      </c>
      <c r="I63" s="43" t="s">
        <v>574</v>
      </c>
      <c r="J63" s="44">
        <v>2152</v>
      </c>
      <c r="K63" s="45">
        <v>40179</v>
      </c>
      <c r="L63" s="46">
        <v>2003</v>
      </c>
      <c r="M63" s="41">
        <v>2000</v>
      </c>
      <c r="N63" s="50" t="s">
        <v>743</v>
      </c>
      <c r="O63" s="50" t="s">
        <v>576</v>
      </c>
      <c r="P63" s="59"/>
      <c r="Q63" s="60"/>
      <c r="R63" s="61"/>
      <c r="S63" s="61"/>
      <c r="T63" s="61" t="s">
        <v>577</v>
      </c>
      <c r="U63" s="61">
        <v>0.32</v>
      </c>
      <c r="V63" s="61"/>
      <c r="W63" s="47" t="s">
        <v>746</v>
      </c>
      <c r="X63" s="61"/>
      <c r="Y63" s="65" t="s">
        <v>191</v>
      </c>
      <c r="Z63" s="384">
        <v>2</v>
      </c>
      <c r="AA63" s="85" t="str">
        <f>VLOOKUP(Y63,Source!F:F,1,FALSE)</f>
        <v>Mass. Water Resources Authority</v>
      </c>
    </row>
    <row r="64" spans="1:27" ht="16" x14ac:dyDescent="0.2">
      <c r="A64" s="61" t="str">
        <f t="shared" si="7"/>
        <v>Mass. Water Resources Authority3</v>
      </c>
      <c r="B64" s="384" t="s">
        <v>568</v>
      </c>
      <c r="C64" s="47" t="s">
        <v>403</v>
      </c>
      <c r="D64" s="56" t="s">
        <v>747</v>
      </c>
      <c r="E64" s="54" t="s">
        <v>748</v>
      </c>
      <c r="F64" s="41">
        <v>2400</v>
      </c>
      <c r="G64" s="61"/>
      <c r="H64" s="47" t="s">
        <v>749</v>
      </c>
      <c r="I64" s="47"/>
      <c r="J64" s="61"/>
      <c r="K64" s="45">
        <v>40360</v>
      </c>
      <c r="L64" s="46">
        <v>1960</v>
      </c>
      <c r="M64" s="41">
        <v>2400</v>
      </c>
      <c r="N64" s="50" t="s">
        <v>743</v>
      </c>
      <c r="O64" s="50" t="s">
        <v>576</v>
      </c>
      <c r="P64" s="59"/>
      <c r="Q64" s="60"/>
      <c r="R64" s="61"/>
      <c r="S64" s="61"/>
      <c r="T64" s="61" t="s">
        <v>577</v>
      </c>
      <c r="U64" s="61">
        <v>0.16</v>
      </c>
      <c r="V64" s="61"/>
      <c r="W64" s="47" t="s">
        <v>750</v>
      </c>
      <c r="X64" s="61"/>
      <c r="Y64" s="606" t="s">
        <v>191</v>
      </c>
      <c r="Z64" s="384">
        <v>3</v>
      </c>
      <c r="AA64" s="85" t="str">
        <f>VLOOKUP(Y64,Source!F:F,1,FALSE)</f>
        <v>Mass. Water Resources Authority</v>
      </c>
    </row>
    <row r="65" spans="1:27" ht="16" x14ac:dyDescent="0.2">
      <c r="A65" s="61" t="str">
        <f t="shared" si="7"/>
        <v>Mass. Water Resources Authority4</v>
      </c>
      <c r="B65" s="384" t="s">
        <v>568</v>
      </c>
      <c r="C65" s="47" t="s">
        <v>403</v>
      </c>
      <c r="D65" s="56" t="s">
        <v>751</v>
      </c>
      <c r="E65" s="54" t="s">
        <v>752</v>
      </c>
      <c r="F65" s="41">
        <v>3500</v>
      </c>
      <c r="G65" s="61"/>
      <c r="H65" s="47" t="s">
        <v>753</v>
      </c>
      <c r="I65" s="47"/>
      <c r="J65" s="61"/>
      <c r="K65" s="45">
        <v>40360</v>
      </c>
      <c r="L65" s="46">
        <v>1950</v>
      </c>
      <c r="M65" s="41">
        <v>3500</v>
      </c>
      <c r="N65" s="50" t="s">
        <v>743</v>
      </c>
      <c r="O65" s="50" t="s">
        <v>576</v>
      </c>
      <c r="P65" s="59"/>
      <c r="Q65" s="60"/>
      <c r="R65" s="61"/>
      <c r="S65" s="61"/>
      <c r="T65" s="61" t="s">
        <v>577</v>
      </c>
      <c r="U65" s="61">
        <v>0.34</v>
      </c>
      <c r="V65" s="61"/>
      <c r="W65" s="47" t="s">
        <v>754</v>
      </c>
      <c r="X65" s="61"/>
      <c r="Y65" s="606" t="s">
        <v>191</v>
      </c>
      <c r="Z65" s="384">
        <v>4</v>
      </c>
      <c r="AA65" s="85" t="str">
        <f>VLOOKUP(Y65,Source!F:F,1,FALSE)</f>
        <v>Mass. Water Resources Authority</v>
      </c>
    </row>
    <row r="66" spans="1:27" s="6" customFormat="1" ht="16" x14ac:dyDescent="0.2">
      <c r="A66" s="61" t="str">
        <f t="shared" si="7"/>
        <v>Mass. Water Resources Authority5</v>
      </c>
      <c r="B66" s="384" t="s">
        <v>568</v>
      </c>
      <c r="C66" s="47" t="s">
        <v>403</v>
      </c>
      <c r="D66" s="56" t="s">
        <v>755</v>
      </c>
      <c r="E66" s="54" t="s">
        <v>756</v>
      </c>
      <c r="F66" s="41">
        <v>200</v>
      </c>
      <c r="G66" s="61"/>
      <c r="H66" s="47" t="s">
        <v>757</v>
      </c>
      <c r="I66" s="47"/>
      <c r="J66" s="61"/>
      <c r="K66" s="45">
        <v>40603</v>
      </c>
      <c r="L66" s="46">
        <v>2011</v>
      </c>
      <c r="M66" s="41">
        <v>200</v>
      </c>
      <c r="N66" s="50" t="s">
        <v>743</v>
      </c>
      <c r="O66" s="50" t="s">
        <v>576</v>
      </c>
      <c r="P66" s="59"/>
      <c r="Q66" s="60"/>
      <c r="R66" s="61"/>
      <c r="S66" s="61"/>
      <c r="T66" s="61" t="s">
        <v>577</v>
      </c>
      <c r="U66" s="61">
        <v>0.56000000000000005</v>
      </c>
      <c r="V66" s="61"/>
      <c r="W66" s="47" t="s">
        <v>758</v>
      </c>
      <c r="X66" s="61"/>
      <c r="Y66" s="606" t="s">
        <v>191</v>
      </c>
      <c r="Z66" s="384">
        <v>5</v>
      </c>
      <c r="AA66" s="85" t="str">
        <f>VLOOKUP(Y66,Source!F:F,1,FALSE)</f>
        <v>Mass. Water Resources Authority</v>
      </c>
    </row>
    <row r="67" spans="1:27" s="6" customFormat="1" ht="16" x14ac:dyDescent="0.2">
      <c r="A67" s="61" t="str">
        <f t="shared" si="7"/>
        <v>Mass. Water Resources Authority6</v>
      </c>
      <c r="B67" s="384" t="s">
        <v>568</v>
      </c>
      <c r="C67" s="61" t="s">
        <v>569</v>
      </c>
      <c r="D67" s="56" t="s">
        <v>759</v>
      </c>
      <c r="E67" s="51" t="s">
        <v>760</v>
      </c>
      <c r="F67" s="41">
        <v>180.6</v>
      </c>
      <c r="G67" s="52" t="s">
        <v>741</v>
      </c>
      <c r="H67" s="52" t="s">
        <v>742</v>
      </c>
      <c r="I67" s="43" t="s">
        <v>574</v>
      </c>
      <c r="J67" s="44">
        <v>2152</v>
      </c>
      <c r="K67" s="45">
        <v>40238</v>
      </c>
      <c r="L67" s="46">
        <v>2011</v>
      </c>
      <c r="M67" s="41">
        <v>180.6</v>
      </c>
      <c r="N67" s="50" t="s">
        <v>743</v>
      </c>
      <c r="O67" s="50" t="s">
        <v>576</v>
      </c>
      <c r="P67" s="61"/>
      <c r="Q67" s="61"/>
      <c r="R67" s="61"/>
      <c r="S67" s="61"/>
      <c r="T67" s="61" t="s">
        <v>577</v>
      </c>
      <c r="U67" s="265">
        <v>0.13639999999999999</v>
      </c>
      <c r="V67" s="63">
        <f t="shared" ref="V67:V72" si="8">M67*8760*U67</f>
        <v>215792.43839999998</v>
      </c>
      <c r="W67" s="61"/>
      <c r="X67" s="61"/>
      <c r="Y67" s="606" t="s">
        <v>191</v>
      </c>
      <c r="Z67" s="384">
        <v>6</v>
      </c>
      <c r="AA67" s="85" t="str">
        <f>VLOOKUP(Y67,Source!F:F,1,FALSE)</f>
        <v>Mass. Water Resources Authority</v>
      </c>
    </row>
    <row r="68" spans="1:27" s="6" customFormat="1" ht="16" x14ac:dyDescent="0.2">
      <c r="A68" s="61" t="str">
        <f t="shared" si="7"/>
        <v>Mass. Water Resources Authority7</v>
      </c>
      <c r="B68" s="384" t="s">
        <v>568</v>
      </c>
      <c r="C68" s="61" t="s">
        <v>569</v>
      </c>
      <c r="D68" s="56" t="s">
        <v>761</v>
      </c>
      <c r="E68" s="27" t="s">
        <v>762</v>
      </c>
      <c r="F68" s="41">
        <v>456.12</v>
      </c>
      <c r="G68" s="52" t="s">
        <v>741</v>
      </c>
      <c r="H68" s="52" t="s">
        <v>742</v>
      </c>
      <c r="I68" s="43" t="s">
        <v>574</v>
      </c>
      <c r="J68" s="44">
        <v>2152</v>
      </c>
      <c r="K68" s="45">
        <v>40667</v>
      </c>
      <c r="L68" s="46">
        <v>2011</v>
      </c>
      <c r="M68" s="41">
        <v>456.12</v>
      </c>
      <c r="N68" s="50" t="s">
        <v>743</v>
      </c>
      <c r="O68" s="50" t="s">
        <v>589</v>
      </c>
      <c r="P68" s="61"/>
      <c r="Q68" s="61"/>
      <c r="R68" s="61"/>
      <c r="S68" s="61"/>
      <c r="T68" s="61" t="s">
        <v>577</v>
      </c>
      <c r="U68" s="265">
        <v>0.13639999999999999</v>
      </c>
      <c r="V68" s="63">
        <f t="shared" si="8"/>
        <v>545001.36768000002</v>
      </c>
      <c r="W68" s="61"/>
      <c r="X68" s="61"/>
      <c r="Y68" s="606" t="s">
        <v>191</v>
      </c>
      <c r="Z68" s="384">
        <v>7</v>
      </c>
      <c r="AA68" s="85" t="str">
        <f>VLOOKUP(Y68,Source!F:F,1,FALSE)</f>
        <v>Mass. Water Resources Authority</v>
      </c>
    </row>
    <row r="69" spans="1:27" s="6" customFormat="1" ht="16" x14ac:dyDescent="0.2">
      <c r="A69" s="61" t="str">
        <f t="shared" si="7"/>
        <v>Mass. Water Resources Authority8</v>
      </c>
      <c r="B69" s="384" t="s">
        <v>568</v>
      </c>
      <c r="C69" s="61" t="s">
        <v>569</v>
      </c>
      <c r="D69" s="56" t="s">
        <v>763</v>
      </c>
      <c r="E69" s="51" t="s">
        <v>764</v>
      </c>
      <c r="F69" s="41">
        <v>99.8</v>
      </c>
      <c r="G69" s="52" t="s">
        <v>741</v>
      </c>
      <c r="H69" s="52" t="s">
        <v>742</v>
      </c>
      <c r="I69" s="43" t="s">
        <v>574</v>
      </c>
      <c r="J69" s="44">
        <v>2152</v>
      </c>
      <c r="K69" s="45">
        <v>39569</v>
      </c>
      <c r="L69" s="46">
        <v>2011</v>
      </c>
      <c r="M69" s="41">
        <v>99.8</v>
      </c>
      <c r="N69" s="50" t="s">
        <v>743</v>
      </c>
      <c r="O69" s="50" t="s">
        <v>576</v>
      </c>
      <c r="P69" s="61"/>
      <c r="Q69" s="61"/>
      <c r="R69" s="61"/>
      <c r="S69" s="61"/>
      <c r="T69" s="61" t="s">
        <v>577</v>
      </c>
      <c r="U69" s="265">
        <v>0.13639999999999999</v>
      </c>
      <c r="V69" s="63">
        <f t="shared" si="8"/>
        <v>119247.42719999999</v>
      </c>
      <c r="W69" s="61"/>
      <c r="X69" s="61"/>
      <c r="Y69" s="65" t="s">
        <v>191</v>
      </c>
      <c r="Z69" s="384">
        <v>8</v>
      </c>
      <c r="AA69" s="85" t="str">
        <f>VLOOKUP(Y69,Source!F:F,1,FALSE)</f>
        <v>Mass. Water Resources Authority</v>
      </c>
    </row>
    <row r="70" spans="1:27" s="6" customFormat="1" ht="16" x14ac:dyDescent="0.2">
      <c r="A70" s="61" t="str">
        <f t="shared" si="7"/>
        <v>Mass. Water Resources Authority9</v>
      </c>
      <c r="B70" s="384" t="s">
        <v>568</v>
      </c>
      <c r="C70" s="61" t="s">
        <v>611</v>
      </c>
      <c r="D70" s="56" t="s">
        <v>765</v>
      </c>
      <c r="E70" s="47" t="s">
        <v>766</v>
      </c>
      <c r="F70" s="41">
        <v>496</v>
      </c>
      <c r="G70" s="61" t="s">
        <v>767</v>
      </c>
      <c r="H70" s="47" t="s">
        <v>768</v>
      </c>
      <c r="I70" s="61" t="s">
        <v>574</v>
      </c>
      <c r="J70" s="44">
        <v>1752</v>
      </c>
      <c r="K70" s="45">
        <v>40544</v>
      </c>
      <c r="L70" s="46">
        <v>2011</v>
      </c>
      <c r="M70" s="41">
        <v>496</v>
      </c>
      <c r="N70" s="50" t="s">
        <v>743</v>
      </c>
      <c r="O70" s="50" t="s">
        <v>576</v>
      </c>
      <c r="P70" s="61"/>
      <c r="Q70" s="61"/>
      <c r="R70" s="47"/>
      <c r="S70" s="384"/>
      <c r="T70" s="61" t="s">
        <v>577</v>
      </c>
      <c r="U70" s="265">
        <v>0.13639999999999999</v>
      </c>
      <c r="V70" s="63">
        <f t="shared" si="8"/>
        <v>592652.54399999999</v>
      </c>
      <c r="W70" s="47" t="s">
        <v>769</v>
      </c>
      <c r="X70" s="384"/>
      <c r="Y70" s="65" t="s">
        <v>191</v>
      </c>
      <c r="Z70" s="384">
        <v>9</v>
      </c>
      <c r="AA70" s="85" t="str">
        <f>VLOOKUP(Y70,Source!F:F,1,FALSE)</f>
        <v>Mass. Water Resources Authority</v>
      </c>
    </row>
    <row r="71" spans="1:27" s="6" customFormat="1" ht="16" x14ac:dyDescent="0.2">
      <c r="A71" s="61" t="str">
        <f t="shared" si="7"/>
        <v>Mass. Water Resources Authority10</v>
      </c>
      <c r="B71" s="384" t="s">
        <v>568</v>
      </c>
      <c r="C71" s="47" t="s">
        <v>402</v>
      </c>
      <c r="D71" s="56" t="s">
        <v>770</v>
      </c>
      <c r="E71" s="54" t="s">
        <v>771</v>
      </c>
      <c r="F71" s="41">
        <v>1500</v>
      </c>
      <c r="G71" s="61" t="s">
        <v>772</v>
      </c>
      <c r="H71" s="47" t="s">
        <v>604</v>
      </c>
      <c r="I71" s="43" t="s">
        <v>574</v>
      </c>
      <c r="J71" s="44">
        <v>2129</v>
      </c>
      <c r="K71" s="45">
        <v>40830</v>
      </c>
      <c r="L71" s="46">
        <v>2011</v>
      </c>
      <c r="M71" s="41">
        <v>1500</v>
      </c>
      <c r="N71" s="50" t="s">
        <v>743</v>
      </c>
      <c r="O71" s="50" t="s">
        <v>576</v>
      </c>
      <c r="P71" s="61"/>
      <c r="Q71" s="61"/>
      <c r="R71" s="61"/>
      <c r="S71" s="384"/>
      <c r="T71" s="61" t="s">
        <v>577</v>
      </c>
      <c r="U71" s="59">
        <v>0.26</v>
      </c>
      <c r="V71" s="63">
        <f t="shared" si="8"/>
        <v>3416400</v>
      </c>
      <c r="W71" s="47"/>
      <c r="X71" s="61"/>
      <c r="Y71" s="65" t="s">
        <v>191</v>
      </c>
      <c r="Z71" s="384">
        <v>10</v>
      </c>
      <c r="AA71" s="85" t="str">
        <f>VLOOKUP(Y71,Source!F:F,1,FALSE)</f>
        <v>Mass. Water Resources Authority</v>
      </c>
    </row>
    <row r="72" spans="1:27" s="6" customFormat="1" ht="16" x14ac:dyDescent="0.2">
      <c r="A72" s="61" t="str">
        <f t="shared" si="7"/>
        <v>Mass. Water Resources Authority11</v>
      </c>
      <c r="B72" s="384" t="s">
        <v>568</v>
      </c>
      <c r="C72" s="47" t="s">
        <v>402</v>
      </c>
      <c r="D72" s="56" t="s">
        <v>773</v>
      </c>
      <c r="E72" s="54" t="s">
        <v>740</v>
      </c>
      <c r="F72" s="41">
        <v>1200</v>
      </c>
      <c r="G72" s="52" t="s">
        <v>741</v>
      </c>
      <c r="H72" s="47" t="s">
        <v>742</v>
      </c>
      <c r="I72" s="43" t="s">
        <v>574</v>
      </c>
      <c r="J72" s="44">
        <v>2152</v>
      </c>
      <c r="K72" s="45">
        <v>40179</v>
      </c>
      <c r="L72" s="46">
        <v>2010</v>
      </c>
      <c r="M72" s="41">
        <v>1200</v>
      </c>
      <c r="N72" s="50" t="s">
        <v>743</v>
      </c>
      <c r="O72" s="50" t="s">
        <v>576</v>
      </c>
      <c r="P72" s="61"/>
      <c r="Q72" s="61"/>
      <c r="R72" s="61"/>
      <c r="S72" s="384"/>
      <c r="T72" s="61" t="s">
        <v>577</v>
      </c>
      <c r="U72" s="59">
        <v>0.26</v>
      </c>
      <c r="V72" s="63">
        <f t="shared" si="8"/>
        <v>2733120</v>
      </c>
      <c r="W72" s="47"/>
      <c r="X72" s="61"/>
      <c r="Y72" s="65" t="s">
        <v>191</v>
      </c>
      <c r="Z72" s="384">
        <v>11</v>
      </c>
      <c r="AA72" s="85" t="str">
        <f>VLOOKUP(Y72,Source!F:F,1,FALSE)</f>
        <v>Mass. Water Resources Authority</v>
      </c>
    </row>
    <row r="73" spans="1:27" s="388" customFormat="1" ht="16" x14ac:dyDescent="0.2">
      <c r="A73" s="61" t="str">
        <f t="shared" si="7"/>
        <v>Mass. Water Resources Authority12</v>
      </c>
      <c r="B73" s="384" t="s">
        <v>568</v>
      </c>
      <c r="C73" s="47" t="s">
        <v>569</v>
      </c>
      <c r="D73" s="56"/>
      <c r="E73" s="54" t="s">
        <v>1570</v>
      </c>
      <c r="F73" s="41">
        <v>90</v>
      </c>
      <c r="G73" s="52"/>
      <c r="H73" s="47" t="s">
        <v>768</v>
      </c>
      <c r="I73" s="43" t="s">
        <v>574</v>
      </c>
      <c r="J73" s="44"/>
      <c r="K73" s="45"/>
      <c r="L73" s="46"/>
      <c r="M73" s="41"/>
      <c r="N73" s="50"/>
      <c r="O73" s="50" t="s">
        <v>576</v>
      </c>
      <c r="P73" s="61"/>
      <c r="Q73" s="61"/>
      <c r="R73" s="61"/>
      <c r="S73" s="384"/>
      <c r="T73" s="61" t="s">
        <v>577</v>
      </c>
      <c r="U73" s="59"/>
      <c r="V73" s="63"/>
      <c r="W73" s="47"/>
      <c r="X73" s="61"/>
      <c r="Y73" s="65" t="s">
        <v>191</v>
      </c>
      <c r="Z73" s="384">
        <v>12</v>
      </c>
      <c r="AA73" s="85" t="str">
        <f>VLOOKUP(Y73,Source!F:F,1,FALSE)</f>
        <v>Mass. Water Resources Authority</v>
      </c>
    </row>
    <row r="74" spans="1:27" s="446" customFormat="1" x14ac:dyDescent="0.2">
      <c r="A74" s="417" t="str">
        <f t="shared" ref="A74:A91" si="9">Y74&amp;Z74</f>
        <v>Massasoit Comm. College1</v>
      </c>
      <c r="B74" s="418" t="s">
        <v>568</v>
      </c>
      <c r="C74" s="417" t="s">
        <v>569</v>
      </c>
      <c r="D74" s="419" t="s">
        <v>774</v>
      </c>
      <c r="E74" s="420" t="s">
        <v>775</v>
      </c>
      <c r="F74" s="421">
        <v>87.78</v>
      </c>
      <c r="G74" s="422" t="s">
        <v>776</v>
      </c>
      <c r="H74" s="422" t="s">
        <v>777</v>
      </c>
      <c r="I74" s="423" t="s">
        <v>574</v>
      </c>
      <c r="J74" s="424">
        <v>2302</v>
      </c>
      <c r="K74" s="425">
        <v>40725</v>
      </c>
      <c r="L74" s="426">
        <v>2011</v>
      </c>
      <c r="M74" s="421">
        <v>87.78</v>
      </c>
      <c r="N74" s="427" t="s">
        <v>575</v>
      </c>
      <c r="O74" s="427" t="s">
        <v>576</v>
      </c>
      <c r="P74" s="417"/>
      <c r="Q74" s="417"/>
      <c r="R74" s="417"/>
      <c r="S74" s="417"/>
      <c r="T74" s="417" t="s">
        <v>577</v>
      </c>
      <c r="U74" s="428">
        <v>0.13639999999999999</v>
      </c>
      <c r="V74" s="429">
        <f t="shared" ref="V74:V97" si="10">M74*8760*U74</f>
        <v>104885.16192</v>
      </c>
      <c r="W74" s="417"/>
      <c r="X74" s="417"/>
      <c r="Y74" s="420" t="s">
        <v>200</v>
      </c>
      <c r="Z74" s="417">
        <v>1</v>
      </c>
      <c r="AA74" s="430" t="str">
        <f>VLOOKUP(Y74,Source!F:F,1,FALSE)</f>
        <v>Massasoit Comm. College</v>
      </c>
    </row>
    <row r="75" spans="1:27" s="446" customFormat="1" x14ac:dyDescent="0.2">
      <c r="A75" s="417" t="str">
        <f t="shared" si="9"/>
        <v>Massasoit Comm. College2</v>
      </c>
      <c r="B75" s="418" t="s">
        <v>568</v>
      </c>
      <c r="C75" s="417" t="s">
        <v>569</v>
      </c>
      <c r="D75" s="419" t="s">
        <v>778</v>
      </c>
      <c r="E75" s="420" t="s">
        <v>779</v>
      </c>
      <c r="F75" s="421">
        <v>69.3</v>
      </c>
      <c r="G75" s="422" t="s">
        <v>776</v>
      </c>
      <c r="H75" s="422" t="s">
        <v>777</v>
      </c>
      <c r="I75" s="423" t="s">
        <v>574</v>
      </c>
      <c r="J75" s="424">
        <v>2302</v>
      </c>
      <c r="K75" s="425">
        <v>40725</v>
      </c>
      <c r="L75" s="426">
        <v>2011</v>
      </c>
      <c r="M75" s="421">
        <v>69.3</v>
      </c>
      <c r="N75" s="427" t="s">
        <v>575</v>
      </c>
      <c r="O75" s="427" t="s">
        <v>576</v>
      </c>
      <c r="P75" s="417"/>
      <c r="Q75" s="417"/>
      <c r="R75" s="417"/>
      <c r="S75" s="417"/>
      <c r="T75" s="417" t="s">
        <v>577</v>
      </c>
      <c r="U75" s="428">
        <v>0.13639999999999999</v>
      </c>
      <c r="V75" s="429">
        <f t="shared" si="10"/>
        <v>82804.075199999992</v>
      </c>
      <c r="W75" s="417"/>
      <c r="X75" s="417"/>
      <c r="Y75" s="420" t="s">
        <v>200</v>
      </c>
      <c r="Z75" s="418">
        <v>2</v>
      </c>
      <c r="AA75" s="430" t="str">
        <f>VLOOKUP(Y75,Source!F:F,1,FALSE)</f>
        <v>Massasoit Comm. College</v>
      </c>
    </row>
    <row r="76" spans="1:27" s="446" customFormat="1" x14ac:dyDescent="0.2">
      <c r="A76" s="417" t="str">
        <f t="shared" si="9"/>
        <v>Massasoit Comm. College3</v>
      </c>
      <c r="B76" s="418" t="s">
        <v>568</v>
      </c>
      <c r="C76" s="417" t="s">
        <v>569</v>
      </c>
      <c r="D76" s="419" t="s">
        <v>780</v>
      </c>
      <c r="E76" s="420" t="s">
        <v>781</v>
      </c>
      <c r="F76" s="421">
        <v>50.8</v>
      </c>
      <c r="G76" s="422" t="s">
        <v>776</v>
      </c>
      <c r="H76" s="422" t="s">
        <v>777</v>
      </c>
      <c r="I76" s="423" t="s">
        <v>574</v>
      </c>
      <c r="J76" s="424">
        <v>2302</v>
      </c>
      <c r="K76" s="425">
        <v>40725</v>
      </c>
      <c r="L76" s="426">
        <v>2011</v>
      </c>
      <c r="M76" s="421">
        <v>50.8</v>
      </c>
      <c r="N76" s="427" t="s">
        <v>575</v>
      </c>
      <c r="O76" s="427" t="s">
        <v>576</v>
      </c>
      <c r="P76" s="417"/>
      <c r="Q76" s="417"/>
      <c r="R76" s="417"/>
      <c r="S76" s="417"/>
      <c r="T76" s="417" t="s">
        <v>577</v>
      </c>
      <c r="U76" s="428">
        <v>0.13639999999999999</v>
      </c>
      <c r="V76" s="429">
        <f t="shared" si="10"/>
        <v>60699.091199999995</v>
      </c>
      <c r="W76" s="417"/>
      <c r="X76" s="417"/>
      <c r="Y76" s="420" t="s">
        <v>200</v>
      </c>
      <c r="Z76" s="417">
        <v>3</v>
      </c>
      <c r="AA76" s="430" t="str">
        <f>VLOOKUP(Y76,Source!F:F,1,FALSE)</f>
        <v>Massasoit Comm. College</v>
      </c>
    </row>
    <row r="77" spans="1:27" s="446" customFormat="1" x14ac:dyDescent="0.2">
      <c r="A77" s="417" t="str">
        <f t="shared" si="9"/>
        <v>Massasoit Comm. College4</v>
      </c>
      <c r="B77" s="418" t="s">
        <v>568</v>
      </c>
      <c r="C77" s="417" t="s">
        <v>569</v>
      </c>
      <c r="D77" s="419" t="s">
        <v>782</v>
      </c>
      <c r="E77" s="420" t="s">
        <v>783</v>
      </c>
      <c r="F77" s="421">
        <v>110.88</v>
      </c>
      <c r="G77" s="422" t="s">
        <v>776</v>
      </c>
      <c r="H77" s="422" t="s">
        <v>777</v>
      </c>
      <c r="I77" s="423" t="s">
        <v>574</v>
      </c>
      <c r="J77" s="424">
        <v>2302</v>
      </c>
      <c r="K77" s="425">
        <v>40725</v>
      </c>
      <c r="L77" s="426">
        <v>2011</v>
      </c>
      <c r="M77" s="421">
        <v>110.88</v>
      </c>
      <c r="N77" s="427" t="s">
        <v>575</v>
      </c>
      <c r="O77" s="427" t="s">
        <v>576</v>
      </c>
      <c r="P77" s="417"/>
      <c r="Q77" s="417"/>
      <c r="R77" s="417"/>
      <c r="S77" s="417"/>
      <c r="T77" s="417" t="s">
        <v>577</v>
      </c>
      <c r="U77" s="428">
        <v>0.13639999999999999</v>
      </c>
      <c r="V77" s="429">
        <f t="shared" si="10"/>
        <v>132486.52031999998</v>
      </c>
      <c r="W77" s="417"/>
      <c r="X77" s="417"/>
      <c r="Y77" s="466" t="s">
        <v>200</v>
      </c>
      <c r="Z77" s="417">
        <v>4</v>
      </c>
      <c r="AA77" s="430" t="str">
        <f>VLOOKUP(Y77,Source!F:F,1,FALSE)</f>
        <v>Massasoit Comm. College</v>
      </c>
    </row>
    <row r="78" spans="1:27" s="446" customFormat="1" x14ac:dyDescent="0.2">
      <c r="A78" s="417" t="str">
        <f t="shared" si="9"/>
        <v>Massasoit Comm. College5</v>
      </c>
      <c r="B78" s="418" t="s">
        <v>568</v>
      </c>
      <c r="C78" s="417" t="s">
        <v>569</v>
      </c>
      <c r="D78" s="419" t="s">
        <v>784</v>
      </c>
      <c r="E78" s="420" t="s">
        <v>785</v>
      </c>
      <c r="F78" s="421">
        <v>50.82</v>
      </c>
      <c r="G78" s="422" t="s">
        <v>776</v>
      </c>
      <c r="H78" s="422" t="s">
        <v>777</v>
      </c>
      <c r="I78" s="423" t="s">
        <v>574</v>
      </c>
      <c r="J78" s="424">
        <v>2302</v>
      </c>
      <c r="K78" s="425">
        <v>40725</v>
      </c>
      <c r="L78" s="426">
        <v>2011</v>
      </c>
      <c r="M78" s="421">
        <v>50.82</v>
      </c>
      <c r="N78" s="427" t="s">
        <v>575</v>
      </c>
      <c r="O78" s="427" t="s">
        <v>576</v>
      </c>
      <c r="P78" s="417"/>
      <c r="Q78" s="417"/>
      <c r="R78" s="417"/>
      <c r="S78" s="417"/>
      <c r="T78" s="417" t="s">
        <v>577</v>
      </c>
      <c r="U78" s="428">
        <v>0.13639999999999999</v>
      </c>
      <c r="V78" s="429">
        <f t="shared" si="10"/>
        <v>60722.98848</v>
      </c>
      <c r="W78" s="417"/>
      <c r="X78" s="417"/>
      <c r="Y78" s="466" t="s">
        <v>200</v>
      </c>
      <c r="Z78" s="417">
        <v>5</v>
      </c>
      <c r="AA78" s="430" t="str">
        <f>VLOOKUP(Y78,Source!F:F,1,FALSE)</f>
        <v>Massasoit Comm. College</v>
      </c>
    </row>
    <row r="79" spans="1:27" s="6" customFormat="1" ht="16" x14ac:dyDescent="0.2">
      <c r="A79" s="61" t="str">
        <f t="shared" si="9"/>
        <v>MassDEP - owned1</v>
      </c>
      <c r="B79" s="384" t="s">
        <v>568</v>
      </c>
      <c r="C79" s="61" t="s">
        <v>569</v>
      </c>
      <c r="D79" s="56" t="s">
        <v>786</v>
      </c>
      <c r="E79" s="54" t="s">
        <v>787</v>
      </c>
      <c r="F79" s="41">
        <v>52.5</v>
      </c>
      <c r="G79" s="384" t="s">
        <v>788</v>
      </c>
      <c r="H79" s="47" t="s">
        <v>789</v>
      </c>
      <c r="I79" s="61" t="s">
        <v>574</v>
      </c>
      <c r="J79" s="44">
        <v>1843</v>
      </c>
      <c r="K79" s="45">
        <v>40981</v>
      </c>
      <c r="L79" s="46">
        <v>2012</v>
      </c>
      <c r="M79" s="41">
        <v>52.5</v>
      </c>
      <c r="N79" s="54" t="s">
        <v>626</v>
      </c>
      <c r="O79" s="54" t="s">
        <v>576</v>
      </c>
      <c r="P79" s="384"/>
      <c r="Q79" s="61"/>
      <c r="R79" s="61"/>
      <c r="S79" s="384"/>
      <c r="T79" s="61" t="s">
        <v>577</v>
      </c>
      <c r="U79" s="265">
        <v>0.13639999999999999</v>
      </c>
      <c r="V79" s="63">
        <f t="shared" si="10"/>
        <v>62730.36</v>
      </c>
      <c r="W79" s="47" t="s">
        <v>790</v>
      </c>
      <c r="X79" s="384"/>
      <c r="Y79" s="606" t="s">
        <v>214</v>
      </c>
      <c r="Z79" s="61">
        <v>1</v>
      </c>
      <c r="AA79" s="85" t="str">
        <f>VLOOKUP(Y79,Source!F:F,1,FALSE)</f>
        <v>MassDEP - owned</v>
      </c>
    </row>
    <row r="80" spans="1:27" s="6" customFormat="1" ht="16" x14ac:dyDescent="0.2">
      <c r="A80" s="61" t="str">
        <f t="shared" si="9"/>
        <v>MassDEP - owned2</v>
      </c>
      <c r="B80" s="384" t="s">
        <v>568</v>
      </c>
      <c r="C80" s="61" t="s">
        <v>569</v>
      </c>
      <c r="D80" s="56" t="s">
        <v>791</v>
      </c>
      <c r="E80" s="57" t="s">
        <v>792</v>
      </c>
      <c r="F80" s="41">
        <v>129.36000000000001</v>
      </c>
      <c r="G80" s="53" t="s">
        <v>793</v>
      </c>
      <c r="H80" s="53" t="s">
        <v>794</v>
      </c>
      <c r="I80" s="53" t="s">
        <v>574</v>
      </c>
      <c r="J80" s="44">
        <v>1107</v>
      </c>
      <c r="K80" s="45">
        <v>40980</v>
      </c>
      <c r="L80" s="46">
        <v>2012</v>
      </c>
      <c r="M80" s="41">
        <v>129.36000000000001</v>
      </c>
      <c r="N80" s="54" t="s">
        <v>626</v>
      </c>
      <c r="O80" s="54" t="s">
        <v>576</v>
      </c>
      <c r="P80" s="61"/>
      <c r="Q80" s="61"/>
      <c r="R80" s="61"/>
      <c r="S80" s="61"/>
      <c r="T80" s="61" t="s">
        <v>577</v>
      </c>
      <c r="U80" s="265">
        <v>0.13639999999999999</v>
      </c>
      <c r="V80" s="63">
        <f t="shared" si="10"/>
        <v>154567.60704</v>
      </c>
      <c r="W80" s="61"/>
      <c r="X80" s="61"/>
      <c r="Y80" s="606" t="s">
        <v>214</v>
      </c>
      <c r="Z80" s="61">
        <v>2</v>
      </c>
      <c r="AA80" s="85" t="str">
        <f>VLOOKUP(Y80,Source!F:F,1,FALSE)</f>
        <v>MassDEP - owned</v>
      </c>
    </row>
    <row r="81" spans="1:27" s="6" customFormat="1" ht="16" x14ac:dyDescent="0.2">
      <c r="A81" s="61" t="str">
        <f t="shared" si="9"/>
        <v>MassDOT - Highway &amp; Turnpike Divisions1</v>
      </c>
      <c r="B81" s="384" t="s">
        <v>568</v>
      </c>
      <c r="C81" s="47" t="s">
        <v>611</v>
      </c>
      <c r="D81" s="56"/>
      <c r="E81" s="58" t="s">
        <v>795</v>
      </c>
      <c r="F81" s="41">
        <v>70</v>
      </c>
      <c r="G81" s="56" t="s">
        <v>796</v>
      </c>
      <c r="H81" s="47" t="s">
        <v>797</v>
      </c>
      <c r="I81" s="61" t="s">
        <v>574</v>
      </c>
      <c r="J81" s="44">
        <v>1060</v>
      </c>
      <c r="K81" s="45"/>
      <c r="L81" s="46">
        <v>2013</v>
      </c>
      <c r="M81" s="41">
        <v>70</v>
      </c>
      <c r="N81" s="50" t="s">
        <v>798</v>
      </c>
      <c r="O81" s="50" t="s">
        <v>576</v>
      </c>
      <c r="P81" s="384" t="s">
        <v>799</v>
      </c>
      <c r="Q81" s="384"/>
      <c r="R81" s="384"/>
      <c r="S81" s="384"/>
      <c r="T81" s="61" t="s">
        <v>577</v>
      </c>
      <c r="U81" s="265">
        <v>0.13639999999999999</v>
      </c>
      <c r="V81" s="63">
        <f t="shared" si="10"/>
        <v>83640.479999999996</v>
      </c>
      <c r="W81" s="47" t="s">
        <v>800</v>
      </c>
      <c r="X81" s="384"/>
      <c r="Y81" s="606" t="s">
        <v>215</v>
      </c>
      <c r="Z81" s="384">
        <v>1</v>
      </c>
      <c r="AA81" s="85" t="str">
        <f>VLOOKUP(Y81,Source!F:F,1,FALSE)</f>
        <v>MassDOT - Highway &amp; Turnpike Divisions</v>
      </c>
    </row>
    <row r="82" spans="1:27" s="6" customFormat="1" ht="16" x14ac:dyDescent="0.2">
      <c r="A82" s="61" t="str">
        <f t="shared" si="9"/>
        <v>MassDOT - Highway &amp; Turnpike Divisions2</v>
      </c>
      <c r="B82" s="384" t="s">
        <v>568</v>
      </c>
      <c r="C82" s="61" t="s">
        <v>611</v>
      </c>
      <c r="D82" s="56"/>
      <c r="E82" s="86" t="s">
        <v>801</v>
      </c>
      <c r="F82" s="41">
        <v>649</v>
      </c>
      <c r="G82" s="56" t="s">
        <v>802</v>
      </c>
      <c r="H82" s="47" t="s">
        <v>664</v>
      </c>
      <c r="I82" s="61" t="s">
        <v>574</v>
      </c>
      <c r="J82" s="44"/>
      <c r="K82" s="45">
        <v>41961</v>
      </c>
      <c r="L82" s="46">
        <v>2015</v>
      </c>
      <c r="M82" s="41">
        <v>649</v>
      </c>
      <c r="N82" s="50" t="s">
        <v>798</v>
      </c>
      <c r="O82" s="86" t="s">
        <v>589</v>
      </c>
      <c r="P82" s="384" t="s">
        <v>799</v>
      </c>
      <c r="Q82" s="384"/>
      <c r="R82" s="384"/>
      <c r="S82" s="384"/>
      <c r="T82" s="61" t="s">
        <v>577</v>
      </c>
      <c r="U82" s="265">
        <v>0.13639999999999999</v>
      </c>
      <c r="V82" s="63">
        <f t="shared" si="10"/>
        <v>775466.73599999992</v>
      </c>
      <c r="W82" s="47" t="s">
        <v>803</v>
      </c>
      <c r="X82" s="384"/>
      <c r="Y82" s="606" t="s">
        <v>215</v>
      </c>
      <c r="Z82" s="384">
        <v>2</v>
      </c>
      <c r="AA82" s="85" t="str">
        <f>VLOOKUP(Y82,Source!F:F,1,FALSE)</f>
        <v>MassDOT - Highway &amp; Turnpike Divisions</v>
      </c>
    </row>
    <row r="83" spans="1:27" s="6" customFormat="1" ht="16" x14ac:dyDescent="0.2">
      <c r="A83" s="61" t="str">
        <f t="shared" si="9"/>
        <v>MassDOT - Highway &amp; Turnpike Divisions3</v>
      </c>
      <c r="B83" s="384" t="s">
        <v>568</v>
      </c>
      <c r="C83" s="61" t="s">
        <v>611</v>
      </c>
      <c r="D83" s="56"/>
      <c r="E83" s="86" t="s">
        <v>804</v>
      </c>
      <c r="F83" s="41">
        <v>649</v>
      </c>
      <c r="G83" s="56" t="s">
        <v>802</v>
      </c>
      <c r="H83" s="47" t="s">
        <v>664</v>
      </c>
      <c r="I83" s="61" t="s">
        <v>574</v>
      </c>
      <c r="J83" s="44"/>
      <c r="K83" s="45">
        <v>41961</v>
      </c>
      <c r="L83" s="46">
        <v>2015</v>
      </c>
      <c r="M83" s="41">
        <v>649</v>
      </c>
      <c r="N83" s="50" t="s">
        <v>798</v>
      </c>
      <c r="O83" s="86" t="s">
        <v>589</v>
      </c>
      <c r="P83" s="384" t="s">
        <v>799</v>
      </c>
      <c r="Q83" s="384"/>
      <c r="R83" s="384"/>
      <c r="S83" s="384"/>
      <c r="T83" s="61" t="s">
        <v>577</v>
      </c>
      <c r="U83" s="265">
        <v>0.13639999999999999</v>
      </c>
      <c r="V83" s="63">
        <f t="shared" si="10"/>
        <v>775466.73599999992</v>
      </c>
      <c r="W83" s="47" t="s">
        <v>803</v>
      </c>
      <c r="X83" s="384"/>
      <c r="Y83" s="606" t="s">
        <v>215</v>
      </c>
      <c r="Z83" s="384">
        <v>3</v>
      </c>
      <c r="AA83" s="85" t="str">
        <f>VLOOKUP(Y83,Source!F:F,1,FALSE)</f>
        <v>MassDOT - Highway &amp; Turnpike Divisions</v>
      </c>
    </row>
    <row r="84" spans="1:27" s="6" customFormat="1" ht="16" x14ac:dyDescent="0.2">
      <c r="A84" s="61" t="str">
        <f t="shared" si="9"/>
        <v>MassDOT - Highway &amp; Turnpike Divisions4</v>
      </c>
      <c r="B84" s="384" t="s">
        <v>568</v>
      </c>
      <c r="C84" s="61" t="s">
        <v>611</v>
      </c>
      <c r="D84" s="56"/>
      <c r="E84" s="86" t="s">
        <v>805</v>
      </c>
      <c r="F84" s="41">
        <v>318</v>
      </c>
      <c r="G84" s="56" t="s">
        <v>806</v>
      </c>
      <c r="H84" s="47" t="s">
        <v>664</v>
      </c>
      <c r="I84" s="61" t="s">
        <v>574</v>
      </c>
      <c r="J84" s="44"/>
      <c r="K84" s="45">
        <v>41961</v>
      </c>
      <c r="L84" s="46">
        <v>2015</v>
      </c>
      <c r="M84" s="41">
        <v>318</v>
      </c>
      <c r="N84" s="50" t="s">
        <v>798</v>
      </c>
      <c r="O84" s="86" t="s">
        <v>589</v>
      </c>
      <c r="P84" s="384" t="s">
        <v>799</v>
      </c>
      <c r="Q84" s="384"/>
      <c r="R84" s="384"/>
      <c r="S84" s="384"/>
      <c r="T84" s="61" t="s">
        <v>577</v>
      </c>
      <c r="U84" s="265">
        <v>0.13639999999999999</v>
      </c>
      <c r="V84" s="63">
        <f t="shared" si="10"/>
        <v>379966.75199999998</v>
      </c>
      <c r="W84" s="47" t="s">
        <v>803</v>
      </c>
      <c r="X84" s="384"/>
      <c r="Y84" s="606" t="s">
        <v>215</v>
      </c>
      <c r="Z84" s="384">
        <v>4</v>
      </c>
      <c r="AA84" s="85" t="str">
        <f>VLOOKUP(Y84,Source!F:F,1,FALSE)</f>
        <v>MassDOT - Highway &amp; Turnpike Divisions</v>
      </c>
    </row>
    <row r="85" spans="1:27" s="6" customFormat="1" ht="16" x14ac:dyDescent="0.2">
      <c r="A85" s="61" t="str">
        <f t="shared" si="9"/>
        <v>MassDOT - Highway &amp; Turnpike Divisions5</v>
      </c>
      <c r="B85" s="384" t="s">
        <v>568</v>
      </c>
      <c r="C85" s="61" t="s">
        <v>611</v>
      </c>
      <c r="D85" s="56"/>
      <c r="E85" s="86" t="s">
        <v>807</v>
      </c>
      <c r="F85" s="41">
        <v>271</v>
      </c>
      <c r="G85" s="56" t="s">
        <v>808</v>
      </c>
      <c r="H85" s="47" t="s">
        <v>809</v>
      </c>
      <c r="I85" s="61" t="s">
        <v>574</v>
      </c>
      <c r="J85" s="44"/>
      <c r="K85" s="45">
        <v>41961</v>
      </c>
      <c r="L85" s="46">
        <v>2015</v>
      </c>
      <c r="M85" s="41">
        <v>271</v>
      </c>
      <c r="N85" s="50" t="s">
        <v>798</v>
      </c>
      <c r="O85" s="86" t="s">
        <v>589</v>
      </c>
      <c r="P85" s="384" t="s">
        <v>799</v>
      </c>
      <c r="Q85" s="384"/>
      <c r="R85" s="384"/>
      <c r="S85" s="384"/>
      <c r="T85" s="61" t="s">
        <v>577</v>
      </c>
      <c r="U85" s="265">
        <v>0.13639999999999999</v>
      </c>
      <c r="V85" s="63">
        <f t="shared" si="10"/>
        <v>323808.14399999997</v>
      </c>
      <c r="W85" s="47" t="s">
        <v>803</v>
      </c>
      <c r="X85" s="384"/>
      <c r="Y85" s="606" t="s">
        <v>215</v>
      </c>
      <c r="Z85" s="384">
        <v>5</v>
      </c>
      <c r="AA85" s="85" t="str">
        <f>VLOOKUP(Y85,Source!F:F,1,FALSE)</f>
        <v>MassDOT - Highway &amp; Turnpike Divisions</v>
      </c>
    </row>
    <row r="86" spans="1:27" s="6" customFormat="1" ht="16" x14ac:dyDescent="0.2">
      <c r="A86" s="61" t="str">
        <f t="shared" si="9"/>
        <v>MassDOT - Highway &amp; Turnpike Divisions6</v>
      </c>
      <c r="B86" s="384" t="s">
        <v>568</v>
      </c>
      <c r="C86" s="61" t="s">
        <v>611</v>
      </c>
      <c r="D86" s="56"/>
      <c r="E86" s="86" t="s">
        <v>810</v>
      </c>
      <c r="F86" s="41">
        <v>567</v>
      </c>
      <c r="G86" s="56" t="s">
        <v>811</v>
      </c>
      <c r="H86" s="47" t="s">
        <v>812</v>
      </c>
      <c r="I86" s="61" t="s">
        <v>574</v>
      </c>
      <c r="J86" s="44"/>
      <c r="K86" s="45">
        <v>42165</v>
      </c>
      <c r="L86" s="46">
        <v>2015</v>
      </c>
      <c r="M86" s="41">
        <v>567</v>
      </c>
      <c r="N86" s="50" t="s">
        <v>798</v>
      </c>
      <c r="O86" s="86" t="s">
        <v>589</v>
      </c>
      <c r="P86" s="384" t="s">
        <v>799</v>
      </c>
      <c r="Q86" s="384"/>
      <c r="R86" s="384"/>
      <c r="S86" s="384"/>
      <c r="T86" s="61" t="s">
        <v>577</v>
      </c>
      <c r="U86" s="265">
        <v>0.13639999999999999</v>
      </c>
      <c r="V86" s="63">
        <f t="shared" si="10"/>
        <v>677487.88799999992</v>
      </c>
      <c r="W86" s="47" t="s">
        <v>803</v>
      </c>
      <c r="X86" s="384"/>
      <c r="Y86" s="606" t="s">
        <v>215</v>
      </c>
      <c r="Z86" s="384">
        <v>6</v>
      </c>
      <c r="AA86" s="85" t="str">
        <f>VLOOKUP(Y86,Source!F:F,1,FALSE)</f>
        <v>MassDOT - Highway &amp; Turnpike Divisions</v>
      </c>
    </row>
    <row r="87" spans="1:27" s="6" customFormat="1" ht="16" x14ac:dyDescent="0.2">
      <c r="A87" s="61" t="str">
        <f t="shared" si="9"/>
        <v>MassPort Authority1</v>
      </c>
      <c r="B87" s="384" t="s">
        <v>568</v>
      </c>
      <c r="C87" s="61" t="s">
        <v>569</v>
      </c>
      <c r="D87" s="56"/>
      <c r="E87" s="54" t="s">
        <v>813</v>
      </c>
      <c r="F87" s="41">
        <v>51</v>
      </c>
      <c r="G87" s="56" t="s">
        <v>814</v>
      </c>
      <c r="H87" s="47" t="s">
        <v>815</v>
      </c>
      <c r="I87" s="61" t="s">
        <v>574</v>
      </c>
      <c r="J87" s="44">
        <v>1730</v>
      </c>
      <c r="K87" s="45"/>
      <c r="L87" s="46">
        <v>2014</v>
      </c>
      <c r="M87" s="41">
        <v>51</v>
      </c>
      <c r="N87" s="50" t="s">
        <v>743</v>
      </c>
      <c r="O87" s="50" t="s">
        <v>576</v>
      </c>
      <c r="P87" s="384"/>
      <c r="Q87" s="384"/>
      <c r="R87" s="384"/>
      <c r="S87" s="384"/>
      <c r="T87" s="61" t="s">
        <v>577</v>
      </c>
      <c r="U87" s="265">
        <v>0.13639999999999999</v>
      </c>
      <c r="V87" s="63">
        <f t="shared" si="10"/>
        <v>60938.063999999998</v>
      </c>
      <c r="W87" s="712" t="s">
        <v>816</v>
      </c>
      <c r="X87" s="384"/>
      <c r="Y87" s="37" t="s">
        <v>216</v>
      </c>
      <c r="Z87" s="384">
        <v>1</v>
      </c>
      <c r="AA87" s="85" t="str">
        <f>VLOOKUP(Y87,Source!F:F,1,FALSE)</f>
        <v>MassPort Authority</v>
      </c>
    </row>
    <row r="88" spans="1:27" s="6" customFormat="1" x14ac:dyDescent="0.2">
      <c r="A88" s="61" t="str">
        <f t="shared" si="9"/>
        <v>MassPort Authority2</v>
      </c>
      <c r="B88" s="384" t="s">
        <v>568</v>
      </c>
      <c r="C88" s="61" t="s">
        <v>569</v>
      </c>
      <c r="D88" s="56" t="s">
        <v>817</v>
      </c>
      <c r="E88" s="40" t="s">
        <v>818</v>
      </c>
      <c r="F88" s="41">
        <v>276.64</v>
      </c>
      <c r="G88" s="56" t="s">
        <v>819</v>
      </c>
      <c r="H88" s="42" t="s">
        <v>604</v>
      </c>
      <c r="I88" s="43" t="s">
        <v>574</v>
      </c>
      <c r="J88" s="44">
        <v>2128</v>
      </c>
      <c r="K88" s="45">
        <v>40905</v>
      </c>
      <c r="L88" s="46">
        <v>2012</v>
      </c>
      <c r="M88" s="41">
        <v>276.64</v>
      </c>
      <c r="N88" s="50" t="s">
        <v>743</v>
      </c>
      <c r="O88" s="50" t="s">
        <v>589</v>
      </c>
      <c r="P88" s="61"/>
      <c r="Q88" s="61"/>
      <c r="R88" s="61"/>
      <c r="S88" s="61"/>
      <c r="T88" s="61" t="s">
        <v>577</v>
      </c>
      <c r="U88" s="265">
        <v>0.13639999999999999</v>
      </c>
      <c r="V88" s="63">
        <f t="shared" si="10"/>
        <v>330547.17695999995</v>
      </c>
      <c r="W88" s="61"/>
      <c r="X88" s="61"/>
      <c r="Y88" s="37" t="s">
        <v>216</v>
      </c>
      <c r="Z88" s="384">
        <v>2</v>
      </c>
      <c r="AA88" s="85" t="str">
        <f>VLOOKUP(Y88,Source!F:F,1,FALSE)</f>
        <v>MassPort Authority</v>
      </c>
    </row>
    <row r="89" spans="1:27" s="6" customFormat="1" x14ac:dyDescent="0.2">
      <c r="A89" s="61" t="str">
        <f t="shared" si="9"/>
        <v>MassPort Authority3</v>
      </c>
      <c r="B89" s="384" t="s">
        <v>568</v>
      </c>
      <c r="C89" s="61" t="s">
        <v>569</v>
      </c>
      <c r="D89" s="56" t="s">
        <v>820</v>
      </c>
      <c r="E89" s="40" t="s">
        <v>821</v>
      </c>
      <c r="F89" s="41">
        <v>93.18</v>
      </c>
      <c r="G89" s="56" t="s">
        <v>819</v>
      </c>
      <c r="H89" s="42" t="s">
        <v>604</v>
      </c>
      <c r="I89" s="43" t="s">
        <v>574</v>
      </c>
      <c r="J89" s="44">
        <v>2128</v>
      </c>
      <c r="K89" s="45">
        <v>40905</v>
      </c>
      <c r="L89" s="46">
        <v>2012</v>
      </c>
      <c r="M89" s="41">
        <v>93.18</v>
      </c>
      <c r="N89" s="50" t="s">
        <v>743</v>
      </c>
      <c r="O89" s="50" t="s">
        <v>589</v>
      </c>
      <c r="P89" s="61"/>
      <c r="Q89" s="61"/>
      <c r="R89" s="61"/>
      <c r="S89" s="61"/>
      <c r="T89" s="61" t="s">
        <v>577</v>
      </c>
      <c r="U89" s="265">
        <v>0.13639999999999999</v>
      </c>
      <c r="V89" s="63">
        <f t="shared" si="10"/>
        <v>111337.42752</v>
      </c>
      <c r="W89" s="61"/>
      <c r="X89" s="61"/>
      <c r="Y89" s="37" t="s">
        <v>216</v>
      </c>
      <c r="Z89" s="384">
        <v>3</v>
      </c>
      <c r="AA89" s="85" t="str">
        <f>VLOOKUP(Y89,Source!F:F,1,FALSE)</f>
        <v>MassPort Authority</v>
      </c>
    </row>
    <row r="90" spans="1:27" x14ac:dyDescent="0.2">
      <c r="A90" s="61" t="str">
        <f t="shared" si="9"/>
        <v>MassPort Authority4</v>
      </c>
      <c r="B90" s="384" t="s">
        <v>568</v>
      </c>
      <c r="C90" s="61" t="s">
        <v>569</v>
      </c>
      <c r="D90" s="56"/>
      <c r="E90" s="47" t="s">
        <v>822</v>
      </c>
      <c r="F90" s="41">
        <v>200</v>
      </c>
      <c r="G90" s="56" t="s">
        <v>819</v>
      </c>
      <c r="H90" s="47" t="s">
        <v>604</v>
      </c>
      <c r="I90" s="61" t="s">
        <v>574</v>
      </c>
      <c r="J90" s="44">
        <v>2128</v>
      </c>
      <c r="K90" s="45"/>
      <c r="L90" s="46">
        <v>2012</v>
      </c>
      <c r="M90" s="41">
        <v>200</v>
      </c>
      <c r="N90" s="50" t="s">
        <v>743</v>
      </c>
      <c r="O90" s="50" t="s">
        <v>576</v>
      </c>
      <c r="P90" s="384"/>
      <c r="Q90" s="384"/>
      <c r="R90" s="384"/>
      <c r="S90" s="384"/>
      <c r="T90" s="61" t="s">
        <v>577</v>
      </c>
      <c r="U90" s="265">
        <v>0.13639999999999999</v>
      </c>
      <c r="V90" s="63">
        <f t="shared" si="10"/>
        <v>238972.79999999999</v>
      </c>
      <c r="W90" s="47" t="s">
        <v>823</v>
      </c>
      <c r="X90" s="384"/>
      <c r="Y90" s="37" t="s">
        <v>216</v>
      </c>
      <c r="Z90" s="384">
        <v>4</v>
      </c>
      <c r="AA90" s="85" t="str">
        <f>VLOOKUP(Y90,Source!F:F,1,FALSE)</f>
        <v>MassPort Authority</v>
      </c>
    </row>
    <row r="91" spans="1:27" x14ac:dyDescent="0.2">
      <c r="A91" s="61" t="str">
        <f t="shared" si="9"/>
        <v>MassPort Authority5</v>
      </c>
      <c r="B91" s="384" t="s">
        <v>568</v>
      </c>
      <c r="C91" s="61" t="s">
        <v>569</v>
      </c>
      <c r="D91" s="56"/>
      <c r="E91" s="54" t="s">
        <v>824</v>
      </c>
      <c r="F91" s="41">
        <v>50</v>
      </c>
      <c r="G91" s="56" t="s">
        <v>819</v>
      </c>
      <c r="H91" s="47" t="s">
        <v>825</v>
      </c>
      <c r="I91" s="61" t="s">
        <v>574</v>
      </c>
      <c r="J91" s="44">
        <v>2128</v>
      </c>
      <c r="K91" s="45"/>
      <c r="L91" s="26">
        <v>2013</v>
      </c>
      <c r="M91" s="41">
        <v>50</v>
      </c>
      <c r="N91" s="50" t="s">
        <v>743</v>
      </c>
      <c r="O91" s="50" t="s">
        <v>576</v>
      </c>
      <c r="P91" s="384"/>
      <c r="Q91" s="384"/>
      <c r="R91" s="384"/>
      <c r="S91" s="384"/>
      <c r="T91" s="61" t="s">
        <v>577</v>
      </c>
      <c r="U91" s="265">
        <v>0.13639999999999999</v>
      </c>
      <c r="V91" s="63">
        <f t="shared" si="10"/>
        <v>59743.199999999997</v>
      </c>
      <c r="W91" s="47" t="s">
        <v>826</v>
      </c>
      <c r="X91" s="384"/>
      <c r="Y91" s="37" t="s">
        <v>216</v>
      </c>
      <c r="Z91" s="384">
        <v>5</v>
      </c>
      <c r="AA91" s="85" t="str">
        <f>VLOOKUP(Y91,Source!F:F,1,FALSE)</f>
        <v>MassPort Authority</v>
      </c>
    </row>
    <row r="92" spans="1:27" x14ac:dyDescent="0.2">
      <c r="A92" s="61" t="str">
        <f t="shared" ref="A92:A146" si="11">Y92&amp;Z92</f>
        <v>MassPort Authority6</v>
      </c>
      <c r="B92" s="384" t="s">
        <v>568</v>
      </c>
      <c r="C92" s="61" t="s">
        <v>569</v>
      </c>
      <c r="D92" s="56"/>
      <c r="E92" s="54" t="s">
        <v>827</v>
      </c>
      <c r="F92" s="41">
        <v>81</v>
      </c>
      <c r="G92" s="56" t="s">
        <v>828</v>
      </c>
      <c r="H92" s="47" t="s">
        <v>825</v>
      </c>
      <c r="I92" s="61" t="s">
        <v>574</v>
      </c>
      <c r="J92" s="44">
        <v>2128</v>
      </c>
      <c r="K92" s="45"/>
      <c r="L92" s="26">
        <v>2013</v>
      </c>
      <c r="M92" s="41">
        <v>81</v>
      </c>
      <c r="N92" s="50" t="s">
        <v>743</v>
      </c>
      <c r="O92" s="50" t="s">
        <v>576</v>
      </c>
      <c r="P92" s="384"/>
      <c r="Q92" s="384"/>
      <c r="R92" s="384"/>
      <c r="S92" s="384"/>
      <c r="T92" s="61" t="s">
        <v>577</v>
      </c>
      <c r="U92" s="265">
        <v>0.13639999999999999</v>
      </c>
      <c r="V92" s="63">
        <f t="shared" si="10"/>
        <v>96783.983999999997</v>
      </c>
      <c r="W92" s="47" t="s">
        <v>829</v>
      </c>
      <c r="X92" s="384"/>
      <c r="Y92" s="37" t="s">
        <v>216</v>
      </c>
      <c r="Z92" s="384">
        <v>6</v>
      </c>
      <c r="AA92" s="85" t="str">
        <f>VLOOKUP(Y92,Source!F:F,1,FALSE)</f>
        <v>MassPort Authority</v>
      </c>
    </row>
    <row r="93" spans="1:27" ht="16" x14ac:dyDescent="0.2">
      <c r="A93" s="61" t="str">
        <f t="shared" si="11"/>
        <v>MassPort Authority7</v>
      </c>
      <c r="B93" s="384" t="s">
        <v>568</v>
      </c>
      <c r="C93" s="61" t="s">
        <v>569</v>
      </c>
      <c r="D93" s="56"/>
      <c r="E93" s="54" t="s">
        <v>830</v>
      </c>
      <c r="F93" s="41">
        <v>121</v>
      </c>
      <c r="G93" s="56" t="s">
        <v>819</v>
      </c>
      <c r="H93" s="47" t="s">
        <v>825</v>
      </c>
      <c r="I93" s="61" t="s">
        <v>574</v>
      </c>
      <c r="J93" s="44">
        <v>2128</v>
      </c>
      <c r="K93" s="45"/>
      <c r="L93" s="46">
        <v>2014</v>
      </c>
      <c r="M93" s="41">
        <v>121</v>
      </c>
      <c r="N93" s="50" t="s">
        <v>743</v>
      </c>
      <c r="O93" s="50" t="s">
        <v>576</v>
      </c>
      <c r="P93" s="384"/>
      <c r="Q93" s="384"/>
      <c r="R93" s="384"/>
      <c r="S93" s="384"/>
      <c r="T93" s="61" t="s">
        <v>577</v>
      </c>
      <c r="U93" s="265">
        <v>0.13639999999999999</v>
      </c>
      <c r="V93" s="63">
        <f t="shared" si="10"/>
        <v>144578.54399999999</v>
      </c>
      <c r="W93" s="712" t="s">
        <v>831</v>
      </c>
      <c r="X93" s="384"/>
      <c r="Y93" s="37" t="s">
        <v>216</v>
      </c>
      <c r="Z93" s="384">
        <v>7</v>
      </c>
      <c r="AA93" s="85" t="str">
        <f>VLOOKUP(Y93,Source!F:F,1,FALSE)</f>
        <v>MassPort Authority</v>
      </c>
    </row>
    <row r="94" spans="1:27" ht="16" x14ac:dyDescent="0.2">
      <c r="A94" s="61" t="str">
        <f t="shared" si="11"/>
        <v>MassPort Authority8</v>
      </c>
      <c r="B94" s="384" t="s">
        <v>568</v>
      </c>
      <c r="C94" s="712" t="s">
        <v>402</v>
      </c>
      <c r="D94" s="56"/>
      <c r="E94" s="54" t="s">
        <v>827</v>
      </c>
      <c r="F94" s="41">
        <v>20</v>
      </c>
      <c r="G94" s="56" t="s">
        <v>828</v>
      </c>
      <c r="H94" s="47" t="s">
        <v>825</v>
      </c>
      <c r="I94" s="61" t="s">
        <v>574</v>
      </c>
      <c r="J94" s="44">
        <v>2128</v>
      </c>
      <c r="K94" s="45"/>
      <c r="L94" s="46">
        <v>2014</v>
      </c>
      <c r="M94" s="41">
        <v>20</v>
      </c>
      <c r="N94" s="50" t="s">
        <v>743</v>
      </c>
      <c r="O94" s="50" t="s">
        <v>576</v>
      </c>
      <c r="P94" s="61"/>
      <c r="Q94" s="61"/>
      <c r="R94" s="61"/>
      <c r="S94" s="384"/>
      <c r="T94" s="61" t="s">
        <v>577</v>
      </c>
      <c r="U94" s="59">
        <v>0.26</v>
      </c>
      <c r="V94" s="63">
        <f t="shared" si="10"/>
        <v>45552</v>
      </c>
      <c r="W94" s="384"/>
      <c r="X94" s="61"/>
      <c r="Y94" s="37" t="s">
        <v>216</v>
      </c>
      <c r="Z94" s="384">
        <v>8</v>
      </c>
      <c r="AA94" s="85" t="str">
        <f>VLOOKUP(Y94,Source!F:F,1,FALSE)</f>
        <v>MassPort Authority</v>
      </c>
    </row>
    <row r="95" spans="1:27" s="85" customFormat="1" ht="16" x14ac:dyDescent="0.2">
      <c r="A95" s="61" t="str">
        <f t="shared" ref="A95" si="12">Y95&amp;Z95</f>
        <v>MassPort Authority9</v>
      </c>
      <c r="B95" s="384" t="s">
        <v>568</v>
      </c>
      <c r="C95" s="804" t="s">
        <v>569</v>
      </c>
      <c r="D95" s="56"/>
      <c r="E95" s="54" t="s">
        <v>1599</v>
      </c>
      <c r="F95" s="41">
        <v>177.8</v>
      </c>
      <c r="G95" s="56" t="s">
        <v>1600</v>
      </c>
      <c r="H95" s="47" t="s">
        <v>825</v>
      </c>
      <c r="I95" s="61" t="s">
        <v>574</v>
      </c>
      <c r="J95" s="44">
        <v>2129</v>
      </c>
      <c r="K95" s="45"/>
      <c r="L95" s="46">
        <v>2020</v>
      </c>
      <c r="M95" s="41">
        <v>177.8</v>
      </c>
      <c r="N95" s="50" t="s">
        <v>743</v>
      </c>
      <c r="O95" s="50" t="s">
        <v>576</v>
      </c>
      <c r="P95" s="61"/>
      <c r="Q95" s="61"/>
      <c r="R95" s="61"/>
      <c r="S95" s="384"/>
      <c r="T95" s="61" t="s">
        <v>577</v>
      </c>
      <c r="U95" s="59"/>
      <c r="V95" s="63"/>
      <c r="W95" s="384"/>
      <c r="X95" s="61"/>
      <c r="Y95" s="37" t="s">
        <v>216</v>
      </c>
      <c r="Z95" s="384">
        <v>9</v>
      </c>
      <c r="AA95" s="85" t="str">
        <f>VLOOKUP(Y95,Source!F:F,1,FALSE)</f>
        <v>MassPort Authority</v>
      </c>
    </row>
    <row r="96" spans="1:27" ht="16" x14ac:dyDescent="0.2">
      <c r="A96" s="61" t="str">
        <f t="shared" si="11"/>
        <v>Mount Wachusett Comm. College1</v>
      </c>
      <c r="B96" s="384" t="s">
        <v>568</v>
      </c>
      <c r="C96" s="61" t="s">
        <v>569</v>
      </c>
      <c r="D96" s="56" t="s">
        <v>832</v>
      </c>
      <c r="E96" s="40" t="s">
        <v>833</v>
      </c>
      <c r="F96" s="41">
        <v>97.28</v>
      </c>
      <c r="G96" s="56" t="s">
        <v>834</v>
      </c>
      <c r="H96" s="42" t="s">
        <v>671</v>
      </c>
      <c r="I96" s="43" t="s">
        <v>574</v>
      </c>
      <c r="J96" s="44">
        <v>1440</v>
      </c>
      <c r="K96" s="45">
        <v>40070</v>
      </c>
      <c r="L96" s="46">
        <v>2011</v>
      </c>
      <c r="M96" s="41">
        <v>97.28</v>
      </c>
      <c r="N96" s="54" t="s">
        <v>575</v>
      </c>
      <c r="O96" s="54" t="s">
        <v>576</v>
      </c>
      <c r="P96" s="61"/>
      <c r="Q96" s="61"/>
      <c r="R96" s="61"/>
      <c r="S96" s="61"/>
      <c r="T96" s="61" t="s">
        <v>577</v>
      </c>
      <c r="U96" s="265">
        <v>0.13639999999999999</v>
      </c>
      <c r="V96" s="63">
        <f t="shared" si="10"/>
        <v>116236.36992</v>
      </c>
      <c r="W96" s="61"/>
      <c r="X96" s="61"/>
      <c r="Y96" s="606" t="s">
        <v>231</v>
      </c>
      <c r="Z96" s="384">
        <v>1</v>
      </c>
      <c r="AA96" s="85" t="str">
        <f>VLOOKUP(Y96,Source!F:F,1,FALSE)</f>
        <v>Mount Wachusett Comm. College</v>
      </c>
    </row>
    <row r="97" spans="1:27" ht="16" x14ac:dyDescent="0.2">
      <c r="A97" s="61" t="str">
        <f t="shared" si="11"/>
        <v>Mount Wachusett Comm. College2</v>
      </c>
      <c r="B97" s="384" t="s">
        <v>568</v>
      </c>
      <c r="C97" s="47" t="s">
        <v>402</v>
      </c>
      <c r="D97" s="56" t="s">
        <v>835</v>
      </c>
      <c r="E97" s="47" t="s">
        <v>836</v>
      </c>
      <c r="F97" s="41">
        <v>3300</v>
      </c>
      <c r="G97" s="56" t="s">
        <v>834</v>
      </c>
      <c r="H97" s="47" t="s">
        <v>671</v>
      </c>
      <c r="I97" s="43" t="s">
        <v>574</v>
      </c>
      <c r="J97" s="44">
        <v>1440</v>
      </c>
      <c r="K97" s="45">
        <v>40664</v>
      </c>
      <c r="L97" s="46">
        <v>2011</v>
      </c>
      <c r="M97" s="41">
        <v>3300</v>
      </c>
      <c r="N97" s="54" t="s">
        <v>575</v>
      </c>
      <c r="O97" s="54" t="s">
        <v>576</v>
      </c>
      <c r="P97" s="61"/>
      <c r="Q97" s="61"/>
      <c r="R97" s="61"/>
      <c r="S97" s="384"/>
      <c r="T97" s="61" t="s">
        <v>577</v>
      </c>
      <c r="U97" s="59">
        <v>0.26</v>
      </c>
      <c r="V97" s="63">
        <f t="shared" si="10"/>
        <v>7516080</v>
      </c>
      <c r="W97" s="47" t="s">
        <v>672</v>
      </c>
      <c r="X97" s="61"/>
      <c r="Y97" s="65" t="s">
        <v>231</v>
      </c>
      <c r="Z97" s="384">
        <v>2</v>
      </c>
      <c r="AA97" s="85" t="str">
        <f>VLOOKUP(Y97,Source!F:F,1,FALSE)</f>
        <v>Mount Wachusett Comm. College</v>
      </c>
    </row>
    <row r="98" spans="1:27" ht="16" x14ac:dyDescent="0.2">
      <c r="A98" s="61" t="str">
        <f t="shared" si="11"/>
        <v>Mount Wachusett Comm. College3</v>
      </c>
      <c r="B98" s="384" t="s">
        <v>590</v>
      </c>
      <c r="C98" s="47" t="s">
        <v>837</v>
      </c>
      <c r="D98" s="56"/>
      <c r="E98" s="47" t="s">
        <v>838</v>
      </c>
      <c r="F98" s="41">
        <v>400</v>
      </c>
      <c r="G98" s="56" t="s">
        <v>834</v>
      </c>
      <c r="H98" s="47" t="s">
        <v>671</v>
      </c>
      <c r="I98" s="43" t="s">
        <v>574</v>
      </c>
      <c r="J98" s="44">
        <v>1440</v>
      </c>
      <c r="K98" s="45"/>
      <c r="L98" s="46">
        <v>1984</v>
      </c>
      <c r="M98" s="41">
        <v>400</v>
      </c>
      <c r="N98" s="54" t="s">
        <v>575</v>
      </c>
      <c r="O98" s="54" t="s">
        <v>576</v>
      </c>
      <c r="P98" s="59"/>
      <c r="Q98" s="60"/>
      <c r="R98" s="61"/>
      <c r="S98" s="61"/>
      <c r="T98" s="61" t="s">
        <v>577</v>
      </c>
      <c r="U98" s="61"/>
      <c r="V98" s="61"/>
      <c r="W98" s="47" t="s">
        <v>838</v>
      </c>
      <c r="X98" s="61"/>
      <c r="Y98" s="65" t="s">
        <v>231</v>
      </c>
      <c r="Z98" s="384">
        <v>3</v>
      </c>
      <c r="AA98" s="85" t="str">
        <f>VLOOKUP(Y98,Source!F:F,1,FALSE)</f>
        <v>Mount Wachusett Comm. College</v>
      </c>
    </row>
    <row r="99" spans="1:27" x14ac:dyDescent="0.2">
      <c r="A99" s="61" t="str">
        <f t="shared" si="11"/>
        <v>North Shore Comm. College1</v>
      </c>
      <c r="B99" s="384" t="s">
        <v>568</v>
      </c>
      <c r="C99" s="61" t="s">
        <v>569</v>
      </c>
      <c r="D99" s="56" t="s">
        <v>839</v>
      </c>
      <c r="E99" s="47" t="s">
        <v>840</v>
      </c>
      <c r="F99" s="41">
        <v>61</v>
      </c>
      <c r="G99" s="42" t="s">
        <v>841</v>
      </c>
      <c r="H99" s="47" t="s">
        <v>842</v>
      </c>
      <c r="I99" s="61" t="s">
        <v>574</v>
      </c>
      <c r="J99" s="44">
        <v>1923</v>
      </c>
      <c r="K99" s="45">
        <v>40544</v>
      </c>
      <c r="L99" s="46">
        <v>2010</v>
      </c>
      <c r="M99" s="41">
        <v>61</v>
      </c>
      <c r="N99" s="54" t="s">
        <v>575</v>
      </c>
      <c r="O99" s="54" t="s">
        <v>576</v>
      </c>
      <c r="P99" s="61"/>
      <c r="Q99" s="61"/>
      <c r="R99" s="61"/>
      <c r="S99" s="384"/>
      <c r="T99" s="61" t="s">
        <v>577</v>
      </c>
      <c r="U99" s="265">
        <v>0.13639999999999999</v>
      </c>
      <c r="V99" s="63">
        <f>M99*8760*U99</f>
        <v>72886.703999999998</v>
      </c>
      <c r="W99" s="47" t="s">
        <v>843</v>
      </c>
      <c r="X99" s="384"/>
      <c r="Y99" s="40" t="s">
        <v>240</v>
      </c>
      <c r="Z99" s="384">
        <v>1</v>
      </c>
      <c r="AA99" s="85" t="str">
        <f>VLOOKUP(Y99,Source!F:F,1,FALSE)</f>
        <v>North Shore Comm. College</v>
      </c>
    </row>
    <row r="100" spans="1:27" x14ac:dyDescent="0.2">
      <c r="A100" s="61" t="str">
        <f t="shared" si="11"/>
        <v>North Shore Comm. College2</v>
      </c>
      <c r="B100" s="384" t="s">
        <v>568</v>
      </c>
      <c r="C100" s="61" t="s">
        <v>569</v>
      </c>
      <c r="D100" s="56" t="s">
        <v>844</v>
      </c>
      <c r="E100" s="40" t="s">
        <v>845</v>
      </c>
      <c r="F100" s="41">
        <v>345.98399999999998</v>
      </c>
      <c r="G100" s="42" t="s">
        <v>841</v>
      </c>
      <c r="H100" s="42" t="s">
        <v>842</v>
      </c>
      <c r="I100" s="43" t="s">
        <v>574</v>
      </c>
      <c r="J100" s="44">
        <v>1923</v>
      </c>
      <c r="K100" s="45">
        <v>40820</v>
      </c>
      <c r="L100" s="28">
        <v>2012</v>
      </c>
      <c r="M100" s="41">
        <v>345.98399999999998</v>
      </c>
      <c r="N100" s="54" t="s">
        <v>575</v>
      </c>
      <c r="O100" s="54" t="s">
        <v>576</v>
      </c>
      <c r="P100" s="61"/>
      <c r="Q100" s="61"/>
      <c r="R100" s="61"/>
      <c r="S100" s="61"/>
      <c r="T100" s="61" t="s">
        <v>577</v>
      </c>
      <c r="U100" s="265">
        <v>0.13639999999999999</v>
      </c>
      <c r="V100" s="63">
        <f>M100*8760*U100</f>
        <v>413403.82617599994</v>
      </c>
      <c r="W100" s="61"/>
      <c r="X100" s="61"/>
      <c r="Y100" s="40" t="s">
        <v>240</v>
      </c>
      <c r="Z100" s="384">
        <v>2</v>
      </c>
      <c r="AA100" s="85" t="str">
        <f>VLOOKUP(Y100,Source!F:F,1,FALSE)</f>
        <v>North Shore Comm. College</v>
      </c>
    </row>
    <row r="101" spans="1:27" x14ac:dyDescent="0.2">
      <c r="A101" s="61" t="str">
        <f t="shared" si="11"/>
        <v>North Shore Comm. College3</v>
      </c>
      <c r="B101" s="384" t="s">
        <v>568</v>
      </c>
      <c r="C101" s="61" t="s">
        <v>569</v>
      </c>
      <c r="D101" s="56" t="s">
        <v>846</v>
      </c>
      <c r="E101" s="40" t="s">
        <v>847</v>
      </c>
      <c r="F101" s="41">
        <v>73.900000000000006</v>
      </c>
      <c r="G101" s="42" t="s">
        <v>841</v>
      </c>
      <c r="H101" s="42" t="s">
        <v>842</v>
      </c>
      <c r="I101" s="43" t="s">
        <v>574</v>
      </c>
      <c r="J101" s="44">
        <v>1923</v>
      </c>
      <c r="K101" s="45">
        <v>40676</v>
      </c>
      <c r="L101" s="28">
        <v>2011</v>
      </c>
      <c r="M101" s="41">
        <v>73.900000000000006</v>
      </c>
      <c r="N101" s="54" t="s">
        <v>575</v>
      </c>
      <c r="O101" s="54" t="s">
        <v>576</v>
      </c>
      <c r="P101" s="61"/>
      <c r="Q101" s="61"/>
      <c r="R101" s="61"/>
      <c r="S101" s="61"/>
      <c r="T101" s="61" t="s">
        <v>577</v>
      </c>
      <c r="U101" s="265">
        <v>0.13639999999999999</v>
      </c>
      <c r="V101" s="63">
        <f>M101*8760*U101</f>
        <v>88300.449599999993</v>
      </c>
      <c r="W101" s="61"/>
      <c r="X101" s="61"/>
      <c r="Y101" s="40" t="s">
        <v>240</v>
      </c>
      <c r="Z101" s="384">
        <v>3</v>
      </c>
      <c r="AA101" s="85" t="str">
        <f>VLOOKUP(Y101,Source!F:F,1,FALSE)</f>
        <v>North Shore Comm. College</v>
      </c>
    </row>
    <row r="102" spans="1:27" x14ac:dyDescent="0.2">
      <c r="A102" s="61" t="str">
        <f t="shared" si="11"/>
        <v>Roxbury Comm. College1</v>
      </c>
      <c r="B102" s="384" t="s">
        <v>568</v>
      </c>
      <c r="C102" s="54" t="s">
        <v>598</v>
      </c>
      <c r="D102" s="86"/>
      <c r="E102" s="86" t="s">
        <v>848</v>
      </c>
      <c r="F102" s="62">
        <v>937</v>
      </c>
      <c r="G102" s="86" t="s">
        <v>849</v>
      </c>
      <c r="H102" s="47" t="s">
        <v>604</v>
      </c>
      <c r="I102" s="43" t="s">
        <v>574</v>
      </c>
      <c r="J102" s="44">
        <v>2120</v>
      </c>
      <c r="K102" s="86"/>
      <c r="L102" s="49">
        <v>2017</v>
      </c>
      <c r="M102" s="62">
        <v>937</v>
      </c>
      <c r="N102" s="86"/>
      <c r="O102" s="86" t="s">
        <v>576</v>
      </c>
      <c r="P102" s="86"/>
      <c r="Q102" s="86"/>
      <c r="R102" s="86"/>
      <c r="S102" s="86"/>
      <c r="T102" s="86"/>
      <c r="U102" s="86"/>
      <c r="V102" s="86"/>
      <c r="W102" s="86"/>
      <c r="X102" s="86"/>
      <c r="Y102" s="64" t="s">
        <v>261</v>
      </c>
      <c r="Z102" s="384">
        <v>1</v>
      </c>
      <c r="AA102" s="85" t="str">
        <f>VLOOKUP(Y102,Source!F:F,1,FALSE)</f>
        <v>Roxbury Comm. College</v>
      </c>
    </row>
    <row r="103" spans="1:27" x14ac:dyDescent="0.2">
      <c r="A103" s="61" t="str">
        <f t="shared" si="11"/>
        <v>Salem State University1</v>
      </c>
      <c r="B103" s="384" t="s">
        <v>568</v>
      </c>
      <c r="C103" s="61" t="s">
        <v>569</v>
      </c>
      <c r="D103" s="56" t="s">
        <v>850</v>
      </c>
      <c r="E103" s="57" t="s">
        <v>851</v>
      </c>
      <c r="F103" s="41">
        <v>147.80000000000001</v>
      </c>
      <c r="G103" s="53" t="s">
        <v>852</v>
      </c>
      <c r="H103" s="53" t="s">
        <v>853</v>
      </c>
      <c r="I103" s="53" t="s">
        <v>574</v>
      </c>
      <c r="J103" s="44">
        <v>1970</v>
      </c>
      <c r="K103" s="45">
        <v>41011</v>
      </c>
      <c r="L103" s="28">
        <v>2012</v>
      </c>
      <c r="M103" s="41">
        <v>147.80000000000001</v>
      </c>
      <c r="N103" s="54" t="s">
        <v>575</v>
      </c>
      <c r="O103" s="54" t="s">
        <v>576</v>
      </c>
      <c r="P103" s="61"/>
      <c r="Q103" s="61"/>
      <c r="R103" s="61"/>
      <c r="S103" s="61"/>
      <c r="T103" s="61" t="s">
        <v>577</v>
      </c>
      <c r="U103" s="265">
        <v>0.13639999999999999</v>
      </c>
      <c r="V103" s="63">
        <f>M103*8760*U103</f>
        <v>176600.89919999999</v>
      </c>
      <c r="W103" s="61"/>
      <c r="X103" s="61"/>
      <c r="Y103" s="36" t="s">
        <v>272</v>
      </c>
      <c r="Z103" s="384">
        <v>1</v>
      </c>
      <c r="AA103" s="85" t="str">
        <f>VLOOKUP(Y103,Source!F:F,1,FALSE)</f>
        <v>Salem State University</v>
      </c>
    </row>
    <row r="104" spans="1:27" x14ac:dyDescent="0.2">
      <c r="A104" s="61" t="str">
        <f t="shared" si="11"/>
        <v>Salem State University2</v>
      </c>
      <c r="B104" s="384" t="s">
        <v>568</v>
      </c>
      <c r="C104" s="61" t="s">
        <v>569</v>
      </c>
      <c r="D104" s="56" t="s">
        <v>854</v>
      </c>
      <c r="E104" s="40" t="s">
        <v>855</v>
      </c>
      <c r="F104" s="41">
        <v>68.900000000000006</v>
      </c>
      <c r="G104" s="56" t="s">
        <v>856</v>
      </c>
      <c r="H104" s="42" t="s">
        <v>853</v>
      </c>
      <c r="I104" s="43" t="s">
        <v>574</v>
      </c>
      <c r="J104" s="44">
        <v>1970</v>
      </c>
      <c r="K104" s="45" t="s">
        <v>857</v>
      </c>
      <c r="L104" s="46">
        <v>2009</v>
      </c>
      <c r="M104" s="41">
        <v>68.900000000000006</v>
      </c>
      <c r="N104" s="54" t="s">
        <v>575</v>
      </c>
      <c r="O104" s="54" t="s">
        <v>576</v>
      </c>
      <c r="P104" s="61"/>
      <c r="Q104" s="61"/>
      <c r="R104" s="61"/>
      <c r="S104" s="61"/>
      <c r="T104" s="61" t="s">
        <v>577</v>
      </c>
      <c r="U104" s="265">
        <v>0.13639999999999999</v>
      </c>
      <c r="V104" s="63">
        <f>M104*8760*U104</f>
        <v>82326.1296</v>
      </c>
      <c r="W104" s="61"/>
      <c r="X104" s="61"/>
      <c r="Y104" s="57" t="s">
        <v>272</v>
      </c>
      <c r="Z104" s="384">
        <v>2</v>
      </c>
      <c r="AA104" s="85" t="str">
        <f>VLOOKUP(Y104,Source!F:F,1,FALSE)</f>
        <v>Salem State University</v>
      </c>
    </row>
    <row r="105" spans="1:27" ht="16" x14ac:dyDescent="0.2">
      <c r="A105" s="61" t="str">
        <f t="shared" si="11"/>
        <v>Springfield Technical Comm. College1</v>
      </c>
      <c r="B105" s="384" t="s">
        <v>568</v>
      </c>
      <c r="C105" s="61" t="s">
        <v>569</v>
      </c>
      <c r="D105" s="56" t="s">
        <v>858</v>
      </c>
      <c r="E105" s="40" t="s">
        <v>859</v>
      </c>
      <c r="F105" s="41">
        <v>82</v>
      </c>
      <c r="G105" s="56" t="s">
        <v>860</v>
      </c>
      <c r="H105" s="42" t="s">
        <v>794</v>
      </c>
      <c r="I105" s="43" t="s">
        <v>574</v>
      </c>
      <c r="J105" s="44">
        <v>1102</v>
      </c>
      <c r="K105" s="45">
        <v>40017</v>
      </c>
      <c r="L105" s="28">
        <v>2011</v>
      </c>
      <c r="M105" s="41">
        <v>82</v>
      </c>
      <c r="N105" s="54" t="s">
        <v>575</v>
      </c>
      <c r="O105" s="54" t="s">
        <v>576</v>
      </c>
      <c r="P105" s="61"/>
      <c r="Q105" s="61"/>
      <c r="R105" s="61"/>
      <c r="S105" s="61"/>
      <c r="T105" s="61" t="s">
        <v>577</v>
      </c>
      <c r="U105" s="265">
        <v>0.13639999999999999</v>
      </c>
      <c r="V105" s="63">
        <f>M105*8760*U105</f>
        <v>97978.847999999998</v>
      </c>
      <c r="W105" s="61"/>
      <c r="X105" s="61"/>
      <c r="Y105" s="65" t="s">
        <v>282</v>
      </c>
      <c r="Z105" s="384">
        <v>1</v>
      </c>
      <c r="AA105" s="85" t="str">
        <f>VLOOKUP(Y105,Source!F:F,1,FALSE)</f>
        <v>Springfield Technical Comm. College</v>
      </c>
    </row>
    <row r="106" spans="1:27" x14ac:dyDescent="0.2">
      <c r="A106" s="61" t="str">
        <f t="shared" si="11"/>
        <v>UMass Amherst1</v>
      </c>
      <c r="B106" s="384" t="s">
        <v>590</v>
      </c>
      <c r="C106" s="47" t="s">
        <v>591</v>
      </c>
      <c r="D106" s="56" t="s">
        <v>861</v>
      </c>
      <c r="E106" s="54" t="s">
        <v>862</v>
      </c>
      <c r="F106" s="41">
        <v>10000</v>
      </c>
      <c r="G106" s="56" t="s">
        <v>863</v>
      </c>
      <c r="H106" s="47" t="s">
        <v>864</v>
      </c>
      <c r="I106" s="43" t="s">
        <v>574</v>
      </c>
      <c r="J106" s="44">
        <v>1003</v>
      </c>
      <c r="K106" s="45">
        <v>39787</v>
      </c>
      <c r="L106" s="26">
        <v>2008</v>
      </c>
      <c r="M106" s="41">
        <v>10000</v>
      </c>
      <c r="N106" s="50" t="s">
        <v>865</v>
      </c>
      <c r="O106" s="50" t="s">
        <v>576</v>
      </c>
      <c r="P106" s="59"/>
      <c r="Q106" s="60"/>
      <c r="R106" s="61"/>
      <c r="S106" s="61"/>
      <c r="T106" s="61" t="s">
        <v>577</v>
      </c>
      <c r="U106" s="61"/>
      <c r="V106" s="61"/>
      <c r="W106" s="54" t="s">
        <v>862</v>
      </c>
      <c r="X106" s="61"/>
      <c r="Y106" s="54" t="s">
        <v>299</v>
      </c>
      <c r="Z106" s="384">
        <v>1</v>
      </c>
      <c r="AA106" s="85" t="str">
        <f>VLOOKUP(Y106,Source!F:F,1,FALSE)</f>
        <v>UMass Amherst</v>
      </c>
    </row>
    <row r="107" spans="1:27" x14ac:dyDescent="0.2">
      <c r="A107" s="254" t="str">
        <f t="shared" si="11"/>
        <v>UMass Amherst2</v>
      </c>
      <c r="B107" s="255" t="s">
        <v>568</v>
      </c>
      <c r="C107" s="257" t="s">
        <v>611</v>
      </c>
      <c r="D107" s="256"/>
      <c r="E107" s="257" t="s">
        <v>299</v>
      </c>
      <c r="F107" s="258">
        <v>16.45</v>
      </c>
      <c r="G107" s="277" t="s">
        <v>866</v>
      </c>
      <c r="H107" s="259" t="s">
        <v>867</v>
      </c>
      <c r="I107" s="254" t="s">
        <v>574</v>
      </c>
      <c r="J107" s="260">
        <v>1373</v>
      </c>
      <c r="K107" s="261"/>
      <c r="L107" s="278">
        <v>2011</v>
      </c>
      <c r="M107" s="258">
        <v>16.45</v>
      </c>
      <c r="N107" s="279" t="s">
        <v>865</v>
      </c>
      <c r="O107" s="279" t="s">
        <v>576</v>
      </c>
      <c r="P107" s="254"/>
      <c r="Q107" s="254"/>
      <c r="R107" s="254"/>
      <c r="S107" s="255"/>
      <c r="T107" s="254" t="s">
        <v>577</v>
      </c>
      <c r="U107" s="274">
        <v>0.13639999999999999</v>
      </c>
      <c r="V107" s="275">
        <f t="shared" ref="V107:V115" si="13">M107*8760*U107</f>
        <v>19655.5128</v>
      </c>
      <c r="W107" s="257" t="s">
        <v>868</v>
      </c>
      <c r="X107" s="255" t="s">
        <v>869</v>
      </c>
      <c r="Y107" s="257" t="s">
        <v>299</v>
      </c>
      <c r="Z107" s="255">
        <v>2</v>
      </c>
      <c r="AA107" s="85" t="str">
        <f>VLOOKUP(Y107,Source!F:F,1,FALSE)</f>
        <v>UMass Amherst</v>
      </c>
    </row>
    <row r="108" spans="1:27" s="75" customFormat="1" x14ac:dyDescent="0.2">
      <c r="A108" s="61" t="str">
        <f>Y108&amp;Z108</f>
        <v>UMass Amherst3</v>
      </c>
      <c r="B108" s="384" t="s">
        <v>568</v>
      </c>
      <c r="C108" s="54" t="s">
        <v>598</v>
      </c>
      <c r="D108" s="56"/>
      <c r="E108" s="54" t="s">
        <v>870</v>
      </c>
      <c r="F108" s="41">
        <v>336</v>
      </c>
      <c r="G108" s="39" t="s">
        <v>863</v>
      </c>
      <c r="H108" s="386" t="s">
        <v>864</v>
      </c>
      <c r="I108" s="86" t="s">
        <v>574</v>
      </c>
      <c r="J108" s="44">
        <v>1003</v>
      </c>
      <c r="K108" s="45">
        <v>42419</v>
      </c>
      <c r="L108" s="26">
        <v>2016</v>
      </c>
      <c r="M108" s="41">
        <v>336</v>
      </c>
      <c r="N108" s="50" t="s">
        <v>865</v>
      </c>
      <c r="O108" s="50" t="s">
        <v>576</v>
      </c>
      <c r="P108" s="61"/>
      <c r="Q108" s="61"/>
      <c r="R108" s="61"/>
      <c r="S108" s="384"/>
      <c r="T108" s="61" t="s">
        <v>577</v>
      </c>
      <c r="U108" s="265">
        <v>0.13639999999999999</v>
      </c>
      <c r="V108" s="63">
        <f t="shared" si="13"/>
        <v>401474.304</v>
      </c>
      <c r="W108" s="54"/>
      <c r="X108" s="384"/>
      <c r="Y108" s="54" t="s">
        <v>299</v>
      </c>
      <c r="Z108" s="384">
        <v>3</v>
      </c>
      <c r="AA108" s="85" t="str">
        <f>VLOOKUP(Y108,Source!F:F,1,FALSE)</f>
        <v>UMass Amherst</v>
      </c>
    </row>
    <row r="109" spans="1:27" x14ac:dyDescent="0.2">
      <c r="A109" s="280" t="str">
        <f t="shared" si="11"/>
        <v>UMass Boston1</v>
      </c>
      <c r="B109" s="281" t="s">
        <v>568</v>
      </c>
      <c r="C109" s="280" t="s">
        <v>569</v>
      </c>
      <c r="D109" s="282" t="s">
        <v>871</v>
      </c>
      <c r="E109" s="283" t="s">
        <v>872</v>
      </c>
      <c r="F109" s="284">
        <v>73.92</v>
      </c>
      <c r="G109" s="285" t="s">
        <v>873</v>
      </c>
      <c r="H109" s="285" t="s">
        <v>604</v>
      </c>
      <c r="I109" s="285" t="s">
        <v>574</v>
      </c>
      <c r="J109" s="286">
        <v>2125</v>
      </c>
      <c r="K109" s="287">
        <v>40828</v>
      </c>
      <c r="L109" s="288">
        <v>2012</v>
      </c>
      <c r="M109" s="284">
        <v>73.92</v>
      </c>
      <c r="N109" s="289" t="s">
        <v>865</v>
      </c>
      <c r="O109" s="289" t="s">
        <v>576</v>
      </c>
      <c r="P109" s="280"/>
      <c r="Q109" s="280"/>
      <c r="R109" s="280"/>
      <c r="S109" s="280"/>
      <c r="T109" s="280" t="s">
        <v>577</v>
      </c>
      <c r="U109" s="290">
        <v>0.13639999999999999</v>
      </c>
      <c r="V109" s="291">
        <f t="shared" si="13"/>
        <v>88324.346880000012</v>
      </c>
      <c r="W109" s="280"/>
      <c r="X109" s="280"/>
      <c r="Y109" s="283" t="s">
        <v>304</v>
      </c>
      <c r="Z109" s="281">
        <v>1</v>
      </c>
      <c r="AA109" s="85" t="str">
        <f>VLOOKUP(Y109,Source!F:F,1,FALSE)</f>
        <v>UMass Boston</v>
      </c>
    </row>
    <row r="110" spans="1:27" s="85" customFormat="1" x14ac:dyDescent="0.2">
      <c r="A110" s="280" t="str">
        <f t="shared" ref="A110" si="14">Y110&amp;Z110</f>
        <v>UMass Boston2</v>
      </c>
      <c r="B110" s="281" t="s">
        <v>568</v>
      </c>
      <c r="C110" s="280" t="s">
        <v>569</v>
      </c>
      <c r="D110" s="282"/>
      <c r="E110" s="283" t="s">
        <v>874</v>
      </c>
      <c r="F110" s="284">
        <v>644</v>
      </c>
      <c r="G110" s="285" t="s">
        <v>875</v>
      </c>
      <c r="H110" s="285" t="s">
        <v>604</v>
      </c>
      <c r="I110" s="285" t="s">
        <v>574</v>
      </c>
      <c r="J110" s="286"/>
      <c r="K110" s="287"/>
      <c r="L110" s="288">
        <v>2020</v>
      </c>
      <c r="M110" s="284"/>
      <c r="N110" s="289" t="s">
        <v>865</v>
      </c>
      <c r="O110" s="289"/>
      <c r="P110" s="280"/>
      <c r="Q110" s="280"/>
      <c r="R110" s="280"/>
      <c r="S110" s="280"/>
      <c r="T110" s="280" t="s">
        <v>577</v>
      </c>
      <c r="U110" s="290"/>
      <c r="V110" s="291"/>
      <c r="W110" s="280"/>
      <c r="X110" s="280"/>
      <c r="Y110" s="283" t="s">
        <v>304</v>
      </c>
      <c r="Z110" s="281">
        <v>2</v>
      </c>
      <c r="AA110" s="85" t="str">
        <f>VLOOKUP(Y110,Source!F:F,1,FALSE)</f>
        <v>UMass Boston</v>
      </c>
    </row>
    <row r="111" spans="1:27" x14ac:dyDescent="0.2">
      <c r="A111" s="61" t="str">
        <f t="shared" si="11"/>
        <v>UMass Dartmouth1</v>
      </c>
      <c r="B111" s="384" t="s">
        <v>568</v>
      </c>
      <c r="C111" s="61" t="s">
        <v>569</v>
      </c>
      <c r="D111" s="56" t="s">
        <v>876</v>
      </c>
      <c r="E111" s="40" t="s">
        <v>877</v>
      </c>
      <c r="F111" s="41">
        <v>92.4</v>
      </c>
      <c r="G111" s="42" t="s">
        <v>878</v>
      </c>
      <c r="H111" s="42" t="s">
        <v>879</v>
      </c>
      <c r="I111" s="43" t="s">
        <v>574</v>
      </c>
      <c r="J111" s="44">
        <v>2747</v>
      </c>
      <c r="K111" s="45">
        <v>40708</v>
      </c>
      <c r="L111" s="26">
        <v>2011</v>
      </c>
      <c r="M111" s="41">
        <v>92.4</v>
      </c>
      <c r="N111" s="50" t="s">
        <v>865</v>
      </c>
      <c r="O111" s="50" t="s">
        <v>576</v>
      </c>
      <c r="P111" s="61"/>
      <c r="Q111" s="61"/>
      <c r="R111" s="61"/>
      <c r="S111" s="61"/>
      <c r="T111" s="61" t="s">
        <v>577</v>
      </c>
      <c r="U111" s="265">
        <v>0.13639999999999999</v>
      </c>
      <c r="V111" s="63">
        <f t="shared" si="13"/>
        <v>110405.43359999999</v>
      </c>
      <c r="W111" s="61"/>
      <c r="X111" s="61"/>
      <c r="Y111" s="40" t="s">
        <v>313</v>
      </c>
      <c r="Z111" s="384">
        <v>1</v>
      </c>
      <c r="AA111" s="85" t="str">
        <f>VLOOKUP(Y111,Source!F:F,1,FALSE)</f>
        <v>UMass Dartmouth</v>
      </c>
    </row>
    <row r="112" spans="1:27" x14ac:dyDescent="0.2">
      <c r="A112" s="61" t="str">
        <f t="shared" si="11"/>
        <v>UMass Dartmouth2</v>
      </c>
      <c r="B112" s="384" t="s">
        <v>568</v>
      </c>
      <c r="C112" s="61" t="s">
        <v>569</v>
      </c>
      <c r="D112" s="56" t="s">
        <v>880</v>
      </c>
      <c r="E112" s="40" t="s">
        <v>881</v>
      </c>
      <c r="F112" s="41">
        <v>44.1</v>
      </c>
      <c r="G112" s="42" t="s">
        <v>878</v>
      </c>
      <c r="H112" s="42" t="s">
        <v>879</v>
      </c>
      <c r="I112" s="43" t="s">
        <v>574</v>
      </c>
      <c r="J112" s="44">
        <v>2747</v>
      </c>
      <c r="K112" s="45">
        <v>40708</v>
      </c>
      <c r="L112" s="26">
        <v>2011</v>
      </c>
      <c r="M112" s="41">
        <v>44.1</v>
      </c>
      <c r="N112" s="50" t="s">
        <v>865</v>
      </c>
      <c r="O112" s="50" t="s">
        <v>576</v>
      </c>
      <c r="P112" s="61"/>
      <c r="Q112" s="61"/>
      <c r="R112" s="61"/>
      <c r="S112" s="61"/>
      <c r="T112" s="61" t="s">
        <v>577</v>
      </c>
      <c r="U112" s="265">
        <v>0.13639999999999999</v>
      </c>
      <c r="V112" s="63">
        <f t="shared" si="13"/>
        <v>52693.502399999998</v>
      </c>
      <c r="W112" s="61"/>
      <c r="X112" s="61"/>
      <c r="Y112" s="40" t="s">
        <v>313</v>
      </c>
      <c r="Z112" s="384">
        <v>2</v>
      </c>
      <c r="AA112" s="85" t="str">
        <f>VLOOKUP(Y112,Source!F:F,1,FALSE)</f>
        <v>UMass Dartmouth</v>
      </c>
    </row>
    <row r="113" spans="1:27" x14ac:dyDescent="0.2">
      <c r="A113" s="61" t="str">
        <f t="shared" si="11"/>
        <v>UMass Dartmouth3</v>
      </c>
      <c r="B113" s="384" t="s">
        <v>568</v>
      </c>
      <c r="C113" s="61" t="s">
        <v>569</v>
      </c>
      <c r="D113" s="56" t="s">
        <v>882</v>
      </c>
      <c r="E113" s="40" t="s">
        <v>883</v>
      </c>
      <c r="F113" s="41">
        <v>44.1</v>
      </c>
      <c r="G113" s="42" t="s">
        <v>878</v>
      </c>
      <c r="H113" s="42" t="s">
        <v>879</v>
      </c>
      <c r="I113" s="43" t="s">
        <v>574</v>
      </c>
      <c r="J113" s="44">
        <v>2747</v>
      </c>
      <c r="K113" s="45">
        <v>40708</v>
      </c>
      <c r="L113" s="26">
        <v>2011</v>
      </c>
      <c r="M113" s="41">
        <v>44.1</v>
      </c>
      <c r="N113" s="50" t="s">
        <v>865</v>
      </c>
      <c r="O113" s="50" t="s">
        <v>576</v>
      </c>
      <c r="P113" s="61"/>
      <c r="Q113" s="61"/>
      <c r="R113" s="61"/>
      <c r="S113" s="61"/>
      <c r="T113" s="61" t="s">
        <v>577</v>
      </c>
      <c r="U113" s="265">
        <v>0.13639999999999999</v>
      </c>
      <c r="V113" s="63">
        <f t="shared" si="13"/>
        <v>52693.502399999998</v>
      </c>
      <c r="W113" s="61"/>
      <c r="X113" s="61"/>
      <c r="Y113" s="40" t="s">
        <v>313</v>
      </c>
      <c r="Z113" s="384">
        <v>3</v>
      </c>
      <c r="AA113" s="85" t="str">
        <f>VLOOKUP(Y113,Source!F:F,1,FALSE)</f>
        <v>UMass Dartmouth</v>
      </c>
    </row>
    <row r="114" spans="1:27" x14ac:dyDescent="0.2">
      <c r="A114" s="61" t="str">
        <f t="shared" si="11"/>
        <v>UMass Dartmouth4</v>
      </c>
      <c r="B114" s="384" t="s">
        <v>568</v>
      </c>
      <c r="C114" s="61" t="s">
        <v>569</v>
      </c>
      <c r="D114" s="56" t="s">
        <v>884</v>
      </c>
      <c r="E114" s="40" t="s">
        <v>885</v>
      </c>
      <c r="F114" s="41">
        <v>44.1</v>
      </c>
      <c r="G114" s="42" t="s">
        <v>878</v>
      </c>
      <c r="H114" s="42" t="s">
        <v>879</v>
      </c>
      <c r="I114" s="43" t="s">
        <v>574</v>
      </c>
      <c r="J114" s="44">
        <v>2747</v>
      </c>
      <c r="K114" s="45">
        <v>40708</v>
      </c>
      <c r="L114" s="26">
        <v>2011</v>
      </c>
      <c r="M114" s="41">
        <v>44.1</v>
      </c>
      <c r="N114" s="50" t="s">
        <v>865</v>
      </c>
      <c r="O114" s="50" t="s">
        <v>576</v>
      </c>
      <c r="P114" s="61"/>
      <c r="Q114" s="61"/>
      <c r="R114" s="61"/>
      <c r="S114" s="61"/>
      <c r="T114" s="61" t="s">
        <v>577</v>
      </c>
      <c r="U114" s="265">
        <v>0.13639999999999999</v>
      </c>
      <c r="V114" s="63">
        <f t="shared" si="13"/>
        <v>52693.502399999998</v>
      </c>
      <c r="W114" s="61"/>
      <c r="X114" s="61"/>
      <c r="Y114" s="40" t="s">
        <v>313</v>
      </c>
      <c r="Z114" s="384">
        <v>4</v>
      </c>
      <c r="AA114" s="85" t="str">
        <f>VLOOKUP(Y114,Source!F:F,1,FALSE)</f>
        <v>UMass Dartmouth</v>
      </c>
    </row>
    <row r="115" spans="1:27" x14ac:dyDescent="0.2">
      <c r="A115" s="61" t="str">
        <f t="shared" si="11"/>
        <v>UMass Dartmouth5</v>
      </c>
      <c r="B115" s="384" t="s">
        <v>568</v>
      </c>
      <c r="C115" s="61" t="s">
        <v>569</v>
      </c>
      <c r="D115" s="56" t="s">
        <v>886</v>
      </c>
      <c r="E115" s="40" t="s">
        <v>887</v>
      </c>
      <c r="F115" s="41">
        <v>44.1</v>
      </c>
      <c r="G115" s="42" t="s">
        <v>878</v>
      </c>
      <c r="H115" s="42" t="s">
        <v>879</v>
      </c>
      <c r="I115" s="43" t="s">
        <v>574</v>
      </c>
      <c r="J115" s="44">
        <v>2747</v>
      </c>
      <c r="K115" s="45">
        <v>40708</v>
      </c>
      <c r="L115" s="26">
        <v>2011</v>
      </c>
      <c r="M115" s="41">
        <v>44.1</v>
      </c>
      <c r="N115" s="50" t="s">
        <v>865</v>
      </c>
      <c r="O115" s="50" t="s">
        <v>576</v>
      </c>
      <c r="P115" s="61"/>
      <c r="Q115" s="61"/>
      <c r="R115" s="61"/>
      <c r="S115" s="61"/>
      <c r="T115" s="61" t="s">
        <v>577</v>
      </c>
      <c r="U115" s="265">
        <v>0.13639999999999999</v>
      </c>
      <c r="V115" s="63">
        <f t="shared" si="13"/>
        <v>52693.502399999998</v>
      </c>
      <c r="W115" s="61"/>
      <c r="X115" s="61"/>
      <c r="Y115" s="40" t="s">
        <v>313</v>
      </c>
      <c r="Z115" s="384">
        <v>5</v>
      </c>
      <c r="AA115" s="85" t="str">
        <f>VLOOKUP(Y115,Source!F:F,1,FALSE)</f>
        <v>UMass Dartmouth</v>
      </c>
    </row>
    <row r="116" spans="1:27" x14ac:dyDescent="0.2">
      <c r="A116" s="61" t="str">
        <f t="shared" si="11"/>
        <v>UMass Dartmouth7</v>
      </c>
      <c r="B116" s="384" t="s">
        <v>590</v>
      </c>
      <c r="C116" s="54" t="s">
        <v>591</v>
      </c>
      <c r="D116" s="56" t="s">
        <v>888</v>
      </c>
      <c r="E116" s="47" t="s">
        <v>313</v>
      </c>
      <c r="F116" s="41">
        <v>1600</v>
      </c>
      <c r="G116" s="42" t="s">
        <v>878</v>
      </c>
      <c r="H116" s="47" t="s">
        <v>879</v>
      </c>
      <c r="I116" s="43" t="s">
        <v>574</v>
      </c>
      <c r="J116" s="44">
        <v>2747</v>
      </c>
      <c r="K116" s="45">
        <v>41426</v>
      </c>
      <c r="L116" s="46">
        <v>2013</v>
      </c>
      <c r="M116" s="41">
        <v>1600</v>
      </c>
      <c r="N116" s="50" t="s">
        <v>865</v>
      </c>
      <c r="O116" s="50" t="s">
        <v>576</v>
      </c>
      <c r="P116" s="59"/>
      <c r="Q116" s="60"/>
      <c r="R116" s="61"/>
      <c r="S116" s="61"/>
      <c r="T116" s="61" t="s">
        <v>577</v>
      </c>
      <c r="U116" s="61"/>
      <c r="V116" s="61"/>
      <c r="W116" s="47" t="s">
        <v>313</v>
      </c>
      <c r="X116" s="61"/>
      <c r="Y116" s="40" t="s">
        <v>313</v>
      </c>
      <c r="Z116" s="384">
        <v>7</v>
      </c>
      <c r="AA116" s="85" t="str">
        <f>VLOOKUP(Y116,Source!F:F,1,FALSE)</f>
        <v>UMass Dartmouth</v>
      </c>
    </row>
    <row r="117" spans="1:27" x14ac:dyDescent="0.2">
      <c r="A117" s="61" t="str">
        <f t="shared" si="11"/>
        <v>UMass Lowell1</v>
      </c>
      <c r="B117" s="384" t="s">
        <v>568</v>
      </c>
      <c r="C117" s="61" t="s">
        <v>569</v>
      </c>
      <c r="D117" s="56" t="s">
        <v>889</v>
      </c>
      <c r="E117" s="40" t="s">
        <v>890</v>
      </c>
      <c r="F117" s="41">
        <v>46.2</v>
      </c>
      <c r="G117" s="42" t="s">
        <v>891</v>
      </c>
      <c r="H117" s="42" t="s">
        <v>892</v>
      </c>
      <c r="I117" s="42" t="s">
        <v>574</v>
      </c>
      <c r="J117" s="44">
        <v>1854</v>
      </c>
      <c r="K117" s="45">
        <v>40777</v>
      </c>
      <c r="L117" s="46">
        <v>2012</v>
      </c>
      <c r="M117" s="41">
        <v>46.2</v>
      </c>
      <c r="N117" s="50" t="s">
        <v>865</v>
      </c>
      <c r="O117" s="50" t="s">
        <v>576</v>
      </c>
      <c r="P117" s="61"/>
      <c r="Q117" s="61"/>
      <c r="R117" s="61"/>
      <c r="S117" s="61"/>
      <c r="T117" s="61" t="s">
        <v>577</v>
      </c>
      <c r="U117" s="265">
        <v>0.13639999999999999</v>
      </c>
      <c r="V117" s="63">
        <f>M117*8760*U117</f>
        <v>55202.716799999995</v>
      </c>
      <c r="W117" s="61"/>
      <c r="X117" s="61"/>
      <c r="Y117" s="40" t="s">
        <v>326</v>
      </c>
      <c r="Z117" s="384">
        <v>1</v>
      </c>
      <c r="AA117" s="85" t="str">
        <f>VLOOKUP(Y117,Source!F:F,1,FALSE)</f>
        <v>UMass Lowell</v>
      </c>
    </row>
    <row r="118" spans="1:27" x14ac:dyDescent="0.2">
      <c r="A118" s="61" t="str">
        <f t="shared" si="11"/>
        <v>UMass Lowell2</v>
      </c>
      <c r="B118" s="384" t="s">
        <v>568</v>
      </c>
      <c r="C118" s="61" t="s">
        <v>569</v>
      </c>
      <c r="D118" s="56" t="s">
        <v>893</v>
      </c>
      <c r="E118" s="40" t="s">
        <v>894</v>
      </c>
      <c r="F118" s="41">
        <v>70.56</v>
      </c>
      <c r="G118" s="42" t="s">
        <v>891</v>
      </c>
      <c r="H118" s="42" t="s">
        <v>892</v>
      </c>
      <c r="I118" s="42" t="s">
        <v>574</v>
      </c>
      <c r="J118" s="44">
        <v>1854</v>
      </c>
      <c r="K118" s="45">
        <v>40777</v>
      </c>
      <c r="L118" s="46">
        <v>2012</v>
      </c>
      <c r="M118" s="41">
        <v>70.56</v>
      </c>
      <c r="N118" s="50" t="s">
        <v>865</v>
      </c>
      <c r="O118" s="50" t="s">
        <v>576</v>
      </c>
      <c r="P118" s="61"/>
      <c r="Q118" s="61"/>
      <c r="R118" s="61"/>
      <c r="S118" s="61"/>
      <c r="T118" s="61" t="s">
        <v>577</v>
      </c>
      <c r="U118" s="265">
        <v>0.13639999999999999</v>
      </c>
      <c r="V118" s="63">
        <f>M118*8760*U118</f>
        <v>84309.603839999996</v>
      </c>
      <c r="W118" s="61"/>
      <c r="X118" s="61"/>
      <c r="Y118" s="40" t="s">
        <v>326</v>
      </c>
      <c r="Z118" s="384">
        <v>2</v>
      </c>
      <c r="AA118" s="85" t="str">
        <f>VLOOKUP(Y118,Source!F:F,1,FALSE)</f>
        <v>UMass Lowell</v>
      </c>
    </row>
    <row r="119" spans="1:27" x14ac:dyDescent="0.2">
      <c r="A119" s="61" t="str">
        <f t="shared" si="11"/>
        <v>UMass Lowell3</v>
      </c>
      <c r="B119" s="384" t="s">
        <v>568</v>
      </c>
      <c r="C119" s="61" t="s">
        <v>569</v>
      </c>
      <c r="D119" s="56" t="s">
        <v>895</v>
      </c>
      <c r="E119" s="40" t="s">
        <v>896</v>
      </c>
      <c r="F119" s="41">
        <v>83.16</v>
      </c>
      <c r="G119" s="42" t="s">
        <v>891</v>
      </c>
      <c r="H119" s="42" t="s">
        <v>892</v>
      </c>
      <c r="I119" s="42" t="s">
        <v>574</v>
      </c>
      <c r="J119" s="44">
        <v>1854</v>
      </c>
      <c r="K119" s="45">
        <v>40743</v>
      </c>
      <c r="L119" s="46">
        <v>2012</v>
      </c>
      <c r="M119" s="41">
        <v>83.16</v>
      </c>
      <c r="N119" s="50" t="s">
        <v>865</v>
      </c>
      <c r="O119" s="50" t="s">
        <v>576</v>
      </c>
      <c r="P119" s="61"/>
      <c r="Q119" s="61"/>
      <c r="R119" s="61"/>
      <c r="S119" s="61"/>
      <c r="T119" s="61" t="s">
        <v>577</v>
      </c>
      <c r="U119" s="265">
        <v>0.13639999999999999</v>
      </c>
      <c r="V119" s="63">
        <f>M119*8760*U119</f>
        <v>99364.890239999993</v>
      </c>
      <c r="W119" s="61"/>
      <c r="X119" s="61"/>
      <c r="Y119" s="40" t="s">
        <v>326</v>
      </c>
      <c r="Z119" s="384">
        <v>3</v>
      </c>
      <c r="AA119" s="85" t="str">
        <f>VLOOKUP(Y119,Source!F:F,1,FALSE)</f>
        <v>UMass Lowell</v>
      </c>
    </row>
    <row r="120" spans="1:27" x14ac:dyDescent="0.2">
      <c r="A120" s="61" t="str">
        <f t="shared" si="11"/>
        <v>UMass Lowell4</v>
      </c>
      <c r="B120" s="384" t="s">
        <v>568</v>
      </c>
      <c r="C120" s="61" t="s">
        <v>569</v>
      </c>
      <c r="D120" s="56" t="s">
        <v>897</v>
      </c>
      <c r="E120" s="40" t="s">
        <v>898</v>
      </c>
      <c r="F120" s="41">
        <v>46.2</v>
      </c>
      <c r="G120" s="42" t="s">
        <v>891</v>
      </c>
      <c r="H120" s="42" t="s">
        <v>892</v>
      </c>
      <c r="I120" s="42" t="s">
        <v>574</v>
      </c>
      <c r="J120" s="44">
        <v>1854</v>
      </c>
      <c r="K120" s="45">
        <v>40777</v>
      </c>
      <c r="L120" s="46">
        <v>2012</v>
      </c>
      <c r="M120" s="41">
        <v>46.2</v>
      </c>
      <c r="N120" s="50" t="s">
        <v>865</v>
      </c>
      <c r="O120" s="50" t="s">
        <v>576</v>
      </c>
      <c r="P120" s="61"/>
      <c r="Q120" s="61"/>
      <c r="R120" s="61"/>
      <c r="S120" s="61"/>
      <c r="T120" s="61" t="s">
        <v>577</v>
      </c>
      <c r="U120" s="265">
        <v>0.13639999999999999</v>
      </c>
      <c r="V120" s="63">
        <f>M120*8760*U120</f>
        <v>55202.716799999995</v>
      </c>
      <c r="W120" s="61"/>
      <c r="X120" s="61"/>
      <c r="Y120" s="40" t="s">
        <v>326</v>
      </c>
      <c r="Z120" s="384">
        <v>4</v>
      </c>
      <c r="AA120" s="85" t="str">
        <f>VLOOKUP(Y120,Source!F:F,1,FALSE)</f>
        <v>UMass Lowell</v>
      </c>
    </row>
    <row r="121" spans="1:27" x14ac:dyDescent="0.2">
      <c r="A121" s="61" t="str">
        <f t="shared" si="11"/>
        <v>UMass Lowell5</v>
      </c>
      <c r="B121" s="384" t="s">
        <v>568</v>
      </c>
      <c r="C121" s="54" t="s">
        <v>598</v>
      </c>
      <c r="D121" s="39"/>
      <c r="E121" s="40" t="s">
        <v>899</v>
      </c>
      <c r="F121" s="41">
        <v>200</v>
      </c>
      <c r="G121" s="42" t="s">
        <v>891</v>
      </c>
      <c r="H121" s="42" t="s">
        <v>892</v>
      </c>
      <c r="I121" s="42" t="s">
        <v>574</v>
      </c>
      <c r="J121" s="44">
        <v>1854</v>
      </c>
      <c r="K121" s="45"/>
      <c r="L121" s="48">
        <v>2017</v>
      </c>
      <c r="M121" s="41">
        <v>200</v>
      </c>
      <c r="N121" s="86"/>
      <c r="O121" s="50" t="s">
        <v>576</v>
      </c>
      <c r="P121" s="86"/>
      <c r="Q121" s="86"/>
      <c r="R121" s="86"/>
      <c r="S121" s="86"/>
      <c r="T121" s="86"/>
      <c r="U121" s="86"/>
      <c r="V121" s="86"/>
      <c r="W121" s="86"/>
      <c r="X121" s="86"/>
      <c r="Y121" s="40" t="s">
        <v>326</v>
      </c>
      <c r="Z121" s="384">
        <v>5</v>
      </c>
      <c r="AA121" s="85" t="str">
        <f>VLOOKUP(Y121,Source!F:F,1,FALSE)</f>
        <v>UMass Lowell</v>
      </c>
    </row>
    <row r="122" spans="1:27" x14ac:dyDescent="0.2">
      <c r="A122" s="61" t="str">
        <f t="shared" si="11"/>
        <v>UMass Medical1</v>
      </c>
      <c r="B122" s="384" t="s">
        <v>590</v>
      </c>
      <c r="C122" s="47" t="s">
        <v>591</v>
      </c>
      <c r="D122" s="56" t="s">
        <v>900</v>
      </c>
      <c r="E122" s="54" t="s">
        <v>450</v>
      </c>
      <c r="F122" s="41">
        <v>7500</v>
      </c>
      <c r="G122" s="42" t="s">
        <v>901</v>
      </c>
      <c r="H122" s="47" t="s">
        <v>692</v>
      </c>
      <c r="I122" s="43" t="s">
        <v>574</v>
      </c>
      <c r="J122" s="44">
        <v>1655</v>
      </c>
      <c r="K122" s="45">
        <v>41091</v>
      </c>
      <c r="L122" s="46">
        <v>2012</v>
      </c>
      <c r="M122" s="41">
        <v>7500</v>
      </c>
      <c r="N122" s="50" t="s">
        <v>865</v>
      </c>
      <c r="O122" s="50" t="s">
        <v>576</v>
      </c>
      <c r="P122" s="59"/>
      <c r="Q122" s="60"/>
      <c r="R122" s="61"/>
      <c r="S122" s="61"/>
      <c r="T122" s="61" t="s">
        <v>577</v>
      </c>
      <c r="U122" s="61"/>
      <c r="V122" s="61"/>
      <c r="W122" s="47" t="s">
        <v>450</v>
      </c>
      <c r="X122" s="61"/>
      <c r="Y122" s="40" t="s">
        <v>335</v>
      </c>
      <c r="Z122" s="384">
        <v>1</v>
      </c>
      <c r="AA122" s="85" t="str">
        <f>VLOOKUP(Y122,Source!F:F,1,FALSE)</f>
        <v>UMass Medical</v>
      </c>
    </row>
    <row r="123" spans="1:27" x14ac:dyDescent="0.2">
      <c r="A123" s="61" t="str">
        <f t="shared" si="11"/>
        <v>UMass Medical2</v>
      </c>
      <c r="B123" s="384" t="s">
        <v>590</v>
      </c>
      <c r="C123" s="47" t="s">
        <v>591</v>
      </c>
      <c r="D123" s="56" t="s">
        <v>900</v>
      </c>
      <c r="E123" s="54" t="s">
        <v>450</v>
      </c>
      <c r="F123" s="41">
        <v>10000</v>
      </c>
      <c r="G123" s="42" t="s">
        <v>901</v>
      </c>
      <c r="H123" s="47" t="s">
        <v>692</v>
      </c>
      <c r="I123" s="43" t="s">
        <v>574</v>
      </c>
      <c r="J123" s="44">
        <v>1655</v>
      </c>
      <c r="K123" s="45">
        <v>41091</v>
      </c>
      <c r="L123" s="46">
        <v>1974</v>
      </c>
      <c r="M123" s="41">
        <v>10000</v>
      </c>
      <c r="N123" s="50" t="s">
        <v>865</v>
      </c>
      <c r="O123" s="50" t="s">
        <v>576</v>
      </c>
      <c r="P123" s="59"/>
      <c r="Q123" s="60"/>
      <c r="R123" s="61"/>
      <c r="S123" s="61"/>
      <c r="T123" s="61" t="s">
        <v>577</v>
      </c>
      <c r="U123" s="61"/>
      <c r="V123" s="61"/>
      <c r="W123" s="47" t="s">
        <v>450</v>
      </c>
      <c r="X123" s="61"/>
      <c r="Y123" s="40" t="s">
        <v>335</v>
      </c>
      <c r="Z123" s="384">
        <v>2</v>
      </c>
      <c r="AA123" s="85" t="str">
        <f>VLOOKUP(Y123,Source!F:F,1,FALSE)</f>
        <v>UMass Medical</v>
      </c>
    </row>
    <row r="124" spans="1:27" x14ac:dyDescent="0.2">
      <c r="A124" s="61" t="str">
        <f t="shared" si="11"/>
        <v>Westfield State University1</v>
      </c>
      <c r="B124" s="384" t="s">
        <v>568</v>
      </c>
      <c r="C124" s="61" t="s">
        <v>569</v>
      </c>
      <c r="D124" s="56" t="s">
        <v>902</v>
      </c>
      <c r="E124" s="40" t="s">
        <v>903</v>
      </c>
      <c r="F124" s="41">
        <v>37.799999999999997</v>
      </c>
      <c r="G124" s="42" t="s">
        <v>904</v>
      </c>
      <c r="H124" s="42" t="s">
        <v>905</v>
      </c>
      <c r="I124" s="43" t="s">
        <v>574</v>
      </c>
      <c r="J124" s="44">
        <v>1086</v>
      </c>
      <c r="K124" s="45">
        <v>40646</v>
      </c>
      <c r="L124" s="46">
        <v>2012</v>
      </c>
      <c r="M124" s="41">
        <v>37.799999999999997</v>
      </c>
      <c r="N124" s="54" t="s">
        <v>575</v>
      </c>
      <c r="O124" s="54" t="s">
        <v>576</v>
      </c>
      <c r="P124" s="61"/>
      <c r="Q124" s="61"/>
      <c r="R124" s="61"/>
      <c r="S124" s="61"/>
      <c r="T124" s="61" t="s">
        <v>577</v>
      </c>
      <c r="U124" s="265">
        <v>0.13639999999999999</v>
      </c>
      <c r="V124" s="63">
        <f>M124*8760*U124</f>
        <v>45165.859199999999</v>
      </c>
      <c r="W124" s="61"/>
      <c r="X124" s="61"/>
      <c r="Y124" s="40" t="s">
        <v>343</v>
      </c>
      <c r="Z124" s="384">
        <v>1</v>
      </c>
      <c r="AA124" s="85" t="str">
        <f>VLOOKUP(Y124,Source!F:F,1,FALSE)</f>
        <v>Westfield State University</v>
      </c>
    </row>
    <row r="125" spans="1:27" x14ac:dyDescent="0.2">
      <c r="A125" s="61" t="str">
        <f t="shared" si="11"/>
        <v>Westfield State University2</v>
      </c>
      <c r="B125" s="384" t="s">
        <v>568</v>
      </c>
      <c r="C125" s="61" t="s">
        <v>569</v>
      </c>
      <c r="D125" s="56" t="s">
        <v>906</v>
      </c>
      <c r="E125" s="40" t="s">
        <v>907</v>
      </c>
      <c r="F125" s="41">
        <v>73.92</v>
      </c>
      <c r="G125" s="42" t="s">
        <v>904</v>
      </c>
      <c r="H125" s="42" t="s">
        <v>905</v>
      </c>
      <c r="I125" s="43" t="s">
        <v>574</v>
      </c>
      <c r="J125" s="44">
        <v>1086</v>
      </c>
      <c r="K125" s="45">
        <v>40646</v>
      </c>
      <c r="L125" s="46">
        <v>2012</v>
      </c>
      <c r="M125" s="41">
        <v>73.92</v>
      </c>
      <c r="N125" s="54" t="s">
        <v>575</v>
      </c>
      <c r="O125" s="54" t="s">
        <v>576</v>
      </c>
      <c r="P125" s="61"/>
      <c r="Q125" s="61"/>
      <c r="R125" s="61"/>
      <c r="S125" s="61"/>
      <c r="T125" s="61" t="s">
        <v>577</v>
      </c>
      <c r="U125" s="265">
        <v>0.13639999999999999</v>
      </c>
      <c r="V125" s="63">
        <f>M125*8760*U125</f>
        <v>88324.346880000012</v>
      </c>
      <c r="W125" s="61"/>
      <c r="X125" s="61"/>
      <c r="Y125" s="40" t="s">
        <v>343</v>
      </c>
      <c r="Z125" s="384">
        <v>2</v>
      </c>
      <c r="AA125" s="85" t="str">
        <f>VLOOKUP(Y125,Source!F:F,1,FALSE)</f>
        <v>Westfield State University</v>
      </c>
    </row>
    <row r="126" spans="1:27" x14ac:dyDescent="0.2">
      <c r="A126" s="61" t="str">
        <f t="shared" si="11"/>
        <v>Worcester State University1</v>
      </c>
      <c r="B126" s="384" t="s">
        <v>590</v>
      </c>
      <c r="C126" s="47" t="s">
        <v>591</v>
      </c>
      <c r="D126" s="56" t="s">
        <v>908</v>
      </c>
      <c r="E126" s="47" t="s">
        <v>909</v>
      </c>
      <c r="F126" s="41">
        <v>60</v>
      </c>
      <c r="G126" s="56" t="s">
        <v>910</v>
      </c>
      <c r="H126" s="47" t="s">
        <v>692</v>
      </c>
      <c r="I126" s="43" t="s">
        <v>574</v>
      </c>
      <c r="J126" s="44">
        <v>1602</v>
      </c>
      <c r="K126" s="45">
        <v>40396</v>
      </c>
      <c r="L126" s="46">
        <v>2011</v>
      </c>
      <c r="M126" s="41">
        <v>60</v>
      </c>
      <c r="N126" s="54" t="s">
        <v>575</v>
      </c>
      <c r="O126" s="54" t="s">
        <v>576</v>
      </c>
      <c r="P126" s="59"/>
      <c r="Q126" s="60"/>
      <c r="R126" s="61"/>
      <c r="S126" s="61"/>
      <c r="T126" s="61" t="s">
        <v>577</v>
      </c>
      <c r="U126" s="61"/>
      <c r="V126" s="61"/>
      <c r="W126" s="47" t="s">
        <v>352</v>
      </c>
      <c r="X126" s="61"/>
      <c r="Y126" s="40" t="s">
        <v>352</v>
      </c>
      <c r="Z126" s="384">
        <v>1</v>
      </c>
      <c r="AA126" s="85" t="str">
        <f>VLOOKUP(Y126,Source!F:F,1,FALSE)</f>
        <v>Worcester State University</v>
      </c>
    </row>
    <row r="127" spans="1:27" s="85" customFormat="1" x14ac:dyDescent="0.2">
      <c r="A127" s="61" t="str">
        <f t="shared" si="11"/>
        <v>Worcester State University2</v>
      </c>
      <c r="B127" s="384" t="s">
        <v>590</v>
      </c>
      <c r="C127" s="47" t="s">
        <v>591</v>
      </c>
      <c r="D127" s="56"/>
      <c r="E127" s="47" t="s">
        <v>1624</v>
      </c>
      <c r="F127" s="41">
        <v>60</v>
      </c>
      <c r="G127" s="56" t="s">
        <v>1625</v>
      </c>
      <c r="H127" s="47" t="s">
        <v>692</v>
      </c>
      <c r="I127" s="43" t="s">
        <v>574</v>
      </c>
      <c r="J127" s="44">
        <v>1603</v>
      </c>
      <c r="K127" s="45"/>
      <c r="L127" s="46">
        <v>2019</v>
      </c>
      <c r="M127" s="41">
        <v>60</v>
      </c>
      <c r="N127" s="31" t="s">
        <v>575</v>
      </c>
      <c r="O127" s="31" t="s">
        <v>576</v>
      </c>
      <c r="P127" s="807"/>
      <c r="Q127" s="808"/>
      <c r="R127" s="33"/>
      <c r="S127" s="33"/>
      <c r="T127" s="809" t="s">
        <v>577</v>
      </c>
      <c r="U127" s="61"/>
      <c r="V127" s="33"/>
      <c r="W127" s="32" t="s">
        <v>352</v>
      </c>
      <c r="X127" s="33"/>
      <c r="Y127" s="40" t="s">
        <v>352</v>
      </c>
      <c r="Z127" s="384">
        <v>2</v>
      </c>
      <c r="AA127" s="85" t="str">
        <f>VLOOKUP(Y127,Source!F:F,1,FALSE)</f>
        <v>Worcester State University</v>
      </c>
    </row>
    <row r="128" spans="1:27" x14ac:dyDescent="0.2">
      <c r="A128" s="61" t="str">
        <f t="shared" si="11"/>
        <v>Worcester State University3</v>
      </c>
      <c r="B128" s="384" t="s">
        <v>568</v>
      </c>
      <c r="C128" s="61" t="s">
        <v>569</v>
      </c>
      <c r="D128" s="56" t="s">
        <v>911</v>
      </c>
      <c r="E128" s="40" t="s">
        <v>912</v>
      </c>
      <c r="F128" s="41">
        <v>40.768000000000001</v>
      </c>
      <c r="G128" s="56" t="s">
        <v>910</v>
      </c>
      <c r="H128" s="42" t="s">
        <v>692</v>
      </c>
      <c r="I128" s="43" t="s">
        <v>574</v>
      </c>
      <c r="J128" s="44">
        <v>1602</v>
      </c>
      <c r="K128" s="45">
        <v>40820</v>
      </c>
      <c r="L128" s="46">
        <v>2012</v>
      </c>
      <c r="M128" s="41">
        <v>40.768000000000001</v>
      </c>
      <c r="N128" s="31" t="s">
        <v>575</v>
      </c>
      <c r="O128" s="31" t="s">
        <v>589</v>
      </c>
      <c r="P128" s="33"/>
      <c r="Q128" s="33"/>
      <c r="R128" s="33"/>
      <c r="S128" s="33"/>
      <c r="T128" s="33" t="s">
        <v>577</v>
      </c>
      <c r="U128" s="265">
        <v>0.13639999999999999</v>
      </c>
      <c r="V128" s="35">
        <f>M128*8760*U128</f>
        <v>48712.215551999994</v>
      </c>
      <c r="W128" s="33"/>
      <c r="X128" s="33"/>
      <c r="Y128" s="40" t="s">
        <v>352</v>
      </c>
      <c r="Z128" s="384">
        <v>3</v>
      </c>
      <c r="AA128" s="85" t="str">
        <f>VLOOKUP(Y128,Source!F:F,1,FALSE)</f>
        <v>Worcester State University</v>
      </c>
    </row>
    <row r="129" spans="1:27" x14ac:dyDescent="0.2">
      <c r="A129" s="61" t="str">
        <f t="shared" si="11"/>
        <v>Worcester State University4</v>
      </c>
      <c r="B129" s="255" t="s">
        <v>568</v>
      </c>
      <c r="C129" s="254" t="s">
        <v>569</v>
      </c>
      <c r="D129" s="256" t="s">
        <v>913</v>
      </c>
      <c r="E129" s="257" t="s">
        <v>914</v>
      </c>
      <c r="F129" s="258">
        <v>105.4</v>
      </c>
      <c r="G129" s="256" t="s">
        <v>910</v>
      </c>
      <c r="H129" s="259" t="s">
        <v>692</v>
      </c>
      <c r="I129" s="254" t="s">
        <v>574</v>
      </c>
      <c r="J129" s="260">
        <v>1602</v>
      </c>
      <c r="K129" s="261">
        <v>40544</v>
      </c>
      <c r="L129" s="262">
        <v>2009</v>
      </c>
      <c r="M129" s="258">
        <v>105.4</v>
      </c>
      <c r="N129" s="31" t="s">
        <v>575</v>
      </c>
      <c r="O129" s="31" t="s">
        <v>576</v>
      </c>
      <c r="P129" s="33"/>
      <c r="Q129" s="33"/>
      <c r="R129" s="33"/>
      <c r="S129" s="34"/>
      <c r="T129" s="33" t="s">
        <v>577</v>
      </c>
      <c r="U129" s="265">
        <v>0.13639999999999999</v>
      </c>
      <c r="V129" s="35">
        <f>M129*8760*U129</f>
        <v>125938.66559999999</v>
      </c>
      <c r="W129" s="32" t="s">
        <v>352</v>
      </c>
      <c r="X129" s="34"/>
      <c r="Y129" s="263" t="s">
        <v>352</v>
      </c>
      <c r="Z129" s="255">
        <v>4</v>
      </c>
      <c r="AA129" s="85" t="str">
        <f>VLOOKUP(Y129,Source!F:F,1,FALSE)</f>
        <v>Worcester State University</v>
      </c>
    </row>
    <row r="130" spans="1:27" ht="16" x14ac:dyDescent="0.2">
      <c r="A130" s="61" t="str">
        <f t="shared" si="11"/>
        <v>MassDOT - Highway &amp; Turnpike Divisions7</v>
      </c>
      <c r="B130" s="384" t="s">
        <v>568</v>
      </c>
      <c r="C130" s="61" t="s">
        <v>611</v>
      </c>
      <c r="D130" s="86"/>
      <c r="E130" s="62" t="s">
        <v>915</v>
      </c>
      <c r="F130" s="41">
        <v>649</v>
      </c>
      <c r="G130" s="86"/>
      <c r="H130" s="86" t="s">
        <v>916</v>
      </c>
      <c r="I130" s="86" t="s">
        <v>574</v>
      </c>
      <c r="J130" s="44">
        <v>2166</v>
      </c>
      <c r="K130" s="45">
        <v>42650</v>
      </c>
      <c r="L130" s="49">
        <v>2016</v>
      </c>
      <c r="M130" s="41">
        <v>649</v>
      </c>
      <c r="N130" s="86" t="s">
        <v>798</v>
      </c>
      <c r="O130" s="86" t="s">
        <v>589</v>
      </c>
      <c r="P130" s="86" t="s">
        <v>799</v>
      </c>
      <c r="Q130" s="86"/>
      <c r="R130" s="86"/>
      <c r="S130" s="86"/>
      <c r="T130" s="86" t="s">
        <v>577</v>
      </c>
      <c r="U130" s="265">
        <v>0.13639999999999999</v>
      </c>
      <c r="V130" s="264">
        <v>775467</v>
      </c>
      <c r="W130" s="65" t="s">
        <v>917</v>
      </c>
      <c r="X130" s="86"/>
      <c r="Y130" s="65" t="s">
        <v>215</v>
      </c>
      <c r="Z130" s="384">
        <v>7</v>
      </c>
      <c r="AA130" s="85" t="str">
        <f>VLOOKUP(Y130,Source!F:F,1,FALSE)</f>
        <v>MassDOT - Highway &amp; Turnpike Divisions</v>
      </c>
    </row>
    <row r="131" spans="1:27" ht="16" x14ac:dyDescent="0.2">
      <c r="A131" s="61" t="str">
        <f t="shared" si="11"/>
        <v>MassDOT - Highway &amp; Turnpike Divisions8</v>
      </c>
      <c r="B131" s="384" t="s">
        <v>568</v>
      </c>
      <c r="C131" s="61" t="s">
        <v>611</v>
      </c>
      <c r="D131" s="86"/>
      <c r="E131" s="62" t="s">
        <v>918</v>
      </c>
      <c r="F131" s="41">
        <v>649</v>
      </c>
      <c r="G131" s="86" t="s">
        <v>919</v>
      </c>
      <c r="H131" s="86" t="s">
        <v>920</v>
      </c>
      <c r="I131" s="86" t="s">
        <v>574</v>
      </c>
      <c r="J131" s="86"/>
      <c r="K131" s="45">
        <v>42668</v>
      </c>
      <c r="L131" s="49">
        <v>2016</v>
      </c>
      <c r="M131" s="41">
        <v>649</v>
      </c>
      <c r="N131" s="86" t="s">
        <v>798</v>
      </c>
      <c r="O131" s="86" t="s">
        <v>589</v>
      </c>
      <c r="P131" s="86" t="s">
        <v>799</v>
      </c>
      <c r="Q131" s="86"/>
      <c r="R131" s="86"/>
      <c r="S131" s="86"/>
      <c r="T131" s="86" t="s">
        <v>577</v>
      </c>
      <c r="U131" s="265">
        <v>0.13639999999999999</v>
      </c>
      <c r="V131" s="264">
        <v>775467</v>
      </c>
      <c r="W131" s="65" t="s">
        <v>917</v>
      </c>
      <c r="X131" s="86"/>
      <c r="Y131" s="65" t="s">
        <v>215</v>
      </c>
      <c r="Z131" s="384">
        <v>8</v>
      </c>
      <c r="AA131" s="85" t="str">
        <f>VLOOKUP(Y131,Source!F:F,1,FALSE)</f>
        <v>MassDOT - Highway &amp; Turnpike Divisions</v>
      </c>
    </row>
    <row r="132" spans="1:27" ht="16" x14ac:dyDescent="0.2">
      <c r="A132" s="61" t="str">
        <f t="shared" si="11"/>
        <v>MassDOT - Highway &amp; Turnpike Divisions9</v>
      </c>
      <c r="B132" s="384" t="s">
        <v>568</v>
      </c>
      <c r="C132" s="61" t="s">
        <v>611</v>
      </c>
      <c r="D132" s="86"/>
      <c r="E132" s="62" t="s">
        <v>921</v>
      </c>
      <c r="F132" s="41">
        <v>490</v>
      </c>
      <c r="G132" s="86"/>
      <c r="H132" s="86" t="s">
        <v>922</v>
      </c>
      <c r="I132" s="86" t="s">
        <v>574</v>
      </c>
      <c r="J132" s="86"/>
      <c r="K132" s="45">
        <v>42795</v>
      </c>
      <c r="L132" s="49">
        <v>2017</v>
      </c>
      <c r="M132" s="41">
        <v>490</v>
      </c>
      <c r="N132" s="86" t="s">
        <v>798</v>
      </c>
      <c r="O132" s="86" t="s">
        <v>589</v>
      </c>
      <c r="P132" s="86" t="s">
        <v>923</v>
      </c>
      <c r="Q132" s="86"/>
      <c r="R132" s="86"/>
      <c r="S132" s="86"/>
      <c r="T132" s="86" t="s">
        <v>577</v>
      </c>
      <c r="U132" s="265">
        <v>0.13639999999999999</v>
      </c>
      <c r="V132" s="264">
        <v>585483</v>
      </c>
      <c r="W132" s="86" t="s">
        <v>924</v>
      </c>
      <c r="X132" s="86"/>
      <c r="Y132" s="65" t="s">
        <v>215</v>
      </c>
      <c r="Z132" s="384">
        <v>9</v>
      </c>
      <c r="AA132" s="85" t="str">
        <f>VLOOKUP(Y132,Source!F:F,1,FALSE)</f>
        <v>MassDOT - Highway &amp; Turnpike Divisions</v>
      </c>
    </row>
    <row r="133" spans="1:27" ht="16" x14ac:dyDescent="0.2">
      <c r="A133" s="61" t="str">
        <f t="shared" si="11"/>
        <v>MassDOT - Highway &amp; Turnpike Divisions10</v>
      </c>
      <c r="B133" s="384" t="s">
        <v>568</v>
      </c>
      <c r="C133" s="61" t="s">
        <v>611</v>
      </c>
      <c r="D133" s="86"/>
      <c r="E133" s="62" t="s">
        <v>925</v>
      </c>
      <c r="F133" s="41">
        <v>50</v>
      </c>
      <c r="G133" s="86"/>
      <c r="H133" s="86" t="s">
        <v>922</v>
      </c>
      <c r="I133" s="86" t="s">
        <v>574</v>
      </c>
      <c r="J133" s="86"/>
      <c r="K133" s="45">
        <v>42795</v>
      </c>
      <c r="L133" s="49">
        <v>2017</v>
      </c>
      <c r="M133" s="41">
        <v>50</v>
      </c>
      <c r="N133" s="86" t="s">
        <v>798</v>
      </c>
      <c r="O133" s="86" t="s">
        <v>589</v>
      </c>
      <c r="P133" s="86" t="s">
        <v>926</v>
      </c>
      <c r="Q133" s="86"/>
      <c r="R133" s="86"/>
      <c r="S133" s="86"/>
      <c r="T133" s="86" t="s">
        <v>577</v>
      </c>
      <c r="U133" s="265">
        <v>0.13639999999999999</v>
      </c>
      <c r="V133" s="264">
        <v>59743</v>
      </c>
      <c r="W133" s="86" t="s">
        <v>924</v>
      </c>
      <c r="X133" s="86"/>
      <c r="Y133" s="65" t="s">
        <v>215</v>
      </c>
      <c r="Z133" s="384">
        <v>10</v>
      </c>
      <c r="AA133" s="85" t="str">
        <f>VLOOKUP(Y133,Source!F:F,1,FALSE)</f>
        <v>MassDOT - Highway &amp; Turnpike Divisions</v>
      </c>
    </row>
    <row r="134" spans="1:27" x14ac:dyDescent="0.2">
      <c r="A134" s="61" t="str">
        <f t="shared" si="11"/>
        <v>Salem State University3</v>
      </c>
      <c r="B134" s="384" t="s">
        <v>568</v>
      </c>
      <c r="C134" s="61" t="s">
        <v>569</v>
      </c>
      <c r="D134" s="85"/>
      <c r="E134" s="85" t="s">
        <v>927</v>
      </c>
      <c r="F134" s="20">
        <v>176</v>
      </c>
      <c r="G134" s="85" t="s">
        <v>928</v>
      </c>
      <c r="H134" s="85" t="s">
        <v>853</v>
      </c>
      <c r="I134" s="85" t="s">
        <v>574</v>
      </c>
      <c r="J134" s="44">
        <v>1970</v>
      </c>
      <c r="K134" s="85"/>
      <c r="L134" s="21">
        <v>2019</v>
      </c>
      <c r="M134" s="20">
        <f>F134</f>
        <v>176</v>
      </c>
      <c r="N134" s="54" t="s">
        <v>575</v>
      </c>
      <c r="O134" s="85" t="s">
        <v>589</v>
      </c>
      <c r="P134" s="33" t="s">
        <v>1635</v>
      </c>
      <c r="Q134" s="85"/>
      <c r="R134" s="85" t="s">
        <v>929</v>
      </c>
      <c r="S134" s="85"/>
      <c r="T134" s="85" t="s">
        <v>577</v>
      </c>
      <c r="U134" s="265">
        <v>0.13639999999999999</v>
      </c>
      <c r="V134" s="63">
        <f t="shared" ref="V134:V144" si="15">M134*8760*U134</f>
        <v>210296.06399999998</v>
      </c>
      <c r="W134" s="85"/>
      <c r="X134" s="85"/>
      <c r="Y134" s="57" t="s">
        <v>272</v>
      </c>
      <c r="Z134" s="85">
        <v>3</v>
      </c>
      <c r="AA134" s="85" t="str">
        <f>VLOOKUP(Y134,Source!F:F,1,FALSE)</f>
        <v>Salem State University</v>
      </c>
    </row>
    <row r="135" spans="1:27" x14ac:dyDescent="0.2">
      <c r="A135" s="61" t="str">
        <f t="shared" si="11"/>
        <v>Salem State University4</v>
      </c>
      <c r="B135" s="384" t="s">
        <v>568</v>
      </c>
      <c r="C135" s="61" t="s">
        <v>569</v>
      </c>
      <c r="D135" s="85"/>
      <c r="E135" s="85" t="s">
        <v>930</v>
      </c>
      <c r="F135" s="20">
        <v>102</v>
      </c>
      <c r="G135" s="85" t="s">
        <v>931</v>
      </c>
      <c r="H135" s="85" t="s">
        <v>853</v>
      </c>
      <c r="I135" s="85" t="s">
        <v>574</v>
      </c>
      <c r="J135" s="44">
        <v>1970</v>
      </c>
      <c r="K135" s="85"/>
      <c r="L135" s="21">
        <v>2019</v>
      </c>
      <c r="M135" s="20">
        <f t="shared" ref="M135:M136" si="16">F135</f>
        <v>102</v>
      </c>
      <c r="N135" s="54" t="s">
        <v>575</v>
      </c>
      <c r="O135" s="85" t="s">
        <v>589</v>
      </c>
      <c r="P135" s="33" t="s">
        <v>1635</v>
      </c>
      <c r="Q135" s="85"/>
      <c r="R135" s="85" t="s">
        <v>932</v>
      </c>
      <c r="S135" s="85"/>
      <c r="T135" s="85" t="s">
        <v>577</v>
      </c>
      <c r="U135" s="265">
        <v>0.13639999999999999</v>
      </c>
      <c r="V135" s="63">
        <f t="shared" si="15"/>
        <v>121876.128</v>
      </c>
      <c r="W135" s="85"/>
      <c r="X135" s="85"/>
      <c r="Y135" s="57" t="s">
        <v>272</v>
      </c>
      <c r="Z135" s="85">
        <v>4</v>
      </c>
      <c r="AA135" s="85" t="str">
        <f>VLOOKUP(Y135,Source!F:F,1,FALSE)</f>
        <v>Salem State University</v>
      </c>
    </row>
    <row r="136" spans="1:27" x14ac:dyDescent="0.2">
      <c r="A136" s="254" t="str">
        <f t="shared" si="11"/>
        <v>Salem State University5</v>
      </c>
      <c r="B136" s="255" t="s">
        <v>568</v>
      </c>
      <c r="C136" s="254" t="s">
        <v>569</v>
      </c>
      <c r="D136" s="85"/>
      <c r="E136" s="85" t="s">
        <v>933</v>
      </c>
      <c r="F136" s="20">
        <v>101</v>
      </c>
      <c r="G136" s="85" t="s">
        <v>934</v>
      </c>
      <c r="H136" s="85" t="s">
        <v>853</v>
      </c>
      <c r="I136" s="85" t="s">
        <v>574</v>
      </c>
      <c r="J136" s="260">
        <v>1970</v>
      </c>
      <c r="K136" s="85"/>
      <c r="L136" s="21">
        <v>2019</v>
      </c>
      <c r="M136" s="20">
        <f t="shared" si="16"/>
        <v>101</v>
      </c>
      <c r="N136" s="257" t="s">
        <v>575</v>
      </c>
      <c r="O136" s="85" t="s">
        <v>589</v>
      </c>
      <c r="P136" s="33" t="s">
        <v>1635</v>
      </c>
      <c r="Q136" s="85"/>
      <c r="R136" s="85" t="s">
        <v>935</v>
      </c>
      <c r="S136" s="85"/>
      <c r="T136" s="85" t="s">
        <v>577</v>
      </c>
      <c r="U136" s="274">
        <v>0.13639999999999999</v>
      </c>
      <c r="V136" s="275">
        <f t="shared" si="15"/>
        <v>120681.264</v>
      </c>
      <c r="W136" s="85"/>
      <c r="X136" s="85"/>
      <c r="Y136" s="276" t="s">
        <v>272</v>
      </c>
      <c r="Z136" s="85">
        <v>5</v>
      </c>
      <c r="AA136" s="85" t="str">
        <f>VLOOKUP(Y136,Source!F:F,1,FALSE)</f>
        <v>Salem State University</v>
      </c>
    </row>
    <row r="137" spans="1:27" s="85" customFormat="1" x14ac:dyDescent="0.2">
      <c r="A137" s="254" t="str">
        <f t="shared" si="11"/>
        <v>Salem State University6</v>
      </c>
      <c r="B137" s="255" t="s">
        <v>568</v>
      </c>
      <c r="C137" s="254" t="s">
        <v>569</v>
      </c>
      <c r="E137" s="33" t="s">
        <v>1637</v>
      </c>
      <c r="F137" s="20">
        <v>121</v>
      </c>
      <c r="J137" s="260"/>
      <c r="L137" s="21" t="s">
        <v>1339</v>
      </c>
      <c r="M137" s="20">
        <v>121</v>
      </c>
      <c r="N137" s="257" t="s">
        <v>575</v>
      </c>
      <c r="O137" s="33" t="s">
        <v>589</v>
      </c>
      <c r="P137" s="33" t="s">
        <v>1635</v>
      </c>
      <c r="T137" s="33" t="s">
        <v>1636</v>
      </c>
      <c r="U137" s="274"/>
      <c r="V137" s="275"/>
      <c r="Y137" s="276" t="s">
        <v>272</v>
      </c>
      <c r="Z137" s="85">
        <v>6</v>
      </c>
      <c r="AA137" s="85" t="str">
        <f>VLOOKUP(Y137,Source!F:F,1,FALSE)</f>
        <v>Salem State University</v>
      </c>
    </row>
    <row r="138" spans="1:27" x14ac:dyDescent="0.2">
      <c r="A138" s="61" t="str">
        <f t="shared" si="11"/>
        <v>UMass Amherst4</v>
      </c>
      <c r="B138" s="384" t="s">
        <v>568</v>
      </c>
      <c r="C138" s="54" t="s">
        <v>598</v>
      </c>
      <c r="D138" s="86"/>
      <c r="E138" s="54" t="s">
        <v>936</v>
      </c>
      <c r="F138" s="62">
        <v>1918.44</v>
      </c>
      <c r="G138" s="39" t="s">
        <v>863</v>
      </c>
      <c r="H138" s="386" t="s">
        <v>864</v>
      </c>
      <c r="I138" s="86" t="s">
        <v>574</v>
      </c>
      <c r="J138" s="44">
        <v>1003</v>
      </c>
      <c r="K138" s="292">
        <v>42718</v>
      </c>
      <c r="L138" s="49">
        <v>2017</v>
      </c>
      <c r="M138" s="62">
        <v>1918.44</v>
      </c>
      <c r="N138" s="50" t="s">
        <v>865</v>
      </c>
      <c r="O138" s="86" t="s">
        <v>589</v>
      </c>
      <c r="P138" s="86"/>
      <c r="Q138" s="86"/>
      <c r="R138" s="86"/>
      <c r="S138" s="86"/>
      <c r="T138" s="61" t="s">
        <v>577</v>
      </c>
      <c r="U138" s="265">
        <v>0.13639999999999999</v>
      </c>
      <c r="V138" s="63">
        <f t="shared" si="15"/>
        <v>2292274.8921600003</v>
      </c>
      <c r="W138" s="86"/>
      <c r="X138" s="86"/>
      <c r="Y138" s="54" t="s">
        <v>299</v>
      </c>
      <c r="Z138" s="384">
        <v>4</v>
      </c>
      <c r="AA138" s="85" t="str">
        <f>VLOOKUP(Y138,Source!F:F,1,FALSE)</f>
        <v>UMass Amherst</v>
      </c>
    </row>
    <row r="139" spans="1:27" x14ac:dyDescent="0.2">
      <c r="A139" s="61" t="str">
        <f t="shared" si="11"/>
        <v>UMass Amherst5</v>
      </c>
      <c r="B139" s="384" t="s">
        <v>568</v>
      </c>
      <c r="C139" s="54" t="s">
        <v>598</v>
      </c>
      <c r="D139" s="86"/>
      <c r="E139" s="54" t="s">
        <v>937</v>
      </c>
      <c r="F139" s="62">
        <v>2568.87</v>
      </c>
      <c r="G139" s="39" t="s">
        <v>863</v>
      </c>
      <c r="H139" s="386" t="s">
        <v>864</v>
      </c>
      <c r="I139" s="86" t="s">
        <v>574</v>
      </c>
      <c r="J139" s="44">
        <v>1003</v>
      </c>
      <c r="K139" s="292">
        <v>42726</v>
      </c>
      <c r="L139" s="49">
        <v>2017</v>
      </c>
      <c r="M139" s="62">
        <v>2568.87</v>
      </c>
      <c r="N139" s="50" t="s">
        <v>865</v>
      </c>
      <c r="O139" s="50" t="s">
        <v>589</v>
      </c>
      <c r="P139" s="86"/>
      <c r="Q139" s="86"/>
      <c r="R139" s="86"/>
      <c r="S139" s="86"/>
      <c r="T139" s="61" t="s">
        <v>577</v>
      </c>
      <c r="U139" s="265">
        <v>0.13639999999999999</v>
      </c>
      <c r="V139" s="63">
        <f t="shared" si="15"/>
        <v>3069450.2836799999</v>
      </c>
      <c r="W139" s="86"/>
      <c r="X139" s="86"/>
      <c r="Y139" s="54" t="s">
        <v>299</v>
      </c>
      <c r="Z139" s="384">
        <v>5</v>
      </c>
      <c r="AA139" s="85" t="str">
        <f>VLOOKUP(Y139,Source!F:F,1,FALSE)</f>
        <v>UMass Amherst</v>
      </c>
    </row>
    <row r="140" spans="1:27" x14ac:dyDescent="0.2">
      <c r="A140" s="61" t="str">
        <f t="shared" si="11"/>
        <v>UMass Amherst6</v>
      </c>
      <c r="B140" s="384" t="s">
        <v>568</v>
      </c>
      <c r="C140" s="54" t="s">
        <v>569</v>
      </c>
      <c r="D140" s="86"/>
      <c r="E140" s="86" t="s">
        <v>938</v>
      </c>
      <c r="F140" s="62">
        <v>249.8</v>
      </c>
      <c r="G140" s="39" t="s">
        <v>863</v>
      </c>
      <c r="H140" s="386" t="s">
        <v>864</v>
      </c>
      <c r="I140" s="86" t="s">
        <v>574</v>
      </c>
      <c r="J140" s="44">
        <v>1003</v>
      </c>
      <c r="K140" s="292">
        <v>42642</v>
      </c>
      <c r="L140" s="49">
        <v>2017</v>
      </c>
      <c r="M140" s="62">
        <v>249.8</v>
      </c>
      <c r="N140" s="50" t="s">
        <v>865</v>
      </c>
      <c r="O140" s="50" t="s">
        <v>589</v>
      </c>
      <c r="P140" s="86"/>
      <c r="Q140" s="86"/>
      <c r="R140" s="86"/>
      <c r="S140" s="86"/>
      <c r="T140" s="61" t="s">
        <v>577</v>
      </c>
      <c r="U140" s="265">
        <v>0.13639999999999999</v>
      </c>
      <c r="V140" s="63">
        <f t="shared" si="15"/>
        <v>298477.02720000001</v>
      </c>
      <c r="W140" s="86"/>
      <c r="X140" s="86"/>
      <c r="Y140" s="54" t="s">
        <v>299</v>
      </c>
      <c r="Z140" s="384">
        <v>6</v>
      </c>
      <c r="AA140" s="85" t="str">
        <f>VLOOKUP(Y140,Source!F:F,1,FALSE)</f>
        <v>UMass Amherst</v>
      </c>
    </row>
    <row r="141" spans="1:27" x14ac:dyDescent="0.2">
      <c r="A141" s="61" t="str">
        <f t="shared" si="11"/>
        <v>UMass Amherst7</v>
      </c>
      <c r="B141" s="384" t="s">
        <v>568</v>
      </c>
      <c r="C141" s="54" t="s">
        <v>569</v>
      </c>
      <c r="D141" s="86"/>
      <c r="E141" s="86" t="s">
        <v>939</v>
      </c>
      <c r="F141" s="62">
        <v>154.66999999999999</v>
      </c>
      <c r="G141" s="39" t="s">
        <v>863</v>
      </c>
      <c r="H141" s="386" t="s">
        <v>864</v>
      </c>
      <c r="I141" s="86" t="s">
        <v>574</v>
      </c>
      <c r="J141" s="44">
        <v>1003</v>
      </c>
      <c r="K141" s="292">
        <v>42641</v>
      </c>
      <c r="L141" s="49">
        <v>2017</v>
      </c>
      <c r="M141" s="62">
        <v>154.66999999999999</v>
      </c>
      <c r="N141" s="50" t="s">
        <v>865</v>
      </c>
      <c r="O141" s="50" t="s">
        <v>589</v>
      </c>
      <c r="P141" s="86"/>
      <c r="Q141" s="86"/>
      <c r="R141" s="86"/>
      <c r="S141" s="86"/>
      <c r="T141" s="61" t="s">
        <v>577</v>
      </c>
      <c r="U141" s="265">
        <v>0.13639999999999999</v>
      </c>
      <c r="V141" s="63">
        <f t="shared" si="15"/>
        <v>184809.61487999998</v>
      </c>
      <c r="W141" s="86"/>
      <c r="X141" s="86"/>
      <c r="Y141" s="54" t="s">
        <v>299</v>
      </c>
      <c r="Z141" s="384">
        <v>7</v>
      </c>
      <c r="AA141" s="85" t="str">
        <f>VLOOKUP(Y141,Source!F:F,1,FALSE)</f>
        <v>UMass Amherst</v>
      </c>
    </row>
    <row r="142" spans="1:27" x14ac:dyDescent="0.2">
      <c r="A142" s="61" t="str">
        <f t="shared" si="11"/>
        <v>UMass Amherst8</v>
      </c>
      <c r="B142" s="384" t="s">
        <v>568</v>
      </c>
      <c r="C142" s="54" t="s">
        <v>569</v>
      </c>
      <c r="D142" s="86"/>
      <c r="E142" s="86" t="s">
        <v>940</v>
      </c>
      <c r="F142" s="62">
        <v>155.62</v>
      </c>
      <c r="G142" s="39" t="s">
        <v>863</v>
      </c>
      <c r="H142" s="386" t="s">
        <v>864</v>
      </c>
      <c r="I142" s="86" t="s">
        <v>574</v>
      </c>
      <c r="J142" s="44">
        <v>1003</v>
      </c>
      <c r="K142" s="292">
        <v>42718</v>
      </c>
      <c r="L142" s="49">
        <v>2017</v>
      </c>
      <c r="M142" s="62">
        <v>155.62</v>
      </c>
      <c r="N142" s="50" t="s">
        <v>865</v>
      </c>
      <c r="O142" s="50" t="s">
        <v>589</v>
      </c>
      <c r="P142" s="86"/>
      <c r="Q142" s="86"/>
      <c r="R142" s="86"/>
      <c r="S142" s="86"/>
      <c r="T142" s="61" t="s">
        <v>577</v>
      </c>
      <c r="U142" s="265">
        <v>0.13639999999999999</v>
      </c>
      <c r="V142" s="63">
        <f t="shared" si="15"/>
        <v>185944.73567999998</v>
      </c>
      <c r="W142" s="86"/>
      <c r="X142" s="86"/>
      <c r="Y142" s="54" t="s">
        <v>299</v>
      </c>
      <c r="Z142" s="384">
        <v>8</v>
      </c>
      <c r="AA142" s="85" t="str">
        <f>VLOOKUP(Y142,Source!F:F,1,FALSE)</f>
        <v>UMass Amherst</v>
      </c>
    </row>
    <row r="143" spans="1:27" x14ac:dyDescent="0.2">
      <c r="A143" s="61" t="str">
        <f t="shared" si="11"/>
        <v>UMass Amherst9</v>
      </c>
      <c r="B143" s="384" t="s">
        <v>568</v>
      </c>
      <c r="C143" s="54" t="s">
        <v>569</v>
      </c>
      <c r="D143" s="86"/>
      <c r="E143" s="86" t="s">
        <v>941</v>
      </c>
      <c r="F143" s="62">
        <v>30.87</v>
      </c>
      <c r="G143" s="39" t="s">
        <v>863</v>
      </c>
      <c r="H143" s="386" t="s">
        <v>864</v>
      </c>
      <c r="I143" s="86" t="s">
        <v>574</v>
      </c>
      <c r="J143" s="44">
        <v>1003</v>
      </c>
      <c r="K143" s="292">
        <v>42613</v>
      </c>
      <c r="L143" s="49">
        <v>2017</v>
      </c>
      <c r="M143" s="62">
        <v>30.87</v>
      </c>
      <c r="N143" s="50" t="s">
        <v>865</v>
      </c>
      <c r="O143" s="50" t="s">
        <v>589</v>
      </c>
      <c r="P143" s="86"/>
      <c r="Q143" s="86"/>
      <c r="R143" s="86"/>
      <c r="S143" s="86"/>
      <c r="T143" s="61" t="s">
        <v>577</v>
      </c>
      <c r="U143" s="265">
        <v>0.13639999999999999</v>
      </c>
      <c r="V143" s="63">
        <f t="shared" si="15"/>
        <v>36885.451679999998</v>
      </c>
      <c r="W143" s="86"/>
      <c r="X143" s="86"/>
      <c r="Y143" s="54" t="s">
        <v>299</v>
      </c>
      <c r="Z143" s="384">
        <v>9</v>
      </c>
      <c r="AA143" s="85" t="str">
        <f>VLOOKUP(Y143,Source!F:F,1,FALSE)</f>
        <v>UMass Amherst</v>
      </c>
    </row>
    <row r="144" spans="1:27" x14ac:dyDescent="0.2">
      <c r="A144" s="61" t="str">
        <f t="shared" si="11"/>
        <v>UMass Amherst10</v>
      </c>
      <c r="B144" s="384" t="s">
        <v>568</v>
      </c>
      <c r="C144" s="54" t="s">
        <v>569</v>
      </c>
      <c r="D144" s="86"/>
      <c r="E144" s="86" t="s">
        <v>942</v>
      </c>
      <c r="F144" s="62">
        <v>241.92</v>
      </c>
      <c r="G144" s="39" t="s">
        <v>863</v>
      </c>
      <c r="H144" s="386" t="s">
        <v>864</v>
      </c>
      <c r="I144" s="86" t="s">
        <v>574</v>
      </c>
      <c r="J144" s="44">
        <v>1003</v>
      </c>
      <c r="K144" s="292">
        <v>42648</v>
      </c>
      <c r="L144" s="49">
        <v>2017</v>
      </c>
      <c r="M144" s="62">
        <v>241.92</v>
      </c>
      <c r="N144" s="50" t="s">
        <v>865</v>
      </c>
      <c r="O144" s="50" t="s">
        <v>589</v>
      </c>
      <c r="P144" s="86"/>
      <c r="Q144" s="86"/>
      <c r="R144" s="86"/>
      <c r="S144" s="86"/>
      <c r="T144" s="61" t="s">
        <v>577</v>
      </c>
      <c r="U144" s="265">
        <v>0.13639999999999999</v>
      </c>
      <c r="V144" s="63">
        <f t="shared" si="15"/>
        <v>289061.49887999997</v>
      </c>
      <c r="W144" s="86"/>
      <c r="X144" s="86"/>
      <c r="Y144" s="54" t="s">
        <v>299</v>
      </c>
      <c r="Z144" s="384">
        <v>10</v>
      </c>
      <c r="AA144" s="85" t="str">
        <f>VLOOKUP(Y144,Source!F:F,1,FALSE)</f>
        <v>UMass Amherst</v>
      </c>
    </row>
    <row r="145" spans="1:27" s="85" customFormat="1" x14ac:dyDescent="0.2">
      <c r="A145" s="61" t="str">
        <f t="shared" ref="A145" si="17">Y145&amp;Z145</f>
        <v>UMass Amherst11</v>
      </c>
      <c r="B145" s="384" t="s">
        <v>568</v>
      </c>
      <c r="C145" s="54" t="s">
        <v>569</v>
      </c>
      <c r="D145" s="86"/>
      <c r="E145" s="86" t="s">
        <v>943</v>
      </c>
      <c r="F145" s="62">
        <v>60.38</v>
      </c>
      <c r="G145" s="39" t="s">
        <v>863</v>
      </c>
      <c r="H145" s="386" t="s">
        <v>864</v>
      </c>
      <c r="I145" s="86" t="s">
        <v>574</v>
      </c>
      <c r="J145" s="44">
        <v>1003</v>
      </c>
      <c r="K145" s="292"/>
      <c r="L145" s="49">
        <v>2019</v>
      </c>
      <c r="M145" s="62">
        <v>60.38</v>
      </c>
      <c r="N145" s="50" t="s">
        <v>865</v>
      </c>
      <c r="O145" s="50" t="s">
        <v>576</v>
      </c>
      <c r="P145" s="86" t="s">
        <v>926</v>
      </c>
      <c r="Q145" s="86"/>
      <c r="R145" s="86"/>
      <c r="S145" s="86"/>
      <c r="T145" s="61" t="s">
        <v>577</v>
      </c>
      <c r="U145" s="265">
        <v>0.13639999999999999</v>
      </c>
      <c r="V145" s="63"/>
      <c r="W145" s="86"/>
      <c r="X145" s="86"/>
      <c r="Y145" s="54" t="s">
        <v>299</v>
      </c>
      <c r="Z145" s="384">
        <v>11</v>
      </c>
      <c r="AA145" s="85" t="str">
        <f>VLOOKUP(Y145,Source!F:F,1,FALSE)</f>
        <v>UMass Amherst</v>
      </c>
    </row>
    <row r="146" spans="1:27" x14ac:dyDescent="0.2">
      <c r="A146" s="61" t="str">
        <f t="shared" si="11"/>
        <v>Bristol Comm. College5</v>
      </c>
      <c r="B146" s="384" t="s">
        <v>568</v>
      </c>
      <c r="C146" s="86" t="s">
        <v>944</v>
      </c>
      <c r="D146" s="86"/>
      <c r="E146" s="40" t="s">
        <v>945</v>
      </c>
      <c r="F146" s="62">
        <v>50</v>
      </c>
      <c r="G146" s="61" t="s">
        <v>595</v>
      </c>
      <c r="H146" s="47" t="s">
        <v>596</v>
      </c>
      <c r="I146" s="61" t="s">
        <v>574</v>
      </c>
      <c r="J146" s="44">
        <v>2720</v>
      </c>
      <c r="K146" s="45"/>
      <c r="L146" s="25">
        <v>2015</v>
      </c>
      <c r="M146" s="62">
        <v>50</v>
      </c>
      <c r="N146" s="54" t="s">
        <v>575</v>
      </c>
      <c r="O146" s="86" t="s">
        <v>576</v>
      </c>
      <c r="P146" s="86"/>
      <c r="Q146" s="86"/>
      <c r="R146" s="86"/>
      <c r="S146" s="86"/>
      <c r="T146" s="86"/>
      <c r="U146" s="293">
        <v>0.13639999999999999</v>
      </c>
      <c r="V146" s="63">
        <f>M146*8760*U146</f>
        <v>59743.199999999997</v>
      </c>
      <c r="W146" s="86"/>
      <c r="X146" s="86"/>
      <c r="Y146" s="40" t="s">
        <v>69</v>
      </c>
      <c r="Z146" s="61">
        <v>5</v>
      </c>
      <c r="AA146" s="85" t="str">
        <f>VLOOKUP(Y146,Source!F:F,1,FALSE)</f>
        <v>Bristol Comm. College</v>
      </c>
    </row>
  </sheetData>
  <autoFilter ref="A1:AA146" xr:uid="{00000000-0009-0000-0000-00000D000000}"/>
  <phoneticPr fontId="81" type="noConversion"/>
  <pageMargins left="0.7" right="0.7" top="0.75" bottom="0.75" header="0.3" footer="0.3"/>
  <pageSetup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Q25"/>
  <sheetViews>
    <sheetView topLeftCell="C1" workbookViewId="0">
      <selection activeCell="I29" sqref="I29"/>
    </sheetView>
  </sheetViews>
  <sheetFormatPr baseColWidth="10" defaultColWidth="9.1640625" defaultRowHeight="15" x14ac:dyDescent="0.2"/>
  <cols>
    <col min="1" max="1" width="28.6640625" style="6" customWidth="1"/>
    <col min="2" max="2" width="19" style="6" bestFit="1" customWidth="1"/>
    <col min="3" max="3" width="30.6640625" style="6" bestFit="1" customWidth="1"/>
    <col min="4" max="4" width="8" style="6" bestFit="1" customWidth="1"/>
    <col min="5" max="5" width="12" style="6" bestFit="1" customWidth="1"/>
    <col min="6" max="6" width="46.5" style="6" bestFit="1" customWidth="1"/>
    <col min="7" max="7" width="37.5" style="6" customWidth="1"/>
    <col min="8" max="8" width="15.5" style="6" bestFit="1" customWidth="1"/>
    <col min="9" max="9" width="19.1640625" style="410" bestFit="1" customWidth="1"/>
    <col min="10" max="10" width="16.33203125" style="401" customWidth="1"/>
    <col min="11" max="11" width="16.5" style="6" bestFit="1" customWidth="1"/>
    <col min="12" max="12" width="12.5" style="6" bestFit="1" customWidth="1"/>
    <col min="13" max="13" width="13.1640625" style="6" bestFit="1" customWidth="1"/>
    <col min="14" max="14" width="57.83203125" style="6" bestFit="1" customWidth="1"/>
    <col min="15" max="15" width="13.5" style="6" customWidth="1"/>
    <col min="16" max="16384" width="9.1640625" style="6"/>
  </cols>
  <sheetData>
    <row r="1" spans="1:17" ht="64" x14ac:dyDescent="0.2">
      <c r="A1" s="382" t="str">
        <f>E1&amp;P1</f>
        <v>Agency#</v>
      </c>
      <c r="B1" s="382" t="s">
        <v>425</v>
      </c>
      <c r="C1" s="382" t="s">
        <v>547</v>
      </c>
      <c r="D1" s="382" t="s">
        <v>557</v>
      </c>
      <c r="E1" s="382" t="s">
        <v>445</v>
      </c>
      <c r="F1" s="382" t="s">
        <v>946</v>
      </c>
      <c r="G1" s="382" t="s">
        <v>559</v>
      </c>
      <c r="H1" s="382" t="s">
        <v>947</v>
      </c>
      <c r="I1" s="404" t="s">
        <v>527</v>
      </c>
      <c r="J1" s="389" t="s">
        <v>528</v>
      </c>
      <c r="K1" s="383" t="s">
        <v>560</v>
      </c>
      <c r="L1" s="382" t="s">
        <v>563</v>
      </c>
      <c r="M1" s="382" t="s">
        <v>556</v>
      </c>
      <c r="N1" s="382" t="s">
        <v>566</v>
      </c>
      <c r="O1" s="382" t="s">
        <v>567</v>
      </c>
      <c r="P1" s="382" t="s">
        <v>446</v>
      </c>
      <c r="Q1" s="388"/>
    </row>
    <row r="2" spans="1:17" s="446" customFormat="1" x14ac:dyDescent="0.2">
      <c r="A2" s="418" t="str">
        <f>F2&amp;P2</f>
        <v>Bridgewater State University1</v>
      </c>
      <c r="B2" s="418" t="s">
        <v>948</v>
      </c>
      <c r="C2" s="431" t="s">
        <v>949</v>
      </c>
      <c r="D2" s="443" t="s">
        <v>575</v>
      </c>
      <c r="E2" s="427" t="s">
        <v>950</v>
      </c>
      <c r="F2" s="427" t="s">
        <v>56</v>
      </c>
      <c r="G2" s="427" t="s">
        <v>951</v>
      </c>
      <c r="H2" s="431" t="s">
        <v>588</v>
      </c>
      <c r="I2" s="454" t="s">
        <v>952</v>
      </c>
      <c r="J2" s="455" t="s">
        <v>952</v>
      </c>
      <c r="K2" s="444"/>
      <c r="L2" s="445" t="s">
        <v>577</v>
      </c>
      <c r="M2" s="431"/>
      <c r="N2" s="431" t="s">
        <v>953</v>
      </c>
      <c r="O2" s="418"/>
      <c r="P2" s="418">
        <v>1</v>
      </c>
      <c r="Q2" s="446" t="str">
        <f>VLOOKUP(F2,Source!F:F,1,FALSE)</f>
        <v>Bridgewater State University</v>
      </c>
    </row>
    <row r="3" spans="1:17" s="446" customFormat="1" ht="16" x14ac:dyDescent="0.2">
      <c r="A3" s="418" t="str">
        <f t="shared" ref="A3:A25" si="0">F3&amp;P3</f>
        <v>Bristol Comm. College1</v>
      </c>
      <c r="B3" s="448" t="s">
        <v>948</v>
      </c>
      <c r="C3" s="448" t="s">
        <v>954</v>
      </c>
      <c r="D3" s="448" t="s">
        <v>575</v>
      </c>
      <c r="E3" s="448" t="s">
        <v>955</v>
      </c>
      <c r="F3" s="467" t="s">
        <v>69</v>
      </c>
      <c r="G3" s="449" t="s">
        <v>956</v>
      </c>
      <c r="H3" s="448" t="s">
        <v>596</v>
      </c>
      <c r="I3" s="456" t="s">
        <v>952</v>
      </c>
      <c r="J3" s="457" t="s">
        <v>952</v>
      </c>
      <c r="K3" s="450"/>
      <c r="L3" s="451" t="s">
        <v>577</v>
      </c>
      <c r="M3" s="448">
        <v>2016</v>
      </c>
      <c r="N3" s="449"/>
      <c r="O3" s="448"/>
      <c r="P3" s="448">
        <v>1</v>
      </c>
      <c r="Q3" s="446" t="str">
        <f>VLOOKUP(F3,Source!F:F,1,FALSE)</f>
        <v>Bristol Comm. College</v>
      </c>
    </row>
    <row r="4" spans="1:17" s="446" customFormat="1" ht="16" x14ac:dyDescent="0.2">
      <c r="A4" s="418" t="str">
        <f t="shared" si="0"/>
        <v>Bristol Comm. College2</v>
      </c>
      <c r="B4" s="448" t="s">
        <v>948</v>
      </c>
      <c r="C4" s="448" t="s">
        <v>957</v>
      </c>
      <c r="D4" s="448" t="s">
        <v>575</v>
      </c>
      <c r="E4" s="448" t="s">
        <v>955</v>
      </c>
      <c r="F4" s="467" t="s">
        <v>69</v>
      </c>
      <c r="G4" s="449" t="s">
        <v>956</v>
      </c>
      <c r="H4" s="448" t="s">
        <v>596</v>
      </c>
      <c r="I4" s="456" t="s">
        <v>952</v>
      </c>
      <c r="J4" s="457" t="s">
        <v>952</v>
      </c>
      <c r="K4" s="450"/>
      <c r="L4" s="451" t="s">
        <v>577</v>
      </c>
      <c r="M4" s="448">
        <v>2016</v>
      </c>
      <c r="N4" s="449"/>
      <c r="O4" s="448"/>
      <c r="P4" s="448">
        <v>2</v>
      </c>
      <c r="Q4" s="446" t="str">
        <f>VLOOKUP(F4,Source!F:F,1,FALSE)</f>
        <v>Bristol Comm. College</v>
      </c>
    </row>
    <row r="5" spans="1:17" s="446" customFormat="1" ht="16" x14ac:dyDescent="0.2">
      <c r="A5" s="418" t="str">
        <f t="shared" si="0"/>
        <v>Bristol Comm. College3</v>
      </c>
      <c r="B5" s="448" t="s">
        <v>948</v>
      </c>
      <c r="C5" s="448" t="s">
        <v>949</v>
      </c>
      <c r="D5" s="448" t="s">
        <v>575</v>
      </c>
      <c r="E5" s="448" t="s">
        <v>955</v>
      </c>
      <c r="F5" s="467" t="s">
        <v>69</v>
      </c>
      <c r="G5" s="448" t="s">
        <v>958</v>
      </c>
      <c r="H5" s="448" t="s">
        <v>596</v>
      </c>
      <c r="I5" s="452">
        <v>181000</v>
      </c>
      <c r="J5" s="453" t="s">
        <v>959</v>
      </c>
      <c r="K5" s="448"/>
      <c r="L5" s="451" t="s">
        <v>577</v>
      </c>
      <c r="M5" s="448">
        <v>2016</v>
      </c>
      <c r="N5" s="448"/>
      <c r="O5" s="448"/>
      <c r="P5" s="448">
        <v>3</v>
      </c>
      <c r="Q5" s="446" t="str">
        <f>VLOOKUP(F5,Source!F:F,1,FALSE)</f>
        <v>Bristol Comm. College</v>
      </c>
    </row>
    <row r="6" spans="1:17" s="446" customFormat="1" ht="16" x14ac:dyDescent="0.2">
      <c r="A6" s="418" t="str">
        <f t="shared" si="0"/>
        <v>Greenfield Comm. College1</v>
      </c>
      <c r="B6" s="448" t="s">
        <v>948</v>
      </c>
      <c r="C6" s="448" t="s">
        <v>954</v>
      </c>
      <c r="D6" s="448" t="s">
        <v>575</v>
      </c>
      <c r="E6" s="448" t="s">
        <v>960</v>
      </c>
      <c r="F6" s="467" t="s">
        <v>143</v>
      </c>
      <c r="G6" s="448" t="s">
        <v>961</v>
      </c>
      <c r="H6" s="448" t="s">
        <v>717</v>
      </c>
      <c r="I6" s="452" t="s">
        <v>962</v>
      </c>
      <c r="J6" s="453" t="s">
        <v>952</v>
      </c>
      <c r="K6" s="448">
        <v>1133896</v>
      </c>
      <c r="L6" s="451" t="s">
        <v>577</v>
      </c>
      <c r="M6" s="448">
        <v>2009</v>
      </c>
      <c r="N6" s="448"/>
      <c r="O6" s="448"/>
      <c r="P6" s="448">
        <v>1</v>
      </c>
      <c r="Q6" s="446" t="str">
        <f>VLOOKUP(F6,Source!F:F,1,FALSE)</f>
        <v>Greenfield Comm. College</v>
      </c>
    </row>
    <row r="7" spans="1:17" s="446" customFormat="1" x14ac:dyDescent="0.2">
      <c r="A7" s="418" t="str">
        <f t="shared" si="0"/>
        <v>Holyoke Comm. College1</v>
      </c>
      <c r="B7" s="448" t="s">
        <v>948</v>
      </c>
      <c r="C7" s="449" t="s">
        <v>949</v>
      </c>
      <c r="D7" s="449" t="s">
        <v>575</v>
      </c>
      <c r="E7" s="449" t="s">
        <v>963</v>
      </c>
      <c r="F7" s="449" t="s">
        <v>150</v>
      </c>
      <c r="G7" s="449" t="s">
        <v>964</v>
      </c>
      <c r="H7" s="449" t="s">
        <v>965</v>
      </c>
      <c r="I7" s="456" t="s">
        <v>952</v>
      </c>
      <c r="J7" s="457" t="s">
        <v>952</v>
      </c>
      <c r="K7" s="450">
        <v>86978</v>
      </c>
      <c r="L7" s="451" t="s">
        <v>577</v>
      </c>
      <c r="M7" s="449"/>
      <c r="N7" s="449"/>
      <c r="O7" s="448"/>
      <c r="P7" s="448">
        <v>1</v>
      </c>
      <c r="Q7" s="446" t="str">
        <f>VLOOKUP(F7,Source!F:F,1,FALSE)</f>
        <v>Holyoke Comm. College</v>
      </c>
    </row>
    <row r="8" spans="1:17" x14ac:dyDescent="0.2">
      <c r="A8" s="387" t="str">
        <f t="shared" si="0"/>
        <v>Mass. Maritime Academy1</v>
      </c>
      <c r="B8" s="384" t="s">
        <v>948</v>
      </c>
      <c r="C8" s="387" t="s">
        <v>954</v>
      </c>
      <c r="D8" s="385" t="s">
        <v>575</v>
      </c>
      <c r="E8" s="385" t="s">
        <v>966</v>
      </c>
      <c r="F8" s="385" t="s">
        <v>182</v>
      </c>
      <c r="G8" s="385" t="s">
        <v>734</v>
      </c>
      <c r="H8" s="386" t="s">
        <v>732</v>
      </c>
      <c r="I8" s="406">
        <v>135</v>
      </c>
      <c r="J8" s="400" t="s">
        <v>967</v>
      </c>
      <c r="K8" s="390"/>
      <c r="L8" s="391" t="s">
        <v>577</v>
      </c>
      <c r="M8" s="386">
        <v>2013</v>
      </c>
      <c r="N8" s="386"/>
      <c r="O8" s="387"/>
      <c r="P8" s="387">
        <v>1</v>
      </c>
      <c r="Q8" s="388" t="str">
        <f>VLOOKUP(F8,Source!F:F,1,FALSE)</f>
        <v>Mass. Maritime Academy</v>
      </c>
    </row>
    <row r="9" spans="1:17" x14ac:dyDescent="0.2">
      <c r="A9" s="387" t="str">
        <f t="shared" si="0"/>
        <v>Mass. Maritime Academy2</v>
      </c>
      <c r="B9" s="384" t="s">
        <v>948</v>
      </c>
      <c r="C9" s="386" t="s">
        <v>949</v>
      </c>
      <c r="D9" s="385" t="s">
        <v>575</v>
      </c>
      <c r="E9" s="385" t="s">
        <v>966</v>
      </c>
      <c r="F9" s="386" t="s">
        <v>182</v>
      </c>
      <c r="G9" s="393" t="s">
        <v>968</v>
      </c>
      <c r="H9" s="386" t="s">
        <v>732</v>
      </c>
      <c r="I9" s="405">
        <v>70</v>
      </c>
      <c r="J9" s="381" t="s">
        <v>974</v>
      </c>
      <c r="K9" s="390">
        <v>189200</v>
      </c>
      <c r="L9" s="391" t="s">
        <v>577</v>
      </c>
      <c r="M9" s="386">
        <v>2015</v>
      </c>
      <c r="N9" s="386"/>
      <c r="O9" s="387"/>
      <c r="P9" s="387">
        <v>2</v>
      </c>
      <c r="Q9" s="388" t="str">
        <f>VLOOKUP(F9,Source!F:F,1,FALSE)</f>
        <v>Mass. Maritime Academy</v>
      </c>
    </row>
    <row r="10" spans="1:17" x14ac:dyDescent="0.2">
      <c r="A10" s="387" t="str">
        <f t="shared" si="0"/>
        <v>Middlesex Comm. College1</v>
      </c>
      <c r="B10" s="384" t="s">
        <v>948</v>
      </c>
      <c r="C10" s="387" t="s">
        <v>954</v>
      </c>
      <c r="D10" s="385" t="s">
        <v>575</v>
      </c>
      <c r="E10" s="385" t="s">
        <v>969</v>
      </c>
      <c r="F10" s="385" t="s">
        <v>225</v>
      </c>
      <c r="G10" s="385" t="s">
        <v>970</v>
      </c>
      <c r="H10" s="385" t="s">
        <v>815</v>
      </c>
      <c r="I10" s="406" t="s">
        <v>952</v>
      </c>
      <c r="J10" s="381" t="s">
        <v>952</v>
      </c>
      <c r="K10" s="392">
        <v>324113</v>
      </c>
      <c r="L10" s="391" t="s">
        <v>577</v>
      </c>
      <c r="M10" s="386">
        <v>2013</v>
      </c>
      <c r="N10" s="386"/>
      <c r="O10" s="387"/>
      <c r="P10" s="387">
        <v>1</v>
      </c>
      <c r="Q10" s="388" t="str">
        <f>VLOOKUP(F10,Source!F:F,1,FALSE)</f>
        <v>Middlesex Comm. College</v>
      </c>
    </row>
    <row r="11" spans="1:17" x14ac:dyDescent="0.2">
      <c r="A11" s="387" t="str">
        <f t="shared" si="0"/>
        <v>Mount Wachusett Comm. College1</v>
      </c>
      <c r="B11" s="394" t="s">
        <v>948</v>
      </c>
      <c r="C11" s="396" t="s">
        <v>971</v>
      </c>
      <c r="D11" s="396" t="s">
        <v>575</v>
      </c>
      <c r="E11" s="396" t="s">
        <v>972</v>
      </c>
      <c r="F11" s="396" t="s">
        <v>231</v>
      </c>
      <c r="G11" s="396" t="s">
        <v>973</v>
      </c>
      <c r="H11" s="396" t="s">
        <v>671</v>
      </c>
      <c r="I11" s="407">
        <v>75</v>
      </c>
      <c r="J11" s="401" t="s">
        <v>974</v>
      </c>
      <c r="K11" s="397"/>
      <c r="L11" s="399" t="s">
        <v>577</v>
      </c>
      <c r="M11" s="396">
        <v>2006</v>
      </c>
      <c r="N11" s="396"/>
      <c r="O11" s="395"/>
      <c r="P11" s="395">
        <v>1</v>
      </c>
      <c r="Q11" s="388" t="str">
        <f>VLOOKUP(F11,Source!F:F,1,FALSE)</f>
        <v>Mount Wachusett Comm. College</v>
      </c>
    </row>
    <row r="12" spans="1:17" x14ac:dyDescent="0.2">
      <c r="A12" s="387" t="str">
        <f t="shared" si="0"/>
        <v>North Shore Comm. College1</v>
      </c>
      <c r="B12" s="394" t="s">
        <v>948</v>
      </c>
      <c r="C12" s="395" t="s">
        <v>954</v>
      </c>
      <c r="D12" s="396" t="s">
        <v>575</v>
      </c>
      <c r="E12" s="396" t="s">
        <v>975</v>
      </c>
      <c r="F12" s="396" t="s">
        <v>240</v>
      </c>
      <c r="G12" s="396" t="s">
        <v>976</v>
      </c>
      <c r="H12" s="396" t="s">
        <v>842</v>
      </c>
      <c r="I12" s="85" t="s">
        <v>977</v>
      </c>
      <c r="J12" s="85"/>
      <c r="K12" s="85"/>
      <c r="L12" s="398" t="s">
        <v>577</v>
      </c>
      <c r="M12" s="396">
        <v>2011</v>
      </c>
      <c r="N12" s="396"/>
      <c r="O12" s="395"/>
      <c r="P12" s="395">
        <v>1</v>
      </c>
      <c r="Q12" s="388" t="str">
        <f>VLOOKUP(F12,Source!F:F,1,FALSE)</f>
        <v>North Shore Comm. College</v>
      </c>
    </row>
    <row r="13" spans="1:17" x14ac:dyDescent="0.2">
      <c r="A13" s="387" t="str">
        <f t="shared" si="0"/>
        <v>Quinsigamond Comm. College1</v>
      </c>
      <c r="B13" s="384" t="s">
        <v>948</v>
      </c>
      <c r="C13" s="386" t="s">
        <v>949</v>
      </c>
      <c r="D13" s="385" t="s">
        <v>575</v>
      </c>
      <c r="E13" s="385" t="s">
        <v>978</v>
      </c>
      <c r="F13" s="386" t="s">
        <v>256</v>
      </c>
      <c r="G13" s="386" t="s">
        <v>979</v>
      </c>
      <c r="H13" s="386" t="s">
        <v>692</v>
      </c>
      <c r="I13" s="405" t="s">
        <v>952</v>
      </c>
      <c r="J13" s="381" t="s">
        <v>952</v>
      </c>
      <c r="K13" s="390">
        <v>52000</v>
      </c>
      <c r="L13" s="391" t="s">
        <v>577</v>
      </c>
      <c r="M13" s="386"/>
      <c r="N13" s="386"/>
      <c r="O13" s="387"/>
      <c r="P13" s="387">
        <v>1</v>
      </c>
      <c r="Q13" s="388" t="str">
        <f>VLOOKUP(F13,Source!F:F,1,FALSE)</f>
        <v>Quinsigamond Comm. College</v>
      </c>
    </row>
    <row r="14" spans="1:17" s="388" customFormat="1" x14ac:dyDescent="0.2">
      <c r="A14" s="387" t="str">
        <f t="shared" si="0"/>
        <v>Roxbury Comm. College1</v>
      </c>
      <c r="B14" s="384" t="s">
        <v>948</v>
      </c>
      <c r="C14" s="386" t="s">
        <v>954</v>
      </c>
      <c r="D14" s="385" t="s">
        <v>575</v>
      </c>
      <c r="E14" s="385" t="s">
        <v>980</v>
      </c>
      <c r="F14" s="386" t="s">
        <v>261</v>
      </c>
      <c r="G14" s="386" t="s">
        <v>981</v>
      </c>
      <c r="H14" s="386" t="s">
        <v>604</v>
      </c>
      <c r="I14" s="405" t="s">
        <v>982</v>
      </c>
      <c r="J14" s="381"/>
      <c r="K14" s="390">
        <v>3950000</v>
      </c>
      <c r="L14" s="391" t="s">
        <v>577</v>
      </c>
      <c r="M14" s="386">
        <v>2018</v>
      </c>
      <c r="N14" s="386"/>
      <c r="O14" s="387"/>
      <c r="P14" s="387">
        <v>1</v>
      </c>
      <c r="Q14" s="388" t="str">
        <f>VLOOKUP(F14,Source!F:F,1,FALSE)</f>
        <v>Roxbury Comm. College</v>
      </c>
    </row>
    <row r="15" spans="1:17" s="388" customFormat="1" x14ac:dyDescent="0.2">
      <c r="A15" s="387" t="str">
        <f t="shared" si="0"/>
        <v>Roxbury Comm. College2</v>
      </c>
      <c r="B15" s="384" t="s">
        <v>948</v>
      </c>
      <c r="C15" s="386" t="s">
        <v>949</v>
      </c>
      <c r="D15" s="385" t="s">
        <v>575</v>
      </c>
      <c r="E15" s="385" t="s">
        <v>980</v>
      </c>
      <c r="F15" s="386" t="s">
        <v>261</v>
      </c>
      <c r="G15" s="386" t="s">
        <v>983</v>
      </c>
      <c r="H15" s="386" t="s">
        <v>604</v>
      </c>
      <c r="I15" s="405" t="s">
        <v>984</v>
      </c>
      <c r="J15" s="381" t="s">
        <v>50</v>
      </c>
      <c r="K15" s="390">
        <v>161800</v>
      </c>
      <c r="L15" s="391" t="s">
        <v>577</v>
      </c>
      <c r="M15" s="386">
        <v>2018</v>
      </c>
      <c r="N15" s="386"/>
      <c r="O15" s="387"/>
      <c r="P15" s="387">
        <v>2</v>
      </c>
      <c r="Q15" s="388" t="str">
        <f>VLOOKUP(F15,Source!F:F,1,FALSE)</f>
        <v>Roxbury Comm. College</v>
      </c>
    </row>
    <row r="16" spans="1:17" x14ac:dyDescent="0.2">
      <c r="A16" s="387" t="str">
        <f t="shared" si="0"/>
        <v>Salem State University1</v>
      </c>
      <c r="B16" s="384" t="s">
        <v>948</v>
      </c>
      <c r="C16" s="386" t="s">
        <v>954</v>
      </c>
      <c r="D16" s="385" t="s">
        <v>575</v>
      </c>
      <c r="E16" s="385" t="s">
        <v>985</v>
      </c>
      <c r="F16" s="386" t="s">
        <v>272</v>
      </c>
      <c r="G16" s="386" t="s">
        <v>986</v>
      </c>
      <c r="H16" s="386" t="s">
        <v>853</v>
      </c>
      <c r="I16" s="825" t="s">
        <v>1638</v>
      </c>
      <c r="J16" s="381" t="s">
        <v>1424</v>
      </c>
      <c r="K16" s="390"/>
      <c r="L16" s="391" t="s">
        <v>577</v>
      </c>
      <c r="M16" s="386">
        <v>2014</v>
      </c>
      <c r="N16" s="386" t="s">
        <v>987</v>
      </c>
      <c r="O16" s="387"/>
      <c r="P16" s="387">
        <v>1</v>
      </c>
      <c r="Q16" s="388" t="str">
        <f>VLOOKUP(F16,Source!F:F,1,FALSE)</f>
        <v>Salem State University</v>
      </c>
    </row>
    <row r="17" spans="1:17" s="388" customFormat="1" x14ac:dyDescent="0.2">
      <c r="A17" s="387" t="str">
        <f t="shared" si="0"/>
        <v>Springfield Technical Comm. College1</v>
      </c>
      <c r="B17" s="384" t="s">
        <v>948</v>
      </c>
      <c r="C17" s="386" t="s">
        <v>954</v>
      </c>
      <c r="D17" s="385" t="s">
        <v>575</v>
      </c>
      <c r="E17" s="385" t="s">
        <v>988</v>
      </c>
      <c r="F17" s="386" t="s">
        <v>282</v>
      </c>
      <c r="G17" s="386" t="s">
        <v>989</v>
      </c>
      <c r="H17" s="386" t="s">
        <v>794</v>
      </c>
      <c r="I17" s="405">
        <v>2</v>
      </c>
      <c r="J17" s="381" t="s">
        <v>974</v>
      </c>
      <c r="K17" s="390"/>
      <c r="L17" s="391" t="s">
        <v>577</v>
      </c>
      <c r="M17" s="386"/>
      <c r="N17" s="386"/>
      <c r="O17" s="387"/>
      <c r="P17" s="387">
        <v>1</v>
      </c>
      <c r="Q17" s="388" t="str">
        <f>VLOOKUP(F17,Source!F:F,1,FALSE)</f>
        <v>Springfield Technical Comm. College</v>
      </c>
    </row>
    <row r="18" spans="1:17" x14ac:dyDescent="0.2">
      <c r="A18" s="387" t="str">
        <f t="shared" si="0"/>
        <v>UMass Amherst1</v>
      </c>
      <c r="B18" s="395" t="s">
        <v>948</v>
      </c>
      <c r="C18" s="395" t="s">
        <v>954</v>
      </c>
      <c r="D18" s="395" t="s">
        <v>575</v>
      </c>
      <c r="E18" s="395" t="s">
        <v>990</v>
      </c>
      <c r="F18" s="395" t="s">
        <v>299</v>
      </c>
      <c r="G18" s="395" t="s">
        <v>991</v>
      </c>
      <c r="H18" s="395" t="s">
        <v>864</v>
      </c>
      <c r="I18" s="408" t="s">
        <v>952</v>
      </c>
      <c r="J18" s="402" t="s">
        <v>952</v>
      </c>
      <c r="K18" s="395"/>
      <c r="L18" s="391" t="s">
        <v>577</v>
      </c>
      <c r="M18" s="395"/>
      <c r="N18" s="395" t="s">
        <v>992</v>
      </c>
      <c r="O18" s="395"/>
      <c r="P18" s="395">
        <v>1</v>
      </c>
      <c r="Q18" s="388" t="str">
        <f>VLOOKUP(F18,Source!F:F,1,FALSE)</f>
        <v>UMass Amherst</v>
      </c>
    </row>
    <row r="19" spans="1:17" x14ac:dyDescent="0.2">
      <c r="A19" s="387" t="str">
        <f t="shared" si="0"/>
        <v>UMass Amherst2</v>
      </c>
      <c r="B19" s="395" t="s">
        <v>948</v>
      </c>
      <c r="C19" s="395" t="s">
        <v>954</v>
      </c>
      <c r="D19" s="395" t="s">
        <v>575</v>
      </c>
      <c r="E19" s="395" t="s">
        <v>990</v>
      </c>
      <c r="F19" s="395" t="s">
        <v>299</v>
      </c>
      <c r="G19" s="395" t="s">
        <v>993</v>
      </c>
      <c r="H19" s="395" t="s">
        <v>864</v>
      </c>
      <c r="I19" s="408">
        <v>20</v>
      </c>
      <c r="J19" s="403" t="s">
        <v>974</v>
      </c>
      <c r="K19" s="395"/>
      <c r="L19" s="391" t="s">
        <v>577</v>
      </c>
      <c r="M19" s="395"/>
      <c r="N19" s="395" t="s">
        <v>994</v>
      </c>
      <c r="O19" s="395"/>
      <c r="P19" s="395">
        <v>2</v>
      </c>
      <c r="Q19" s="388" t="str">
        <f>VLOOKUP(F19,Source!F:F,1,FALSE)</f>
        <v>UMass Amherst</v>
      </c>
    </row>
    <row r="20" spans="1:17" s="388" customFormat="1" x14ac:dyDescent="0.2">
      <c r="A20" s="387" t="str">
        <f t="shared" si="0"/>
        <v>UMass Amherst3</v>
      </c>
      <c r="B20" s="395" t="s">
        <v>948</v>
      </c>
      <c r="C20" s="395" t="s">
        <v>954</v>
      </c>
      <c r="D20" s="395" t="s">
        <v>575</v>
      </c>
      <c r="E20" s="395" t="s">
        <v>990</v>
      </c>
      <c r="F20" s="395" t="s">
        <v>299</v>
      </c>
      <c r="G20" s="395" t="s">
        <v>995</v>
      </c>
      <c r="H20" s="395" t="s">
        <v>864</v>
      </c>
      <c r="I20" s="408" t="s">
        <v>996</v>
      </c>
      <c r="J20" s="403"/>
      <c r="K20" s="395"/>
      <c r="L20" s="391" t="s">
        <v>577</v>
      </c>
      <c r="M20" s="395">
        <v>2019</v>
      </c>
      <c r="N20" s="85" t="s">
        <v>997</v>
      </c>
      <c r="O20" s="85"/>
      <c r="P20" s="395">
        <v>3</v>
      </c>
      <c r="Q20" s="388" t="str">
        <f>VLOOKUP(F20,Source!F:F,1,FALSE)</f>
        <v>UMass Amherst</v>
      </c>
    </row>
    <row r="21" spans="1:17" x14ac:dyDescent="0.2">
      <c r="A21" s="387" t="str">
        <f t="shared" si="0"/>
        <v>UMass Amherst4</v>
      </c>
      <c r="B21" s="387" t="s">
        <v>948</v>
      </c>
      <c r="C21" s="387" t="s">
        <v>949</v>
      </c>
      <c r="D21" s="387" t="s">
        <v>575</v>
      </c>
      <c r="E21" s="387" t="s">
        <v>990</v>
      </c>
      <c r="F21" s="387" t="s">
        <v>299</v>
      </c>
      <c r="G21" s="387" t="s">
        <v>998</v>
      </c>
      <c r="H21" s="387" t="s">
        <v>999</v>
      </c>
      <c r="I21" s="409">
        <v>14</v>
      </c>
      <c r="J21" s="403" t="s">
        <v>974</v>
      </c>
      <c r="K21" s="387"/>
      <c r="L21" s="391" t="s">
        <v>577</v>
      </c>
      <c r="M21" s="387">
        <v>2017</v>
      </c>
      <c r="N21" s="387"/>
      <c r="O21" s="387"/>
      <c r="P21" s="395">
        <v>4</v>
      </c>
      <c r="Q21" s="388" t="str">
        <f>VLOOKUP(F21,Source!F:F,1,FALSE)</f>
        <v>UMass Amherst</v>
      </c>
    </row>
    <row r="22" spans="1:17" s="388" customFormat="1" x14ac:dyDescent="0.2">
      <c r="A22" s="387" t="str">
        <f t="shared" si="0"/>
        <v>UMass Dartmouth1</v>
      </c>
      <c r="B22" s="387" t="s">
        <v>948</v>
      </c>
      <c r="C22" s="387" t="s">
        <v>949</v>
      </c>
      <c r="D22" s="387" t="s">
        <v>1000</v>
      </c>
      <c r="E22" s="387" t="s">
        <v>990</v>
      </c>
      <c r="F22" s="387" t="s">
        <v>313</v>
      </c>
      <c r="G22" s="387" t="s">
        <v>1001</v>
      </c>
      <c r="H22" s="387" t="s">
        <v>879</v>
      </c>
      <c r="I22" s="409" t="s">
        <v>1002</v>
      </c>
      <c r="J22" s="403"/>
      <c r="K22" s="387"/>
      <c r="L22" s="391" t="s">
        <v>577</v>
      </c>
      <c r="M22" s="387"/>
      <c r="N22" s="387"/>
      <c r="O22" s="387"/>
      <c r="P22" s="387">
        <v>1</v>
      </c>
      <c r="Q22" s="388" t="str">
        <f>VLOOKUP(F22,Source!F:F,1,FALSE)</f>
        <v>UMass Dartmouth</v>
      </c>
    </row>
    <row r="23" spans="1:17" x14ac:dyDescent="0.2">
      <c r="A23" s="387" t="str">
        <f t="shared" si="0"/>
        <v>UMass Lowell1</v>
      </c>
      <c r="B23" s="387" t="s">
        <v>948</v>
      </c>
      <c r="C23" s="387" t="s">
        <v>949</v>
      </c>
      <c r="D23" s="387" t="s">
        <v>575</v>
      </c>
      <c r="E23" s="387" t="s">
        <v>990</v>
      </c>
      <c r="F23" s="387" t="s">
        <v>326</v>
      </c>
      <c r="G23" s="387" t="s">
        <v>1003</v>
      </c>
      <c r="H23" s="387" t="s">
        <v>1004</v>
      </c>
      <c r="I23" s="409">
        <v>134700000</v>
      </c>
      <c r="J23" s="403" t="s">
        <v>959</v>
      </c>
      <c r="K23" s="387"/>
      <c r="L23" s="391" t="s">
        <v>577</v>
      </c>
      <c r="M23" s="387">
        <v>2017</v>
      </c>
      <c r="N23" s="387"/>
      <c r="O23" s="387"/>
      <c r="P23" s="387">
        <v>1</v>
      </c>
      <c r="Q23" s="388" t="str">
        <f>VLOOKUP(F23,Source!F:F,1,FALSE)</f>
        <v>UMass Lowell</v>
      </c>
    </row>
    <row r="24" spans="1:17" x14ac:dyDescent="0.2">
      <c r="A24" s="387" t="str">
        <f t="shared" si="0"/>
        <v>UMass Lowell2</v>
      </c>
      <c r="B24" s="387" t="s">
        <v>948</v>
      </c>
      <c r="C24" s="387" t="s">
        <v>949</v>
      </c>
      <c r="D24" s="387" t="s">
        <v>575</v>
      </c>
      <c r="E24" s="387" t="s">
        <v>990</v>
      </c>
      <c r="F24" s="387" t="s">
        <v>326</v>
      </c>
      <c r="G24" s="387" t="s">
        <v>1005</v>
      </c>
      <c r="H24" s="387" t="s">
        <v>1004</v>
      </c>
      <c r="I24" s="411" t="s">
        <v>50</v>
      </c>
      <c r="J24" s="403" t="s">
        <v>50</v>
      </c>
      <c r="K24" s="387"/>
      <c r="L24" s="387" t="s">
        <v>577</v>
      </c>
      <c r="M24" s="387"/>
      <c r="N24" s="387"/>
      <c r="O24" s="387"/>
      <c r="P24" s="387">
        <v>2</v>
      </c>
      <c r="Q24" s="388" t="str">
        <f>VLOOKUP(F24,Source!F:F,1,FALSE)</f>
        <v>UMass Lowell</v>
      </c>
    </row>
    <row r="25" spans="1:17" x14ac:dyDescent="0.2">
      <c r="A25" s="387" t="str">
        <f t="shared" si="0"/>
        <v>Worcester State University1</v>
      </c>
      <c r="B25" s="6" t="s">
        <v>948</v>
      </c>
      <c r="C25" s="6" t="s">
        <v>949</v>
      </c>
      <c r="D25" s="6" t="s">
        <v>575</v>
      </c>
      <c r="E25" s="6" t="s">
        <v>1626</v>
      </c>
      <c r="F25" s="6" t="s">
        <v>352</v>
      </c>
      <c r="G25" s="388" t="s">
        <v>352</v>
      </c>
      <c r="H25" s="6" t="s">
        <v>692</v>
      </c>
      <c r="I25" s="410" t="s">
        <v>1339</v>
      </c>
      <c r="J25" s="401" t="s">
        <v>1339</v>
      </c>
      <c r="L25" s="6" t="s">
        <v>577</v>
      </c>
      <c r="M25" s="6" t="s">
        <v>1339</v>
      </c>
      <c r="P25" s="6">
        <v>1</v>
      </c>
      <c r="Q25" s="388" t="str">
        <f>VLOOKUP(F25,Source!F:F,1,FALSE)</f>
        <v>Worcester State University</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X202"/>
  <sheetViews>
    <sheetView topLeftCell="A12" zoomScale="96" zoomScaleNormal="100" workbookViewId="0">
      <selection activeCell="K12" sqref="K12"/>
    </sheetView>
  </sheetViews>
  <sheetFormatPr baseColWidth="10" defaultColWidth="0" defaultRowHeight="15" zeroHeight="1" x14ac:dyDescent="0.2"/>
  <cols>
    <col min="1" max="1" width="2.1640625" style="649" customWidth="1"/>
    <col min="2" max="2" width="14.6640625" style="649" customWidth="1"/>
    <col min="3" max="3" width="18.33203125" style="649" customWidth="1"/>
    <col min="4" max="6" width="20.5" style="649" customWidth="1"/>
    <col min="7" max="7" width="25.1640625" style="649" bestFit="1" customWidth="1"/>
    <col min="8" max="9" width="20.5" style="649" customWidth="1"/>
    <col min="10" max="10" width="25.1640625" style="649" customWidth="1"/>
    <col min="11" max="11" width="45.33203125" style="649" customWidth="1"/>
    <col min="12" max="12" width="5.5" style="649" customWidth="1"/>
    <col min="13" max="13" width="1.83203125" style="649" hidden="1" customWidth="1"/>
    <col min="14" max="15" width="15.5" style="649" hidden="1" customWidth="1"/>
    <col min="16" max="16" width="16.33203125" style="649" hidden="1" customWidth="1"/>
    <col min="17" max="17" width="9.1640625" style="649" hidden="1" customWidth="1"/>
    <col min="18" max="24" width="0" style="649" hidden="1" customWidth="1"/>
    <col min="25" max="16384" width="9.1640625" style="649" hidden="1"/>
  </cols>
  <sheetData>
    <row r="1" spans="1:22" s="298" customFormat="1" ht="19" customHeight="1" thickBot="1" x14ac:dyDescent="0.25">
      <c r="A1" s="301"/>
      <c r="B1" s="1079" t="s">
        <v>23</v>
      </c>
      <c r="C1" s="1079"/>
      <c r="D1" s="1079"/>
      <c r="E1" s="1079"/>
      <c r="F1" s="1079"/>
      <c r="G1" s="1079"/>
      <c r="H1" s="1079"/>
      <c r="I1" s="1079"/>
      <c r="J1" s="1079"/>
      <c r="K1" s="1079"/>
      <c r="L1" s="301"/>
      <c r="N1" s="319"/>
      <c r="O1" s="319"/>
      <c r="P1" s="319"/>
      <c r="Q1" s="319"/>
    </row>
    <row r="2" spans="1:22" s="298" customFormat="1" ht="18.5" customHeight="1" x14ac:dyDescent="0.2">
      <c r="A2" s="301"/>
      <c r="B2" s="1107" t="s">
        <v>5</v>
      </c>
      <c r="C2" s="1078" t="s">
        <v>1532</v>
      </c>
      <c r="D2" s="1078"/>
      <c r="E2" s="1078"/>
      <c r="F2" s="1078"/>
      <c r="G2" s="1078"/>
      <c r="H2" s="1078"/>
      <c r="I2" s="1078"/>
      <c r="J2" s="1078"/>
      <c r="K2" s="1078"/>
      <c r="L2" s="301"/>
      <c r="M2" s="319"/>
      <c r="N2" s="319"/>
      <c r="O2" s="319"/>
      <c r="P2" s="319"/>
      <c r="Q2" s="319"/>
      <c r="R2" s="319"/>
      <c r="S2" s="319"/>
      <c r="T2" s="319"/>
      <c r="U2" s="319"/>
      <c r="V2" s="319"/>
    </row>
    <row r="3" spans="1:22" s="298" customFormat="1" ht="20" customHeight="1" x14ac:dyDescent="0.2">
      <c r="A3" s="301"/>
      <c r="B3" s="1108"/>
      <c r="C3" s="1078"/>
      <c r="D3" s="1078"/>
      <c r="E3" s="1078"/>
      <c r="F3" s="1078"/>
      <c r="G3" s="1078"/>
      <c r="H3" s="1078"/>
      <c r="I3" s="1078"/>
      <c r="J3" s="1078"/>
      <c r="K3" s="1078"/>
      <c r="L3" s="301"/>
      <c r="M3" s="319"/>
      <c r="N3" s="319"/>
      <c r="O3" s="319"/>
      <c r="P3" s="319"/>
      <c r="Q3" s="319"/>
      <c r="R3" s="319"/>
      <c r="S3" s="319"/>
      <c r="T3" s="319"/>
      <c r="U3" s="319"/>
      <c r="V3" s="319"/>
    </row>
    <row r="4" spans="1:22" s="298" customFormat="1" ht="22.5" customHeight="1" x14ac:dyDescent="0.2">
      <c r="A4" s="301"/>
      <c r="B4" s="1108"/>
      <c r="C4" s="1078"/>
      <c r="D4" s="1078"/>
      <c r="E4" s="1078"/>
      <c r="F4" s="1078"/>
      <c r="G4" s="1078"/>
      <c r="H4" s="1078"/>
      <c r="I4" s="1078"/>
      <c r="J4" s="1078"/>
      <c r="K4" s="1078"/>
      <c r="L4" s="301"/>
      <c r="M4" s="319"/>
      <c r="N4" s="319"/>
      <c r="O4" s="319"/>
      <c r="P4" s="319"/>
      <c r="Q4" s="319"/>
      <c r="R4" s="319"/>
      <c r="S4" s="319"/>
      <c r="T4" s="319"/>
      <c r="U4" s="319"/>
      <c r="V4" s="319"/>
    </row>
    <row r="5" spans="1:22" s="298" customFormat="1" ht="15" customHeight="1" thickBot="1" x14ac:dyDescent="0.25">
      <c r="A5" s="301"/>
      <c r="B5" s="1108"/>
      <c r="C5" s="1080" t="s">
        <v>505</v>
      </c>
      <c r="D5" s="1080"/>
      <c r="E5" s="1080"/>
      <c r="F5" s="1080"/>
      <c r="G5" s="1080"/>
      <c r="H5" s="1080"/>
      <c r="I5" s="1080"/>
      <c r="J5" s="1080"/>
      <c r="K5" s="1080"/>
      <c r="L5" s="301"/>
      <c r="M5" s="319"/>
      <c r="N5" s="319"/>
      <c r="O5" s="319"/>
      <c r="P5" s="319"/>
      <c r="Q5" s="319"/>
    </row>
    <row r="6" spans="1:22" s="298" customFormat="1" ht="22" customHeight="1" x14ac:dyDescent="0.2">
      <c r="A6" s="301"/>
      <c r="B6" s="1108"/>
      <c r="C6" s="1110" t="s">
        <v>1514</v>
      </c>
      <c r="D6" s="1111"/>
      <c r="E6" s="1111"/>
      <c r="F6" s="1111"/>
      <c r="G6" s="1111"/>
      <c r="H6" s="1111"/>
      <c r="I6" s="1111"/>
      <c r="J6" s="1111"/>
      <c r="K6" s="1112"/>
      <c r="L6" s="301"/>
      <c r="N6" s="194"/>
      <c r="O6" s="321"/>
      <c r="P6" s="319"/>
      <c r="Q6" s="319"/>
      <c r="R6" s="319"/>
    </row>
    <row r="7" spans="1:22" s="298" customFormat="1" ht="22" customHeight="1" x14ac:dyDescent="0.2">
      <c r="A7" s="301"/>
      <c r="B7" s="1108"/>
      <c r="C7" s="745" t="s">
        <v>1515</v>
      </c>
      <c r="D7" s="194"/>
      <c r="E7" s="194"/>
      <c r="F7" s="194"/>
      <c r="G7" s="194"/>
      <c r="H7" s="194"/>
      <c r="I7" s="194"/>
      <c r="J7" s="194"/>
      <c r="K7" s="747"/>
      <c r="L7" s="301"/>
      <c r="N7" s="193"/>
      <c r="O7" s="193"/>
      <c r="P7" s="319"/>
      <c r="Q7" s="319"/>
      <c r="R7" s="319"/>
    </row>
    <row r="8" spans="1:22" s="301" customFormat="1" ht="22" customHeight="1" thickBot="1" x14ac:dyDescent="0.25">
      <c r="B8" s="1109"/>
      <c r="C8" s="746" t="s">
        <v>1516</v>
      </c>
      <c r="D8" s="748"/>
      <c r="E8" s="748"/>
      <c r="F8" s="748"/>
      <c r="G8" s="748"/>
      <c r="H8" s="748"/>
      <c r="I8" s="748"/>
      <c r="J8" s="748"/>
      <c r="K8" s="749"/>
      <c r="N8" s="320"/>
      <c r="O8" s="320"/>
      <c r="P8" s="320"/>
      <c r="Q8" s="320"/>
      <c r="R8" s="320"/>
    </row>
    <row r="9" spans="1:22" s="301" customFormat="1" ht="26" customHeight="1" x14ac:dyDescent="0.2">
      <c r="B9" s="338"/>
      <c r="C9" s="744"/>
      <c r="D9" s="744"/>
      <c r="E9" s="744"/>
      <c r="F9" s="744"/>
      <c r="G9" s="744"/>
      <c r="H9" s="744"/>
      <c r="I9" s="744"/>
      <c r="J9" s="744"/>
      <c r="K9" s="744"/>
      <c r="N9" s="320"/>
      <c r="O9" s="320"/>
      <c r="P9" s="320"/>
      <c r="Q9" s="320"/>
      <c r="R9" s="320"/>
    </row>
    <row r="10" spans="1:22" s="301" customFormat="1" ht="21" x14ac:dyDescent="0.2">
      <c r="B10" s="1101" t="s">
        <v>1488</v>
      </c>
      <c r="C10" s="1102"/>
      <c r="D10" s="1102"/>
      <c r="E10" s="1102"/>
      <c r="F10" s="1102"/>
      <c r="G10" s="1102"/>
      <c r="H10" s="1102"/>
      <c r="I10" s="1102"/>
      <c r="J10" s="1102"/>
      <c r="K10" s="1103"/>
      <c r="N10" s="320"/>
      <c r="O10" s="320"/>
      <c r="P10" s="320"/>
      <c r="Q10" s="320"/>
      <c r="R10" s="320"/>
    </row>
    <row r="11" spans="1:22" s="301" customFormat="1" ht="16" x14ac:dyDescent="0.2">
      <c r="B11" s="1099" t="s">
        <v>1489</v>
      </c>
      <c r="C11" s="1081"/>
      <c r="D11" s="1081"/>
      <c r="E11" s="1081"/>
      <c r="F11" s="1081"/>
      <c r="G11" s="1081"/>
      <c r="H11" s="1081"/>
      <c r="I11" s="1081"/>
      <c r="J11" s="1081"/>
      <c r="K11" s="1100"/>
      <c r="N11" s="320"/>
      <c r="O11" s="320"/>
      <c r="P11" s="320"/>
      <c r="Q11" s="320"/>
      <c r="R11" s="320"/>
    </row>
    <row r="12" spans="1:22" s="298" customFormat="1" ht="19" customHeight="1" x14ac:dyDescent="0.2">
      <c r="A12" s="301"/>
      <c r="B12" s="750" t="s">
        <v>1481</v>
      </c>
      <c r="C12" s="652"/>
      <c r="D12" s="652"/>
      <c r="E12" s="652"/>
      <c r="F12" s="652"/>
      <c r="G12" s="652"/>
      <c r="H12" s="652"/>
      <c r="I12" s="652"/>
      <c r="J12" s="652"/>
      <c r="K12" s="751" t="s">
        <v>364</v>
      </c>
      <c r="L12" s="301"/>
    </row>
    <row r="13" spans="1:22" s="298" customFormat="1" ht="15" customHeight="1" x14ac:dyDescent="0.2">
      <c r="A13" s="301"/>
      <c r="B13" s="1086" t="s">
        <v>1013</v>
      </c>
      <c r="C13" s="1087"/>
      <c r="D13" s="1087"/>
      <c r="E13" s="1087"/>
      <c r="F13" s="1087"/>
      <c r="G13" s="1087"/>
      <c r="H13" s="1087"/>
      <c r="I13" s="1087"/>
      <c r="J13" s="1087"/>
      <c r="K13" s="1088"/>
      <c r="L13" s="301"/>
    </row>
    <row r="14" spans="1:22" s="298" customFormat="1" ht="15" customHeight="1" x14ac:dyDescent="0.2">
      <c r="A14" s="301"/>
      <c r="B14" s="1091"/>
      <c r="C14" s="1092"/>
      <c r="D14" s="1092"/>
      <c r="E14" s="1092"/>
      <c r="F14" s="1092"/>
      <c r="G14" s="1092"/>
      <c r="H14" s="1092"/>
      <c r="I14" s="1092"/>
      <c r="J14" s="1092"/>
      <c r="K14" s="1093"/>
      <c r="L14" s="301"/>
    </row>
    <row r="15" spans="1:22" s="298" customFormat="1" ht="16" customHeight="1" x14ac:dyDescent="0.2">
      <c r="A15" s="301"/>
      <c r="B15" s="1091"/>
      <c r="C15" s="1092"/>
      <c r="D15" s="1092"/>
      <c r="E15" s="1092"/>
      <c r="F15" s="1092"/>
      <c r="G15" s="1092"/>
      <c r="H15" s="1092"/>
      <c r="I15" s="1092"/>
      <c r="J15" s="1092"/>
      <c r="K15" s="1093"/>
      <c r="L15" s="301"/>
    </row>
    <row r="16" spans="1:22" s="327" customFormat="1" ht="16" x14ac:dyDescent="0.2">
      <c r="B16" s="752"/>
      <c r="C16" s="328"/>
      <c r="D16" s="329"/>
      <c r="E16" s="329"/>
      <c r="F16" s="330"/>
      <c r="G16" s="330"/>
      <c r="H16" s="330"/>
      <c r="I16" s="330"/>
      <c r="J16" s="330"/>
      <c r="K16" s="753"/>
    </row>
    <row r="17" spans="1:12" s="327" customFormat="1" ht="21" customHeight="1" x14ac:dyDescent="0.2">
      <c r="B17" s="750" t="s">
        <v>1490</v>
      </c>
      <c r="C17" s="652"/>
      <c r="D17" s="652"/>
      <c r="E17" s="652"/>
      <c r="F17" s="652"/>
      <c r="G17" s="652"/>
      <c r="H17" s="652"/>
      <c r="I17" s="652"/>
      <c r="J17" s="652"/>
      <c r="K17" s="751" t="s">
        <v>364</v>
      </c>
    </row>
    <row r="18" spans="1:12" s="327" customFormat="1" ht="16" x14ac:dyDescent="0.2">
      <c r="B18" s="1086" t="s">
        <v>1491</v>
      </c>
      <c r="C18" s="1087"/>
      <c r="D18" s="1087"/>
      <c r="E18" s="1087"/>
      <c r="F18" s="1087"/>
      <c r="G18" s="1087"/>
      <c r="H18" s="1087"/>
      <c r="I18" s="1087"/>
      <c r="J18" s="1087"/>
      <c r="K18" s="1088"/>
    </row>
    <row r="19" spans="1:12" s="327" customFormat="1" ht="16" customHeight="1" x14ac:dyDescent="0.2">
      <c r="B19" s="1094"/>
      <c r="C19" s="1095"/>
      <c r="D19" s="1095"/>
      <c r="E19" s="1095"/>
      <c r="F19" s="1095"/>
      <c r="G19" s="1095"/>
      <c r="H19" s="1095"/>
      <c r="I19" s="1095"/>
      <c r="J19" s="1095"/>
      <c r="K19" s="1096"/>
    </row>
    <row r="20" spans="1:12" s="327" customFormat="1" ht="16" customHeight="1" x14ac:dyDescent="0.2">
      <c r="B20" s="1094"/>
      <c r="C20" s="1095"/>
      <c r="D20" s="1095"/>
      <c r="E20" s="1095"/>
      <c r="F20" s="1095"/>
      <c r="G20" s="1095"/>
      <c r="H20" s="1095"/>
      <c r="I20" s="1095"/>
      <c r="J20" s="1095"/>
      <c r="K20" s="1096"/>
    </row>
    <row r="21" spans="1:12" s="327" customFormat="1" ht="16" x14ac:dyDescent="0.2">
      <c r="B21" s="752"/>
      <c r="C21" s="328"/>
      <c r="D21" s="329"/>
      <c r="E21" s="329"/>
      <c r="F21" s="330"/>
      <c r="G21" s="330"/>
      <c r="H21" s="330"/>
      <c r="I21" s="330"/>
      <c r="J21" s="330"/>
      <c r="K21" s="753"/>
    </row>
    <row r="22" spans="1:12" s="327" customFormat="1" ht="16" x14ac:dyDescent="0.2">
      <c r="B22" s="754"/>
      <c r="C22" s="755"/>
      <c r="D22" s="756"/>
      <c r="E22" s="756"/>
      <c r="F22" s="757"/>
      <c r="G22" s="757"/>
      <c r="H22" s="757"/>
      <c r="I22" s="757"/>
      <c r="J22" s="757"/>
      <c r="K22" s="758"/>
    </row>
    <row r="23" spans="1:12" s="298" customFormat="1" ht="21" customHeight="1" x14ac:dyDescent="0.2">
      <c r="A23" s="301"/>
      <c r="B23" s="1082" t="s">
        <v>1534</v>
      </c>
      <c r="C23" s="1082"/>
      <c r="D23" s="1082"/>
      <c r="E23" s="1082"/>
      <c r="F23" s="1082"/>
      <c r="G23" s="1082"/>
      <c r="H23" s="1082"/>
      <c r="I23" s="1082"/>
      <c r="J23" s="1082"/>
      <c r="K23" s="1082"/>
      <c r="L23" s="301"/>
    </row>
    <row r="24" spans="1:12" s="298" customFormat="1" ht="16" x14ac:dyDescent="0.2">
      <c r="A24" s="301"/>
      <c r="B24" s="1081" t="s">
        <v>1006</v>
      </c>
      <c r="C24" s="1081"/>
      <c r="D24" s="1081"/>
      <c r="E24" s="1081"/>
      <c r="F24" s="1081"/>
      <c r="G24" s="1081"/>
      <c r="H24" s="1081"/>
      <c r="I24" s="1081"/>
      <c r="J24" s="1081"/>
      <c r="K24" s="1081"/>
      <c r="L24" s="301"/>
    </row>
    <row r="25" spans="1:12" s="323" customFormat="1" ht="30" customHeight="1" thickBot="1" x14ac:dyDescent="0.25">
      <c r="A25" s="322"/>
      <c r="B25" s="1084" t="s">
        <v>1007</v>
      </c>
      <c r="C25" s="1084"/>
      <c r="D25" s="740" t="s">
        <v>1008</v>
      </c>
      <c r="E25" s="740" t="s">
        <v>1474</v>
      </c>
      <c r="F25" s="740" t="s">
        <v>1476</v>
      </c>
      <c r="G25" s="740" t="s">
        <v>1475</v>
      </c>
      <c r="H25" s="740" t="s">
        <v>1009</v>
      </c>
      <c r="I25" s="740" t="s">
        <v>1010</v>
      </c>
      <c r="J25" s="767" t="s">
        <v>1539</v>
      </c>
      <c r="K25" s="740" t="s">
        <v>427</v>
      </c>
      <c r="L25" s="322"/>
    </row>
    <row r="26" spans="1:12" s="325" customFormat="1" ht="17.25" customHeight="1" thickBot="1" x14ac:dyDescent="0.25">
      <c r="A26" s="324"/>
      <c r="B26" s="1085" t="s">
        <v>488</v>
      </c>
      <c r="C26" s="1085"/>
      <c r="D26" s="760"/>
      <c r="E26" s="760"/>
      <c r="F26" s="760"/>
      <c r="G26" s="760"/>
      <c r="H26" s="760"/>
      <c r="I26" s="760"/>
      <c r="J26" s="760"/>
      <c r="K26" s="761"/>
      <c r="L26" s="324"/>
    </row>
    <row r="27" spans="1:12" s="325" customFormat="1" ht="17.25" customHeight="1" thickBot="1" x14ac:dyDescent="0.25">
      <c r="A27" s="324"/>
      <c r="B27" s="1085" t="s">
        <v>1011</v>
      </c>
      <c r="C27" s="1085"/>
      <c r="D27" s="760"/>
      <c r="E27" s="760"/>
      <c r="F27" s="760"/>
      <c r="G27" s="760"/>
      <c r="H27" s="760"/>
      <c r="I27" s="760"/>
      <c r="J27" s="760"/>
      <c r="K27" s="761"/>
      <c r="L27" s="324"/>
    </row>
    <row r="28" spans="1:12" s="325" customFormat="1" ht="17.25" customHeight="1" thickBot="1" x14ac:dyDescent="0.25">
      <c r="A28" s="324"/>
      <c r="B28" s="1085" t="s">
        <v>1477</v>
      </c>
      <c r="C28" s="1085"/>
      <c r="D28" s="760"/>
      <c r="E28" s="760"/>
      <c r="F28" s="760"/>
      <c r="G28" s="760"/>
      <c r="H28" s="760"/>
      <c r="I28" s="760"/>
      <c r="J28" s="760"/>
      <c r="K28" s="761"/>
      <c r="L28" s="324"/>
    </row>
    <row r="29" spans="1:12" s="325" customFormat="1" ht="17.25" customHeight="1" thickBot="1" x14ac:dyDescent="0.25">
      <c r="A29" s="324"/>
      <c r="B29" s="1085" t="s">
        <v>1478</v>
      </c>
      <c r="C29" s="1085"/>
      <c r="D29" s="760"/>
      <c r="E29" s="760"/>
      <c r="F29" s="760"/>
      <c r="G29" s="760"/>
      <c r="H29" s="760"/>
      <c r="I29" s="760"/>
      <c r="J29" s="760"/>
      <c r="K29" s="761"/>
      <c r="L29" s="324"/>
    </row>
    <row r="30" spans="1:12" s="325" customFormat="1" ht="17.25" customHeight="1" thickBot="1" x14ac:dyDescent="0.25">
      <c r="A30" s="324"/>
      <c r="B30" s="1085" t="s">
        <v>1479</v>
      </c>
      <c r="C30" s="1085"/>
      <c r="D30" s="760"/>
      <c r="E30" s="760"/>
      <c r="F30" s="760"/>
      <c r="G30" s="760"/>
      <c r="H30" s="760"/>
      <c r="I30" s="760"/>
      <c r="J30" s="760"/>
      <c r="K30" s="761"/>
      <c r="L30" s="324"/>
    </row>
    <row r="31" spans="1:12" s="325" customFormat="1" ht="17.25" customHeight="1" thickBot="1" x14ac:dyDescent="0.25">
      <c r="A31" s="324"/>
      <c r="B31" s="1089" t="s">
        <v>1480</v>
      </c>
      <c r="C31" s="1089"/>
      <c r="D31" s="760"/>
      <c r="E31" s="760"/>
      <c r="F31" s="760"/>
      <c r="G31" s="760"/>
      <c r="H31" s="760"/>
      <c r="I31" s="760"/>
      <c r="J31" s="760"/>
      <c r="K31" s="761"/>
      <c r="L31" s="324"/>
    </row>
    <row r="32" spans="1:12" s="325" customFormat="1" ht="17.25" customHeight="1" thickBot="1" x14ac:dyDescent="0.25">
      <c r="A32" s="324"/>
      <c r="B32" s="1089" t="s">
        <v>1480</v>
      </c>
      <c r="C32" s="1089"/>
      <c r="D32" s="760"/>
      <c r="E32" s="760"/>
      <c r="F32" s="760"/>
      <c r="G32" s="760"/>
      <c r="H32" s="760"/>
      <c r="I32" s="760"/>
      <c r="J32" s="760"/>
      <c r="K32" s="761"/>
      <c r="L32" s="324"/>
    </row>
    <row r="33" spans="1:12" s="325" customFormat="1" ht="17.25" customHeight="1" thickBot="1" x14ac:dyDescent="0.25">
      <c r="A33" s="324"/>
      <c r="B33" s="1089" t="s">
        <v>1480</v>
      </c>
      <c r="C33" s="1089"/>
      <c r="D33" s="760"/>
      <c r="E33" s="760"/>
      <c r="F33" s="760"/>
      <c r="G33" s="760"/>
      <c r="H33" s="760"/>
      <c r="I33" s="760"/>
      <c r="J33" s="760"/>
      <c r="K33" s="761"/>
      <c r="L33" s="324"/>
    </row>
    <row r="34" spans="1:12" s="298" customFormat="1" ht="16.5" customHeight="1" x14ac:dyDescent="0.2">
      <c r="A34" s="301"/>
      <c r="B34" s="1090" t="s">
        <v>1012</v>
      </c>
      <c r="C34" s="1090"/>
      <c r="D34" s="741">
        <f>SUM(D26:D33)</f>
        <v>0</v>
      </c>
      <c r="E34" s="741">
        <f>SUM(E26:E33)</f>
        <v>0</v>
      </c>
      <c r="F34" s="741">
        <f>SUM(F26:F33)</f>
        <v>0</v>
      </c>
      <c r="G34" s="741">
        <f>SUM(G26:G33)</f>
        <v>0</v>
      </c>
      <c r="H34" s="741">
        <f>SUM(H26:H33)</f>
        <v>0</v>
      </c>
      <c r="I34" s="741">
        <f t="shared" ref="I34:J34" si="0">SUM(I26:I33)</f>
        <v>0</v>
      </c>
      <c r="J34" s="741">
        <f t="shared" si="0"/>
        <v>0</v>
      </c>
      <c r="K34" s="742"/>
      <c r="L34" s="301"/>
    </row>
    <row r="35" spans="1:12" s="301" customFormat="1" x14ac:dyDescent="0.2">
      <c r="B35" s="327" t="s">
        <v>1505</v>
      </c>
      <c r="C35" s="327"/>
      <c r="D35" s="327"/>
      <c r="E35" s="738"/>
      <c r="F35" s="738"/>
      <c r="G35" s="738"/>
      <c r="H35" s="738"/>
      <c r="I35" s="738"/>
      <c r="J35" s="738"/>
      <c r="K35" s="327"/>
    </row>
    <row r="36" spans="1:12" s="323" customFormat="1" ht="19" customHeight="1" thickBot="1" x14ac:dyDescent="0.25">
      <c r="A36" s="322"/>
      <c r="B36" s="327"/>
      <c r="C36" s="327"/>
      <c r="D36" s="327"/>
      <c r="E36" s="735"/>
      <c r="F36" s="735"/>
      <c r="G36" s="735"/>
      <c r="H36" s="1083" t="s">
        <v>1486</v>
      </c>
      <c r="I36" s="1083"/>
      <c r="J36" s="734">
        <f>SUM(D34:J34)</f>
        <v>0</v>
      </c>
      <c r="K36" s="831" t="s">
        <v>1487</v>
      </c>
      <c r="L36" s="322"/>
    </row>
    <row r="37" spans="1:12" s="364" customFormat="1" ht="36" customHeight="1" x14ac:dyDescent="0.2">
      <c r="A37" s="327"/>
      <c r="B37" s="327"/>
      <c r="C37" s="327"/>
      <c r="D37" s="327"/>
      <c r="E37" s="735"/>
      <c r="F37" s="735"/>
      <c r="G37" s="735"/>
      <c r="H37" s="736"/>
      <c r="I37" s="736"/>
      <c r="J37" s="737"/>
      <c r="K37" s="832"/>
      <c r="L37" s="327"/>
    </row>
    <row r="38" spans="1:12" s="301" customFormat="1" x14ac:dyDescent="0.2">
      <c r="B38" s="327"/>
      <c r="C38" s="327"/>
      <c r="D38" s="327"/>
      <c r="E38" s="738"/>
      <c r="F38" s="738"/>
      <c r="G38" s="738"/>
      <c r="H38" s="739"/>
      <c r="I38" s="739"/>
      <c r="J38" s="738"/>
      <c r="K38" s="327"/>
    </row>
    <row r="39" spans="1:12" s="301" customFormat="1" ht="19" customHeight="1" x14ac:dyDescent="0.2">
      <c r="B39" s="652" t="s">
        <v>1533</v>
      </c>
      <c r="C39" s="652"/>
      <c r="D39" s="652"/>
      <c r="E39" s="652"/>
      <c r="F39" s="652"/>
      <c r="G39" s="652"/>
      <c r="H39" s="652"/>
      <c r="I39" s="652"/>
      <c r="J39" s="652"/>
      <c r="K39" s="655" t="s">
        <v>364</v>
      </c>
    </row>
    <row r="40" spans="1:12" s="650" customFormat="1" ht="16" x14ac:dyDescent="0.2">
      <c r="B40" s="1087" t="s">
        <v>1492</v>
      </c>
      <c r="C40" s="1087"/>
      <c r="D40" s="1087"/>
      <c r="E40" s="1087"/>
      <c r="F40" s="1087"/>
      <c r="G40" s="1087"/>
      <c r="H40" s="1087"/>
      <c r="I40" s="1087"/>
      <c r="J40" s="1087"/>
      <c r="K40" s="1087"/>
    </row>
    <row r="41" spans="1:12" s="650" customFormat="1" ht="16" customHeight="1" x14ac:dyDescent="0.2">
      <c r="B41" s="1095"/>
      <c r="C41" s="1095"/>
      <c r="D41" s="1095"/>
      <c r="E41" s="1095"/>
      <c r="F41" s="1095"/>
      <c r="G41" s="1095"/>
      <c r="H41" s="1095"/>
      <c r="I41" s="1095"/>
      <c r="J41" s="1095"/>
      <c r="K41" s="1095"/>
    </row>
    <row r="42" spans="1:12" s="650" customFormat="1" ht="16" customHeight="1" x14ac:dyDescent="0.2">
      <c r="B42" s="1095"/>
      <c r="C42" s="1095"/>
      <c r="D42" s="1095"/>
      <c r="E42" s="1095"/>
      <c r="F42" s="1095"/>
      <c r="G42" s="1095"/>
      <c r="H42" s="1095"/>
      <c r="I42" s="1095"/>
      <c r="J42" s="1095"/>
      <c r="K42" s="1095"/>
    </row>
    <row r="43" spans="1:12" s="650" customFormat="1" x14ac:dyDescent="0.2">
      <c r="B43" s="743"/>
      <c r="C43" s="743"/>
      <c r="D43" s="743"/>
      <c r="E43" s="743"/>
      <c r="F43" s="743"/>
      <c r="G43" s="743"/>
      <c r="H43" s="743"/>
      <c r="I43" s="743"/>
      <c r="J43" s="743"/>
      <c r="K43" s="743"/>
    </row>
    <row r="44" spans="1:12" s="650" customFormat="1" x14ac:dyDescent="0.2">
      <c r="B44" s="743"/>
      <c r="C44" s="743"/>
      <c r="D44" s="743"/>
      <c r="E44" s="743"/>
      <c r="F44" s="743"/>
      <c r="G44" s="743"/>
      <c r="H44" s="743"/>
      <c r="I44" s="743"/>
      <c r="J44" s="743"/>
      <c r="K44" s="743"/>
    </row>
    <row r="45" spans="1:12" s="650" customFormat="1" ht="21" x14ac:dyDescent="0.2">
      <c r="B45" s="1082" t="s">
        <v>1493</v>
      </c>
      <c r="C45" s="1082"/>
      <c r="D45" s="1082"/>
      <c r="E45" s="1082"/>
      <c r="F45" s="1082"/>
      <c r="G45" s="1082"/>
      <c r="H45" s="1082"/>
      <c r="I45" s="1082"/>
      <c r="J45" s="1082"/>
      <c r="K45" s="1082"/>
    </row>
    <row r="46" spans="1:12" s="650" customFormat="1" ht="42" customHeight="1" x14ac:dyDescent="0.2">
      <c r="B46" s="1098" t="s">
        <v>1498</v>
      </c>
      <c r="C46" s="1081"/>
      <c r="D46" s="1081"/>
      <c r="E46" s="1081"/>
      <c r="F46" s="1081"/>
      <c r="G46" s="1081"/>
      <c r="H46" s="1081"/>
      <c r="I46" s="1081"/>
      <c r="J46" s="1081"/>
      <c r="K46" s="1081"/>
    </row>
    <row r="47" spans="1:12" s="650" customFormat="1" ht="32" customHeight="1" x14ac:dyDescent="0.2">
      <c r="B47" s="1084" t="s">
        <v>1495</v>
      </c>
      <c r="C47" s="1084"/>
      <c r="D47" s="740" t="s">
        <v>1494</v>
      </c>
      <c r="E47" s="740" t="s">
        <v>1496</v>
      </c>
      <c r="F47" s="740" t="s">
        <v>1007</v>
      </c>
      <c r="G47" s="740" t="s">
        <v>1497</v>
      </c>
      <c r="H47" s="1113" t="s">
        <v>1523</v>
      </c>
      <c r="I47" s="1113"/>
      <c r="J47" s="1114" t="s">
        <v>427</v>
      </c>
      <c r="K47" s="1114"/>
    </row>
    <row r="48" spans="1:12" s="650" customFormat="1" ht="16" x14ac:dyDescent="0.2">
      <c r="B48" s="1097" t="s">
        <v>1517</v>
      </c>
      <c r="C48" s="1097"/>
      <c r="D48" s="762">
        <v>2022</v>
      </c>
      <c r="E48" s="762" t="s">
        <v>1518</v>
      </c>
      <c r="F48" s="762" t="s">
        <v>1519</v>
      </c>
      <c r="G48" s="763">
        <v>5500</v>
      </c>
      <c r="H48" s="1105"/>
      <c r="I48" s="1106"/>
      <c r="J48" s="1105"/>
      <c r="K48" s="1106"/>
    </row>
    <row r="49" spans="2:11" s="650" customFormat="1" ht="16" x14ac:dyDescent="0.2">
      <c r="B49" s="1097" t="s">
        <v>1520</v>
      </c>
      <c r="C49" s="1097"/>
      <c r="D49" s="762">
        <v>2014</v>
      </c>
      <c r="E49" s="762" t="s">
        <v>1521</v>
      </c>
      <c r="F49" s="762" t="s">
        <v>1522</v>
      </c>
      <c r="G49" s="763">
        <v>4500</v>
      </c>
      <c r="H49" s="1115" t="s">
        <v>1524</v>
      </c>
      <c r="I49" s="1116"/>
      <c r="J49" s="1105"/>
      <c r="K49" s="1106"/>
    </row>
    <row r="50" spans="2:11" s="650" customFormat="1" ht="16" x14ac:dyDescent="0.2">
      <c r="B50" s="1104"/>
      <c r="C50" s="1104"/>
      <c r="D50" s="759"/>
      <c r="E50" s="759"/>
      <c r="F50" s="759"/>
      <c r="G50" s="759"/>
      <c r="H50" s="1105"/>
      <c r="I50" s="1106"/>
      <c r="J50" s="1105"/>
      <c r="K50" s="1106"/>
    </row>
    <row r="51" spans="2:11" s="650" customFormat="1" ht="16" x14ac:dyDescent="0.2">
      <c r="B51" s="1104"/>
      <c r="C51" s="1104"/>
      <c r="D51" s="759"/>
      <c r="E51" s="759"/>
      <c r="F51" s="759"/>
      <c r="G51" s="759"/>
      <c r="H51" s="1105"/>
      <c r="I51" s="1106"/>
      <c r="J51" s="1105"/>
      <c r="K51" s="1106"/>
    </row>
    <row r="52" spans="2:11" s="650" customFormat="1" ht="16" x14ac:dyDescent="0.2">
      <c r="B52" s="1104"/>
      <c r="C52" s="1104"/>
      <c r="D52" s="759"/>
      <c r="E52" s="759"/>
      <c r="F52" s="759"/>
      <c r="G52" s="759"/>
      <c r="H52" s="1105"/>
      <c r="I52" s="1106"/>
      <c r="J52" s="1105"/>
      <c r="K52" s="1106"/>
    </row>
    <row r="53" spans="2:11" s="650" customFormat="1" ht="16" x14ac:dyDescent="0.2">
      <c r="B53" s="1104"/>
      <c r="C53" s="1104"/>
      <c r="D53" s="759"/>
      <c r="E53" s="759"/>
      <c r="F53" s="759"/>
      <c r="G53" s="759"/>
      <c r="H53" s="1105"/>
      <c r="I53" s="1106"/>
      <c r="J53" s="1105"/>
      <c r="K53" s="1106"/>
    </row>
    <row r="54" spans="2:11" s="650" customFormat="1" ht="16" x14ac:dyDescent="0.2">
      <c r="B54" s="1104"/>
      <c r="C54" s="1104"/>
      <c r="D54" s="759"/>
      <c r="E54" s="759"/>
      <c r="F54" s="759"/>
      <c r="G54" s="759"/>
      <c r="H54" s="1105"/>
      <c r="I54" s="1106"/>
      <c r="J54" s="1105"/>
      <c r="K54" s="1106"/>
    </row>
    <row r="55" spans="2:11" s="650" customFormat="1" ht="16" x14ac:dyDescent="0.2">
      <c r="B55" s="1104"/>
      <c r="C55" s="1104"/>
      <c r="D55" s="759"/>
      <c r="E55" s="759"/>
      <c r="F55" s="759"/>
      <c r="G55" s="759"/>
      <c r="H55" s="1105"/>
      <c r="I55" s="1106"/>
      <c r="J55" s="1105"/>
      <c r="K55" s="1106"/>
    </row>
    <row r="56" spans="2:11" s="650" customFormat="1" ht="16" x14ac:dyDescent="0.2">
      <c r="B56" s="1104"/>
      <c r="C56" s="1104"/>
      <c r="D56" s="759"/>
      <c r="E56" s="759"/>
      <c r="F56" s="759"/>
      <c r="G56" s="759"/>
      <c r="H56" s="1105"/>
      <c r="I56" s="1106"/>
      <c r="J56" s="1105"/>
      <c r="K56" s="1106"/>
    </row>
    <row r="57" spans="2:11" s="650" customFormat="1" ht="16" x14ac:dyDescent="0.2">
      <c r="B57" s="1104"/>
      <c r="C57" s="1104"/>
      <c r="D57" s="759"/>
      <c r="E57" s="759"/>
      <c r="F57" s="759"/>
      <c r="G57" s="759"/>
      <c r="H57" s="1105"/>
      <c r="I57" s="1106"/>
      <c r="J57" s="1105"/>
      <c r="K57" s="1106"/>
    </row>
    <row r="58" spans="2:11" s="650" customFormat="1" ht="16" x14ac:dyDescent="0.2">
      <c r="B58" s="1104"/>
      <c r="C58" s="1104"/>
      <c r="D58" s="759"/>
      <c r="E58" s="759"/>
      <c r="F58" s="759"/>
      <c r="G58" s="759"/>
      <c r="H58" s="1105"/>
      <c r="I58" s="1106"/>
      <c r="J58" s="1105"/>
      <c r="K58" s="1106"/>
    </row>
    <row r="59" spans="2:11" s="650" customFormat="1" ht="16" x14ac:dyDescent="0.2">
      <c r="B59" s="1104"/>
      <c r="C59" s="1104"/>
      <c r="D59" s="759"/>
      <c r="E59" s="759"/>
      <c r="F59" s="759"/>
      <c r="G59" s="759"/>
      <c r="H59" s="1105"/>
      <c r="I59" s="1106"/>
      <c r="J59" s="1105"/>
      <c r="K59" s="1106"/>
    </row>
    <row r="60" spans="2:11" s="650" customFormat="1" ht="16" x14ac:dyDescent="0.2">
      <c r="B60" s="1104"/>
      <c r="C60" s="1104"/>
      <c r="D60" s="759"/>
      <c r="E60" s="759"/>
      <c r="F60" s="759"/>
      <c r="G60" s="759"/>
      <c r="H60" s="1105"/>
      <c r="I60" s="1106"/>
      <c r="J60" s="1105"/>
      <c r="K60" s="1106"/>
    </row>
    <row r="61" spans="2:11" s="650" customFormat="1" ht="16" x14ac:dyDescent="0.2">
      <c r="B61" s="1104"/>
      <c r="C61" s="1104"/>
      <c r="D61" s="759"/>
      <c r="E61" s="759"/>
      <c r="F61" s="759"/>
      <c r="G61" s="759"/>
      <c r="H61" s="1105"/>
      <c r="I61" s="1106"/>
      <c r="J61" s="1105"/>
      <c r="K61" s="1106"/>
    </row>
    <row r="62" spans="2:11" s="650" customFormat="1" ht="16" x14ac:dyDescent="0.2">
      <c r="B62" s="1104"/>
      <c r="C62" s="1104"/>
      <c r="D62" s="759"/>
      <c r="E62" s="759"/>
      <c r="F62" s="759"/>
      <c r="G62" s="759"/>
      <c r="H62" s="1105"/>
      <c r="I62" s="1106"/>
      <c r="J62" s="1105"/>
      <c r="K62" s="1106"/>
    </row>
    <row r="63" spans="2:11" s="650" customFormat="1" ht="16" x14ac:dyDescent="0.2">
      <c r="B63" s="1104"/>
      <c r="C63" s="1104"/>
      <c r="D63" s="759"/>
      <c r="E63" s="759"/>
      <c r="F63" s="759"/>
      <c r="G63" s="759"/>
      <c r="H63" s="1105"/>
      <c r="I63" s="1106"/>
      <c r="J63" s="1105"/>
      <c r="K63" s="1106"/>
    </row>
    <row r="64" spans="2:11" s="650" customFormat="1" ht="16" x14ac:dyDescent="0.2">
      <c r="B64" s="1104"/>
      <c r="C64" s="1104"/>
      <c r="D64" s="759"/>
      <c r="E64" s="759"/>
      <c r="F64" s="759"/>
      <c r="G64" s="759"/>
      <c r="H64" s="1105"/>
      <c r="I64" s="1106"/>
      <c r="J64" s="1105"/>
      <c r="K64" s="1106"/>
    </row>
    <row r="65" spans="2:11" s="650" customFormat="1" ht="16" x14ac:dyDescent="0.2">
      <c r="B65" s="1104"/>
      <c r="C65" s="1104"/>
      <c r="D65" s="759"/>
      <c r="E65" s="759"/>
      <c r="F65" s="759"/>
      <c r="G65" s="759"/>
      <c r="H65" s="1105"/>
      <c r="I65" s="1106"/>
      <c r="J65" s="1105"/>
      <c r="K65" s="1106"/>
    </row>
    <row r="66" spans="2:11" s="650" customFormat="1" ht="16" x14ac:dyDescent="0.2">
      <c r="B66" s="1104"/>
      <c r="C66" s="1104"/>
      <c r="D66" s="759"/>
      <c r="E66" s="759"/>
      <c r="F66" s="759"/>
      <c r="G66" s="759"/>
      <c r="H66" s="1105"/>
      <c r="I66" s="1106"/>
      <c r="J66" s="1105"/>
      <c r="K66" s="1106"/>
    </row>
    <row r="67" spans="2:11" s="650" customFormat="1" ht="16" x14ac:dyDescent="0.2">
      <c r="B67" s="1104"/>
      <c r="C67" s="1104"/>
      <c r="D67" s="759"/>
      <c r="E67" s="759"/>
      <c r="F67" s="759"/>
      <c r="G67" s="759"/>
      <c r="H67" s="1105"/>
      <c r="I67" s="1106"/>
      <c r="J67" s="1105"/>
      <c r="K67" s="1106"/>
    </row>
    <row r="68" spans="2:11" s="650" customFormat="1" ht="16" x14ac:dyDescent="0.2">
      <c r="B68" s="1104"/>
      <c r="C68" s="1104"/>
      <c r="D68" s="759"/>
      <c r="E68" s="759"/>
      <c r="F68" s="759"/>
      <c r="G68" s="759"/>
      <c r="H68" s="1105"/>
      <c r="I68" s="1106"/>
      <c r="J68" s="1105"/>
      <c r="K68" s="1106"/>
    </row>
    <row r="69" spans="2:11" s="650" customFormat="1" ht="16" x14ac:dyDescent="0.2">
      <c r="B69" s="1104"/>
      <c r="C69" s="1104"/>
      <c r="D69" s="759"/>
      <c r="E69" s="759"/>
      <c r="F69" s="759"/>
      <c r="G69" s="759"/>
      <c r="H69" s="1105"/>
      <c r="I69" s="1106"/>
      <c r="J69" s="1105"/>
      <c r="K69" s="1106"/>
    </row>
    <row r="70" spans="2:11" s="650" customFormat="1" ht="16" x14ac:dyDescent="0.2">
      <c r="B70" s="1104"/>
      <c r="C70" s="1104"/>
      <c r="D70" s="759"/>
      <c r="E70" s="759"/>
      <c r="F70" s="759"/>
      <c r="G70" s="759"/>
      <c r="H70" s="1105"/>
      <c r="I70" s="1106"/>
      <c r="J70" s="1105"/>
      <c r="K70" s="1106"/>
    </row>
    <row r="71" spans="2:11" s="650" customFormat="1" ht="16" x14ac:dyDescent="0.2">
      <c r="B71" s="1104"/>
      <c r="C71" s="1104"/>
      <c r="D71" s="759"/>
      <c r="E71" s="759"/>
      <c r="F71" s="759"/>
      <c r="G71" s="759"/>
      <c r="H71" s="1105"/>
      <c r="I71" s="1106"/>
      <c r="J71" s="1105"/>
      <c r="K71" s="1106"/>
    </row>
    <row r="72" spans="2:11" s="650" customFormat="1" ht="16" x14ac:dyDescent="0.2">
      <c r="B72" s="1104"/>
      <c r="C72" s="1104"/>
      <c r="D72" s="759"/>
      <c r="E72" s="759"/>
      <c r="F72" s="759"/>
      <c r="G72" s="759"/>
      <c r="H72" s="1105"/>
      <c r="I72" s="1106"/>
      <c r="J72" s="1105"/>
      <c r="K72" s="1106"/>
    </row>
    <row r="73" spans="2:11" s="650" customFormat="1" ht="16" x14ac:dyDescent="0.2">
      <c r="B73" s="1104"/>
      <c r="C73" s="1104"/>
      <c r="D73" s="759"/>
      <c r="E73" s="759"/>
      <c r="F73" s="759"/>
      <c r="G73" s="759"/>
      <c r="H73" s="1105"/>
      <c r="I73" s="1106"/>
      <c r="J73" s="1105"/>
      <c r="K73" s="1106"/>
    </row>
    <row r="74" spans="2:11" s="650" customFormat="1" ht="16" x14ac:dyDescent="0.2">
      <c r="B74" s="1104"/>
      <c r="C74" s="1104"/>
      <c r="D74" s="759"/>
      <c r="E74" s="759"/>
      <c r="F74" s="759"/>
      <c r="G74" s="759"/>
      <c r="H74" s="1105"/>
      <c r="I74" s="1106"/>
      <c r="J74" s="1105"/>
      <c r="K74" s="1106"/>
    </row>
    <row r="75" spans="2:11" s="650" customFormat="1" ht="16" x14ac:dyDescent="0.2">
      <c r="B75" s="1104"/>
      <c r="C75" s="1104"/>
      <c r="D75" s="759"/>
      <c r="E75" s="759"/>
      <c r="F75" s="759"/>
      <c r="G75" s="759"/>
      <c r="H75" s="1105"/>
      <c r="I75" s="1106"/>
      <c r="J75" s="1105"/>
      <c r="K75" s="1106"/>
    </row>
    <row r="76" spans="2:11" s="650" customFormat="1" ht="16" x14ac:dyDescent="0.2">
      <c r="B76" s="1104"/>
      <c r="C76" s="1104"/>
      <c r="D76" s="759"/>
      <c r="E76" s="759"/>
      <c r="F76" s="759"/>
      <c r="G76" s="759"/>
      <c r="H76" s="1105"/>
      <c r="I76" s="1106"/>
      <c r="J76" s="1105"/>
      <c r="K76" s="1106"/>
    </row>
    <row r="77" spans="2:11" s="650" customFormat="1" ht="16" x14ac:dyDescent="0.2">
      <c r="B77" s="1104"/>
      <c r="C77" s="1104"/>
      <c r="D77" s="759"/>
      <c r="E77" s="759"/>
      <c r="F77" s="759"/>
      <c r="G77" s="759"/>
      <c r="H77" s="1105"/>
      <c r="I77" s="1106"/>
      <c r="J77" s="1105"/>
      <c r="K77" s="1106"/>
    </row>
    <row r="78" spans="2:11" s="650" customFormat="1" ht="16" x14ac:dyDescent="0.2">
      <c r="B78" s="1104"/>
      <c r="C78" s="1104"/>
      <c r="D78" s="759"/>
      <c r="E78" s="759"/>
      <c r="F78" s="759"/>
      <c r="G78" s="759"/>
      <c r="H78" s="1105"/>
      <c r="I78" s="1106"/>
      <c r="J78" s="1105"/>
      <c r="K78" s="1106"/>
    </row>
    <row r="79" spans="2:11" s="650" customFormat="1" ht="16" x14ac:dyDescent="0.2">
      <c r="B79" s="1104"/>
      <c r="C79" s="1104"/>
      <c r="D79" s="759"/>
      <c r="E79" s="759"/>
      <c r="F79" s="759"/>
      <c r="G79" s="759"/>
      <c r="H79" s="1105"/>
      <c r="I79" s="1106"/>
      <c r="J79" s="1105"/>
      <c r="K79" s="1106"/>
    </row>
    <row r="80" spans="2:11" s="650" customFormat="1" ht="16" x14ac:dyDescent="0.2">
      <c r="B80" s="1104"/>
      <c r="C80" s="1104"/>
      <c r="D80" s="759"/>
      <c r="E80" s="759"/>
      <c r="F80" s="759"/>
      <c r="G80" s="759"/>
      <c r="H80" s="1105"/>
      <c r="I80" s="1106"/>
      <c r="J80" s="1105"/>
      <c r="K80" s="1106"/>
    </row>
    <row r="81" spans="2:11" s="650" customFormat="1" ht="16" x14ac:dyDescent="0.2">
      <c r="B81" s="1104"/>
      <c r="C81" s="1104"/>
      <c r="D81" s="759"/>
      <c r="E81" s="759"/>
      <c r="F81" s="759"/>
      <c r="G81" s="759"/>
      <c r="H81" s="1105"/>
      <c r="I81" s="1106"/>
      <c r="J81" s="1105"/>
      <c r="K81" s="1106"/>
    </row>
    <row r="82" spans="2:11" s="650" customFormat="1" ht="16" x14ac:dyDescent="0.2">
      <c r="B82" s="1104"/>
      <c r="C82" s="1104"/>
      <c r="D82" s="759"/>
      <c r="E82" s="759"/>
      <c r="F82" s="759"/>
      <c r="G82" s="759"/>
      <c r="H82" s="1105"/>
      <c r="I82" s="1106"/>
      <c r="J82" s="1105"/>
      <c r="K82" s="1106"/>
    </row>
    <row r="83" spans="2:11" s="650" customFormat="1" ht="16" x14ac:dyDescent="0.2">
      <c r="B83" s="1104"/>
      <c r="C83" s="1104"/>
      <c r="D83" s="759"/>
      <c r="E83" s="759"/>
      <c r="F83" s="759"/>
      <c r="G83" s="759"/>
      <c r="H83" s="1105"/>
      <c r="I83" s="1106"/>
      <c r="J83" s="1105"/>
      <c r="K83" s="1106"/>
    </row>
    <row r="84" spans="2:11" s="650" customFormat="1" ht="16" x14ac:dyDescent="0.2">
      <c r="B84" s="1104"/>
      <c r="C84" s="1104"/>
      <c r="D84" s="759"/>
      <c r="E84" s="759"/>
      <c r="F84" s="759"/>
      <c r="G84" s="759"/>
      <c r="H84" s="1105"/>
      <c r="I84" s="1106"/>
      <c r="J84" s="1105"/>
      <c r="K84" s="1106"/>
    </row>
    <row r="85" spans="2:11" s="650" customFormat="1" ht="16" x14ac:dyDescent="0.2">
      <c r="B85" s="1104"/>
      <c r="C85" s="1104"/>
      <c r="D85" s="759"/>
      <c r="E85" s="759"/>
      <c r="F85" s="759"/>
      <c r="G85" s="759"/>
      <c r="H85" s="1105"/>
      <c r="I85" s="1106"/>
      <c r="J85" s="1105"/>
      <c r="K85" s="1106"/>
    </row>
    <row r="86" spans="2:11" s="650" customFormat="1" ht="16" x14ac:dyDescent="0.2">
      <c r="B86" s="1104"/>
      <c r="C86" s="1104"/>
      <c r="D86" s="759"/>
      <c r="E86" s="759"/>
      <c r="F86" s="759"/>
      <c r="G86" s="759"/>
      <c r="H86" s="1105"/>
      <c r="I86" s="1106"/>
      <c r="J86" s="1105"/>
      <c r="K86" s="1106"/>
    </row>
    <row r="87" spans="2:11" s="650" customFormat="1" ht="16" x14ac:dyDescent="0.2">
      <c r="B87" s="1104"/>
      <c r="C87" s="1104"/>
      <c r="D87" s="759"/>
      <c r="E87" s="759"/>
      <c r="F87" s="759"/>
      <c r="G87" s="759"/>
      <c r="H87" s="1105"/>
      <c r="I87" s="1106"/>
      <c r="J87" s="1105"/>
      <c r="K87" s="1106"/>
    </row>
    <row r="88" spans="2:11" s="650" customFormat="1" ht="16" x14ac:dyDescent="0.2">
      <c r="B88" s="1104"/>
      <c r="C88" s="1104"/>
      <c r="D88" s="759"/>
      <c r="E88" s="759"/>
      <c r="F88" s="759"/>
      <c r="G88" s="759"/>
      <c r="H88" s="1105"/>
      <c r="I88" s="1106"/>
      <c r="J88" s="1105"/>
      <c r="K88" s="1106"/>
    </row>
    <row r="89" spans="2:11" s="650" customFormat="1" ht="16" x14ac:dyDescent="0.2">
      <c r="B89" s="1104"/>
      <c r="C89" s="1104"/>
      <c r="D89" s="759"/>
      <c r="E89" s="759"/>
      <c r="F89" s="759"/>
      <c r="G89" s="759"/>
      <c r="H89" s="1105"/>
      <c r="I89" s="1106"/>
      <c r="J89" s="1105"/>
      <c r="K89" s="1106"/>
    </row>
    <row r="90" spans="2:11" s="650" customFormat="1" ht="16" x14ac:dyDescent="0.2">
      <c r="B90" s="1104"/>
      <c r="C90" s="1104"/>
      <c r="D90" s="759"/>
      <c r="E90" s="759"/>
      <c r="F90" s="759"/>
      <c r="G90" s="759"/>
      <c r="H90" s="1105"/>
      <c r="I90" s="1106"/>
      <c r="J90" s="1105"/>
      <c r="K90" s="1106"/>
    </row>
    <row r="91" spans="2:11" s="650" customFormat="1" ht="16" x14ac:dyDescent="0.2">
      <c r="B91" s="1104"/>
      <c r="C91" s="1104"/>
      <c r="D91" s="759"/>
      <c r="E91" s="759"/>
      <c r="F91" s="759"/>
      <c r="G91" s="759"/>
      <c r="H91" s="1105"/>
      <c r="I91" s="1106"/>
      <c r="J91" s="1105"/>
      <c r="K91" s="1106"/>
    </row>
    <row r="92" spans="2:11" s="650" customFormat="1" ht="16" x14ac:dyDescent="0.2">
      <c r="B92" s="1104"/>
      <c r="C92" s="1104"/>
      <c r="D92" s="759"/>
      <c r="E92" s="759"/>
      <c r="F92" s="759"/>
      <c r="G92" s="759"/>
      <c r="H92" s="1105"/>
      <c r="I92" s="1106"/>
      <c r="J92" s="1105"/>
      <c r="K92" s="1106"/>
    </row>
    <row r="93" spans="2:11" s="650" customFormat="1" ht="16" x14ac:dyDescent="0.2">
      <c r="B93" s="1104"/>
      <c r="C93" s="1104"/>
      <c r="D93" s="759"/>
      <c r="E93" s="759"/>
      <c r="F93" s="759"/>
      <c r="G93" s="759"/>
      <c r="H93" s="1105"/>
      <c r="I93" s="1106"/>
      <c r="J93" s="1105"/>
      <c r="K93" s="1106"/>
    </row>
    <row r="94" spans="2:11" s="650" customFormat="1" ht="16" x14ac:dyDescent="0.2">
      <c r="B94" s="1104"/>
      <c r="C94" s="1104"/>
      <c r="D94" s="759"/>
      <c r="E94" s="759"/>
      <c r="F94" s="759"/>
      <c r="G94" s="759"/>
      <c r="H94" s="1105"/>
      <c r="I94" s="1106"/>
      <c r="J94" s="1105"/>
      <c r="K94" s="1106"/>
    </row>
    <row r="95" spans="2:11" s="650" customFormat="1" ht="16" x14ac:dyDescent="0.2">
      <c r="B95" s="1104"/>
      <c r="C95" s="1104"/>
      <c r="D95" s="759"/>
      <c r="E95" s="759"/>
      <c r="F95" s="759"/>
      <c r="G95" s="759"/>
      <c r="H95" s="1105"/>
      <c r="I95" s="1106"/>
      <c r="J95" s="1105"/>
      <c r="K95" s="1106"/>
    </row>
    <row r="96" spans="2:11" s="650" customFormat="1" ht="16" x14ac:dyDescent="0.2">
      <c r="B96" s="1104"/>
      <c r="C96" s="1104"/>
      <c r="D96" s="759"/>
      <c r="E96" s="759"/>
      <c r="F96" s="759"/>
      <c r="G96" s="759"/>
      <c r="H96" s="1105"/>
      <c r="I96" s="1106"/>
      <c r="J96" s="1105"/>
      <c r="K96" s="1106"/>
    </row>
    <row r="97" spans="2:11" s="650" customFormat="1" ht="16" x14ac:dyDescent="0.2">
      <c r="B97" s="1104"/>
      <c r="C97" s="1104"/>
      <c r="D97" s="759"/>
      <c r="E97" s="759"/>
      <c r="F97" s="759"/>
      <c r="G97" s="759"/>
      <c r="H97" s="1105"/>
      <c r="I97" s="1106"/>
      <c r="J97" s="1105"/>
      <c r="K97" s="1106"/>
    </row>
    <row r="98" spans="2:11" s="650" customFormat="1" ht="16" x14ac:dyDescent="0.2">
      <c r="B98" s="1104"/>
      <c r="C98" s="1104"/>
      <c r="D98" s="759"/>
      <c r="E98" s="759"/>
      <c r="F98" s="759"/>
      <c r="G98" s="759"/>
      <c r="H98" s="1105"/>
      <c r="I98" s="1106"/>
      <c r="J98" s="1105"/>
      <c r="K98" s="1106"/>
    </row>
    <row r="99" spans="2:11" s="650" customFormat="1" ht="16" x14ac:dyDescent="0.2">
      <c r="B99" s="1104"/>
      <c r="C99" s="1104"/>
      <c r="D99" s="759"/>
      <c r="E99" s="759"/>
      <c r="F99" s="759"/>
      <c r="G99" s="759"/>
      <c r="H99" s="1105"/>
      <c r="I99" s="1106"/>
      <c r="J99" s="1105"/>
      <c r="K99" s="1106"/>
    </row>
    <row r="100" spans="2:11" s="650" customFormat="1" ht="16" x14ac:dyDescent="0.2">
      <c r="B100" s="1104"/>
      <c r="C100" s="1104"/>
      <c r="D100" s="759"/>
      <c r="E100" s="759"/>
      <c r="F100" s="759"/>
      <c r="G100" s="759"/>
      <c r="H100" s="1105"/>
      <c r="I100" s="1106"/>
      <c r="J100" s="1105"/>
      <c r="K100" s="1106"/>
    </row>
    <row r="101" spans="2:11" s="650" customFormat="1" ht="16" x14ac:dyDescent="0.2">
      <c r="B101" s="1104"/>
      <c r="C101" s="1104"/>
      <c r="D101" s="759"/>
      <c r="E101" s="759"/>
      <c r="F101" s="759"/>
      <c r="G101" s="759"/>
      <c r="H101" s="1105"/>
      <c r="I101" s="1106"/>
      <c r="J101" s="1105"/>
      <c r="K101" s="1106"/>
    </row>
    <row r="102" spans="2:11" s="650" customFormat="1" ht="16" x14ac:dyDescent="0.2">
      <c r="B102" s="1104"/>
      <c r="C102" s="1104"/>
      <c r="D102" s="759"/>
      <c r="E102" s="759"/>
      <c r="F102" s="759"/>
      <c r="G102" s="759"/>
      <c r="H102" s="1105"/>
      <c r="I102" s="1106"/>
      <c r="J102" s="1105"/>
      <c r="K102" s="1106"/>
    </row>
    <row r="103" spans="2:11" s="650" customFormat="1" ht="16" x14ac:dyDescent="0.2">
      <c r="B103" s="1104"/>
      <c r="C103" s="1104"/>
      <c r="D103" s="759"/>
      <c r="E103" s="759"/>
      <c r="F103" s="759"/>
      <c r="G103" s="759"/>
      <c r="H103" s="1105"/>
      <c r="I103" s="1106"/>
      <c r="J103" s="1105"/>
      <c r="K103" s="1106"/>
    </row>
    <row r="104" spans="2:11" s="650" customFormat="1" ht="16" x14ac:dyDescent="0.2">
      <c r="B104" s="1104"/>
      <c r="C104" s="1104"/>
      <c r="D104" s="759"/>
      <c r="E104" s="759"/>
      <c r="F104" s="759"/>
      <c r="G104" s="759"/>
      <c r="H104" s="1105"/>
      <c r="I104" s="1106"/>
      <c r="J104" s="1105"/>
      <c r="K104" s="1106"/>
    </row>
    <row r="105" spans="2:11" s="650" customFormat="1" ht="16" x14ac:dyDescent="0.2">
      <c r="B105" s="1104"/>
      <c r="C105" s="1104"/>
      <c r="D105" s="759"/>
      <c r="E105" s="759"/>
      <c r="F105" s="759"/>
      <c r="G105" s="759"/>
      <c r="H105" s="1105"/>
      <c r="I105" s="1106"/>
      <c r="J105" s="1105"/>
      <c r="K105" s="1106"/>
    </row>
    <row r="106" spans="2:11" s="650" customFormat="1" ht="16" x14ac:dyDescent="0.2">
      <c r="B106" s="1104"/>
      <c r="C106" s="1104"/>
      <c r="D106" s="759"/>
      <c r="E106" s="759"/>
      <c r="F106" s="759"/>
      <c r="G106" s="759"/>
      <c r="H106" s="1105"/>
      <c r="I106" s="1106"/>
      <c r="J106" s="1105"/>
      <c r="K106" s="1106"/>
    </row>
    <row r="107" spans="2:11" s="650" customFormat="1" ht="16" x14ac:dyDescent="0.2">
      <c r="B107" s="1104"/>
      <c r="C107" s="1104"/>
      <c r="D107" s="759"/>
      <c r="E107" s="759"/>
      <c r="F107" s="759"/>
      <c r="G107" s="759"/>
      <c r="H107" s="1105"/>
      <c r="I107" s="1106"/>
      <c r="J107" s="1105"/>
      <c r="K107" s="1106"/>
    </row>
    <row r="108" spans="2:11" s="650" customFormat="1" ht="16" x14ac:dyDescent="0.2">
      <c r="B108" s="1104"/>
      <c r="C108" s="1104"/>
      <c r="D108" s="759"/>
      <c r="E108" s="759"/>
      <c r="F108" s="759"/>
      <c r="G108" s="759"/>
      <c r="H108" s="1105"/>
      <c r="I108" s="1106"/>
      <c r="J108" s="1105"/>
      <c r="K108" s="1106"/>
    </row>
    <row r="109" spans="2:11" s="650" customFormat="1" ht="16" x14ac:dyDescent="0.2">
      <c r="B109" s="1104"/>
      <c r="C109" s="1104"/>
      <c r="D109" s="759"/>
      <c r="E109" s="759"/>
      <c r="F109" s="759"/>
      <c r="G109" s="759"/>
      <c r="H109" s="1105"/>
      <c r="I109" s="1106"/>
      <c r="J109" s="1105"/>
      <c r="K109" s="1106"/>
    </row>
    <row r="110" spans="2:11" s="650" customFormat="1" ht="16" x14ac:dyDescent="0.2">
      <c r="B110" s="1104"/>
      <c r="C110" s="1104"/>
      <c r="D110" s="759"/>
      <c r="E110" s="759"/>
      <c r="F110" s="759"/>
      <c r="G110" s="759"/>
      <c r="H110" s="1105"/>
      <c r="I110" s="1106"/>
      <c r="J110" s="1105"/>
      <c r="K110" s="1106"/>
    </row>
    <row r="111" spans="2:11" s="650" customFormat="1" ht="16" x14ac:dyDescent="0.2">
      <c r="B111" s="1104"/>
      <c r="C111" s="1104"/>
      <c r="D111" s="759"/>
      <c r="E111" s="759"/>
      <c r="F111" s="759"/>
      <c r="G111" s="759"/>
      <c r="H111" s="1105"/>
      <c r="I111" s="1106"/>
      <c r="J111" s="1105"/>
      <c r="K111" s="1106"/>
    </row>
    <row r="112" spans="2:11" s="650" customFormat="1" ht="16" x14ac:dyDescent="0.2">
      <c r="B112" s="1104"/>
      <c r="C112" s="1104"/>
      <c r="D112" s="759"/>
      <c r="E112" s="759"/>
      <c r="F112" s="759"/>
      <c r="G112" s="759"/>
      <c r="H112" s="1105"/>
      <c r="I112" s="1106"/>
      <c r="J112" s="1105"/>
      <c r="K112" s="1106"/>
    </row>
    <row r="113" spans="2:11" s="650" customFormat="1" ht="16" x14ac:dyDescent="0.2">
      <c r="B113" s="1104"/>
      <c r="C113" s="1104"/>
      <c r="D113" s="759"/>
      <c r="E113" s="759"/>
      <c r="F113" s="759"/>
      <c r="G113" s="759"/>
      <c r="H113" s="1105"/>
      <c r="I113" s="1106"/>
      <c r="J113" s="1105"/>
      <c r="K113" s="1106"/>
    </row>
    <row r="114" spans="2:11" s="650" customFormat="1" ht="16" x14ac:dyDescent="0.2">
      <c r="B114" s="1104"/>
      <c r="C114" s="1104"/>
      <c r="D114" s="759"/>
      <c r="E114" s="759"/>
      <c r="F114" s="759"/>
      <c r="G114" s="759"/>
      <c r="H114" s="1105"/>
      <c r="I114" s="1106"/>
      <c r="J114" s="1105"/>
      <c r="K114" s="1106"/>
    </row>
    <row r="115" spans="2:11" s="650" customFormat="1" ht="16" x14ac:dyDescent="0.2">
      <c r="B115" s="1104"/>
      <c r="C115" s="1104"/>
      <c r="D115" s="759"/>
      <c r="E115" s="759"/>
      <c r="F115" s="759"/>
      <c r="G115" s="759"/>
      <c r="H115" s="1105"/>
      <c r="I115" s="1106"/>
      <c r="J115" s="1105"/>
      <c r="K115" s="1106"/>
    </row>
    <row r="116" spans="2:11" s="650" customFormat="1" ht="16" x14ac:dyDescent="0.2">
      <c r="B116" s="1104"/>
      <c r="C116" s="1104"/>
      <c r="D116" s="759"/>
      <c r="E116" s="759"/>
      <c r="F116" s="759"/>
      <c r="G116" s="759"/>
      <c r="H116" s="1105"/>
      <c r="I116" s="1106"/>
      <c r="J116" s="1105"/>
      <c r="K116" s="1106"/>
    </row>
    <row r="117" spans="2:11" s="650" customFormat="1" ht="16" x14ac:dyDescent="0.2">
      <c r="B117" s="1104"/>
      <c r="C117" s="1104"/>
      <c r="D117" s="759"/>
      <c r="E117" s="759"/>
      <c r="F117" s="759"/>
      <c r="G117" s="759"/>
      <c r="H117" s="1105"/>
      <c r="I117" s="1106"/>
      <c r="J117" s="1105"/>
      <c r="K117" s="1106"/>
    </row>
    <row r="118" spans="2:11" s="650" customFormat="1" ht="16" x14ac:dyDescent="0.2">
      <c r="B118" s="1104"/>
      <c r="C118" s="1104"/>
      <c r="D118" s="759"/>
      <c r="E118" s="759"/>
      <c r="F118" s="759"/>
      <c r="G118" s="759"/>
      <c r="H118" s="1105"/>
      <c r="I118" s="1106"/>
      <c r="J118" s="1105"/>
      <c r="K118" s="1106"/>
    </row>
    <row r="119" spans="2:11" s="650" customFormat="1" ht="16" x14ac:dyDescent="0.2">
      <c r="B119" s="1104"/>
      <c r="C119" s="1104"/>
      <c r="D119" s="759"/>
      <c r="E119" s="759"/>
      <c r="F119" s="759"/>
      <c r="G119" s="759"/>
      <c r="H119" s="1105"/>
      <c r="I119" s="1106"/>
      <c r="J119" s="1105"/>
      <c r="K119" s="1106"/>
    </row>
    <row r="120" spans="2:11" s="650" customFormat="1" ht="16" x14ac:dyDescent="0.2">
      <c r="B120" s="1104"/>
      <c r="C120" s="1104"/>
      <c r="D120" s="759"/>
      <c r="E120" s="759"/>
      <c r="F120" s="759"/>
      <c r="G120" s="759"/>
      <c r="H120" s="1105"/>
      <c r="I120" s="1106"/>
      <c r="J120" s="1105"/>
      <c r="K120" s="1106"/>
    </row>
    <row r="121" spans="2:11" s="650" customFormat="1" ht="16" x14ac:dyDescent="0.2">
      <c r="B121" s="1104"/>
      <c r="C121" s="1104"/>
      <c r="D121" s="759"/>
      <c r="E121" s="759"/>
      <c r="F121" s="759"/>
      <c r="G121" s="759"/>
      <c r="H121" s="1105"/>
      <c r="I121" s="1106"/>
      <c r="J121" s="1105"/>
      <c r="K121" s="1106"/>
    </row>
    <row r="122" spans="2:11" s="650" customFormat="1" ht="16" x14ac:dyDescent="0.2">
      <c r="B122" s="1104"/>
      <c r="C122" s="1104"/>
      <c r="D122" s="759"/>
      <c r="E122" s="759"/>
      <c r="F122" s="759"/>
      <c r="G122" s="759"/>
      <c r="H122" s="1105"/>
      <c r="I122" s="1106"/>
      <c r="J122" s="1105"/>
      <c r="K122" s="1106"/>
    </row>
    <row r="123" spans="2:11" s="650" customFormat="1" ht="16" x14ac:dyDescent="0.2">
      <c r="B123" s="1104"/>
      <c r="C123" s="1104"/>
      <c r="D123" s="759"/>
      <c r="E123" s="759"/>
      <c r="F123" s="759"/>
      <c r="G123" s="759"/>
      <c r="H123" s="1105"/>
      <c r="I123" s="1106"/>
      <c r="J123" s="1105"/>
      <c r="K123" s="1106"/>
    </row>
    <row r="124" spans="2:11" s="650" customFormat="1" ht="16" x14ac:dyDescent="0.2">
      <c r="B124" s="1104"/>
      <c r="C124" s="1104"/>
      <c r="D124" s="759"/>
      <c r="E124" s="759"/>
      <c r="F124" s="759"/>
      <c r="G124" s="759"/>
      <c r="H124" s="1105"/>
      <c r="I124" s="1106"/>
      <c r="J124" s="1105"/>
      <c r="K124" s="1106"/>
    </row>
    <row r="125" spans="2:11" s="650" customFormat="1" ht="16" x14ac:dyDescent="0.2">
      <c r="B125" s="1104"/>
      <c r="C125" s="1104"/>
      <c r="D125" s="759"/>
      <c r="E125" s="759"/>
      <c r="F125" s="759"/>
      <c r="G125" s="759"/>
      <c r="H125" s="1105"/>
      <c r="I125" s="1106"/>
      <c r="J125" s="1105"/>
      <c r="K125" s="1106"/>
    </row>
    <row r="126" spans="2:11" s="650" customFormat="1" ht="16" x14ac:dyDescent="0.2">
      <c r="B126" s="1104"/>
      <c r="C126" s="1104"/>
      <c r="D126" s="759"/>
      <c r="E126" s="759"/>
      <c r="F126" s="759"/>
      <c r="G126" s="759"/>
      <c r="H126" s="1105"/>
      <c r="I126" s="1106"/>
      <c r="J126" s="1105"/>
      <c r="K126" s="1106"/>
    </row>
    <row r="127" spans="2:11" s="650" customFormat="1" ht="16" x14ac:dyDescent="0.2">
      <c r="B127" s="1104"/>
      <c r="C127" s="1104"/>
      <c r="D127" s="759"/>
      <c r="E127" s="759"/>
      <c r="F127" s="759"/>
      <c r="G127" s="759"/>
      <c r="H127" s="1105"/>
      <c r="I127" s="1106"/>
      <c r="J127" s="1105"/>
      <c r="K127" s="1106"/>
    </row>
    <row r="128" spans="2:11" s="650" customFormat="1" ht="16" x14ac:dyDescent="0.2">
      <c r="B128" s="1104"/>
      <c r="C128" s="1104"/>
      <c r="D128" s="759"/>
      <c r="E128" s="759"/>
      <c r="F128" s="759"/>
      <c r="G128" s="759"/>
      <c r="H128" s="1105"/>
      <c r="I128" s="1106"/>
      <c r="J128" s="1105"/>
      <c r="K128" s="1106"/>
    </row>
    <row r="129" spans="2:11" s="650" customFormat="1" ht="16" x14ac:dyDescent="0.2">
      <c r="B129" s="1104"/>
      <c r="C129" s="1104"/>
      <c r="D129" s="759"/>
      <c r="E129" s="759"/>
      <c r="F129" s="759"/>
      <c r="G129" s="759"/>
      <c r="H129" s="1105"/>
      <c r="I129" s="1106"/>
      <c r="J129" s="1105"/>
      <c r="K129" s="1106"/>
    </row>
    <row r="130" spans="2:11" s="650" customFormat="1" ht="16" x14ac:dyDescent="0.2">
      <c r="B130" s="1104"/>
      <c r="C130" s="1104"/>
      <c r="D130" s="759"/>
      <c r="E130" s="759"/>
      <c r="F130" s="759"/>
      <c r="G130" s="759"/>
      <c r="H130" s="1105"/>
      <c r="I130" s="1106"/>
      <c r="J130" s="1105"/>
      <c r="K130" s="1106"/>
    </row>
    <row r="131" spans="2:11" s="650" customFormat="1" ht="16" x14ac:dyDescent="0.2">
      <c r="B131" s="1104"/>
      <c r="C131" s="1104"/>
      <c r="D131" s="759"/>
      <c r="E131" s="759"/>
      <c r="F131" s="759"/>
      <c r="G131" s="759"/>
      <c r="H131" s="1105"/>
      <c r="I131" s="1106"/>
      <c r="J131" s="1105"/>
      <c r="K131" s="1106"/>
    </row>
    <row r="132" spans="2:11" s="650" customFormat="1" ht="16" x14ac:dyDescent="0.2">
      <c r="B132" s="1104"/>
      <c r="C132" s="1104"/>
      <c r="D132" s="759"/>
      <c r="E132" s="759"/>
      <c r="F132" s="759"/>
      <c r="G132" s="759"/>
      <c r="H132" s="1105"/>
      <c r="I132" s="1106"/>
      <c r="J132" s="1105"/>
      <c r="K132" s="1106"/>
    </row>
    <row r="133" spans="2:11" s="650" customFormat="1" ht="16" x14ac:dyDescent="0.2">
      <c r="B133" s="1104"/>
      <c r="C133" s="1104"/>
      <c r="D133" s="759"/>
      <c r="E133" s="759"/>
      <c r="F133" s="759"/>
      <c r="G133" s="759"/>
      <c r="H133" s="1105"/>
      <c r="I133" s="1106"/>
      <c r="J133" s="1105"/>
      <c r="K133" s="1106"/>
    </row>
    <row r="134" spans="2:11" s="650" customFormat="1" ht="16" x14ac:dyDescent="0.2">
      <c r="B134" s="1104"/>
      <c r="C134" s="1104"/>
      <c r="D134" s="759"/>
      <c r="E134" s="759"/>
      <c r="F134" s="759"/>
      <c r="G134" s="759"/>
      <c r="H134" s="1105"/>
      <c r="I134" s="1106"/>
      <c r="J134" s="1105"/>
      <c r="K134" s="1106"/>
    </row>
    <row r="135" spans="2:11" s="650" customFormat="1" ht="16" x14ac:dyDescent="0.2">
      <c r="B135" s="1104"/>
      <c r="C135" s="1104"/>
      <c r="D135" s="759"/>
      <c r="E135" s="759"/>
      <c r="F135" s="759"/>
      <c r="G135" s="759"/>
      <c r="H135" s="1105"/>
      <c r="I135" s="1106"/>
      <c r="J135" s="1105"/>
      <c r="K135" s="1106"/>
    </row>
    <row r="136" spans="2:11" s="650" customFormat="1" ht="16" x14ac:dyDescent="0.2">
      <c r="B136" s="1104"/>
      <c r="C136" s="1104"/>
      <c r="D136" s="759"/>
      <c r="E136" s="759"/>
      <c r="F136" s="759"/>
      <c r="G136" s="759"/>
      <c r="H136" s="1105"/>
      <c r="I136" s="1106"/>
      <c r="J136" s="1105"/>
      <c r="K136" s="1106"/>
    </row>
    <row r="137" spans="2:11" s="650" customFormat="1" ht="16" x14ac:dyDescent="0.2">
      <c r="B137" s="1104"/>
      <c r="C137" s="1104"/>
      <c r="D137" s="759"/>
      <c r="E137" s="759"/>
      <c r="F137" s="759"/>
      <c r="G137" s="759"/>
      <c r="H137" s="1105"/>
      <c r="I137" s="1106"/>
      <c r="J137" s="1105"/>
      <c r="K137" s="1106"/>
    </row>
    <row r="138" spans="2:11" s="650" customFormat="1" ht="16" x14ac:dyDescent="0.2">
      <c r="B138" s="1104"/>
      <c r="C138" s="1104"/>
      <c r="D138" s="759"/>
      <c r="E138" s="759"/>
      <c r="F138" s="759"/>
      <c r="G138" s="759"/>
      <c r="H138" s="1105"/>
      <c r="I138" s="1106"/>
      <c r="J138" s="1105"/>
      <c r="K138" s="1106"/>
    </row>
    <row r="139" spans="2:11" s="650" customFormat="1" ht="16" x14ac:dyDescent="0.2">
      <c r="B139" s="1104"/>
      <c r="C139" s="1104"/>
      <c r="D139" s="759"/>
      <c r="E139" s="759"/>
      <c r="F139" s="759"/>
      <c r="G139" s="759"/>
      <c r="H139" s="1105"/>
      <c r="I139" s="1106"/>
      <c r="J139" s="1105"/>
      <c r="K139" s="1106"/>
    </row>
    <row r="140" spans="2:11" s="650" customFormat="1" ht="16" x14ac:dyDescent="0.2">
      <c r="B140" s="1104"/>
      <c r="C140" s="1104"/>
      <c r="D140" s="759"/>
      <c r="E140" s="759"/>
      <c r="F140" s="759"/>
      <c r="G140" s="759"/>
      <c r="H140" s="1105"/>
      <c r="I140" s="1106"/>
      <c r="J140" s="1105"/>
      <c r="K140" s="1106"/>
    </row>
    <row r="141" spans="2:11" s="650" customFormat="1" ht="16" x14ac:dyDescent="0.2">
      <c r="B141" s="1104"/>
      <c r="C141" s="1104"/>
      <c r="D141" s="759"/>
      <c r="E141" s="759"/>
      <c r="F141" s="759"/>
      <c r="G141" s="759"/>
      <c r="H141" s="1105"/>
      <c r="I141" s="1106"/>
      <c r="J141" s="1105"/>
      <c r="K141" s="1106"/>
    </row>
    <row r="142" spans="2:11" s="650" customFormat="1" ht="16" x14ac:dyDescent="0.2">
      <c r="B142" s="1104"/>
      <c r="C142" s="1104"/>
      <c r="D142" s="759"/>
      <c r="E142" s="759"/>
      <c r="F142" s="759"/>
      <c r="G142" s="759"/>
      <c r="H142" s="1105"/>
      <c r="I142" s="1106"/>
      <c r="J142" s="1105"/>
      <c r="K142" s="1106"/>
    </row>
    <row r="143" spans="2:11" s="650" customFormat="1" ht="16" x14ac:dyDescent="0.2">
      <c r="B143" s="1104"/>
      <c r="C143" s="1104"/>
      <c r="D143" s="759"/>
      <c r="E143" s="759"/>
      <c r="F143" s="759"/>
      <c r="G143" s="759"/>
      <c r="H143" s="1105"/>
      <c r="I143" s="1106"/>
      <c r="J143" s="1105"/>
      <c r="K143" s="1106"/>
    </row>
    <row r="144" spans="2:11" s="650" customFormat="1" ht="16" x14ac:dyDescent="0.2">
      <c r="B144" s="1104"/>
      <c r="C144" s="1104"/>
      <c r="D144" s="759"/>
      <c r="E144" s="759"/>
      <c r="F144" s="759"/>
      <c r="G144" s="759"/>
      <c r="H144" s="1105"/>
      <c r="I144" s="1106"/>
      <c r="J144" s="1105"/>
      <c r="K144" s="1106"/>
    </row>
    <row r="145" spans="2:11" s="650" customFormat="1" ht="16" x14ac:dyDescent="0.2">
      <c r="B145" s="1104"/>
      <c r="C145" s="1104"/>
      <c r="D145" s="759"/>
      <c r="E145" s="759"/>
      <c r="F145" s="759"/>
      <c r="G145" s="759"/>
      <c r="H145" s="1105"/>
      <c r="I145" s="1106"/>
      <c r="J145" s="1105"/>
      <c r="K145" s="1106"/>
    </row>
    <row r="146" spans="2:11" s="650" customFormat="1" ht="16" x14ac:dyDescent="0.2">
      <c r="B146" s="1104"/>
      <c r="C146" s="1104"/>
      <c r="D146" s="759"/>
      <c r="E146" s="759"/>
      <c r="F146" s="759"/>
      <c r="G146" s="759"/>
      <c r="H146" s="1105"/>
      <c r="I146" s="1106"/>
      <c r="J146" s="1105"/>
      <c r="K146" s="1106"/>
    </row>
    <row r="147" spans="2:11" s="650" customFormat="1" ht="16" x14ac:dyDescent="0.2">
      <c r="B147" s="1104"/>
      <c r="C147" s="1104"/>
      <c r="D147" s="759"/>
      <c r="E147" s="759"/>
      <c r="F147" s="759"/>
      <c r="G147" s="759"/>
      <c r="H147" s="1105"/>
      <c r="I147" s="1106"/>
      <c r="J147" s="1105"/>
      <c r="K147" s="1106"/>
    </row>
    <row r="148" spans="2:11" s="650" customFormat="1" ht="16" x14ac:dyDescent="0.2">
      <c r="B148" s="1104"/>
      <c r="C148" s="1104"/>
      <c r="D148" s="759"/>
      <c r="E148" s="759"/>
      <c r="F148" s="759"/>
      <c r="G148" s="759"/>
      <c r="H148" s="1105"/>
      <c r="I148" s="1106"/>
      <c r="J148" s="1105"/>
      <c r="K148" s="1106"/>
    </row>
    <row r="149" spans="2:11" s="650" customFormat="1" ht="16" x14ac:dyDescent="0.2">
      <c r="B149" s="1104"/>
      <c r="C149" s="1104"/>
      <c r="D149" s="759"/>
      <c r="E149" s="759"/>
      <c r="F149" s="759"/>
      <c r="G149" s="759"/>
      <c r="H149" s="1105"/>
      <c r="I149" s="1106"/>
      <c r="J149" s="1105"/>
      <c r="K149" s="1106"/>
    </row>
    <row r="150" spans="2:11" s="650" customFormat="1" ht="16" x14ac:dyDescent="0.2">
      <c r="B150" s="1104"/>
      <c r="C150" s="1104"/>
      <c r="D150" s="759"/>
      <c r="E150" s="759"/>
      <c r="F150" s="759"/>
      <c r="G150" s="759"/>
      <c r="H150" s="1105"/>
      <c r="I150" s="1106"/>
      <c r="J150" s="1105"/>
      <c r="K150" s="1106"/>
    </row>
    <row r="151" spans="2:11" s="650" customFormat="1" ht="16" x14ac:dyDescent="0.2">
      <c r="B151" s="1104"/>
      <c r="C151" s="1104"/>
      <c r="D151" s="759"/>
      <c r="E151" s="759"/>
      <c r="F151" s="759"/>
      <c r="G151" s="759"/>
      <c r="H151" s="1105"/>
      <c r="I151" s="1106"/>
      <c r="J151" s="1105"/>
      <c r="K151" s="1106"/>
    </row>
    <row r="152" spans="2:11" s="650" customFormat="1" ht="16" x14ac:dyDescent="0.2">
      <c r="B152" s="1104"/>
      <c r="C152" s="1104"/>
      <c r="D152" s="759"/>
      <c r="E152" s="759"/>
      <c r="F152" s="759"/>
      <c r="G152" s="759"/>
      <c r="H152" s="1105"/>
      <c r="I152" s="1106"/>
      <c r="J152" s="1105"/>
      <c r="K152" s="1106"/>
    </row>
    <row r="153" spans="2:11" s="650" customFormat="1" ht="16" x14ac:dyDescent="0.2">
      <c r="B153" s="1104"/>
      <c r="C153" s="1104"/>
      <c r="D153" s="759"/>
      <c r="E153" s="759"/>
      <c r="F153" s="759"/>
      <c r="G153" s="759"/>
      <c r="H153" s="1105"/>
      <c r="I153" s="1106"/>
      <c r="J153" s="1105"/>
      <c r="K153" s="1106"/>
    </row>
    <row r="154" spans="2:11" s="650" customFormat="1" ht="16" x14ac:dyDescent="0.2">
      <c r="B154" s="1104"/>
      <c r="C154" s="1104"/>
      <c r="D154" s="759"/>
      <c r="E154" s="759"/>
      <c r="F154" s="759"/>
      <c r="G154" s="759"/>
      <c r="H154" s="1105"/>
      <c r="I154" s="1106"/>
      <c r="J154" s="1105"/>
      <c r="K154" s="1106"/>
    </row>
    <row r="155" spans="2:11" s="650" customFormat="1" ht="16" x14ac:dyDescent="0.2">
      <c r="B155" s="1104"/>
      <c r="C155" s="1104"/>
      <c r="D155" s="759"/>
      <c r="E155" s="759"/>
      <c r="F155" s="759"/>
      <c r="G155" s="759"/>
      <c r="H155" s="1105"/>
      <c r="I155" s="1106"/>
      <c r="J155" s="1105"/>
      <c r="K155" s="1106"/>
    </row>
    <row r="156" spans="2:11" s="650" customFormat="1" ht="16" x14ac:dyDescent="0.2">
      <c r="B156" s="1104"/>
      <c r="C156" s="1104"/>
      <c r="D156" s="759"/>
      <c r="E156" s="759"/>
      <c r="F156" s="759"/>
      <c r="G156" s="759"/>
      <c r="H156" s="1105"/>
      <c r="I156" s="1106"/>
      <c r="J156" s="1105"/>
      <c r="K156" s="1106"/>
    </row>
    <row r="157" spans="2:11" s="650" customFormat="1" ht="16" x14ac:dyDescent="0.2">
      <c r="B157" s="1104"/>
      <c r="C157" s="1104"/>
      <c r="D157" s="759"/>
      <c r="E157" s="759"/>
      <c r="F157" s="759"/>
      <c r="G157" s="759"/>
      <c r="H157" s="1105"/>
      <c r="I157" s="1106"/>
      <c r="J157" s="1105"/>
      <c r="K157" s="1106"/>
    </row>
    <row r="158" spans="2:11" x14ac:dyDescent="0.2"/>
    <row r="159" spans="2:11" x14ac:dyDescent="0.2"/>
    <row r="160" spans="2:11" x14ac:dyDescent="0.2"/>
    <row r="161" x14ac:dyDescent="0.2"/>
    <row r="163" x14ac:dyDescent="0.2"/>
    <row r="164" x14ac:dyDescent="0.2"/>
    <row r="165" x14ac:dyDescent="0.2"/>
    <row r="166" x14ac:dyDescent="0.2"/>
    <row r="167"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7" x14ac:dyDescent="0.2"/>
    <row r="188" x14ac:dyDescent="0.2"/>
    <row r="189" x14ac:dyDescent="0.2"/>
    <row r="190" x14ac:dyDescent="0.2"/>
    <row r="191" x14ac:dyDescent="0.2"/>
    <row r="192" x14ac:dyDescent="0.2"/>
    <row r="194" x14ac:dyDescent="0.2"/>
    <row r="195" x14ac:dyDescent="0.2"/>
    <row r="196" x14ac:dyDescent="0.2"/>
    <row r="197" x14ac:dyDescent="0.2"/>
    <row r="198" x14ac:dyDescent="0.2"/>
    <row r="199" x14ac:dyDescent="0.2"/>
    <row r="200" x14ac:dyDescent="0.2"/>
    <row r="201" x14ac:dyDescent="0.2"/>
    <row r="202" x14ac:dyDescent="0.2"/>
  </sheetData>
  <sheetProtection algorithmName="SHA-512" hashValue="XabPhtJxuiiUTcZg3M6IutpzJaUtRaToN1b2dLFxShO1hW8Gp/lXsm2a/E1hLUdD3KriXU7HrHgOr75Jodg+ug==" saltValue="WnLnSq1m/IHqWdZzZg672Q==" spinCount="100000" sheet="1" selectLockedCells="1"/>
  <mergeCells count="361">
    <mergeCell ref="H157:I157"/>
    <mergeCell ref="J157:K157"/>
    <mergeCell ref="B157:C157"/>
    <mergeCell ref="B2:B8"/>
    <mergeCell ref="C6:K6"/>
    <mergeCell ref="H47:I47"/>
    <mergeCell ref="H48:I48"/>
    <mergeCell ref="J47:K47"/>
    <mergeCell ref="J48:K48"/>
    <mergeCell ref="H49:I49"/>
    <mergeCell ref="J49:K49"/>
    <mergeCell ref="H50:I50"/>
    <mergeCell ref="J50:K50"/>
    <mergeCell ref="H51:I51"/>
    <mergeCell ref="J51:K51"/>
    <mergeCell ref="H52:I52"/>
    <mergeCell ref="J52:K52"/>
    <mergeCell ref="B154:C154"/>
    <mergeCell ref="B155:C155"/>
    <mergeCell ref="B156:C156"/>
    <mergeCell ref="H154:I154"/>
    <mergeCell ref="J154:K154"/>
    <mergeCell ref="H155:I155"/>
    <mergeCell ref="J155:K155"/>
    <mergeCell ref="H156:I156"/>
    <mergeCell ref="J156:K156"/>
    <mergeCell ref="B151:C151"/>
    <mergeCell ref="B152:C152"/>
    <mergeCell ref="B153:C153"/>
    <mergeCell ref="H151:I151"/>
    <mergeCell ref="J151:K151"/>
    <mergeCell ref="H152:I152"/>
    <mergeCell ref="J152:K152"/>
    <mergeCell ref="H153:I153"/>
    <mergeCell ref="J153:K153"/>
    <mergeCell ref="B148:C148"/>
    <mergeCell ref="B149:C149"/>
    <mergeCell ref="B150:C150"/>
    <mergeCell ref="H148:I148"/>
    <mergeCell ref="J148:K148"/>
    <mergeCell ref="H149:I149"/>
    <mergeCell ref="J149:K149"/>
    <mergeCell ref="H150:I150"/>
    <mergeCell ref="J150:K150"/>
    <mergeCell ref="B145:C145"/>
    <mergeCell ref="B146:C146"/>
    <mergeCell ref="B147:C147"/>
    <mergeCell ref="H145:I145"/>
    <mergeCell ref="J145:K145"/>
    <mergeCell ref="H146:I146"/>
    <mergeCell ref="J146:K146"/>
    <mergeCell ref="H147:I147"/>
    <mergeCell ref="J147:K147"/>
    <mergeCell ref="B142:C142"/>
    <mergeCell ref="B143:C143"/>
    <mergeCell ref="B144:C144"/>
    <mergeCell ref="H142:I142"/>
    <mergeCell ref="J142:K142"/>
    <mergeCell ref="H143:I143"/>
    <mergeCell ref="J143:K143"/>
    <mergeCell ref="H144:I144"/>
    <mergeCell ref="J144:K144"/>
    <mergeCell ref="B139:C139"/>
    <mergeCell ref="B140:C140"/>
    <mergeCell ref="B141:C141"/>
    <mergeCell ref="H139:I139"/>
    <mergeCell ref="J139:K139"/>
    <mergeCell ref="H140:I140"/>
    <mergeCell ref="J140:K140"/>
    <mergeCell ref="H141:I141"/>
    <mergeCell ref="J141:K141"/>
    <mergeCell ref="B136:C136"/>
    <mergeCell ref="B137:C137"/>
    <mergeCell ref="B138:C138"/>
    <mergeCell ref="H136:I136"/>
    <mergeCell ref="J136:K136"/>
    <mergeCell ref="H137:I137"/>
    <mergeCell ref="J137:K137"/>
    <mergeCell ref="H138:I138"/>
    <mergeCell ref="J138:K138"/>
    <mergeCell ref="B133:C133"/>
    <mergeCell ref="B134:C134"/>
    <mergeCell ref="B135:C135"/>
    <mergeCell ref="H133:I133"/>
    <mergeCell ref="J133:K133"/>
    <mergeCell ref="H134:I134"/>
    <mergeCell ref="J134:K134"/>
    <mergeCell ref="H135:I135"/>
    <mergeCell ref="J135:K135"/>
    <mergeCell ref="B130:C130"/>
    <mergeCell ref="B131:C131"/>
    <mergeCell ref="B132:C132"/>
    <mergeCell ref="H130:I130"/>
    <mergeCell ref="J130:K130"/>
    <mergeCell ref="H131:I131"/>
    <mergeCell ref="J131:K131"/>
    <mergeCell ref="H132:I132"/>
    <mergeCell ref="J132:K132"/>
    <mergeCell ref="B127:C127"/>
    <mergeCell ref="B128:C128"/>
    <mergeCell ref="B129:C129"/>
    <mergeCell ref="H127:I127"/>
    <mergeCell ref="J127:K127"/>
    <mergeCell ref="H128:I128"/>
    <mergeCell ref="J128:K128"/>
    <mergeCell ref="H129:I129"/>
    <mergeCell ref="J129:K129"/>
    <mergeCell ref="B124:C124"/>
    <mergeCell ref="B125:C125"/>
    <mergeCell ref="B126:C126"/>
    <mergeCell ref="H124:I124"/>
    <mergeCell ref="J124:K124"/>
    <mergeCell ref="H125:I125"/>
    <mergeCell ref="J125:K125"/>
    <mergeCell ref="H126:I126"/>
    <mergeCell ref="J126:K126"/>
    <mergeCell ref="B121:C121"/>
    <mergeCell ref="B122:C122"/>
    <mergeCell ref="B123:C123"/>
    <mergeCell ref="H121:I121"/>
    <mergeCell ref="J121:K121"/>
    <mergeCell ref="H122:I122"/>
    <mergeCell ref="J122:K122"/>
    <mergeCell ref="H123:I123"/>
    <mergeCell ref="J123:K123"/>
    <mergeCell ref="B118:C118"/>
    <mergeCell ref="B119:C119"/>
    <mergeCell ref="B120:C120"/>
    <mergeCell ref="H118:I118"/>
    <mergeCell ref="J118:K118"/>
    <mergeCell ref="H119:I119"/>
    <mergeCell ref="J119:K119"/>
    <mergeCell ref="H120:I120"/>
    <mergeCell ref="J120:K120"/>
    <mergeCell ref="B115:C115"/>
    <mergeCell ref="B116:C116"/>
    <mergeCell ref="B117:C117"/>
    <mergeCell ref="H115:I115"/>
    <mergeCell ref="J115:K115"/>
    <mergeCell ref="H116:I116"/>
    <mergeCell ref="J116:K116"/>
    <mergeCell ref="H117:I117"/>
    <mergeCell ref="J117:K117"/>
    <mergeCell ref="B112:C112"/>
    <mergeCell ref="B113:C113"/>
    <mergeCell ref="B114:C114"/>
    <mergeCell ref="H112:I112"/>
    <mergeCell ref="J112:K112"/>
    <mergeCell ref="H113:I113"/>
    <mergeCell ref="J113:K113"/>
    <mergeCell ref="H114:I114"/>
    <mergeCell ref="J114:K114"/>
    <mergeCell ref="B109:C109"/>
    <mergeCell ref="B110:C110"/>
    <mergeCell ref="B111:C111"/>
    <mergeCell ref="H109:I109"/>
    <mergeCell ref="J109:K109"/>
    <mergeCell ref="H110:I110"/>
    <mergeCell ref="J110:K110"/>
    <mergeCell ref="H111:I111"/>
    <mergeCell ref="J111:K111"/>
    <mergeCell ref="B106:C106"/>
    <mergeCell ref="B107:C107"/>
    <mergeCell ref="B108:C108"/>
    <mergeCell ref="H106:I106"/>
    <mergeCell ref="J106:K106"/>
    <mergeCell ref="H107:I107"/>
    <mergeCell ref="J107:K107"/>
    <mergeCell ref="H108:I108"/>
    <mergeCell ref="J108:K108"/>
    <mergeCell ref="B103:C103"/>
    <mergeCell ref="B104:C104"/>
    <mergeCell ref="B105:C105"/>
    <mergeCell ref="H103:I103"/>
    <mergeCell ref="J103:K103"/>
    <mergeCell ref="H104:I104"/>
    <mergeCell ref="J104:K104"/>
    <mergeCell ref="H105:I105"/>
    <mergeCell ref="J105:K105"/>
    <mergeCell ref="B100:C100"/>
    <mergeCell ref="B101:C101"/>
    <mergeCell ref="B102:C102"/>
    <mergeCell ref="H100:I100"/>
    <mergeCell ref="J100:K100"/>
    <mergeCell ref="H101:I101"/>
    <mergeCell ref="J101:K101"/>
    <mergeCell ref="H102:I102"/>
    <mergeCell ref="J102:K102"/>
    <mergeCell ref="B97:C97"/>
    <mergeCell ref="B98:C98"/>
    <mergeCell ref="B99:C99"/>
    <mergeCell ref="H97:I97"/>
    <mergeCell ref="J97:K97"/>
    <mergeCell ref="H98:I98"/>
    <mergeCell ref="J98:K98"/>
    <mergeCell ref="H99:I99"/>
    <mergeCell ref="J99:K99"/>
    <mergeCell ref="B94:C94"/>
    <mergeCell ref="B95:C95"/>
    <mergeCell ref="B96:C96"/>
    <mergeCell ref="H94:I94"/>
    <mergeCell ref="J94:K94"/>
    <mergeCell ref="H95:I95"/>
    <mergeCell ref="J95:K95"/>
    <mergeCell ref="H96:I96"/>
    <mergeCell ref="J96:K96"/>
    <mergeCell ref="B91:C91"/>
    <mergeCell ref="B92:C92"/>
    <mergeCell ref="B93:C93"/>
    <mergeCell ref="H91:I91"/>
    <mergeCell ref="J91:K91"/>
    <mergeCell ref="H92:I92"/>
    <mergeCell ref="J92:K92"/>
    <mergeCell ref="H93:I93"/>
    <mergeCell ref="J93:K93"/>
    <mergeCell ref="B88:C88"/>
    <mergeCell ref="B89:C89"/>
    <mergeCell ref="B90:C90"/>
    <mergeCell ref="H88:I88"/>
    <mergeCell ref="J88:K88"/>
    <mergeCell ref="H89:I89"/>
    <mergeCell ref="J89:K89"/>
    <mergeCell ref="H90:I90"/>
    <mergeCell ref="J90:K90"/>
    <mergeCell ref="B85:C85"/>
    <mergeCell ref="B86:C86"/>
    <mergeCell ref="B87:C87"/>
    <mergeCell ref="H85:I85"/>
    <mergeCell ref="J85:K85"/>
    <mergeCell ref="H86:I86"/>
    <mergeCell ref="J86:K86"/>
    <mergeCell ref="H87:I87"/>
    <mergeCell ref="J87:K87"/>
    <mergeCell ref="B82:C82"/>
    <mergeCell ref="B83:C83"/>
    <mergeCell ref="B84:C84"/>
    <mergeCell ref="H82:I82"/>
    <mergeCell ref="J82:K82"/>
    <mergeCell ref="H83:I83"/>
    <mergeCell ref="J83:K83"/>
    <mergeCell ref="H84:I84"/>
    <mergeCell ref="J84:K84"/>
    <mergeCell ref="B79:C79"/>
    <mergeCell ref="B80:C80"/>
    <mergeCell ref="B81:C81"/>
    <mergeCell ref="H79:I79"/>
    <mergeCell ref="J79:K79"/>
    <mergeCell ref="H80:I80"/>
    <mergeCell ref="J80:K80"/>
    <mergeCell ref="H81:I81"/>
    <mergeCell ref="J81:K81"/>
    <mergeCell ref="B76:C76"/>
    <mergeCell ref="B77:C77"/>
    <mergeCell ref="B78:C78"/>
    <mergeCell ref="H76:I76"/>
    <mergeCell ref="J76:K76"/>
    <mergeCell ref="H77:I77"/>
    <mergeCell ref="J77:K77"/>
    <mergeCell ref="H78:I78"/>
    <mergeCell ref="J78:K78"/>
    <mergeCell ref="B73:C73"/>
    <mergeCell ref="B74:C74"/>
    <mergeCell ref="B75:C75"/>
    <mergeCell ref="H73:I73"/>
    <mergeCell ref="J73:K73"/>
    <mergeCell ref="H74:I74"/>
    <mergeCell ref="J74:K74"/>
    <mergeCell ref="H75:I75"/>
    <mergeCell ref="J75:K75"/>
    <mergeCell ref="B70:C70"/>
    <mergeCell ref="B71:C71"/>
    <mergeCell ref="B72:C72"/>
    <mergeCell ref="H70:I70"/>
    <mergeCell ref="J70:K70"/>
    <mergeCell ref="H71:I71"/>
    <mergeCell ref="J71:K71"/>
    <mergeCell ref="H72:I72"/>
    <mergeCell ref="J72:K72"/>
    <mergeCell ref="B67:C67"/>
    <mergeCell ref="B68:C68"/>
    <mergeCell ref="B69:C69"/>
    <mergeCell ref="H67:I67"/>
    <mergeCell ref="J67:K67"/>
    <mergeCell ref="H68:I68"/>
    <mergeCell ref="J68:K68"/>
    <mergeCell ref="H69:I69"/>
    <mergeCell ref="J69:K69"/>
    <mergeCell ref="B64:C64"/>
    <mergeCell ref="B65:C65"/>
    <mergeCell ref="B66:C66"/>
    <mergeCell ref="H64:I64"/>
    <mergeCell ref="J64:K64"/>
    <mergeCell ref="H65:I65"/>
    <mergeCell ref="J65:K65"/>
    <mergeCell ref="H66:I66"/>
    <mergeCell ref="J66:K66"/>
    <mergeCell ref="B61:C61"/>
    <mergeCell ref="B62:C62"/>
    <mergeCell ref="B63:C63"/>
    <mergeCell ref="H61:I61"/>
    <mergeCell ref="J61:K61"/>
    <mergeCell ref="H62:I62"/>
    <mergeCell ref="J62:K62"/>
    <mergeCell ref="H63:I63"/>
    <mergeCell ref="J63:K63"/>
    <mergeCell ref="B58:C58"/>
    <mergeCell ref="B59:C59"/>
    <mergeCell ref="B60:C60"/>
    <mergeCell ref="H58:I58"/>
    <mergeCell ref="J58:K58"/>
    <mergeCell ref="H59:I59"/>
    <mergeCell ref="J59:K59"/>
    <mergeCell ref="H60:I60"/>
    <mergeCell ref="J60:K60"/>
    <mergeCell ref="B55:C55"/>
    <mergeCell ref="B56:C56"/>
    <mergeCell ref="B57:C57"/>
    <mergeCell ref="H55:I55"/>
    <mergeCell ref="J55:K55"/>
    <mergeCell ref="H56:I56"/>
    <mergeCell ref="J56:K56"/>
    <mergeCell ref="H57:I57"/>
    <mergeCell ref="J57:K57"/>
    <mergeCell ref="B52:C52"/>
    <mergeCell ref="B53:C53"/>
    <mergeCell ref="B54:C54"/>
    <mergeCell ref="H53:I53"/>
    <mergeCell ref="J53:K53"/>
    <mergeCell ref="H54:I54"/>
    <mergeCell ref="J54:K54"/>
    <mergeCell ref="B49:C49"/>
    <mergeCell ref="B50:C50"/>
    <mergeCell ref="B51:C51"/>
    <mergeCell ref="B48:C48"/>
    <mergeCell ref="B40:K40"/>
    <mergeCell ref="B45:K45"/>
    <mergeCell ref="B46:K46"/>
    <mergeCell ref="B47:C47"/>
    <mergeCell ref="B11:K11"/>
    <mergeCell ref="B10:K10"/>
    <mergeCell ref="B18:K18"/>
    <mergeCell ref="B41:K42"/>
    <mergeCell ref="C2:K4"/>
    <mergeCell ref="B1:K1"/>
    <mergeCell ref="C5:K5"/>
    <mergeCell ref="B24:K24"/>
    <mergeCell ref="B23:K23"/>
    <mergeCell ref="H36:I36"/>
    <mergeCell ref="B25:C25"/>
    <mergeCell ref="B26:C26"/>
    <mergeCell ref="B27:C27"/>
    <mergeCell ref="B28:C28"/>
    <mergeCell ref="B29:C29"/>
    <mergeCell ref="B13:K13"/>
    <mergeCell ref="B30:C30"/>
    <mergeCell ref="B31:C31"/>
    <mergeCell ref="B32:C32"/>
    <mergeCell ref="B33:C33"/>
    <mergeCell ref="B34:C34"/>
    <mergeCell ref="B14:K15"/>
    <mergeCell ref="B19:K20"/>
  </mergeCells>
  <conditionalFormatting sqref="B13:K13">
    <cfRule type="expression" dxfId="26" priority="4">
      <formula>$K$12&lt;&gt;"yes"</formula>
    </cfRule>
  </conditionalFormatting>
  <conditionalFormatting sqref="B18:K18">
    <cfRule type="expression" dxfId="25" priority="2">
      <formula>$K$17&lt;&gt;"yes"</formula>
    </cfRule>
  </conditionalFormatting>
  <conditionalFormatting sqref="B40:K40">
    <cfRule type="expression" dxfId="24" priority="1">
      <formula>$K$39&lt;&gt;"yes"</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7C338E21-527B-024C-94D3-D9AC14C92EB8}">
          <x14:formula1>
            <xm:f>Source!$I$1:$I$4</xm:f>
          </x14:formula1>
          <xm:sqref>K12 K17 K39</xm:sqref>
        </x14:dataValidation>
        <x14:dataValidation type="list" allowBlank="1" showInputMessage="1" showErrorMessage="1" xr:uid="{65257A4D-64FA-4A4A-8121-19B46E2DBF0D}">
          <x14:formula1>
            <xm:f>Source!$AQ$1:$AQ$6</xm:f>
          </x14:formula1>
          <xm:sqref>B31:C33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S108"/>
  <sheetViews>
    <sheetView zoomScaleNormal="100" workbookViewId="0">
      <pane xSplit="1" ySplit="5" topLeftCell="B6" activePane="bottomRight" state="frozen"/>
      <selection pane="topRight" activeCell="B1" sqref="B1"/>
      <selection pane="bottomLeft" activeCell="A6" sqref="A6"/>
      <selection pane="bottomRight" activeCell="J27" sqref="J27:K27"/>
    </sheetView>
  </sheetViews>
  <sheetFormatPr baseColWidth="10" defaultColWidth="0" defaultRowHeight="16" zeroHeight="1" x14ac:dyDescent="0.2"/>
  <cols>
    <col min="1" max="1" width="1.83203125" style="331" customWidth="1"/>
    <col min="2" max="2" width="10.33203125" style="331" customWidth="1"/>
    <col min="3" max="3" width="27" style="331" customWidth="1"/>
    <col min="4" max="4" width="8.6640625" style="331" customWidth="1"/>
    <col min="5" max="5" width="58.33203125" style="599" customWidth="1"/>
    <col min="6" max="6" width="24" style="331" customWidth="1"/>
    <col min="7" max="7" width="14.33203125" style="331" customWidth="1"/>
    <col min="8" max="8" width="13.5" style="334" customWidth="1"/>
    <col min="9" max="9" width="20" style="335" customWidth="1"/>
    <col min="10" max="10" width="9.33203125" style="335" customWidth="1"/>
    <col min="11" max="11" width="38" style="331" customWidth="1"/>
    <col min="12" max="12" width="8.5" style="336" customWidth="1"/>
    <col min="13" max="16384" width="9.1640625" style="331" hidden="1"/>
  </cols>
  <sheetData>
    <row r="1" spans="2:19" ht="17" thickBot="1" x14ac:dyDescent="0.25">
      <c r="B1" s="1149" t="s">
        <v>23</v>
      </c>
      <c r="C1" s="1149"/>
      <c r="D1" s="1149"/>
      <c r="E1" s="1149"/>
      <c r="F1" s="1149"/>
      <c r="G1" s="1149"/>
      <c r="H1" s="1149"/>
      <c r="I1" s="1149"/>
      <c r="J1" s="1149"/>
      <c r="K1" s="1149"/>
      <c r="L1" s="115"/>
      <c r="M1" s="713"/>
      <c r="N1" s="713"/>
      <c r="O1" s="713"/>
      <c r="P1" s="713"/>
      <c r="Q1" s="713"/>
      <c r="R1" s="713"/>
      <c r="S1" s="713"/>
    </row>
    <row r="2" spans="2:19" ht="15.75" customHeight="1" x14ac:dyDescent="0.2">
      <c r="B2" s="865" t="s">
        <v>19</v>
      </c>
      <c r="C2" s="865"/>
      <c r="D2" s="865"/>
      <c r="E2" s="1150" t="s">
        <v>1641</v>
      </c>
      <c r="F2" s="1151"/>
      <c r="G2" s="1151"/>
      <c r="H2" s="1151"/>
      <c r="I2" s="1151"/>
      <c r="J2" s="1151"/>
      <c r="K2" s="1151"/>
      <c r="L2" s="332"/>
      <c r="M2" s="332"/>
      <c r="N2" s="332"/>
      <c r="O2" s="332"/>
      <c r="P2" s="332"/>
      <c r="Q2" s="332"/>
      <c r="R2" s="332"/>
      <c r="S2" s="332"/>
    </row>
    <row r="3" spans="2:19" x14ac:dyDescent="0.2">
      <c r="B3" s="865"/>
      <c r="C3" s="865"/>
      <c r="D3" s="865"/>
      <c r="E3" s="1150"/>
      <c r="F3" s="1151"/>
      <c r="G3" s="1151"/>
      <c r="H3" s="1151"/>
      <c r="I3" s="1151"/>
      <c r="J3" s="1151"/>
      <c r="K3" s="1151"/>
      <c r="L3" s="332"/>
      <c r="M3" s="332"/>
      <c r="N3" s="332"/>
      <c r="O3" s="332"/>
      <c r="P3" s="332"/>
      <c r="Q3" s="332"/>
      <c r="R3" s="332"/>
      <c r="S3" s="332"/>
    </row>
    <row r="4" spans="2:19" ht="15.75" customHeight="1" thickBot="1" x14ac:dyDescent="0.25">
      <c r="B4" s="865"/>
      <c r="C4" s="865"/>
      <c r="D4" s="865"/>
      <c r="E4" s="1152" t="s">
        <v>1014</v>
      </c>
      <c r="F4" s="1153"/>
      <c r="G4" s="1153"/>
      <c r="H4" s="1153"/>
      <c r="I4" s="1153"/>
      <c r="J4" s="1153"/>
      <c r="K4" s="1153"/>
      <c r="L4" s="333"/>
      <c r="M4" s="332"/>
      <c r="N4" s="332"/>
      <c r="O4" s="332"/>
      <c r="P4" s="332"/>
      <c r="Q4" s="332"/>
      <c r="R4" s="332"/>
      <c r="S4" s="332"/>
    </row>
    <row r="5" spans="2:19" ht="18" customHeight="1" x14ac:dyDescent="0.2">
      <c r="B5" s="865"/>
      <c r="C5" s="865"/>
      <c r="D5" s="865"/>
      <c r="E5" s="1154" t="s">
        <v>505</v>
      </c>
      <c r="F5" s="1155"/>
      <c r="G5" s="1155"/>
      <c r="H5" s="1155"/>
      <c r="I5" s="1155"/>
      <c r="J5" s="1155"/>
      <c r="K5" s="1155"/>
      <c r="L5" s="332"/>
      <c r="M5" s="332"/>
      <c r="N5" s="332"/>
      <c r="O5" s="332"/>
      <c r="P5" s="332"/>
      <c r="Q5" s="332"/>
      <c r="R5" s="332"/>
      <c r="S5" s="332"/>
    </row>
    <row r="6" spans="2:19" ht="18" customHeight="1" x14ac:dyDescent="0.2">
      <c r="B6" s="713"/>
      <c r="C6" s="713"/>
      <c r="D6" s="713"/>
      <c r="E6" s="714"/>
      <c r="F6" s="713"/>
      <c r="G6" s="713"/>
      <c r="H6" s="715"/>
      <c r="I6" s="716"/>
      <c r="J6" s="716"/>
      <c r="K6" s="713"/>
      <c r="L6" s="717"/>
      <c r="M6" s="713"/>
      <c r="N6" s="713"/>
      <c r="O6" s="713"/>
      <c r="P6" s="713"/>
      <c r="Q6" s="713"/>
      <c r="R6" s="713"/>
      <c r="S6" s="713"/>
    </row>
    <row r="7" spans="2:19" s="337" customFormat="1" ht="36.75" hidden="1" customHeight="1" x14ac:dyDescent="0.2">
      <c r="B7" s="718"/>
      <c r="C7" s="718"/>
      <c r="D7" s="718"/>
      <c r="E7" s="1144" t="s">
        <v>28</v>
      </c>
      <c r="F7" s="1144"/>
      <c r="G7" s="1146" t="str">
        <f>'Contact Information '!J9</f>
        <v>Please select your answer from the dropdown</v>
      </c>
      <c r="H7" s="1146"/>
      <c r="I7" s="1146"/>
      <c r="J7" s="192"/>
      <c r="K7" s="338"/>
      <c r="L7" s="719"/>
      <c r="M7" s="718"/>
      <c r="N7" s="718"/>
      <c r="O7" s="718"/>
      <c r="P7" s="718"/>
      <c r="Q7" s="718"/>
      <c r="R7" s="718"/>
      <c r="S7" s="718"/>
    </row>
    <row r="8" spans="2:19" ht="21.75" hidden="1" customHeight="1" x14ac:dyDescent="0.2">
      <c r="B8" s="713"/>
      <c r="C8" s="713"/>
      <c r="D8" s="713"/>
      <c r="E8" s="714"/>
      <c r="F8" s="713"/>
      <c r="G8" s="713"/>
      <c r="H8" s="716"/>
      <c r="I8" s="713"/>
      <c r="J8" s="713"/>
      <c r="K8" s="713"/>
      <c r="L8" s="717"/>
      <c r="M8" s="713"/>
      <c r="N8" s="713"/>
      <c r="O8" s="713"/>
      <c r="P8" s="713"/>
      <c r="Q8" s="713"/>
      <c r="R8" s="713"/>
      <c r="S8" s="713"/>
    </row>
    <row r="9" spans="2:19" ht="3.75" customHeight="1" x14ac:dyDescent="0.2">
      <c r="B9" s="713"/>
      <c r="C9" s="713"/>
      <c r="D9" s="713"/>
      <c r="E9" s="720"/>
      <c r="F9" s="340"/>
      <c r="G9" s="340"/>
      <c r="H9" s="340"/>
      <c r="I9" s="341"/>
      <c r="J9" s="341"/>
      <c r="K9" s="340"/>
      <c r="L9" s="717"/>
      <c r="M9" s="713"/>
      <c r="N9" s="713"/>
      <c r="O9" s="713"/>
      <c r="P9" s="713"/>
      <c r="Q9" s="713"/>
      <c r="R9" s="713"/>
      <c r="S9" s="713"/>
    </row>
    <row r="10" spans="2:19" s="336" customFormat="1" ht="30.75" customHeight="1" thickBot="1" x14ac:dyDescent="0.25">
      <c r="B10" s="1143" t="s">
        <v>19</v>
      </c>
      <c r="C10" s="1143"/>
      <c r="D10" s="1143"/>
      <c r="E10" s="1143"/>
      <c r="F10" s="1143"/>
      <c r="G10" s="1143"/>
      <c r="H10" s="1143"/>
      <c r="I10" s="1143"/>
      <c r="J10" s="1143"/>
      <c r="K10" s="1143"/>
      <c r="L10" s="113"/>
      <c r="M10" s="717"/>
      <c r="N10" s="717"/>
      <c r="O10" s="717"/>
      <c r="P10" s="717"/>
      <c r="Q10" s="717"/>
      <c r="R10" s="717"/>
      <c r="S10" s="717"/>
    </row>
    <row r="11" spans="2:19" s="339" customFormat="1" ht="36" customHeight="1" thickBot="1" x14ac:dyDescent="0.25">
      <c r="B11" s="380" t="s">
        <v>454</v>
      </c>
      <c r="C11" s="1147" t="s">
        <v>1015</v>
      </c>
      <c r="D11" s="1147"/>
      <c r="E11" s="1147"/>
      <c r="F11" s="1147"/>
      <c r="G11" s="1147"/>
      <c r="H11" s="1147"/>
      <c r="I11" s="1147"/>
      <c r="J11" s="1147"/>
      <c r="K11" s="1147"/>
      <c r="L11" s="114"/>
      <c r="M11" s="719"/>
      <c r="N11" s="719"/>
      <c r="O11" s="719"/>
      <c r="P11" s="719"/>
      <c r="Q11" s="719"/>
      <c r="R11" s="719"/>
      <c r="S11" s="719"/>
    </row>
    <row r="12" spans="2:19" s="339" customFormat="1" ht="36" customHeight="1" x14ac:dyDescent="0.2">
      <c r="B12" s="191" t="s">
        <v>508</v>
      </c>
      <c r="C12" s="1148" t="s">
        <v>1016</v>
      </c>
      <c r="D12" s="1148"/>
      <c r="E12" s="1148"/>
      <c r="F12" s="1148"/>
      <c r="G12" s="1148"/>
      <c r="H12" s="1148"/>
      <c r="I12" s="1148"/>
      <c r="J12" s="1148"/>
      <c r="K12" s="1148"/>
      <c r="L12" s="114"/>
      <c r="M12" s="719"/>
      <c r="N12" s="719"/>
      <c r="O12" s="719"/>
      <c r="P12" s="719"/>
      <c r="Q12" s="719"/>
      <c r="R12" s="719"/>
      <c r="S12" s="719"/>
    </row>
    <row r="13" spans="2:19" s="412" customFormat="1" ht="20.25" customHeight="1" x14ac:dyDescent="0.2">
      <c r="B13" s="416"/>
      <c r="E13" s="416"/>
      <c r="H13" s="413"/>
      <c r="I13" s="414"/>
      <c r="J13" s="414"/>
      <c r="L13" s="415"/>
    </row>
    <row r="14" spans="2:19" ht="21" x14ac:dyDescent="0.2">
      <c r="B14" s="1145" t="s">
        <v>511</v>
      </c>
      <c r="C14" s="1145"/>
      <c r="D14" s="1145"/>
      <c r="E14" s="1145"/>
      <c r="F14" s="1145"/>
      <c r="G14" s="1145"/>
      <c r="H14" s="1145"/>
      <c r="I14" s="1145"/>
      <c r="J14" s="1145"/>
      <c r="K14" s="1145"/>
      <c r="L14" s="111"/>
      <c r="M14" s="713"/>
      <c r="N14" s="713"/>
      <c r="O14" s="713"/>
      <c r="P14" s="713"/>
      <c r="Q14" s="713"/>
      <c r="R14" s="713"/>
      <c r="S14" s="713"/>
    </row>
    <row r="15" spans="2:19" ht="19" x14ac:dyDescent="0.2">
      <c r="B15" s="1054" t="s">
        <v>1017</v>
      </c>
      <c r="C15" s="1054"/>
      <c r="D15" s="1054"/>
      <c r="E15" s="1054"/>
      <c r="F15" s="1054"/>
      <c r="G15" s="1054"/>
      <c r="H15" s="1054"/>
      <c r="I15" s="1054"/>
      <c r="J15" s="1054"/>
      <c r="K15" s="1054"/>
      <c r="L15" s="111"/>
      <c r="M15" s="713"/>
      <c r="N15" s="713"/>
      <c r="O15" s="713"/>
      <c r="P15" s="713"/>
      <c r="Q15" s="713"/>
      <c r="R15" s="713"/>
      <c r="S15" s="713"/>
    </row>
    <row r="16" spans="2:19" ht="15.75" customHeight="1" thickBot="1" x14ac:dyDescent="0.25">
      <c r="B16" s="1142" t="s">
        <v>1018</v>
      </c>
      <c r="C16" s="1142"/>
      <c r="D16" s="1142"/>
      <c r="E16" s="1142"/>
      <c r="F16" s="1142"/>
      <c r="G16" s="1142"/>
      <c r="H16" s="1142"/>
      <c r="I16" s="1142"/>
      <c r="J16" s="1142"/>
      <c r="K16" s="1142"/>
      <c r="L16" s="112"/>
      <c r="M16" s="713"/>
      <c r="N16" s="713"/>
      <c r="O16" s="713"/>
      <c r="P16" s="713"/>
      <c r="Q16" s="713"/>
      <c r="R16" s="713"/>
      <c r="S16" s="713"/>
    </row>
    <row r="17" spans="2:12" ht="17" thickBot="1" x14ac:dyDescent="0.25">
      <c r="B17" s="1056" t="s">
        <v>1019</v>
      </c>
      <c r="C17" s="1056"/>
      <c r="D17" s="1056"/>
      <c r="E17" s="1056"/>
      <c r="F17" s="1056"/>
      <c r="G17" s="1056"/>
      <c r="H17" s="1056"/>
      <c r="I17" s="1056"/>
      <c r="J17" s="1056"/>
      <c r="K17" s="1056"/>
      <c r="L17" s="112"/>
    </row>
    <row r="18" spans="2:12" ht="41.25" customHeight="1" thickBot="1" x14ac:dyDescent="0.25">
      <c r="B18" s="188"/>
      <c r="C18" s="1127" t="s">
        <v>946</v>
      </c>
      <c r="D18" s="1127"/>
      <c r="E18" s="675" t="s">
        <v>559</v>
      </c>
      <c r="F18" s="189" t="s">
        <v>1020</v>
      </c>
      <c r="G18" s="189" t="s">
        <v>1021</v>
      </c>
      <c r="H18" s="190" t="s">
        <v>1022</v>
      </c>
      <c r="I18" s="189" t="s">
        <v>1023</v>
      </c>
      <c r="J18" s="1135" t="s">
        <v>1024</v>
      </c>
      <c r="K18" s="1135"/>
      <c r="L18" s="717"/>
    </row>
    <row r="19" spans="2:12" ht="17" thickBot="1" x14ac:dyDescent="0.25">
      <c r="B19" s="721">
        <v>1</v>
      </c>
      <c r="C19" s="1120" t="str">
        <f>IFERROR(VLOOKUP($G$7&amp;$B19,'EV Charging Stations source'!A:AB,6,FALSE),"")</f>
        <v/>
      </c>
      <c r="D19" s="1120"/>
      <c r="E19" s="600" t="str">
        <f>IFERROR(VLOOKUP($G$7&amp;$B19,'EV Charging Stations source'!A:AB,7,FALSE),"")</f>
        <v/>
      </c>
      <c r="F19" s="674" t="str">
        <f>IFERROR(VLOOKUP($G$7&amp;$B19,'EV Charging Stations source'!A:AB,21,FALSE),"")</f>
        <v/>
      </c>
      <c r="G19" s="674" t="str">
        <f>IFERROR(VLOOKUP($G$7&amp;$B19,'EV Charging Stations source'!A:AB,22,FALSE),"")</f>
        <v/>
      </c>
      <c r="H19" s="342" t="str">
        <f>IFERROR(VLOOKUP($G$7&amp;$B19,'EV Charging Stations source'!A:AB,25,FALSE)," ")</f>
        <v xml:space="preserve"> </v>
      </c>
      <c r="I19" s="674" t="str">
        <f>IFERROR(VLOOKUP($G$7&amp;$B19,'EV Charging Stations source'!A:AB,16,FALSE)," ")</f>
        <v xml:space="preserve"> </v>
      </c>
      <c r="J19" s="1035"/>
      <c r="K19" s="1053"/>
      <c r="L19" s="717"/>
    </row>
    <row r="20" spans="2:12" ht="17" thickBot="1" x14ac:dyDescent="0.25">
      <c r="B20" s="721">
        <v>2</v>
      </c>
      <c r="C20" s="1120" t="str">
        <f>IFERROR(VLOOKUP($G$7&amp;$B20,'EV Charging Stations source'!A:AB,6,FALSE),"")</f>
        <v/>
      </c>
      <c r="D20" s="1120"/>
      <c r="E20" s="600" t="str">
        <f>IFERROR(VLOOKUP($G$7&amp;$B20,'EV Charging Stations source'!A:AB,7,FALSE),"")</f>
        <v/>
      </c>
      <c r="F20" s="674" t="str">
        <f>IFERROR(VLOOKUP($G$7&amp;$B20,'EV Charging Stations source'!A:AB,21,FALSE),"")</f>
        <v/>
      </c>
      <c r="G20" s="674" t="str">
        <f>IFERROR(VLOOKUP($G$7&amp;$B20,'EV Charging Stations source'!A:AB,22,FALSE),"")</f>
        <v/>
      </c>
      <c r="H20" s="342" t="str">
        <f>IFERROR(VLOOKUP($G$7&amp;$B20,'EV Charging Stations source'!A:AB,25,FALSE)," ")</f>
        <v xml:space="preserve"> </v>
      </c>
      <c r="I20" s="674" t="str">
        <f>IFERROR(VLOOKUP($G$7&amp;$B20,'EV Charging Stations source'!A:AB,16,FALSE)," ")</f>
        <v xml:space="preserve"> </v>
      </c>
      <c r="J20" s="1035"/>
      <c r="K20" s="1053"/>
      <c r="L20" s="717"/>
    </row>
    <row r="21" spans="2:12" ht="17" thickBot="1" x14ac:dyDescent="0.25">
      <c r="B21" s="721">
        <v>3</v>
      </c>
      <c r="C21" s="1120" t="str">
        <f>IFERROR(VLOOKUP($G$7&amp;$B21,'EV Charging Stations source'!A:AB,6,FALSE),"")</f>
        <v/>
      </c>
      <c r="D21" s="1120"/>
      <c r="E21" s="600" t="str">
        <f>IFERROR(VLOOKUP($G$7&amp;$B21,'EV Charging Stations source'!A:AB,7,FALSE),"")</f>
        <v/>
      </c>
      <c r="F21" s="674" t="str">
        <f>IFERROR(VLOOKUP($G$7&amp;$B21,'EV Charging Stations source'!A:AB,21,FALSE),"")</f>
        <v/>
      </c>
      <c r="G21" s="674" t="str">
        <f>IFERROR(VLOOKUP($G$7&amp;$B21,'EV Charging Stations source'!A:AB,22,FALSE),"")</f>
        <v/>
      </c>
      <c r="H21" s="342" t="str">
        <f>IFERROR(VLOOKUP($G$7&amp;$B21,'EV Charging Stations source'!A:AB,25,FALSE)," ")</f>
        <v xml:space="preserve"> </v>
      </c>
      <c r="I21" s="674" t="str">
        <f>IFERROR(VLOOKUP($G$7&amp;$B21,'EV Charging Stations source'!A:AB,16,FALSE)," ")</f>
        <v xml:space="preserve"> </v>
      </c>
      <c r="J21" s="1035"/>
      <c r="K21" s="1053"/>
      <c r="L21" s="717"/>
    </row>
    <row r="22" spans="2:12" ht="17" thickBot="1" x14ac:dyDescent="0.25">
      <c r="B22" s="721">
        <v>4</v>
      </c>
      <c r="C22" s="1120" t="str">
        <f>IFERROR(VLOOKUP($G$7&amp;$B22,'EV Charging Stations source'!A:AB,6,FALSE),"")</f>
        <v/>
      </c>
      <c r="D22" s="1120"/>
      <c r="E22" s="600" t="str">
        <f>IFERROR(VLOOKUP($G$7&amp;$B22,'EV Charging Stations source'!A:AB,7,FALSE),"")</f>
        <v/>
      </c>
      <c r="F22" s="674" t="str">
        <f>IFERROR(VLOOKUP($G$7&amp;$B22,'EV Charging Stations source'!A:AB,21,FALSE),"")</f>
        <v/>
      </c>
      <c r="G22" s="674" t="str">
        <f>IFERROR(VLOOKUP($G$7&amp;$B22,'EV Charging Stations source'!A:AB,22,FALSE),"")</f>
        <v/>
      </c>
      <c r="H22" s="342" t="str">
        <f>IFERROR(VLOOKUP($G$7&amp;$B22,'EV Charging Stations source'!A:AB,25,FALSE)," ")</f>
        <v xml:space="preserve"> </v>
      </c>
      <c r="I22" s="674" t="str">
        <f>IFERROR(VLOOKUP($G$7&amp;$B22,'EV Charging Stations source'!A:AB,16,FALSE)," ")</f>
        <v xml:space="preserve"> </v>
      </c>
      <c r="J22" s="1035"/>
      <c r="K22" s="1053"/>
      <c r="L22" s="717"/>
    </row>
    <row r="23" spans="2:12" ht="17" thickBot="1" x14ac:dyDescent="0.25">
      <c r="B23" s="721">
        <v>5</v>
      </c>
      <c r="C23" s="1120" t="str">
        <f>IFERROR(VLOOKUP($G$7&amp;$B23,'EV Charging Stations source'!A:AB,6,FALSE),"")</f>
        <v/>
      </c>
      <c r="D23" s="1120"/>
      <c r="E23" s="600" t="str">
        <f>IFERROR(VLOOKUP($G$7&amp;$B23,'EV Charging Stations source'!A:AB,7,FALSE),"")</f>
        <v/>
      </c>
      <c r="F23" s="674" t="str">
        <f>IFERROR(VLOOKUP($G$7&amp;$B23,'EV Charging Stations source'!A:AB,21,FALSE),"")</f>
        <v/>
      </c>
      <c r="G23" s="674" t="str">
        <f>IFERROR(VLOOKUP($G$7&amp;$B23,'EV Charging Stations source'!A:AB,22,FALSE),"")</f>
        <v/>
      </c>
      <c r="H23" s="342" t="str">
        <f>IFERROR(VLOOKUP($G$7&amp;$B23,'EV Charging Stations source'!A:AB,25,FALSE)," ")</f>
        <v xml:space="preserve"> </v>
      </c>
      <c r="I23" s="674" t="str">
        <f>IFERROR(VLOOKUP($G$7&amp;$B23,'EV Charging Stations source'!A:AB,16,FALSE)," ")</f>
        <v xml:space="preserve"> </v>
      </c>
      <c r="J23" s="1035"/>
      <c r="K23" s="1053"/>
      <c r="L23" s="717"/>
    </row>
    <row r="24" spans="2:12" ht="17" thickBot="1" x14ac:dyDescent="0.25">
      <c r="B24" s="721">
        <v>6</v>
      </c>
      <c r="C24" s="1120" t="str">
        <f>IFERROR(VLOOKUP($G$7&amp;$B24,'EV Charging Stations source'!A:AB,6,FALSE),"")</f>
        <v/>
      </c>
      <c r="D24" s="1120"/>
      <c r="E24" s="600" t="str">
        <f>IFERROR(VLOOKUP($G$7&amp;$B24,'EV Charging Stations source'!A:AB,7,FALSE),"")</f>
        <v/>
      </c>
      <c r="F24" s="674" t="str">
        <f>IFERROR(VLOOKUP($G$7&amp;$B24,'EV Charging Stations source'!A:AB,21,FALSE),"")</f>
        <v/>
      </c>
      <c r="G24" s="674" t="str">
        <f>IFERROR(VLOOKUP($G$7&amp;$B24,'EV Charging Stations source'!A:AB,22,FALSE),"")</f>
        <v/>
      </c>
      <c r="H24" s="342" t="str">
        <f>IFERROR(VLOOKUP($G$7&amp;$B24,'EV Charging Stations source'!A:AB,25,FALSE)," ")</f>
        <v xml:space="preserve"> </v>
      </c>
      <c r="I24" s="674" t="str">
        <f>IFERROR(VLOOKUP($G$7&amp;$B24,'EV Charging Stations source'!A:AB,16,FALSE)," ")</f>
        <v xml:space="preserve"> </v>
      </c>
      <c r="J24" s="1035"/>
      <c r="K24" s="1053"/>
      <c r="L24" s="717"/>
    </row>
    <row r="25" spans="2:12" ht="17" thickBot="1" x14ac:dyDescent="0.25">
      <c r="B25" s="721">
        <v>7</v>
      </c>
      <c r="C25" s="1120" t="str">
        <f>IFERROR(VLOOKUP($G$7&amp;$B25,'EV Charging Stations source'!A:AB,6,FALSE),"")</f>
        <v/>
      </c>
      <c r="D25" s="1120"/>
      <c r="E25" s="600" t="str">
        <f>IFERROR(VLOOKUP($G$7&amp;$B25,'EV Charging Stations source'!A:AB,7,FALSE),"")</f>
        <v/>
      </c>
      <c r="F25" s="674" t="str">
        <f>IFERROR(VLOOKUP($G$7&amp;$B25,'EV Charging Stations source'!A:AB,21,FALSE),"")</f>
        <v/>
      </c>
      <c r="G25" s="674" t="str">
        <f>IFERROR(VLOOKUP($G$7&amp;$B25,'EV Charging Stations source'!A:AB,22,FALSE),"")</f>
        <v/>
      </c>
      <c r="H25" s="342" t="str">
        <f>IFERROR(VLOOKUP($G$7&amp;$B25,'EV Charging Stations source'!A:AB,25,FALSE)," ")</f>
        <v xml:space="preserve"> </v>
      </c>
      <c r="I25" s="674" t="str">
        <f>IFERROR(VLOOKUP($G$7&amp;$B25,'EV Charging Stations source'!A:AB,16,FALSE)," ")</f>
        <v xml:space="preserve"> </v>
      </c>
      <c r="J25" s="1035"/>
      <c r="K25" s="1053"/>
      <c r="L25" s="717"/>
    </row>
    <row r="26" spans="2:12" ht="17" thickBot="1" x14ac:dyDescent="0.25">
      <c r="B26" s="721">
        <v>8</v>
      </c>
      <c r="C26" s="1120" t="str">
        <f>IFERROR(VLOOKUP($G$7&amp;$B26,'EV Charging Stations source'!A:AB,6,FALSE),"")</f>
        <v/>
      </c>
      <c r="D26" s="1120"/>
      <c r="E26" s="600" t="str">
        <f>IFERROR(VLOOKUP($G$7&amp;$B26,'EV Charging Stations source'!A:AB,7,FALSE),"")</f>
        <v/>
      </c>
      <c r="F26" s="674" t="str">
        <f>IFERROR(VLOOKUP($G$7&amp;$B26,'EV Charging Stations source'!A:AB,21,FALSE),"")</f>
        <v/>
      </c>
      <c r="G26" s="674" t="str">
        <f>IFERROR(VLOOKUP($G$7&amp;$B26,'EV Charging Stations source'!A:AB,22,FALSE),"")</f>
        <v/>
      </c>
      <c r="H26" s="342" t="str">
        <f>IFERROR(VLOOKUP($G$7&amp;$B26,'EV Charging Stations source'!A:AB,25,FALSE)," ")</f>
        <v xml:space="preserve"> </v>
      </c>
      <c r="I26" s="674" t="str">
        <f>IFERROR(VLOOKUP($G$7&amp;$B26,'EV Charging Stations source'!A:AB,16,FALSE)," ")</f>
        <v xml:space="preserve"> </v>
      </c>
      <c r="J26" s="1035"/>
      <c r="K26" s="1053"/>
      <c r="L26" s="717"/>
    </row>
    <row r="27" spans="2:12" ht="17" thickBot="1" x14ac:dyDescent="0.25">
      <c r="B27" s="721">
        <v>9</v>
      </c>
      <c r="C27" s="1120" t="str">
        <f>IFERROR(VLOOKUP($G$7&amp;$B27,'EV Charging Stations source'!A:AB,6,FALSE),"")</f>
        <v/>
      </c>
      <c r="D27" s="1120"/>
      <c r="E27" s="600" t="str">
        <f>IFERROR(VLOOKUP($G$7&amp;$B27,'EV Charging Stations source'!A:AB,7,FALSE),"")</f>
        <v/>
      </c>
      <c r="F27" s="674" t="str">
        <f>IFERROR(VLOOKUP($G$7&amp;$B27,'EV Charging Stations source'!A:AB,21,FALSE),"")</f>
        <v/>
      </c>
      <c r="G27" s="674" t="str">
        <f>IFERROR(VLOOKUP($G$7&amp;$B27,'EV Charging Stations source'!A:AB,22,FALSE),"")</f>
        <v/>
      </c>
      <c r="H27" s="342" t="str">
        <f>IFERROR(VLOOKUP($G$7&amp;$B27,'EV Charging Stations source'!A:AB,25,FALSE)," ")</f>
        <v xml:space="preserve"> </v>
      </c>
      <c r="I27" s="674" t="str">
        <f>IFERROR(VLOOKUP($G$7&amp;$B27,'EV Charging Stations source'!A:AB,16,FALSE)," ")</f>
        <v xml:space="preserve"> </v>
      </c>
      <c r="J27" s="1035"/>
      <c r="K27" s="1053"/>
      <c r="L27" s="717"/>
    </row>
    <row r="28" spans="2:12" ht="17" thickBot="1" x14ac:dyDescent="0.25">
      <c r="B28" s="721">
        <v>10</v>
      </c>
      <c r="C28" s="1120" t="str">
        <f>IFERROR(VLOOKUP($G$7&amp;$B28,'EV Charging Stations source'!A:AB,6,FALSE),"")</f>
        <v/>
      </c>
      <c r="D28" s="1120"/>
      <c r="E28" s="600" t="str">
        <f>IFERROR(VLOOKUP($G$7&amp;$B28,'EV Charging Stations source'!A:AB,7,FALSE),"")</f>
        <v/>
      </c>
      <c r="F28" s="674" t="str">
        <f>IFERROR(VLOOKUP($G$7&amp;$B28,'EV Charging Stations source'!A:AB,21,FALSE),"")</f>
        <v/>
      </c>
      <c r="G28" s="674" t="str">
        <f>IFERROR(VLOOKUP($G$7&amp;$B28,'EV Charging Stations source'!A:AB,22,FALSE),"")</f>
        <v/>
      </c>
      <c r="H28" s="342" t="str">
        <f>IFERROR(VLOOKUP($G$7&amp;$B28,'EV Charging Stations source'!A:AB,25,FALSE)," ")</f>
        <v xml:space="preserve"> </v>
      </c>
      <c r="I28" s="674" t="str">
        <f>IFERROR(VLOOKUP($G$7&amp;$B28,'EV Charging Stations source'!A:AB,16,FALSE)," ")</f>
        <v xml:space="preserve"> </v>
      </c>
      <c r="J28" s="1035"/>
      <c r="K28" s="1053"/>
      <c r="L28" s="717"/>
    </row>
    <row r="29" spans="2:12" ht="17" thickBot="1" x14ac:dyDescent="0.25">
      <c r="B29" s="721">
        <v>11</v>
      </c>
      <c r="C29" s="1120" t="str">
        <f>IFERROR(VLOOKUP($G$7&amp;$B29,'EV Charging Stations source'!A:AB,6,FALSE),"")</f>
        <v/>
      </c>
      <c r="D29" s="1120"/>
      <c r="E29" s="600" t="str">
        <f>IFERROR(VLOOKUP($G$7&amp;$B29,'EV Charging Stations source'!A:AB,7,FALSE),"")</f>
        <v/>
      </c>
      <c r="F29" s="674" t="str">
        <f>IFERROR(VLOOKUP($G$7&amp;$B29,'EV Charging Stations source'!A:AB,21,FALSE),"")</f>
        <v/>
      </c>
      <c r="G29" s="674" t="str">
        <f>IFERROR(VLOOKUP($G$7&amp;$B29,'EV Charging Stations source'!A:AB,22,FALSE),"")</f>
        <v/>
      </c>
      <c r="H29" s="342" t="str">
        <f>IFERROR(VLOOKUP($G$7&amp;$B29,'EV Charging Stations source'!A:AB,25,FALSE)," ")</f>
        <v xml:space="preserve"> </v>
      </c>
      <c r="I29" s="674" t="str">
        <f>IFERROR(VLOOKUP($G$7&amp;$B29,'EV Charging Stations source'!A:AB,16,FALSE)," ")</f>
        <v xml:space="preserve"> </v>
      </c>
      <c r="J29" s="1035"/>
      <c r="K29" s="1053"/>
      <c r="L29" s="717"/>
    </row>
    <row r="30" spans="2:12" ht="17" thickBot="1" x14ac:dyDescent="0.25">
      <c r="B30" s="721">
        <v>12</v>
      </c>
      <c r="C30" s="1120" t="str">
        <f>IFERROR(VLOOKUP($G$7&amp;$B30,'EV Charging Stations source'!A:AB,6,FALSE),"")</f>
        <v/>
      </c>
      <c r="D30" s="1120"/>
      <c r="E30" s="600" t="str">
        <f>IFERROR(VLOOKUP($G$7&amp;$B30,'EV Charging Stations source'!A:AB,7,FALSE),"")</f>
        <v/>
      </c>
      <c r="F30" s="674" t="str">
        <f>IFERROR(VLOOKUP($G$7&amp;$B30,'EV Charging Stations source'!A:AB,21,FALSE),"")</f>
        <v/>
      </c>
      <c r="G30" s="674" t="str">
        <f>IFERROR(VLOOKUP($G$7&amp;$B30,'EV Charging Stations source'!A:AB,22,FALSE),"")</f>
        <v/>
      </c>
      <c r="H30" s="342" t="str">
        <f>IFERROR(VLOOKUP($G$7&amp;$B30,'EV Charging Stations source'!A:AB,25,FALSE)," ")</f>
        <v xml:space="preserve"> </v>
      </c>
      <c r="I30" s="674" t="str">
        <f>IFERROR(VLOOKUP($G$7&amp;$B30,'EV Charging Stations source'!A:AB,16,FALSE)," ")</f>
        <v xml:space="preserve"> </v>
      </c>
      <c r="J30" s="1035"/>
      <c r="K30" s="1053"/>
      <c r="L30" s="717"/>
    </row>
    <row r="31" spans="2:12" ht="17" thickBot="1" x14ac:dyDescent="0.25">
      <c r="B31" s="721">
        <v>13</v>
      </c>
      <c r="C31" s="1120" t="str">
        <f>IFERROR(VLOOKUP($G$7&amp;$B31,'EV Charging Stations source'!A:AB,6,FALSE),"")</f>
        <v/>
      </c>
      <c r="D31" s="1120"/>
      <c r="E31" s="600" t="str">
        <f>IFERROR(VLOOKUP($G$7&amp;$B31,'EV Charging Stations source'!A:AB,7,FALSE),"")</f>
        <v/>
      </c>
      <c r="F31" s="674" t="str">
        <f>IFERROR(VLOOKUP($G$7&amp;$B31,'EV Charging Stations source'!A:AB,21,FALSE),"")</f>
        <v/>
      </c>
      <c r="G31" s="674" t="str">
        <f>IFERROR(VLOOKUP($G$7&amp;$B31,'EV Charging Stations source'!A:AB,22,FALSE),"")</f>
        <v/>
      </c>
      <c r="H31" s="342" t="str">
        <f>IFERROR(VLOOKUP($G$7&amp;$B31,'EV Charging Stations source'!A:AB,25,FALSE)," ")</f>
        <v xml:space="preserve"> </v>
      </c>
      <c r="I31" s="674" t="str">
        <f>IFERROR(VLOOKUP($G$7&amp;$B31,'EV Charging Stations source'!A:AB,16,FALSE)," ")</f>
        <v xml:space="preserve"> </v>
      </c>
      <c r="J31" s="1035"/>
      <c r="K31" s="1053"/>
      <c r="L31" s="717"/>
    </row>
    <row r="32" spans="2:12" ht="17" thickBot="1" x14ac:dyDescent="0.25">
      <c r="B32" s="721">
        <v>14</v>
      </c>
      <c r="C32" s="1120" t="str">
        <f>IFERROR(VLOOKUP($G$7&amp;$B32,'EV Charging Stations source'!A:AB,6,FALSE),"")</f>
        <v/>
      </c>
      <c r="D32" s="1120"/>
      <c r="E32" s="600" t="str">
        <f>IFERROR(VLOOKUP($G$7&amp;$B32,'EV Charging Stations source'!A:AB,7,FALSE),"")</f>
        <v/>
      </c>
      <c r="F32" s="674" t="str">
        <f>IFERROR(VLOOKUP($G$7&amp;$B32,'EV Charging Stations source'!A:AB,21,FALSE),"")</f>
        <v/>
      </c>
      <c r="G32" s="674" t="str">
        <f>IFERROR(VLOOKUP($G$7&amp;$B32,'EV Charging Stations source'!A:AB,22,FALSE),"")</f>
        <v/>
      </c>
      <c r="H32" s="342" t="str">
        <f>IFERROR(VLOOKUP($G$7&amp;$B32,'EV Charging Stations source'!A:AB,25,FALSE)," ")</f>
        <v xml:space="preserve"> </v>
      </c>
      <c r="I32" s="674" t="str">
        <f>IFERROR(VLOOKUP($G$7&amp;$B32,'EV Charging Stations source'!A:AB,16,FALSE)," ")</f>
        <v xml:space="preserve"> </v>
      </c>
      <c r="J32" s="1035"/>
      <c r="K32" s="1053"/>
      <c r="L32" s="717"/>
    </row>
    <row r="33" spans="2:12" ht="17" thickBot="1" x14ac:dyDescent="0.25">
      <c r="B33" s="721">
        <v>15</v>
      </c>
      <c r="C33" s="1120" t="str">
        <f>IFERROR(VLOOKUP($G$7&amp;$B33,'EV Charging Stations source'!A:AB,6,FALSE),"")</f>
        <v/>
      </c>
      <c r="D33" s="1120"/>
      <c r="E33" s="600" t="str">
        <f>IFERROR(VLOOKUP($G$7&amp;$B33,'EV Charging Stations source'!A:AB,7,FALSE),"")</f>
        <v/>
      </c>
      <c r="F33" s="674" t="str">
        <f>IFERROR(VLOOKUP($G$7&amp;$B33,'EV Charging Stations source'!A:AB,21,FALSE),"")</f>
        <v/>
      </c>
      <c r="G33" s="674" t="str">
        <f>IFERROR(VLOOKUP($G$7&amp;$B33,'EV Charging Stations source'!A:AB,22,FALSE),"")</f>
        <v/>
      </c>
      <c r="H33" s="342" t="str">
        <f>IFERROR(VLOOKUP($G$7&amp;$B33,'EV Charging Stations source'!A:AB,25,FALSE)," ")</f>
        <v xml:space="preserve"> </v>
      </c>
      <c r="I33" s="674" t="str">
        <f>IFERROR(VLOOKUP($G$7&amp;$B33,'EV Charging Stations source'!A:AB,16,FALSE)," ")</f>
        <v xml:space="preserve"> </v>
      </c>
      <c r="J33" s="1035"/>
      <c r="K33" s="1053"/>
      <c r="L33" s="717"/>
    </row>
    <row r="34" spans="2:12" ht="17" thickBot="1" x14ac:dyDescent="0.25">
      <c r="B34" s="721">
        <v>16</v>
      </c>
      <c r="C34" s="1136" t="str">
        <f>IFERROR(VLOOKUP($G$7&amp;$B34,'EV Charging Stations source'!A:AB,6,FALSE),"")</f>
        <v/>
      </c>
      <c r="D34" s="1137"/>
      <c r="E34" s="600" t="str">
        <f>IFERROR(VLOOKUP($G$7&amp;$B34,'EV Charging Stations source'!A:AB,7,FALSE),"")</f>
        <v/>
      </c>
      <c r="F34" s="674" t="str">
        <f>IFERROR(VLOOKUP($G$7&amp;$B34,'EV Charging Stations source'!A:AB,21,FALSE),"")</f>
        <v/>
      </c>
      <c r="G34" s="674" t="str">
        <f>IFERROR(VLOOKUP($G$7&amp;$B34,'EV Charging Stations source'!A:AB,22,FALSE),"")</f>
        <v/>
      </c>
      <c r="H34" s="342" t="str">
        <f>IFERROR(VLOOKUP($G$7&amp;$B34,'EV Charging Stations source'!A:AB,25,FALSE)," ")</f>
        <v xml:space="preserve"> </v>
      </c>
      <c r="I34" s="674" t="str">
        <f>IFERROR(VLOOKUP($G$7&amp;$B34,'EV Charging Stations source'!A:AB,16,FALSE)," ")</f>
        <v xml:space="preserve"> </v>
      </c>
      <c r="J34" s="1035"/>
      <c r="K34" s="1053"/>
      <c r="L34" s="717"/>
    </row>
    <row r="35" spans="2:12" ht="17" thickBot="1" x14ac:dyDescent="0.25">
      <c r="B35" s="721">
        <v>17</v>
      </c>
      <c r="C35" s="1120" t="str">
        <f>IFERROR(VLOOKUP($G$7&amp;$B35,'EV Charging Stations source'!A:AB,6,FALSE),"")</f>
        <v/>
      </c>
      <c r="D35" s="1120"/>
      <c r="E35" s="600" t="str">
        <f>IFERROR(VLOOKUP($G$7&amp;$B35,'EV Charging Stations source'!A:AB,7,FALSE),"")</f>
        <v/>
      </c>
      <c r="F35" s="674" t="str">
        <f>IFERROR(VLOOKUP($G$7&amp;$B35,'EV Charging Stations source'!A:AB,21,FALSE),"")</f>
        <v/>
      </c>
      <c r="G35" s="674" t="str">
        <f>IFERROR(VLOOKUP($G$7&amp;$B35,'EV Charging Stations source'!A:AB,22,FALSE),"")</f>
        <v/>
      </c>
      <c r="H35" s="342" t="str">
        <f>IFERROR(VLOOKUP($G$7&amp;$B35,'EV Charging Stations source'!A:AB,25,FALSE)," ")</f>
        <v xml:space="preserve"> </v>
      </c>
      <c r="I35" s="674" t="str">
        <f>IFERROR(VLOOKUP($G$7&amp;$B35,'EV Charging Stations source'!A:AB,16,FALSE)," ")</f>
        <v xml:space="preserve"> </v>
      </c>
      <c r="J35" s="1035"/>
      <c r="K35" s="1053"/>
      <c r="L35" s="717"/>
    </row>
    <row r="36" spans="2:12" ht="17" thickBot="1" x14ac:dyDescent="0.25">
      <c r="B36" s="721">
        <v>18</v>
      </c>
      <c r="C36" s="1120" t="str">
        <f>IFERROR(VLOOKUP($G$7&amp;$B36,'EV Charging Stations source'!A:AB,6,FALSE),"")</f>
        <v/>
      </c>
      <c r="D36" s="1120"/>
      <c r="E36" s="600" t="str">
        <f>IFERROR(VLOOKUP($G$7&amp;$B36,'EV Charging Stations source'!A:AB,7,FALSE),"")</f>
        <v/>
      </c>
      <c r="F36" s="674" t="str">
        <f>IFERROR(VLOOKUP($G$7&amp;$B36,'EV Charging Stations source'!A:AB,21,FALSE),"")</f>
        <v/>
      </c>
      <c r="G36" s="674" t="str">
        <f>IFERROR(VLOOKUP($G$7&amp;$B36,'EV Charging Stations source'!A:AB,22,FALSE),"")</f>
        <v/>
      </c>
      <c r="H36" s="342" t="str">
        <f>IFERROR(VLOOKUP($G$7&amp;$B36,'EV Charging Stations source'!A:AB,25,FALSE)," ")</f>
        <v xml:space="preserve"> </v>
      </c>
      <c r="I36" s="674" t="str">
        <f>IFERROR(VLOOKUP($G$7&amp;$B36,'EV Charging Stations source'!A:AB,16,FALSE)," ")</f>
        <v xml:space="preserve"> </v>
      </c>
      <c r="J36" s="1035"/>
      <c r="K36" s="1053"/>
      <c r="L36" s="717"/>
    </row>
    <row r="37" spans="2:12" ht="17" thickBot="1" x14ac:dyDescent="0.25">
      <c r="B37" s="721">
        <v>19</v>
      </c>
      <c r="C37" s="1120" t="str">
        <f>IFERROR(VLOOKUP($G$7&amp;$B37,'EV Charging Stations source'!A:AB,6,FALSE),"")</f>
        <v/>
      </c>
      <c r="D37" s="1120"/>
      <c r="E37" s="600" t="str">
        <f>IFERROR(VLOOKUP($G$7&amp;$B37,'EV Charging Stations source'!A:AB,7,FALSE),"")</f>
        <v/>
      </c>
      <c r="F37" s="674" t="str">
        <f>IFERROR(VLOOKUP($G$7&amp;$B37,'EV Charging Stations source'!A:AB,21,FALSE),"")</f>
        <v/>
      </c>
      <c r="G37" s="674" t="str">
        <f>IFERROR(VLOOKUP($G$7&amp;$B37,'EV Charging Stations source'!A:AB,22,FALSE),"")</f>
        <v/>
      </c>
      <c r="H37" s="342" t="str">
        <f>IFERROR(VLOOKUP($G$7&amp;$B37,'EV Charging Stations source'!A:AB,25,FALSE)," ")</f>
        <v xml:space="preserve"> </v>
      </c>
      <c r="I37" s="674" t="str">
        <f>IFERROR(VLOOKUP($G$7&amp;$B37,'EV Charging Stations source'!A:AB,16,FALSE)," ")</f>
        <v xml:space="preserve"> </v>
      </c>
      <c r="J37" s="1035"/>
      <c r="K37" s="1053"/>
      <c r="L37" s="717"/>
    </row>
    <row r="38" spans="2:12" ht="17" thickBot="1" x14ac:dyDescent="0.25">
      <c r="B38" s="721">
        <v>20</v>
      </c>
      <c r="C38" s="1120" t="str">
        <f>IFERROR(VLOOKUP($G$7&amp;$B38,'EV Charging Stations source'!A:AB,6,FALSE),"")</f>
        <v/>
      </c>
      <c r="D38" s="1120"/>
      <c r="E38" s="600" t="str">
        <f>IFERROR(VLOOKUP($G$7&amp;$B38,'EV Charging Stations source'!A:AB,7,FALSE),"")</f>
        <v/>
      </c>
      <c r="F38" s="674" t="str">
        <f>IFERROR(VLOOKUP($G$7&amp;$B38,'EV Charging Stations source'!A:AB,21,FALSE),"")</f>
        <v/>
      </c>
      <c r="G38" s="674" t="str">
        <f>IFERROR(VLOOKUP($G$7&amp;$B38,'EV Charging Stations source'!A:AB,22,FALSE),"")</f>
        <v/>
      </c>
      <c r="H38" s="342" t="str">
        <f>IFERROR(VLOOKUP($G$7&amp;$B38,'EV Charging Stations source'!A:AB,25,FALSE)," ")</f>
        <v xml:space="preserve"> </v>
      </c>
      <c r="I38" s="674" t="str">
        <f>IFERROR(VLOOKUP($G$7&amp;$B38,'EV Charging Stations source'!A:AB,16,FALSE)," ")</f>
        <v xml:space="preserve"> </v>
      </c>
      <c r="J38" s="769"/>
      <c r="K38" s="770"/>
      <c r="L38" s="717"/>
    </row>
    <row r="39" spans="2:12" ht="17" thickBot="1" x14ac:dyDescent="0.25">
      <c r="B39" s="721">
        <v>21</v>
      </c>
      <c r="C39" s="1120" t="str">
        <f>IFERROR(VLOOKUP($G$7&amp;$B39,'EV Charging Stations source'!A:AB,6,FALSE),"")</f>
        <v/>
      </c>
      <c r="D39" s="1120"/>
      <c r="E39" s="600" t="str">
        <f>IFERROR(VLOOKUP($G$7&amp;$B39,'EV Charging Stations source'!A:AB,7,FALSE),"")</f>
        <v/>
      </c>
      <c r="F39" s="772" t="str">
        <f>IFERROR(VLOOKUP($G$7&amp;$B39,'EV Charging Stations source'!A:AB,21,FALSE),"")</f>
        <v/>
      </c>
      <c r="G39" s="772" t="str">
        <f>IFERROR(VLOOKUP($G$7&amp;$B39,'EV Charging Stations source'!A:AB,22,FALSE),"")</f>
        <v/>
      </c>
      <c r="H39" s="342" t="str">
        <f>IFERROR(VLOOKUP($G$7&amp;$B39,'EV Charging Stations source'!A:AB,25,FALSE)," ")</f>
        <v xml:space="preserve"> </v>
      </c>
      <c r="I39" s="772" t="str">
        <f>IFERROR(VLOOKUP($G$7&amp;$B39,'EV Charging Stations source'!A:AB,16,FALSE)," ")</f>
        <v xml:space="preserve"> </v>
      </c>
      <c r="J39" s="769"/>
      <c r="K39" s="770"/>
      <c r="L39" s="717"/>
    </row>
    <row r="40" spans="2:12" ht="17" thickBot="1" x14ac:dyDescent="0.25">
      <c r="B40" s="721">
        <v>22</v>
      </c>
      <c r="C40" s="1120" t="str">
        <f>IFERROR(VLOOKUP($G$7&amp;$B40,'EV Charging Stations source'!A:AB,6,FALSE),"")</f>
        <v/>
      </c>
      <c r="D40" s="1120"/>
      <c r="E40" s="600" t="str">
        <f>IFERROR(VLOOKUP($G$7&amp;$B40,'EV Charging Stations source'!A:AB,7,FALSE),"")</f>
        <v/>
      </c>
      <c r="F40" s="772" t="str">
        <f>IFERROR(VLOOKUP($G$7&amp;$B40,'EV Charging Stations source'!A:AB,21,FALSE),"")</f>
        <v/>
      </c>
      <c r="G40" s="772" t="str">
        <f>IFERROR(VLOOKUP($G$7&amp;$B40,'EV Charging Stations source'!A:AB,22,FALSE),"")</f>
        <v/>
      </c>
      <c r="H40" s="342" t="str">
        <f>IFERROR(VLOOKUP($G$7&amp;$B40,'EV Charging Stations source'!A:AB,25,FALSE)," ")</f>
        <v xml:space="preserve"> </v>
      </c>
      <c r="I40" s="772" t="str">
        <f>IFERROR(VLOOKUP($G$7&amp;$B40,'EV Charging Stations source'!A:AB,16,FALSE)," ")</f>
        <v xml:space="preserve"> </v>
      </c>
      <c r="J40" s="769"/>
      <c r="K40" s="770"/>
      <c r="L40" s="717"/>
    </row>
    <row r="41" spans="2:12" ht="17" thickBot="1" x14ac:dyDescent="0.25">
      <c r="B41" s="721">
        <v>23</v>
      </c>
      <c r="C41" s="1120" t="str">
        <f>IFERROR(VLOOKUP($G$7&amp;$B41,'EV Charging Stations source'!A:AB,6,FALSE),"")</f>
        <v/>
      </c>
      <c r="D41" s="1120"/>
      <c r="E41" s="600" t="str">
        <f>IFERROR(VLOOKUP($G$7&amp;$B41,'EV Charging Stations source'!A:AB,7,FALSE),"")</f>
        <v/>
      </c>
      <c r="F41" s="772" t="str">
        <f>IFERROR(VLOOKUP($G$7&amp;$B41,'EV Charging Stations source'!A:AB,21,FALSE),"")</f>
        <v/>
      </c>
      <c r="G41" s="772" t="str">
        <f>IFERROR(VLOOKUP($G$7&amp;$B41,'EV Charging Stations source'!A:AB,22,FALSE),"")</f>
        <v/>
      </c>
      <c r="H41" s="342" t="str">
        <f>IFERROR(VLOOKUP($G$7&amp;$B41,'EV Charging Stations source'!A:AB,25,FALSE)," ")</f>
        <v xml:space="preserve"> </v>
      </c>
      <c r="I41" s="772" t="str">
        <f>IFERROR(VLOOKUP($G$7&amp;$B41,'EV Charging Stations source'!A:AB,16,FALSE)," ")</f>
        <v xml:space="preserve"> </v>
      </c>
      <c r="J41" s="769"/>
      <c r="K41" s="770"/>
      <c r="L41" s="717"/>
    </row>
    <row r="42" spans="2:12" ht="17" thickBot="1" x14ac:dyDescent="0.25">
      <c r="B42" s="721">
        <v>24</v>
      </c>
      <c r="C42" s="1120" t="str">
        <f>IFERROR(VLOOKUP($G$7&amp;$B42,'EV Charging Stations source'!A:AB,6,FALSE),"")</f>
        <v/>
      </c>
      <c r="D42" s="1120"/>
      <c r="E42" s="600" t="str">
        <f>IFERROR(VLOOKUP($G$7&amp;$B42,'EV Charging Stations source'!A:AB,7,FALSE),"")</f>
        <v/>
      </c>
      <c r="F42" s="772" t="str">
        <f>IFERROR(VLOOKUP($G$7&amp;$B42,'EV Charging Stations source'!A:AB,21,FALSE),"")</f>
        <v/>
      </c>
      <c r="G42" s="772" t="str">
        <f>IFERROR(VLOOKUP($G$7&amp;$B42,'EV Charging Stations source'!A:AB,22,FALSE),"")</f>
        <v/>
      </c>
      <c r="H42" s="342" t="str">
        <f>IFERROR(VLOOKUP($G$7&amp;$B42,'EV Charging Stations source'!A:AB,25,FALSE)," ")</f>
        <v xml:space="preserve"> </v>
      </c>
      <c r="I42" s="772" t="str">
        <f>IFERROR(VLOOKUP($G$7&amp;$B42,'EV Charging Stations source'!A:AB,16,FALSE)," ")</f>
        <v xml:space="preserve"> </v>
      </c>
      <c r="J42" s="769"/>
      <c r="K42" s="770"/>
      <c r="L42" s="717"/>
    </row>
    <row r="43" spans="2:12" ht="17" thickBot="1" x14ac:dyDescent="0.25">
      <c r="B43" s="721">
        <v>25</v>
      </c>
      <c r="C43" s="1120" t="str">
        <f>IFERROR(VLOOKUP($G$7&amp;$B43,'EV Charging Stations source'!A:AB,6,FALSE),"")</f>
        <v/>
      </c>
      <c r="D43" s="1120"/>
      <c r="E43" s="600" t="str">
        <f>IFERROR(VLOOKUP($G$7&amp;$B43,'EV Charging Stations source'!A:AB,7,FALSE),"")</f>
        <v/>
      </c>
      <c r="F43" s="772" t="str">
        <f>IFERROR(VLOOKUP($G$7&amp;$B43,'EV Charging Stations source'!A:AB,21,FALSE),"")</f>
        <v/>
      </c>
      <c r="G43" s="772" t="str">
        <f>IFERROR(VLOOKUP($G$7&amp;$B43,'EV Charging Stations source'!A:AB,22,FALSE),"")</f>
        <v/>
      </c>
      <c r="H43" s="342" t="str">
        <f>IFERROR(VLOOKUP($G$7&amp;$B43,'EV Charging Stations source'!A:AB,25,FALSE)," ")</f>
        <v xml:space="preserve"> </v>
      </c>
      <c r="I43" s="772" t="str">
        <f>IFERROR(VLOOKUP($G$7&amp;$B43,'EV Charging Stations source'!A:AB,16,FALSE)," ")</f>
        <v xml:space="preserve"> </v>
      </c>
      <c r="J43" s="769"/>
      <c r="K43" s="770"/>
      <c r="L43" s="717"/>
    </row>
    <row r="44" spans="2:12" ht="17" thickBot="1" x14ac:dyDescent="0.25">
      <c r="B44" s="827">
        <v>26</v>
      </c>
      <c r="C44" s="1117" t="str">
        <f>IFERROR(VLOOKUP($G$7&amp;$B44,'EV Charging Stations source'!A:AB,6,FALSE),"")</f>
        <v/>
      </c>
      <c r="D44" s="1117"/>
      <c r="E44" s="828" t="str">
        <f>IFERROR(VLOOKUP($G$7&amp;$B44,'EV Charging Stations source'!A:AB,7,FALSE),"")</f>
        <v/>
      </c>
      <c r="F44" s="829" t="str">
        <f>IFERROR(VLOOKUP($G$7&amp;$B44,'EV Charging Stations source'!A:AB,21,FALSE),"")</f>
        <v/>
      </c>
      <c r="G44" s="829" t="str">
        <f>IFERROR(VLOOKUP($G$7&amp;$B44,'EV Charging Stations source'!A:AB,22,FALSE),"")</f>
        <v/>
      </c>
      <c r="H44" s="830" t="str">
        <f>IFERROR(VLOOKUP($G$7&amp;$B44,'EV Charging Stations source'!A:AB,25,FALSE)," ")</f>
        <v xml:space="preserve"> </v>
      </c>
      <c r="I44" s="829" t="str">
        <f>IFERROR(VLOOKUP($G$7&amp;$B44,'EV Charging Stations source'!A:AB,16,FALSE)," ")</f>
        <v xml:space="preserve"> </v>
      </c>
      <c r="J44" s="1128"/>
      <c r="K44" s="1129"/>
      <c r="L44" s="717"/>
    </row>
    <row r="45" spans="2:12" ht="20" thickBot="1" x14ac:dyDescent="0.25">
      <c r="B45" s="1138" t="s">
        <v>1025</v>
      </c>
      <c r="C45" s="1139"/>
      <c r="D45" s="1139"/>
      <c r="E45" s="1139"/>
      <c r="F45" s="1139"/>
      <c r="G45" s="1139"/>
      <c r="H45" s="1139"/>
      <c r="I45" s="1139"/>
      <c r="J45" s="1139"/>
      <c r="K45" s="1140"/>
      <c r="L45" s="111"/>
    </row>
    <row r="46" spans="2:12" ht="41.25" customHeight="1" thickBot="1" x14ac:dyDescent="0.25">
      <c r="B46" s="188"/>
      <c r="C46" s="1118" t="s">
        <v>946</v>
      </c>
      <c r="D46" s="1118"/>
      <c r="E46" s="773" t="s">
        <v>559</v>
      </c>
      <c r="F46" s="189" t="s">
        <v>1020</v>
      </c>
      <c r="G46" s="189" t="s">
        <v>1021</v>
      </c>
      <c r="H46" s="190" t="s">
        <v>1022</v>
      </c>
      <c r="I46" s="189" t="s">
        <v>1023</v>
      </c>
      <c r="J46" s="1119" t="s">
        <v>1024</v>
      </c>
      <c r="K46" s="1119"/>
      <c r="L46" s="717"/>
    </row>
    <row r="47" spans="2:12" ht="17" thickBot="1" x14ac:dyDescent="0.25">
      <c r="B47" s="672"/>
      <c r="C47" s="1130"/>
      <c r="D47" s="1131"/>
      <c r="E47" s="601"/>
      <c r="F47" s="161" t="s">
        <v>364</v>
      </c>
      <c r="G47" s="161" t="s">
        <v>364</v>
      </c>
      <c r="H47" s="672"/>
      <c r="I47" s="161" t="s">
        <v>364</v>
      </c>
      <c r="J47" s="1035"/>
      <c r="K47" s="1053"/>
      <c r="L47" s="717"/>
    </row>
    <row r="48" spans="2:12" ht="17" thickBot="1" x14ac:dyDescent="0.25">
      <c r="B48" s="672"/>
      <c r="C48" s="1130"/>
      <c r="D48" s="1131"/>
      <c r="E48" s="601"/>
      <c r="F48" s="161" t="s">
        <v>364</v>
      </c>
      <c r="G48" s="161" t="s">
        <v>364</v>
      </c>
      <c r="H48" s="672"/>
      <c r="I48" s="161" t="s">
        <v>364</v>
      </c>
      <c r="J48" s="1035"/>
      <c r="K48" s="1053"/>
      <c r="L48" s="717"/>
    </row>
    <row r="49" spans="1:12" ht="17" thickBot="1" x14ac:dyDescent="0.25">
      <c r="B49" s="672"/>
      <c r="C49" s="1130"/>
      <c r="D49" s="1131"/>
      <c r="E49" s="601"/>
      <c r="F49" s="161" t="s">
        <v>364</v>
      </c>
      <c r="G49" s="161" t="s">
        <v>364</v>
      </c>
      <c r="H49" s="672"/>
      <c r="I49" s="161" t="s">
        <v>364</v>
      </c>
      <c r="J49" s="1035"/>
      <c r="K49" s="1053"/>
      <c r="L49" s="717"/>
    </row>
    <row r="50" spans="1:12" ht="17" thickBot="1" x14ac:dyDescent="0.25">
      <c r="B50" s="672"/>
      <c r="C50" s="1130"/>
      <c r="D50" s="1131"/>
      <c r="E50" s="601"/>
      <c r="F50" s="161" t="s">
        <v>364</v>
      </c>
      <c r="G50" s="161" t="s">
        <v>364</v>
      </c>
      <c r="H50" s="672"/>
      <c r="I50" s="161" t="s">
        <v>364</v>
      </c>
      <c r="J50" s="1035"/>
      <c r="K50" s="1053"/>
      <c r="L50" s="717"/>
    </row>
    <row r="51" spans="1:12" ht="17" thickBot="1" x14ac:dyDescent="0.25">
      <c r="B51" s="672"/>
      <c r="C51" s="1130"/>
      <c r="D51" s="1131"/>
      <c r="E51" s="601"/>
      <c r="F51" s="161" t="s">
        <v>364</v>
      </c>
      <c r="G51" s="161" t="s">
        <v>364</v>
      </c>
      <c r="H51" s="672"/>
      <c r="I51" s="161" t="s">
        <v>364</v>
      </c>
      <c r="J51" s="1035"/>
      <c r="K51" s="1053"/>
      <c r="L51" s="717"/>
    </row>
    <row r="52" spans="1:12" ht="23.25" customHeight="1" x14ac:dyDescent="0.2">
      <c r="B52" s="722"/>
      <c r="C52" s="722"/>
      <c r="D52" s="722"/>
      <c r="E52" s="602"/>
      <c r="F52" s="343"/>
      <c r="G52" s="343"/>
      <c r="H52" s="343"/>
      <c r="I52" s="723"/>
      <c r="J52" s="723"/>
      <c r="K52" s="717"/>
      <c r="L52" s="343"/>
    </row>
    <row r="53" spans="1:12" s="337" customFormat="1" ht="23.25" customHeight="1" x14ac:dyDescent="0.2">
      <c r="B53" s="1141" t="s">
        <v>523</v>
      </c>
      <c r="C53" s="1141"/>
      <c r="D53" s="1141"/>
      <c r="E53" s="1141"/>
      <c r="F53" s="1141"/>
      <c r="G53" s="1141"/>
      <c r="H53" s="1141"/>
      <c r="I53" s="1141"/>
      <c r="J53" s="1141"/>
      <c r="K53" s="1141"/>
      <c r="L53" s="118"/>
    </row>
    <row r="54" spans="1:12" s="337" customFormat="1" ht="21" customHeight="1" x14ac:dyDescent="0.2">
      <c r="B54" s="1038" t="s">
        <v>1026</v>
      </c>
      <c r="C54" s="1038"/>
      <c r="D54" s="1038"/>
      <c r="E54" s="1038"/>
      <c r="F54" s="1038"/>
      <c r="G54" s="1038"/>
      <c r="H54" s="1038"/>
      <c r="I54" s="1038"/>
      <c r="J54" s="1038"/>
      <c r="K54" s="1038"/>
      <c r="L54" s="118"/>
    </row>
    <row r="55" spans="1:12" ht="18.75" customHeight="1" thickBot="1" x14ac:dyDescent="0.25">
      <c r="B55" s="1132" t="s">
        <v>1027</v>
      </c>
      <c r="C55" s="1132"/>
      <c r="D55" s="1132"/>
      <c r="E55" s="1132"/>
      <c r="F55" s="1132"/>
      <c r="G55" s="1132"/>
      <c r="H55" s="1132"/>
      <c r="I55" s="1132"/>
      <c r="J55" s="1132"/>
      <c r="K55" s="1132"/>
      <c r="L55" s="117"/>
    </row>
    <row r="56" spans="1:12" ht="48.75" customHeight="1" thickBot="1" x14ac:dyDescent="0.25">
      <c r="A56" s="713"/>
      <c r="B56" s="675"/>
      <c r="C56" s="1127" t="s">
        <v>946</v>
      </c>
      <c r="D56" s="1127"/>
      <c r="E56" s="675" t="s">
        <v>559</v>
      </c>
      <c r="F56" s="675" t="s">
        <v>1020</v>
      </c>
      <c r="G56" s="189" t="s">
        <v>1021</v>
      </c>
      <c r="H56" s="189" t="s">
        <v>1028</v>
      </c>
      <c r="I56" s="675" t="s">
        <v>1029</v>
      </c>
      <c r="J56" s="675"/>
      <c r="K56" s="675" t="s">
        <v>427</v>
      </c>
      <c r="L56" s="717"/>
    </row>
    <row r="57" spans="1:12" ht="18.75" customHeight="1" thickBot="1" x14ac:dyDescent="0.25">
      <c r="A57" s="713"/>
      <c r="B57" s="672">
        <v>1</v>
      </c>
      <c r="C57" s="1133"/>
      <c r="D57" s="1134"/>
      <c r="E57" s="601"/>
      <c r="F57" s="161" t="s">
        <v>364</v>
      </c>
      <c r="G57" s="161" t="s">
        <v>364</v>
      </c>
      <c r="H57" s="672"/>
      <c r="I57" s="161" t="s">
        <v>364</v>
      </c>
      <c r="J57" s="672"/>
      <c r="K57" s="672"/>
      <c r="L57" s="717"/>
    </row>
    <row r="58" spans="1:12" ht="17" thickBot="1" x14ac:dyDescent="0.25">
      <c r="A58" s="713"/>
      <c r="B58" s="672">
        <v>2</v>
      </c>
      <c r="C58" s="1130"/>
      <c r="D58" s="1131"/>
      <c r="E58" s="601"/>
      <c r="F58" s="161" t="s">
        <v>364</v>
      </c>
      <c r="G58" s="161" t="s">
        <v>364</v>
      </c>
      <c r="H58" s="672"/>
      <c r="I58" s="161" t="s">
        <v>364</v>
      </c>
      <c r="J58" s="672"/>
      <c r="K58" s="672"/>
      <c r="L58" s="717"/>
    </row>
    <row r="59" spans="1:12" ht="17" thickBot="1" x14ac:dyDescent="0.25">
      <c r="A59" s="713"/>
      <c r="B59" s="672">
        <v>3</v>
      </c>
      <c r="C59" s="1130"/>
      <c r="D59" s="1131"/>
      <c r="E59" s="601"/>
      <c r="F59" s="161" t="s">
        <v>364</v>
      </c>
      <c r="G59" s="161" t="s">
        <v>364</v>
      </c>
      <c r="H59" s="672"/>
      <c r="I59" s="161" t="s">
        <v>364</v>
      </c>
      <c r="J59" s="672"/>
      <c r="K59" s="672"/>
      <c r="L59" s="717"/>
    </row>
    <row r="60" spans="1:12" ht="17" thickBot="1" x14ac:dyDescent="0.25">
      <c r="A60" s="713"/>
      <c r="B60" s="672">
        <v>4</v>
      </c>
      <c r="C60" s="1130"/>
      <c r="D60" s="1131"/>
      <c r="E60" s="601"/>
      <c r="F60" s="161" t="s">
        <v>364</v>
      </c>
      <c r="G60" s="161" t="s">
        <v>364</v>
      </c>
      <c r="H60" s="672"/>
      <c r="I60" s="161" t="s">
        <v>364</v>
      </c>
      <c r="J60" s="672"/>
      <c r="K60" s="672"/>
      <c r="L60" s="717"/>
    </row>
    <row r="61" spans="1:12" ht="17" thickBot="1" x14ac:dyDescent="0.25">
      <c r="A61" s="713"/>
      <c r="B61" s="672">
        <v>5</v>
      </c>
      <c r="C61" s="1130"/>
      <c r="D61" s="1131"/>
      <c r="E61" s="601"/>
      <c r="F61" s="161" t="s">
        <v>364</v>
      </c>
      <c r="G61" s="161" t="s">
        <v>364</v>
      </c>
      <c r="H61" s="672"/>
      <c r="I61" s="161" t="s">
        <v>364</v>
      </c>
      <c r="J61" s="672"/>
      <c r="K61" s="672"/>
      <c r="L61" s="717"/>
    </row>
    <row r="62" spans="1:12" ht="17" thickBot="1" x14ac:dyDescent="0.25">
      <c r="A62" s="713"/>
      <c r="B62" s="672">
        <v>6</v>
      </c>
      <c r="C62" s="1130"/>
      <c r="D62" s="1131"/>
      <c r="E62" s="601"/>
      <c r="F62" s="161" t="s">
        <v>364</v>
      </c>
      <c r="G62" s="161" t="s">
        <v>364</v>
      </c>
      <c r="H62" s="672"/>
      <c r="I62" s="161" t="s">
        <v>364</v>
      </c>
      <c r="J62" s="672"/>
      <c r="K62" s="672"/>
      <c r="L62" s="717"/>
    </row>
    <row r="63" spans="1:12" ht="17" thickBot="1" x14ac:dyDescent="0.25">
      <c r="A63" s="713"/>
      <c r="B63" s="672">
        <v>7</v>
      </c>
      <c r="C63" s="1130"/>
      <c r="D63" s="1131"/>
      <c r="E63" s="601"/>
      <c r="F63" s="161" t="s">
        <v>364</v>
      </c>
      <c r="G63" s="161" t="s">
        <v>364</v>
      </c>
      <c r="H63" s="672"/>
      <c r="I63" s="161" t="s">
        <v>364</v>
      </c>
      <c r="J63" s="672"/>
      <c r="K63" s="672"/>
      <c r="L63" s="717"/>
    </row>
    <row r="64" spans="1:12" ht="17" thickBot="1" x14ac:dyDescent="0.25">
      <c r="A64" s="713"/>
      <c r="B64" s="672">
        <v>8</v>
      </c>
      <c r="C64" s="1130"/>
      <c r="D64" s="1131"/>
      <c r="E64" s="601"/>
      <c r="F64" s="161" t="s">
        <v>364</v>
      </c>
      <c r="G64" s="161" t="s">
        <v>364</v>
      </c>
      <c r="H64" s="672"/>
      <c r="I64" s="161" t="s">
        <v>364</v>
      </c>
      <c r="J64" s="672"/>
      <c r="K64" s="672"/>
      <c r="L64" s="717"/>
    </row>
    <row r="65" spans="1:12" ht="17" thickBot="1" x14ac:dyDescent="0.25">
      <c r="A65" s="713"/>
      <c r="B65" s="672">
        <v>9</v>
      </c>
      <c r="C65" s="1130"/>
      <c r="D65" s="1131"/>
      <c r="E65" s="601"/>
      <c r="F65" s="161" t="s">
        <v>364</v>
      </c>
      <c r="G65" s="161" t="s">
        <v>364</v>
      </c>
      <c r="H65" s="672"/>
      <c r="I65" s="161" t="s">
        <v>364</v>
      </c>
      <c r="J65" s="672"/>
      <c r="K65" s="672"/>
      <c r="L65" s="717"/>
    </row>
    <row r="66" spans="1:12" ht="17" thickBot="1" x14ac:dyDescent="0.25">
      <c r="A66" s="713"/>
      <c r="B66" s="672">
        <v>10</v>
      </c>
      <c r="C66" s="1130"/>
      <c r="D66" s="1131"/>
      <c r="E66" s="601"/>
      <c r="F66" s="161" t="s">
        <v>364</v>
      </c>
      <c r="G66" s="161" t="s">
        <v>364</v>
      </c>
      <c r="H66" s="672"/>
      <c r="I66" s="161" t="s">
        <v>364</v>
      </c>
      <c r="J66" s="672"/>
      <c r="K66" s="672"/>
      <c r="L66" s="717"/>
    </row>
    <row r="67" spans="1:12" ht="0.75" customHeight="1" thickBot="1" x14ac:dyDescent="0.25">
      <c r="A67" s="713"/>
      <c r="B67" s="713"/>
      <c r="C67" s="713"/>
      <c r="D67" s="713"/>
      <c r="E67" s="714"/>
      <c r="F67" s="161" t="s">
        <v>364</v>
      </c>
      <c r="G67" s="713"/>
      <c r="H67" s="715"/>
      <c r="I67" s="716"/>
      <c r="J67" s="716"/>
      <c r="K67" s="713"/>
      <c r="L67" s="717"/>
    </row>
    <row r="68" spans="1:12" ht="15.75" customHeight="1" x14ac:dyDescent="0.2">
      <c r="A68" s="713"/>
      <c r="B68" s="713"/>
      <c r="C68" s="713"/>
      <c r="D68" s="713"/>
      <c r="E68" s="714"/>
      <c r="F68" s="713"/>
      <c r="G68" s="713"/>
      <c r="H68" s="715"/>
      <c r="I68" s="716"/>
      <c r="J68" s="716"/>
      <c r="K68" s="713"/>
      <c r="L68" s="717"/>
    </row>
    <row r="69" spans="1:12" x14ac:dyDescent="0.2">
      <c r="A69" s="713"/>
      <c r="B69" s="713"/>
      <c r="C69" s="713"/>
      <c r="D69" s="713"/>
      <c r="E69" s="714"/>
      <c r="F69" s="713"/>
      <c r="G69" s="713"/>
      <c r="H69" s="715"/>
      <c r="I69" s="716"/>
      <c r="J69" s="716"/>
      <c r="K69" s="713"/>
      <c r="L69" s="717"/>
    </row>
    <row r="70" spans="1:12" ht="25" customHeight="1" thickBot="1" x14ac:dyDescent="0.25">
      <c r="A70" s="713"/>
      <c r="B70" s="1123" t="s">
        <v>1590</v>
      </c>
      <c r="C70" s="1123"/>
      <c r="D70" s="1123"/>
      <c r="E70" s="1123"/>
      <c r="F70" s="1123"/>
      <c r="G70" s="1123"/>
      <c r="H70" s="1124"/>
      <c r="I70" s="1125" t="s">
        <v>364</v>
      </c>
      <c r="J70" s="1126"/>
      <c r="K70" s="1126"/>
      <c r="L70" s="717"/>
    </row>
    <row r="71" spans="1:12" ht="20.25" customHeight="1" x14ac:dyDescent="0.2">
      <c r="A71" s="713"/>
      <c r="B71" s="1121" t="str">
        <f>IF(I70="yes","Please provide any details below","")</f>
        <v/>
      </c>
      <c r="C71" s="1121"/>
      <c r="D71" s="1121"/>
      <c r="E71" s="1121"/>
      <c r="F71" s="1121"/>
      <c r="G71" s="1121"/>
      <c r="H71" s="1121"/>
      <c r="I71" s="1121"/>
      <c r="J71" s="1121"/>
      <c r="K71" s="1121"/>
      <c r="L71" s="717"/>
    </row>
    <row r="72" spans="1:12" ht="63.75" customHeight="1" x14ac:dyDescent="0.2">
      <c r="A72" s="713"/>
      <c r="B72" s="1122"/>
      <c r="C72" s="1122"/>
      <c r="D72" s="1122"/>
      <c r="E72" s="1122"/>
      <c r="F72" s="1122"/>
      <c r="G72" s="1122"/>
      <c r="H72" s="1122"/>
      <c r="I72" s="1122"/>
      <c r="J72" s="1122"/>
      <c r="K72" s="1122"/>
      <c r="L72" s="717"/>
    </row>
    <row r="73" spans="1:12" x14ac:dyDescent="0.2">
      <c r="A73" s="713"/>
      <c r="B73" s="713"/>
      <c r="C73" s="713"/>
      <c r="D73" s="713"/>
      <c r="E73" s="714"/>
      <c r="F73" s="713"/>
      <c r="G73" s="713"/>
      <c r="H73" s="715"/>
      <c r="I73" s="716"/>
      <c r="J73" s="716"/>
      <c r="K73" s="713"/>
      <c r="L73" s="717"/>
    </row>
    <row r="74" spans="1:12" ht="23" customHeight="1" thickBot="1" x14ac:dyDescent="0.25">
      <c r="A74" s="713"/>
      <c r="B74" s="1123" t="s">
        <v>1528</v>
      </c>
      <c r="C74" s="1123"/>
      <c r="D74" s="1123"/>
      <c r="E74" s="1123"/>
      <c r="F74" s="1123"/>
      <c r="G74" s="1123"/>
      <c r="H74" s="1124"/>
      <c r="I74" s="1125" t="s">
        <v>364</v>
      </c>
      <c r="J74" s="1126"/>
      <c r="K74" s="1126"/>
      <c r="L74" s="717"/>
    </row>
    <row r="75" spans="1:12" x14ac:dyDescent="0.2">
      <c r="A75" s="713"/>
      <c r="B75" s="1121" t="str">
        <f>IF(I74="yes","Please provide any details on requested support below","")</f>
        <v/>
      </c>
      <c r="C75" s="1121"/>
      <c r="D75" s="1121"/>
      <c r="E75" s="1121"/>
      <c r="F75" s="1121"/>
      <c r="G75" s="1121"/>
      <c r="H75" s="1121"/>
      <c r="I75" s="1121"/>
      <c r="J75" s="1121"/>
      <c r="K75" s="1121"/>
      <c r="L75" s="717"/>
    </row>
    <row r="76" spans="1:12" ht="53" customHeight="1" x14ac:dyDescent="0.2">
      <c r="A76" s="713"/>
      <c r="B76" s="1122"/>
      <c r="C76" s="1122"/>
      <c r="D76" s="1122"/>
      <c r="E76" s="1122"/>
      <c r="F76" s="1122"/>
      <c r="G76" s="1122"/>
      <c r="H76" s="1122"/>
      <c r="I76" s="1122"/>
      <c r="J76" s="1122"/>
      <c r="K76" s="1122"/>
      <c r="L76" s="717"/>
    </row>
    <row r="77" spans="1:12" x14ac:dyDescent="0.2">
      <c r="A77" s="713"/>
      <c r="B77" s="713"/>
      <c r="C77" s="713"/>
      <c r="D77" s="713"/>
      <c r="E77" s="714"/>
      <c r="F77" s="713"/>
      <c r="G77" s="713"/>
      <c r="H77" s="715"/>
      <c r="I77" s="716"/>
      <c r="J77" s="716"/>
      <c r="K77" s="713"/>
      <c r="L77" s="717"/>
    </row>
    <row r="78" spans="1:12" x14ac:dyDescent="0.2">
      <c r="A78" s="713"/>
      <c r="B78" s="713"/>
      <c r="C78" s="713"/>
      <c r="D78" s="713"/>
      <c r="E78" s="714"/>
      <c r="F78" s="713"/>
      <c r="G78" s="713"/>
      <c r="H78" s="715"/>
      <c r="I78" s="716"/>
      <c r="J78" s="716"/>
      <c r="K78" s="713"/>
      <c r="L78" s="717"/>
    </row>
    <row r="79" spans="1:12" x14ac:dyDescent="0.2">
      <c r="A79" s="713"/>
      <c r="B79" s="713"/>
      <c r="C79" s="713"/>
      <c r="D79" s="713"/>
      <c r="E79" s="714"/>
      <c r="F79" s="713"/>
      <c r="G79" s="713"/>
      <c r="H79" s="715"/>
      <c r="I79" s="716"/>
      <c r="J79" s="716"/>
      <c r="K79" s="713"/>
      <c r="L79" s="717"/>
    </row>
    <row r="80" spans="1:12"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sheetData>
  <sheetProtection algorithmName="SHA-512" hashValue="pQJ6w2U3MfgmI9hFGuI5SAIWELkQV23boGbGgIu9csYKGEiA8qdkwfwQCUlauJuR+c7gWnEWHq1PRn04lGgJWw==" saltValue="JzKX7A6kiC/bh7djEcv0xQ==" spinCount="100000" sheet="1" selectLockedCells="1"/>
  <mergeCells count="97">
    <mergeCell ref="B2:D5"/>
    <mergeCell ref="B1:K1"/>
    <mergeCell ref="E2:K3"/>
    <mergeCell ref="E4:K4"/>
    <mergeCell ref="E5:K5"/>
    <mergeCell ref="B10:K10"/>
    <mergeCell ref="B15:K15"/>
    <mergeCell ref="E7:F7"/>
    <mergeCell ref="B14:K14"/>
    <mergeCell ref="G7:I7"/>
    <mergeCell ref="C11:K11"/>
    <mergeCell ref="C12:K12"/>
    <mergeCell ref="C47:D47"/>
    <mergeCell ref="C48:D48"/>
    <mergeCell ref="J47:K47"/>
    <mergeCell ref="B16:K16"/>
    <mergeCell ref="B17:K17"/>
    <mergeCell ref="C49:D49"/>
    <mergeCell ref="C50:D50"/>
    <mergeCell ref="C51:D51"/>
    <mergeCell ref="J48:K48"/>
    <mergeCell ref="J49:K49"/>
    <mergeCell ref="J25:K25"/>
    <mergeCell ref="J26:K26"/>
    <mergeCell ref="J27:K27"/>
    <mergeCell ref="C28:D28"/>
    <mergeCell ref="C34:D34"/>
    <mergeCell ref="C21:D21"/>
    <mergeCell ref="C22:D22"/>
    <mergeCell ref="C23:D23"/>
    <mergeCell ref="J23:K23"/>
    <mergeCell ref="J24:K24"/>
    <mergeCell ref="J18:K18"/>
    <mergeCell ref="J19:K19"/>
    <mergeCell ref="J20:K20"/>
    <mergeCell ref="J21:K21"/>
    <mergeCell ref="J22:K22"/>
    <mergeCell ref="C61:D61"/>
    <mergeCell ref="C56:D56"/>
    <mergeCell ref="J50:K50"/>
    <mergeCell ref="J51:K51"/>
    <mergeCell ref="B55:K55"/>
    <mergeCell ref="C57:D57"/>
    <mergeCell ref="C58:D58"/>
    <mergeCell ref="C59:D59"/>
    <mergeCell ref="C60:D60"/>
    <mergeCell ref="B53:K53"/>
    <mergeCell ref="B54:K54"/>
    <mergeCell ref="C62:D62"/>
    <mergeCell ref="C63:D63"/>
    <mergeCell ref="C64:D64"/>
    <mergeCell ref="C65:D65"/>
    <mergeCell ref="C66:D66"/>
    <mergeCell ref="J35:K35"/>
    <mergeCell ref="J36:K36"/>
    <mergeCell ref="J37:K37"/>
    <mergeCell ref="J44:K44"/>
    <mergeCell ref="J28:K28"/>
    <mergeCell ref="J29:K29"/>
    <mergeCell ref="J30:K30"/>
    <mergeCell ref="J31:K31"/>
    <mergeCell ref="J32:K32"/>
    <mergeCell ref="J33:K33"/>
    <mergeCell ref="J34:K34"/>
    <mergeCell ref="C18:D18"/>
    <mergeCell ref="C35:D35"/>
    <mergeCell ref="C36:D36"/>
    <mergeCell ref="C37:D37"/>
    <mergeCell ref="C38:D38"/>
    <mergeCell ref="C29:D29"/>
    <mergeCell ref="C30:D30"/>
    <mergeCell ref="C31:D31"/>
    <mergeCell ref="C32:D32"/>
    <mergeCell ref="C33:D33"/>
    <mergeCell ref="C24:D24"/>
    <mergeCell ref="C25:D25"/>
    <mergeCell ref="C26:D26"/>
    <mergeCell ref="C27:D27"/>
    <mergeCell ref="C19:D19"/>
    <mergeCell ref="C20:D20"/>
    <mergeCell ref="B75:K75"/>
    <mergeCell ref="B76:K76"/>
    <mergeCell ref="B70:H70"/>
    <mergeCell ref="I70:K70"/>
    <mergeCell ref="B71:K71"/>
    <mergeCell ref="B72:K72"/>
    <mergeCell ref="B74:H74"/>
    <mergeCell ref="I74:K74"/>
    <mergeCell ref="C44:D44"/>
    <mergeCell ref="C46:D46"/>
    <mergeCell ref="J46:K46"/>
    <mergeCell ref="C39:D39"/>
    <mergeCell ref="C40:D40"/>
    <mergeCell ref="C41:D41"/>
    <mergeCell ref="C42:D42"/>
    <mergeCell ref="C43:D43"/>
    <mergeCell ref="B45:K45"/>
  </mergeCells>
  <conditionalFormatting sqref="B71:K71">
    <cfRule type="expression" dxfId="23" priority="2">
      <formula>$I$70="yes"</formula>
    </cfRule>
  </conditionalFormatting>
  <conditionalFormatting sqref="B75:K75">
    <cfRule type="expression" dxfId="22" priority="1">
      <formula>$I$70="yes"</formula>
    </cfRule>
  </conditionalFormatting>
  <dataValidations count="2">
    <dataValidation type="list" allowBlank="1" showInputMessage="1" showErrorMessage="1" sqref="G52" xr:uid="{00000000-0002-0000-1000-000000000000}">
      <formula1>$V$1:$V$5</formula1>
    </dataValidation>
    <dataValidation type="list" allowBlank="1" showInputMessage="1" showErrorMessage="1" sqref="H52" xr:uid="{00000000-0002-0000-1000-000001000000}">
      <formula1>$W$1:$W$4</formula1>
    </dataValidation>
  </dataValidations>
  <pageMargins left="0.7" right="0.7" top="0.75" bottom="0.75" header="0.3" footer="0.3"/>
  <pageSetup scale="46" fitToHeight="0"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1000-000002000000}">
          <x14:formula1>
            <xm:f>Source!$AB$1:$AB$4</xm:f>
          </x14:formula1>
          <xm:sqref>I47:I51 I57:J66</xm:sqref>
        </x14:dataValidation>
        <x14:dataValidation type="list" allowBlank="1" showInputMessage="1" showErrorMessage="1" xr:uid="{00000000-0002-0000-1000-000003000000}">
          <x14:formula1>
            <xm:f>Source!$W$1:$W$5</xm:f>
          </x14:formula1>
          <xm:sqref>F57:F67 F47:F51</xm:sqref>
        </x14:dataValidation>
        <x14:dataValidation type="list" allowBlank="1" showInputMessage="1" showErrorMessage="1" xr:uid="{00000000-0002-0000-1000-000004000000}">
          <x14:formula1>
            <xm:f>Source!$X$1:$X$4</xm:f>
          </x14:formula1>
          <xm:sqref>G56:G66 G47:G51</xm:sqref>
        </x14:dataValidation>
        <x14:dataValidation type="list" allowBlank="1" showInputMessage="1" showErrorMessage="1" xr:uid="{00000000-0002-0000-1000-000005000000}">
          <x14:formula1>
            <xm:f>Source!$I$1:$I$3</xm:f>
          </x14:formula1>
          <xm:sqref>K52</xm:sqref>
        </x14:dataValidation>
        <x14:dataValidation type="list" allowBlank="1" showInputMessage="1" showErrorMessage="1" xr:uid="{00000000-0002-0000-1000-000006000000}">
          <x14:formula1>
            <xm:f>Source!$A$1:$A$9</xm:f>
          </x14:formula1>
          <xm:sqref>I52:J52</xm:sqref>
        </x14:dataValidation>
        <x14:dataValidation type="list" allowBlank="1" showInputMessage="1" showErrorMessage="1" xr:uid="{00000000-0002-0000-1000-000007000000}">
          <x14:formula1>
            <xm:f>Source!$X$2:$X$4</xm:f>
          </x14:formula1>
          <xm:sqref>G47:G51</xm:sqref>
        </x14:dataValidation>
        <x14:dataValidation type="list" allowBlank="1" showInputMessage="1" showErrorMessage="1" xr:uid="{00000000-0002-0000-1000-000008000000}">
          <x14:formula1>
            <xm:f>Source!$T$1:$T$4</xm:f>
          </x14:formula1>
          <xm:sqref>I70:K70 I74:K74</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I2"/>
  <sheetViews>
    <sheetView workbookViewId="0">
      <selection activeCell="E23" sqref="E23"/>
    </sheetView>
  </sheetViews>
  <sheetFormatPr baseColWidth="10" defaultColWidth="9.1640625" defaultRowHeight="15" x14ac:dyDescent="0.2"/>
  <cols>
    <col min="1" max="1" width="37" style="95" customWidth="1"/>
    <col min="2" max="3" width="20.33203125" style="87" bestFit="1" customWidth="1"/>
    <col min="4" max="4" width="11.5" style="88" bestFit="1" customWidth="1"/>
    <col min="5" max="5" width="37.5" style="87" bestFit="1" customWidth="1"/>
    <col min="6" max="6" width="31" style="87" customWidth="1"/>
    <col min="7" max="7" width="37.1640625" style="87" customWidth="1"/>
    <col min="8" max="8" width="13.5" style="87" bestFit="1" customWidth="1"/>
    <col min="9" max="11" width="9.1640625" style="87"/>
    <col min="12" max="12" width="15.1640625" style="87" customWidth="1"/>
    <col min="13" max="13" width="18.83203125" style="87" bestFit="1" customWidth="1"/>
    <col min="14" max="14" width="17.5" style="89" customWidth="1"/>
    <col min="15" max="15" width="16.6640625" style="90" bestFit="1" customWidth="1"/>
    <col min="16" max="16" width="19.6640625" style="87" bestFit="1" customWidth="1"/>
    <col min="17" max="17" width="9.1640625" style="87"/>
    <col min="18" max="18" width="16" style="87" bestFit="1" customWidth="1"/>
    <col min="19" max="20" width="9.1640625" style="87"/>
    <col min="21" max="21" width="17.6640625" style="90" customWidth="1"/>
    <col min="22" max="22" width="19.6640625" style="90" bestFit="1" customWidth="1"/>
    <col min="23" max="23" width="17.6640625" style="90" customWidth="1"/>
    <col min="24" max="24" width="9.1640625" style="90"/>
    <col min="25" max="25" width="30.6640625" style="96" bestFit="1" customWidth="1"/>
    <col min="26" max="26" width="18.6640625" style="87" bestFit="1" customWidth="1"/>
    <col min="27" max="27" width="17.6640625" style="87" bestFit="1" customWidth="1"/>
    <col min="28" max="29" width="19.6640625" style="87" bestFit="1" customWidth="1"/>
    <col min="30" max="30" width="9.1640625" style="87"/>
    <col min="31" max="31" width="14.5" style="84" bestFit="1" customWidth="1"/>
    <col min="32" max="32" width="19.33203125" style="87" bestFit="1" customWidth="1"/>
    <col min="33" max="33" width="9.1640625" style="87"/>
    <col min="34" max="34" width="19.1640625" style="87" bestFit="1" customWidth="1"/>
    <col min="35" max="35" width="9.1640625" style="87"/>
    <col min="36" max="36" width="40.33203125" style="87" bestFit="1" customWidth="1"/>
    <col min="37" max="16384" width="9.1640625" style="87"/>
  </cols>
  <sheetData>
    <row r="1" spans="1:35" s="90" customFormat="1" ht="45" x14ac:dyDescent="0.2">
      <c r="A1" s="109" t="s">
        <v>1030</v>
      </c>
      <c r="B1" s="109" t="s">
        <v>425</v>
      </c>
      <c r="C1" s="109" t="s">
        <v>547</v>
      </c>
      <c r="D1" s="109" t="s">
        <v>1031</v>
      </c>
      <c r="E1" s="109" t="s">
        <v>445</v>
      </c>
      <c r="F1" s="109" t="s">
        <v>946</v>
      </c>
      <c r="G1" s="109" t="s">
        <v>559</v>
      </c>
      <c r="H1" s="109" t="s">
        <v>552</v>
      </c>
      <c r="I1" s="109" t="s">
        <v>553</v>
      </c>
      <c r="J1" s="109" t="s">
        <v>1032</v>
      </c>
      <c r="K1" s="109" t="s">
        <v>1033</v>
      </c>
      <c r="L1" s="109" t="s">
        <v>1034</v>
      </c>
      <c r="M1" s="109" t="s">
        <v>1035</v>
      </c>
      <c r="N1" s="109" t="s">
        <v>1036</v>
      </c>
      <c r="O1" s="109" t="s">
        <v>1037</v>
      </c>
      <c r="P1" s="109" t="s">
        <v>1029</v>
      </c>
      <c r="Q1" s="97" t="s">
        <v>1038</v>
      </c>
      <c r="R1" s="97" t="s">
        <v>1039</v>
      </c>
      <c r="S1" s="97" t="s">
        <v>1040</v>
      </c>
      <c r="T1" s="97" t="s">
        <v>1041</v>
      </c>
      <c r="U1" s="97" t="s">
        <v>1020</v>
      </c>
      <c r="V1" s="97" t="s">
        <v>1021</v>
      </c>
      <c r="W1" s="109" t="s">
        <v>1042</v>
      </c>
      <c r="X1" s="109" t="s">
        <v>1043</v>
      </c>
      <c r="Y1" s="110" t="s">
        <v>1044</v>
      </c>
      <c r="Z1" s="109" t="s">
        <v>1045</v>
      </c>
      <c r="AA1" s="109" t="s">
        <v>446</v>
      </c>
      <c r="AB1" s="85"/>
      <c r="AC1" s="91"/>
      <c r="AD1" s="91"/>
      <c r="AE1" s="78"/>
      <c r="AF1" s="91"/>
      <c r="AG1" s="91"/>
      <c r="AH1" s="91"/>
      <c r="AI1" s="91"/>
    </row>
    <row r="2" spans="1:35" s="481" customFormat="1" x14ac:dyDescent="0.2">
      <c r="A2" s="473" t="str">
        <f>E2&amp;AA21</f>
        <v>Holyoke Comm. College</v>
      </c>
      <c r="B2" s="473" t="s">
        <v>1046</v>
      </c>
      <c r="C2" s="473" t="s">
        <v>1046</v>
      </c>
      <c r="D2" s="473" t="s">
        <v>1047</v>
      </c>
      <c r="E2" s="473" t="s">
        <v>150</v>
      </c>
      <c r="F2" s="473" t="s">
        <v>1048</v>
      </c>
      <c r="G2" s="473" t="s">
        <v>1049</v>
      </c>
      <c r="H2" s="474" t="s">
        <v>965</v>
      </c>
      <c r="I2" s="474" t="s">
        <v>574</v>
      </c>
      <c r="J2" s="475" t="s">
        <v>1050</v>
      </c>
      <c r="K2" s="474"/>
      <c r="L2" s="474"/>
      <c r="M2" s="474"/>
      <c r="N2" s="474" t="s">
        <v>1051</v>
      </c>
      <c r="O2" s="474" t="s">
        <v>1052</v>
      </c>
      <c r="P2" s="474" t="s">
        <v>1053</v>
      </c>
      <c r="Q2" s="474"/>
      <c r="R2" s="474"/>
      <c r="S2" s="474"/>
      <c r="T2" s="474"/>
      <c r="U2" s="474" t="s">
        <v>1054</v>
      </c>
      <c r="V2" s="474" t="s">
        <v>1055</v>
      </c>
      <c r="W2" s="474">
        <v>2</v>
      </c>
      <c r="X2" s="473"/>
      <c r="Y2" s="476">
        <v>2020</v>
      </c>
      <c r="Z2" s="473"/>
      <c r="AA2" s="473">
        <v>1</v>
      </c>
      <c r="AB2" s="477" t="str">
        <f>VLOOKUP(E2,Source!F:F,1,FALSE)</f>
        <v>Holyoke Comm. College</v>
      </c>
      <c r="AC2" s="478"/>
      <c r="AD2" s="479"/>
      <c r="AE2" s="480"/>
      <c r="AF2" s="479"/>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0000000}">
          <x14:formula1>
            <xm:f>Source!$I$1:$I$3</xm:f>
          </x14:formula1>
          <xm:sqref>O2</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J167"/>
  <sheetViews>
    <sheetView topLeftCell="P1" zoomScale="111" zoomScaleNormal="70" workbookViewId="0">
      <selection activeCell="V22" sqref="V22"/>
    </sheetView>
  </sheetViews>
  <sheetFormatPr baseColWidth="10" defaultColWidth="9.1640625" defaultRowHeight="15" x14ac:dyDescent="0.2"/>
  <cols>
    <col min="1" max="1" width="37" style="95" customWidth="1"/>
    <col min="2" max="3" width="20.33203125" style="87" bestFit="1" customWidth="1"/>
    <col min="4" max="4" width="11.5" style="88" bestFit="1" customWidth="1"/>
    <col min="5" max="5" width="37.5" style="87" bestFit="1" customWidth="1"/>
    <col min="6" max="6" width="31" style="87" customWidth="1"/>
    <col min="7" max="7" width="37.1640625" style="87" customWidth="1"/>
    <col min="8" max="8" width="13.5" style="87" bestFit="1" customWidth="1"/>
    <col min="9" max="11" width="9.1640625" style="87"/>
    <col min="12" max="12" width="15.1640625" style="87" customWidth="1"/>
    <col min="13" max="13" width="18.83203125" style="87" bestFit="1" customWidth="1"/>
    <col min="14" max="14" width="17.5" style="89" customWidth="1"/>
    <col min="15" max="15" width="16.6640625" style="90" bestFit="1" customWidth="1"/>
    <col min="16" max="16" width="19.6640625" style="87" bestFit="1" customWidth="1"/>
    <col min="17" max="17" width="9.1640625" style="87"/>
    <col min="18" max="18" width="16" style="87" bestFit="1" customWidth="1"/>
    <col min="19" max="20" width="9.1640625" style="87"/>
    <col min="21" max="21" width="17.6640625" style="90" customWidth="1"/>
    <col min="22" max="22" width="19.6640625" style="90" bestFit="1" customWidth="1"/>
    <col min="23" max="23" width="17.6640625" style="90" customWidth="1"/>
    <col min="24" max="24" width="9.1640625" style="90"/>
    <col min="25" max="25" width="30.6640625" style="96" bestFit="1" customWidth="1"/>
    <col min="26" max="26" width="18.6640625" style="87" bestFit="1" customWidth="1"/>
    <col min="27" max="27" width="17.6640625" style="87" bestFit="1" customWidth="1"/>
    <col min="28" max="29" width="19.6640625" style="87" bestFit="1" customWidth="1"/>
    <col min="30" max="30" width="9.1640625" style="87"/>
    <col min="31" max="31" width="14.5" style="84" bestFit="1" customWidth="1"/>
    <col min="32" max="32" width="19.33203125" style="87" bestFit="1" customWidth="1"/>
    <col min="33" max="33" width="9.1640625" style="87"/>
    <col min="34" max="34" width="19.1640625" style="87" bestFit="1" customWidth="1"/>
    <col min="35" max="35" width="9.1640625" style="87"/>
    <col min="36" max="36" width="40.33203125" style="87" bestFit="1" customWidth="1"/>
    <col min="37" max="16384" width="9.1640625" style="87"/>
  </cols>
  <sheetData>
    <row r="1" spans="1:36" s="90" customFormat="1" ht="45" x14ac:dyDescent="0.2">
      <c r="A1" s="109" t="s">
        <v>1030</v>
      </c>
      <c r="B1" s="109" t="s">
        <v>425</v>
      </c>
      <c r="C1" s="109" t="s">
        <v>547</v>
      </c>
      <c r="D1" s="109" t="s">
        <v>1031</v>
      </c>
      <c r="E1" s="109" t="s">
        <v>445</v>
      </c>
      <c r="F1" s="109" t="s">
        <v>946</v>
      </c>
      <c r="G1" s="109" t="s">
        <v>559</v>
      </c>
      <c r="H1" s="109" t="s">
        <v>552</v>
      </c>
      <c r="I1" s="109" t="s">
        <v>553</v>
      </c>
      <c r="J1" s="109" t="s">
        <v>1032</v>
      </c>
      <c r="K1" s="109" t="s">
        <v>1033</v>
      </c>
      <c r="L1" s="109" t="s">
        <v>1034</v>
      </c>
      <c r="M1" s="109" t="s">
        <v>1035</v>
      </c>
      <c r="N1" s="109" t="s">
        <v>1036</v>
      </c>
      <c r="O1" s="109" t="s">
        <v>1037</v>
      </c>
      <c r="P1" s="109" t="s">
        <v>1029</v>
      </c>
      <c r="Q1" s="97" t="s">
        <v>1038</v>
      </c>
      <c r="R1" s="97" t="s">
        <v>1039</v>
      </c>
      <c r="S1" s="97" t="s">
        <v>1040</v>
      </c>
      <c r="T1" s="97" t="s">
        <v>1041</v>
      </c>
      <c r="U1" s="97" t="s">
        <v>1020</v>
      </c>
      <c r="V1" s="97" t="s">
        <v>1021</v>
      </c>
      <c r="W1" s="109" t="s">
        <v>1042</v>
      </c>
      <c r="X1" s="109" t="s">
        <v>1043</v>
      </c>
      <c r="Y1" s="110" t="s">
        <v>1044</v>
      </c>
      <c r="Z1" s="109" t="s">
        <v>1045</v>
      </c>
      <c r="AA1" s="109" t="s">
        <v>446</v>
      </c>
      <c r="AB1" s="85"/>
      <c r="AC1" s="91"/>
      <c r="AD1" s="91"/>
      <c r="AE1" s="78"/>
      <c r="AF1" s="91"/>
      <c r="AG1" s="91"/>
      <c r="AH1" s="91"/>
      <c r="AI1" s="91"/>
    </row>
    <row r="2" spans="1:36" s="442" customFormat="1" x14ac:dyDescent="0.2">
      <c r="A2" s="436" t="str">
        <f t="shared" ref="A2:A42" si="0">E2&amp;AA2</f>
        <v>Bridgewater State University1</v>
      </c>
      <c r="B2" s="436" t="s">
        <v>1046</v>
      </c>
      <c r="C2" s="436" t="s">
        <v>1046</v>
      </c>
      <c r="D2" s="436" t="s">
        <v>575</v>
      </c>
      <c r="E2" s="436" t="s">
        <v>56</v>
      </c>
      <c r="F2" s="436" t="s">
        <v>1056</v>
      </c>
      <c r="G2" s="436" t="s">
        <v>1057</v>
      </c>
      <c r="H2" s="437" t="s">
        <v>588</v>
      </c>
      <c r="I2" s="437" t="s">
        <v>574</v>
      </c>
      <c r="J2" s="438" t="s">
        <v>1058</v>
      </c>
      <c r="K2" s="437"/>
      <c r="L2" s="437"/>
      <c r="M2" s="437"/>
      <c r="N2" s="437" t="s">
        <v>1059</v>
      </c>
      <c r="O2" s="437" t="s">
        <v>1052</v>
      </c>
      <c r="P2" s="437" t="s">
        <v>1053</v>
      </c>
      <c r="Q2" s="437"/>
      <c r="R2" s="437">
        <v>1</v>
      </c>
      <c r="S2" s="437"/>
      <c r="T2" s="437">
        <v>1</v>
      </c>
      <c r="U2" s="437" t="s">
        <v>1054</v>
      </c>
      <c r="V2" s="437" t="s">
        <v>1060</v>
      </c>
      <c r="W2" s="437">
        <v>1</v>
      </c>
      <c r="X2" s="436"/>
      <c r="Y2" s="439">
        <v>2014</v>
      </c>
      <c r="Z2" s="436"/>
      <c r="AA2" s="436">
        <v>1</v>
      </c>
      <c r="AB2" s="430" t="str">
        <f>VLOOKUP(E2,Source!F:F,1,FALSE)</f>
        <v>Bridgewater State University</v>
      </c>
      <c r="AC2" s="440"/>
      <c r="AD2" s="440"/>
      <c r="AE2" s="441"/>
      <c r="AF2" s="440"/>
    </row>
    <row r="3" spans="1:36" s="442" customFormat="1" x14ac:dyDescent="0.2">
      <c r="A3" s="436" t="str">
        <f t="shared" si="0"/>
        <v>Bridgewater State University2</v>
      </c>
      <c r="B3" s="436" t="s">
        <v>1046</v>
      </c>
      <c r="C3" s="436" t="s">
        <v>1046</v>
      </c>
      <c r="D3" s="436" t="s">
        <v>575</v>
      </c>
      <c r="E3" s="436" t="s">
        <v>56</v>
      </c>
      <c r="F3" s="436" t="s">
        <v>1056</v>
      </c>
      <c r="G3" s="436" t="s">
        <v>1057</v>
      </c>
      <c r="H3" s="437" t="s">
        <v>588</v>
      </c>
      <c r="I3" s="437" t="s">
        <v>574</v>
      </c>
      <c r="J3" s="438" t="s">
        <v>1058</v>
      </c>
      <c r="K3" s="437"/>
      <c r="L3" s="437"/>
      <c r="M3" s="437"/>
      <c r="N3" s="437" t="s">
        <v>1059</v>
      </c>
      <c r="O3" s="437" t="s">
        <v>1052</v>
      </c>
      <c r="P3" s="437" t="s">
        <v>1053</v>
      </c>
      <c r="Q3" s="437"/>
      <c r="R3" s="437">
        <v>1</v>
      </c>
      <c r="S3" s="437"/>
      <c r="T3" s="437">
        <v>1</v>
      </c>
      <c r="U3" s="437" t="s">
        <v>1054</v>
      </c>
      <c r="V3" s="437" t="s">
        <v>1060</v>
      </c>
      <c r="W3" s="437">
        <v>1</v>
      </c>
      <c r="X3" s="436"/>
      <c r="Y3" s="439">
        <v>2014</v>
      </c>
      <c r="Z3" s="436"/>
      <c r="AA3" s="436">
        <v>2</v>
      </c>
      <c r="AB3" s="430" t="str">
        <f>VLOOKUP(E3,Source!F:F,1,FALSE)</f>
        <v>Bridgewater State University</v>
      </c>
      <c r="AC3" s="440"/>
      <c r="AD3" s="440"/>
      <c r="AE3" s="441"/>
      <c r="AF3" s="440"/>
    </row>
    <row r="4" spans="1:36" s="442" customFormat="1" x14ac:dyDescent="0.2">
      <c r="A4" s="436" t="str">
        <f t="shared" si="0"/>
        <v>Bridgewater State University3</v>
      </c>
      <c r="B4" s="436" t="s">
        <v>1046</v>
      </c>
      <c r="C4" s="436" t="s">
        <v>1046</v>
      </c>
      <c r="D4" s="436" t="s">
        <v>575</v>
      </c>
      <c r="E4" s="436" t="s">
        <v>56</v>
      </c>
      <c r="F4" s="436" t="s">
        <v>1056</v>
      </c>
      <c r="G4" s="436" t="s">
        <v>1057</v>
      </c>
      <c r="H4" s="437" t="s">
        <v>588</v>
      </c>
      <c r="I4" s="437" t="s">
        <v>574</v>
      </c>
      <c r="J4" s="438" t="s">
        <v>1058</v>
      </c>
      <c r="K4" s="437"/>
      <c r="L4" s="437"/>
      <c r="M4" s="437"/>
      <c r="N4" s="437" t="s">
        <v>1059</v>
      </c>
      <c r="O4" s="437" t="s">
        <v>1052</v>
      </c>
      <c r="P4" s="437" t="s">
        <v>1053</v>
      </c>
      <c r="Q4" s="437"/>
      <c r="R4" s="437">
        <v>1</v>
      </c>
      <c r="S4" s="437"/>
      <c r="T4" s="437">
        <v>1</v>
      </c>
      <c r="U4" s="437" t="s">
        <v>1054</v>
      </c>
      <c r="V4" s="437" t="s">
        <v>1060</v>
      </c>
      <c r="W4" s="437">
        <v>1</v>
      </c>
      <c r="X4" s="436"/>
      <c r="Y4" s="439">
        <v>2014</v>
      </c>
      <c r="Z4" s="436"/>
      <c r="AA4" s="436">
        <v>3</v>
      </c>
      <c r="AB4" s="430" t="str">
        <f>VLOOKUP(E4,Source!F:F,1,FALSE)</f>
        <v>Bridgewater State University</v>
      </c>
      <c r="AC4" s="440"/>
      <c r="AD4" s="440"/>
      <c r="AE4" s="441"/>
      <c r="AF4" s="440"/>
    </row>
    <row r="5" spans="1:36" s="442" customFormat="1" x14ac:dyDescent="0.2">
      <c r="A5" s="436" t="str">
        <f t="shared" si="0"/>
        <v>Bristol Comm. College1</v>
      </c>
      <c r="B5" s="436" t="s">
        <v>1046</v>
      </c>
      <c r="C5" s="436" t="s">
        <v>1046</v>
      </c>
      <c r="D5" s="436" t="s">
        <v>575</v>
      </c>
      <c r="E5" s="447" t="s">
        <v>69</v>
      </c>
      <c r="F5" s="436" t="s">
        <v>1061</v>
      </c>
      <c r="G5" s="436" t="s">
        <v>1062</v>
      </c>
      <c r="H5" s="437" t="s">
        <v>596</v>
      </c>
      <c r="I5" s="437" t="s">
        <v>574</v>
      </c>
      <c r="J5" s="438" t="s">
        <v>1063</v>
      </c>
      <c r="K5" s="437"/>
      <c r="L5" s="437"/>
      <c r="M5" s="437"/>
      <c r="N5" s="437" t="s">
        <v>1059</v>
      </c>
      <c r="O5" s="437" t="s">
        <v>1052</v>
      </c>
      <c r="P5" s="437" t="s">
        <v>1053</v>
      </c>
      <c r="Q5" s="437"/>
      <c r="R5" s="437">
        <v>1</v>
      </c>
      <c r="S5" s="437"/>
      <c r="T5" s="437">
        <v>1</v>
      </c>
      <c r="U5" s="437" t="s">
        <v>1054</v>
      </c>
      <c r="V5" s="437" t="s">
        <v>1055</v>
      </c>
      <c r="W5" s="437">
        <v>2</v>
      </c>
      <c r="X5" s="436"/>
      <c r="Y5" s="439">
        <v>2016</v>
      </c>
      <c r="Z5" s="436" t="s">
        <v>1064</v>
      </c>
      <c r="AA5" s="436">
        <v>1</v>
      </c>
      <c r="AB5" s="430" t="str">
        <f>VLOOKUP(E5,Source!F:F,1,FALSE)</f>
        <v>Bristol Comm. College</v>
      </c>
      <c r="AC5" s="440"/>
      <c r="AD5" s="440"/>
      <c r="AE5" s="441"/>
      <c r="AF5" s="440"/>
    </row>
    <row r="6" spans="1:36" x14ac:dyDescent="0.2">
      <c r="A6" s="98" t="str">
        <f t="shared" si="0"/>
        <v>Dept. of Conservation and Recreation1</v>
      </c>
      <c r="B6" s="98" t="s">
        <v>1046</v>
      </c>
      <c r="C6" s="98" t="s">
        <v>1046</v>
      </c>
      <c r="D6" s="98" t="s">
        <v>1065</v>
      </c>
      <c r="E6" s="98" t="s">
        <v>98</v>
      </c>
      <c r="F6" s="98" t="s">
        <v>1066</v>
      </c>
      <c r="G6" s="98" t="s">
        <v>1067</v>
      </c>
      <c r="H6" s="99" t="s">
        <v>637</v>
      </c>
      <c r="I6" s="99" t="s">
        <v>574</v>
      </c>
      <c r="J6" s="100" t="s">
        <v>1068</v>
      </c>
      <c r="K6" s="99"/>
      <c r="L6" s="99"/>
      <c r="M6" s="99"/>
      <c r="N6" s="99" t="s">
        <v>1051</v>
      </c>
      <c r="O6" s="99" t="s">
        <v>1052</v>
      </c>
      <c r="P6" s="99" t="s">
        <v>1053</v>
      </c>
      <c r="Q6" s="99"/>
      <c r="R6" s="99">
        <v>1</v>
      </c>
      <c r="S6" s="99"/>
      <c r="T6" s="99">
        <v>1</v>
      </c>
      <c r="U6" s="99" t="s">
        <v>1054</v>
      </c>
      <c r="V6" s="99" t="s">
        <v>1055</v>
      </c>
      <c r="W6" s="99">
        <v>2</v>
      </c>
      <c r="X6" s="98"/>
      <c r="Y6" s="102">
        <v>2016</v>
      </c>
      <c r="Z6" s="98" t="s">
        <v>1064</v>
      </c>
      <c r="AA6" s="98">
        <v>1</v>
      </c>
      <c r="AB6" s="85" t="str">
        <f>VLOOKUP(E6,Source!F:F,1,FALSE)</f>
        <v>Dept. of Conservation and Recreation</v>
      </c>
      <c r="AC6" s="88"/>
      <c r="AD6" s="88"/>
      <c r="AE6" s="79"/>
      <c r="AF6" s="88"/>
    </row>
    <row r="7" spans="1:36" x14ac:dyDescent="0.2">
      <c r="A7" s="98" t="str">
        <f t="shared" si="0"/>
        <v>Dept. of Conservation and Recreation2</v>
      </c>
      <c r="B7" s="98" t="s">
        <v>1046</v>
      </c>
      <c r="C7" s="98" t="s">
        <v>1046</v>
      </c>
      <c r="D7" s="98" t="s">
        <v>1065</v>
      </c>
      <c r="E7" s="98" t="s">
        <v>98</v>
      </c>
      <c r="F7" s="98" t="s">
        <v>1066</v>
      </c>
      <c r="G7" s="98" t="s">
        <v>1069</v>
      </c>
      <c r="H7" s="99" t="s">
        <v>637</v>
      </c>
      <c r="I7" s="99" t="s">
        <v>574</v>
      </c>
      <c r="J7" s="100" t="s">
        <v>1070</v>
      </c>
      <c r="K7" s="99"/>
      <c r="L7" s="99"/>
      <c r="M7" s="99"/>
      <c r="N7" s="99" t="s">
        <v>1051</v>
      </c>
      <c r="O7" s="99" t="s">
        <v>1052</v>
      </c>
      <c r="P7" s="99" t="s">
        <v>1053</v>
      </c>
      <c r="Q7" s="99"/>
      <c r="R7" s="99">
        <v>1</v>
      </c>
      <c r="S7" s="99"/>
      <c r="T7" s="99">
        <v>1</v>
      </c>
      <c r="U7" s="99" t="s">
        <v>1054</v>
      </c>
      <c r="V7" s="99" t="s">
        <v>1055</v>
      </c>
      <c r="W7" s="99">
        <v>2</v>
      </c>
      <c r="X7" s="98"/>
      <c r="Y7" s="102">
        <v>2016</v>
      </c>
      <c r="Z7" s="98" t="s">
        <v>1071</v>
      </c>
      <c r="AA7" s="98">
        <v>2</v>
      </c>
      <c r="AB7" s="85" t="str">
        <f>VLOOKUP(E7,Source!F:F,1,FALSE)</f>
        <v>Dept. of Conservation and Recreation</v>
      </c>
      <c r="AC7" s="77"/>
      <c r="AD7" s="77"/>
      <c r="AE7" s="81"/>
      <c r="AF7" s="77"/>
      <c r="AG7" s="33"/>
      <c r="AH7" s="33"/>
      <c r="AI7" s="33"/>
      <c r="AJ7" s="33"/>
    </row>
    <row r="8" spans="1:36" s="33" customFormat="1" x14ac:dyDescent="0.2">
      <c r="A8" s="98" t="str">
        <f t="shared" si="0"/>
        <v>Dept. of Public Health1</v>
      </c>
      <c r="B8" s="98" t="s">
        <v>1046</v>
      </c>
      <c r="C8" s="98" t="s">
        <v>1046</v>
      </c>
      <c r="D8" s="98" t="s">
        <v>1047</v>
      </c>
      <c r="E8" s="98" t="s">
        <v>112</v>
      </c>
      <c r="F8" s="98" t="s">
        <v>1072</v>
      </c>
      <c r="G8" s="98" t="s">
        <v>1073</v>
      </c>
      <c r="H8" s="99" t="s">
        <v>1074</v>
      </c>
      <c r="I8" s="99" t="s">
        <v>574</v>
      </c>
      <c r="J8" s="100" t="s">
        <v>1075</v>
      </c>
      <c r="K8" s="99"/>
      <c r="L8" s="99" t="s">
        <v>1076</v>
      </c>
      <c r="M8" s="99"/>
      <c r="N8" s="99" t="s">
        <v>1059</v>
      </c>
      <c r="O8" s="99" t="s">
        <v>1052</v>
      </c>
      <c r="P8" s="99" t="s">
        <v>1053</v>
      </c>
      <c r="Q8" s="99"/>
      <c r="R8" s="99">
        <v>1</v>
      </c>
      <c r="S8" s="99"/>
      <c r="T8" s="99">
        <v>1</v>
      </c>
      <c r="U8" s="99" t="s">
        <v>1054</v>
      </c>
      <c r="V8" s="99" t="s">
        <v>1055</v>
      </c>
      <c r="W8" s="99">
        <v>2</v>
      </c>
      <c r="X8" s="98">
        <v>71604</v>
      </c>
      <c r="Y8" s="102">
        <v>2016</v>
      </c>
      <c r="Z8" s="98" t="s">
        <v>1064</v>
      </c>
      <c r="AA8" s="98">
        <v>1</v>
      </c>
      <c r="AB8" s="85" t="str">
        <f>VLOOKUP(E8,Source!F:F,1,FALSE)</f>
        <v>Dept. of Public Health</v>
      </c>
      <c r="AC8" s="77"/>
      <c r="AD8" s="77"/>
      <c r="AE8" s="81"/>
      <c r="AF8" s="77"/>
    </row>
    <row r="9" spans="1:36" s="33" customFormat="1" x14ac:dyDescent="0.2">
      <c r="A9" s="98" t="str">
        <f t="shared" si="0"/>
        <v>Dept. of Public Health2</v>
      </c>
      <c r="B9" s="98" t="s">
        <v>1046</v>
      </c>
      <c r="C9" s="98" t="s">
        <v>1046</v>
      </c>
      <c r="D9" s="98" t="s">
        <v>1047</v>
      </c>
      <c r="E9" s="98" t="s">
        <v>112</v>
      </c>
      <c r="F9" s="98" t="s">
        <v>1072</v>
      </c>
      <c r="G9" s="98" t="s">
        <v>1073</v>
      </c>
      <c r="H9" s="99" t="s">
        <v>1074</v>
      </c>
      <c r="I9" s="99" t="s">
        <v>574</v>
      </c>
      <c r="J9" s="100" t="s">
        <v>1075</v>
      </c>
      <c r="K9" s="99"/>
      <c r="L9" s="99" t="s">
        <v>1076</v>
      </c>
      <c r="M9" s="99"/>
      <c r="N9" s="99" t="s">
        <v>1059</v>
      </c>
      <c r="O9" s="99" t="s">
        <v>1052</v>
      </c>
      <c r="P9" s="99" t="s">
        <v>1053</v>
      </c>
      <c r="Q9" s="99"/>
      <c r="R9" s="99">
        <v>1</v>
      </c>
      <c r="S9" s="99"/>
      <c r="T9" s="99">
        <v>1</v>
      </c>
      <c r="U9" s="99" t="s">
        <v>1054</v>
      </c>
      <c r="V9" s="99" t="s">
        <v>1055</v>
      </c>
      <c r="W9" s="99">
        <v>2</v>
      </c>
      <c r="X9" s="98">
        <v>71604</v>
      </c>
      <c r="Y9" s="102">
        <v>2016</v>
      </c>
      <c r="Z9" s="98" t="s">
        <v>1064</v>
      </c>
      <c r="AA9" s="98">
        <v>2</v>
      </c>
      <c r="AB9" s="85" t="str">
        <f>VLOOKUP(E9,Source!F:F,1,FALSE)</f>
        <v>Dept. of Public Health</v>
      </c>
      <c r="AC9" s="80"/>
      <c r="AD9" s="88"/>
      <c r="AE9" s="79"/>
      <c r="AF9" s="88"/>
      <c r="AG9" s="87"/>
      <c r="AH9" s="87"/>
      <c r="AI9" s="87"/>
      <c r="AJ9" s="87"/>
    </row>
    <row r="10" spans="1:36" s="33" customFormat="1" x14ac:dyDescent="0.2">
      <c r="A10" s="98" t="str">
        <f t="shared" si="0"/>
        <v>Dept. of Public Health3</v>
      </c>
      <c r="B10" s="98" t="s">
        <v>1046</v>
      </c>
      <c r="C10" s="98" t="s">
        <v>1046</v>
      </c>
      <c r="D10" s="98" t="s">
        <v>1047</v>
      </c>
      <c r="E10" s="98" t="s">
        <v>112</v>
      </c>
      <c r="F10" s="98" t="s">
        <v>1072</v>
      </c>
      <c r="G10" s="98" t="s">
        <v>1073</v>
      </c>
      <c r="H10" s="99" t="s">
        <v>1074</v>
      </c>
      <c r="I10" s="99" t="s">
        <v>574</v>
      </c>
      <c r="J10" s="100" t="s">
        <v>1075</v>
      </c>
      <c r="K10" s="99"/>
      <c r="L10" s="99" t="s">
        <v>1076</v>
      </c>
      <c r="M10" s="99"/>
      <c r="N10" s="99" t="s">
        <v>1059</v>
      </c>
      <c r="O10" s="99" t="s">
        <v>1052</v>
      </c>
      <c r="P10" s="99" t="s">
        <v>1053</v>
      </c>
      <c r="Q10" s="99"/>
      <c r="R10" s="99">
        <v>1</v>
      </c>
      <c r="S10" s="99"/>
      <c r="T10" s="99">
        <v>1</v>
      </c>
      <c r="U10" s="99" t="s">
        <v>1054</v>
      </c>
      <c r="V10" s="99" t="s">
        <v>1055</v>
      </c>
      <c r="W10" s="99">
        <v>2</v>
      </c>
      <c r="X10" s="98">
        <v>71604</v>
      </c>
      <c r="Y10" s="102">
        <v>2016</v>
      </c>
      <c r="Z10" s="98" t="s">
        <v>1064</v>
      </c>
      <c r="AA10" s="98">
        <v>3</v>
      </c>
      <c r="AB10" s="85" t="str">
        <f>VLOOKUP(E10,Source!F:F,1,FALSE)</f>
        <v>Dept. of Public Health</v>
      </c>
      <c r="AC10" s="80"/>
      <c r="AD10" s="88"/>
      <c r="AE10" s="79"/>
      <c r="AF10" s="88"/>
      <c r="AG10" s="87"/>
      <c r="AH10" s="87"/>
      <c r="AI10" s="87"/>
      <c r="AJ10" s="87"/>
    </row>
    <row r="11" spans="1:36" s="442" customFormat="1" x14ac:dyDescent="0.2">
      <c r="A11" s="436" t="str">
        <f t="shared" si="0"/>
        <v>Div. of Capital Asset Management1</v>
      </c>
      <c r="B11" s="436" t="s">
        <v>1046</v>
      </c>
      <c r="C11" s="436" t="s">
        <v>1046</v>
      </c>
      <c r="D11" s="436" t="s">
        <v>1047</v>
      </c>
      <c r="E11" s="436" t="s">
        <v>115</v>
      </c>
      <c r="F11" s="436" t="s">
        <v>1077</v>
      </c>
      <c r="G11" s="436" t="s">
        <v>1078</v>
      </c>
      <c r="H11" s="437" t="s">
        <v>794</v>
      </c>
      <c r="I11" s="437" t="s">
        <v>574</v>
      </c>
      <c r="J11" s="438" t="s">
        <v>1079</v>
      </c>
      <c r="K11" s="437"/>
      <c r="L11" s="437"/>
      <c r="M11" s="437"/>
      <c r="N11" s="437" t="s">
        <v>1080</v>
      </c>
      <c r="O11" s="437" t="s">
        <v>1052</v>
      </c>
      <c r="P11" s="437"/>
      <c r="Q11" s="437"/>
      <c r="R11" s="437">
        <v>1</v>
      </c>
      <c r="S11" s="437"/>
      <c r="T11" s="437">
        <v>1</v>
      </c>
      <c r="U11" s="437" t="s">
        <v>1054</v>
      </c>
      <c r="V11" s="437" t="s">
        <v>1055</v>
      </c>
      <c r="W11" s="437">
        <v>2</v>
      </c>
      <c r="X11" s="436"/>
      <c r="Y11" s="439">
        <v>2015</v>
      </c>
      <c r="Z11" s="436" t="s">
        <v>1064</v>
      </c>
      <c r="AA11" s="436">
        <v>1</v>
      </c>
      <c r="AB11" s="430" t="str">
        <f>VLOOKUP(E11,Source!F:F,1,FALSE)</f>
        <v>Div. of Capital Asset Management</v>
      </c>
      <c r="AC11" s="472"/>
      <c r="AD11" s="440"/>
      <c r="AE11" s="441"/>
      <c r="AF11" s="440"/>
    </row>
    <row r="12" spans="1:36" s="440" customFormat="1" x14ac:dyDescent="0.2">
      <c r="A12" s="436" t="str">
        <f t="shared" si="0"/>
        <v>Div. of Capital Asset Management2</v>
      </c>
      <c r="B12" s="436" t="s">
        <v>1046</v>
      </c>
      <c r="C12" s="436" t="s">
        <v>1046</v>
      </c>
      <c r="D12" s="436" t="s">
        <v>1047</v>
      </c>
      <c r="E12" s="436" t="s">
        <v>115</v>
      </c>
      <c r="F12" s="417" t="s">
        <v>1081</v>
      </c>
      <c r="G12" s="436" t="s">
        <v>1082</v>
      </c>
      <c r="H12" s="437" t="s">
        <v>604</v>
      </c>
      <c r="I12" s="437" t="s">
        <v>574</v>
      </c>
      <c r="J12" s="438" t="s">
        <v>1083</v>
      </c>
      <c r="K12" s="437"/>
      <c r="L12" s="437"/>
      <c r="M12" s="437"/>
      <c r="N12" s="437" t="s">
        <v>1080</v>
      </c>
      <c r="O12" s="437" t="s">
        <v>1052</v>
      </c>
      <c r="P12" s="437" t="s">
        <v>1053</v>
      </c>
      <c r="Q12" s="437"/>
      <c r="R12" s="437">
        <v>1</v>
      </c>
      <c r="S12" s="437"/>
      <c r="T12" s="437">
        <v>1</v>
      </c>
      <c r="U12" s="437" t="s">
        <v>1054</v>
      </c>
      <c r="V12" s="437" t="s">
        <v>1055</v>
      </c>
      <c r="W12" s="437">
        <v>2</v>
      </c>
      <c r="X12" s="436"/>
      <c r="Y12" s="439">
        <v>2019</v>
      </c>
      <c r="Z12" s="436" t="s">
        <v>1064</v>
      </c>
      <c r="AA12" s="436">
        <v>2</v>
      </c>
      <c r="AB12" s="430" t="str">
        <f>VLOOKUP(E12,Source!F:F,1,FALSE)</f>
        <v>Div. of Capital Asset Management</v>
      </c>
      <c r="AC12" s="472"/>
      <c r="AE12" s="441"/>
    </row>
    <row r="13" spans="1:36" s="440" customFormat="1" x14ac:dyDescent="0.2">
      <c r="A13" s="436" t="str">
        <f t="shared" si="0"/>
        <v>Div. of Capital Asset Management3</v>
      </c>
      <c r="B13" s="436" t="s">
        <v>1046</v>
      </c>
      <c r="C13" s="436" t="s">
        <v>1046</v>
      </c>
      <c r="D13" s="436" t="s">
        <v>1047</v>
      </c>
      <c r="E13" s="436" t="s">
        <v>115</v>
      </c>
      <c r="F13" s="417" t="s">
        <v>1081</v>
      </c>
      <c r="G13" s="436" t="s">
        <v>1084</v>
      </c>
      <c r="H13" s="437" t="s">
        <v>604</v>
      </c>
      <c r="I13" s="437" t="s">
        <v>574</v>
      </c>
      <c r="J13" s="438" t="s">
        <v>1085</v>
      </c>
      <c r="K13" s="437"/>
      <c r="L13" s="437"/>
      <c r="M13" s="437"/>
      <c r="N13" s="437" t="s">
        <v>1080</v>
      </c>
      <c r="O13" s="437" t="s">
        <v>1052</v>
      </c>
      <c r="P13" s="437" t="s">
        <v>1053</v>
      </c>
      <c r="Q13" s="437"/>
      <c r="R13" s="437">
        <v>1</v>
      </c>
      <c r="S13" s="437"/>
      <c r="T13" s="437">
        <v>1</v>
      </c>
      <c r="U13" s="437" t="s">
        <v>1054</v>
      </c>
      <c r="V13" s="437" t="s">
        <v>1055</v>
      </c>
      <c r="W13" s="437">
        <v>2</v>
      </c>
      <c r="X13" s="436"/>
      <c r="Y13" s="439">
        <v>2019</v>
      </c>
      <c r="Z13" s="436" t="s">
        <v>1064</v>
      </c>
      <c r="AA13" s="436">
        <v>3</v>
      </c>
      <c r="AB13" s="430" t="str">
        <f>VLOOKUP(E13,Source!F:F,1,FALSE)</f>
        <v>Div. of Capital Asset Management</v>
      </c>
      <c r="AC13" s="472"/>
      <c r="AE13" s="441"/>
    </row>
    <row r="14" spans="1:36" s="440" customFormat="1" x14ac:dyDescent="0.2">
      <c r="A14" s="436" t="str">
        <f t="shared" si="0"/>
        <v>Div. of Capital Asset Management4</v>
      </c>
      <c r="B14" s="436" t="s">
        <v>1046</v>
      </c>
      <c r="C14" s="436" t="s">
        <v>1046</v>
      </c>
      <c r="D14" s="436" t="s">
        <v>1047</v>
      </c>
      <c r="E14" s="436" t="s">
        <v>115</v>
      </c>
      <c r="F14" s="417" t="s">
        <v>1081</v>
      </c>
      <c r="G14" s="436" t="s">
        <v>1086</v>
      </c>
      <c r="H14" s="437" t="s">
        <v>604</v>
      </c>
      <c r="I14" s="437" t="s">
        <v>574</v>
      </c>
      <c r="J14" s="438" t="s">
        <v>1087</v>
      </c>
      <c r="K14" s="437"/>
      <c r="L14" s="437"/>
      <c r="M14" s="437"/>
      <c r="N14" s="437" t="s">
        <v>1080</v>
      </c>
      <c r="O14" s="437" t="s">
        <v>1052</v>
      </c>
      <c r="P14" s="437" t="s">
        <v>1053</v>
      </c>
      <c r="Q14" s="437"/>
      <c r="R14" s="437">
        <v>1</v>
      </c>
      <c r="S14" s="437"/>
      <c r="T14" s="437">
        <v>1</v>
      </c>
      <c r="U14" s="437" t="s">
        <v>1054</v>
      </c>
      <c r="V14" s="437" t="s">
        <v>1055</v>
      </c>
      <c r="W14" s="437">
        <v>2</v>
      </c>
      <c r="X14" s="436"/>
      <c r="Y14" s="439">
        <v>2019</v>
      </c>
      <c r="Z14" s="436" t="s">
        <v>1064</v>
      </c>
      <c r="AA14" s="436">
        <v>4</v>
      </c>
      <c r="AB14" s="430" t="str">
        <f>VLOOKUP(E14,Source!F:F,1,FALSE)</f>
        <v>Div. of Capital Asset Management</v>
      </c>
      <c r="AC14" s="472"/>
      <c r="AE14" s="441"/>
    </row>
    <row r="15" spans="1:36" s="440" customFormat="1" x14ac:dyDescent="0.2">
      <c r="A15" s="436" t="str">
        <f t="shared" si="0"/>
        <v>Framingham State University1</v>
      </c>
      <c r="B15" s="436" t="s">
        <v>1046</v>
      </c>
      <c r="C15" s="436" t="s">
        <v>1046</v>
      </c>
      <c r="D15" s="436" t="s">
        <v>575</v>
      </c>
      <c r="E15" s="436" t="s">
        <v>130</v>
      </c>
      <c r="F15" s="417" t="s">
        <v>130</v>
      </c>
      <c r="G15" s="436" t="s">
        <v>711</v>
      </c>
      <c r="H15" s="437" t="s">
        <v>664</v>
      </c>
      <c r="I15" s="437" t="s">
        <v>574</v>
      </c>
      <c r="J15" s="438" t="s">
        <v>1088</v>
      </c>
      <c r="K15" s="437"/>
      <c r="L15" s="437"/>
      <c r="M15" s="437"/>
      <c r="N15" s="437" t="s">
        <v>1080</v>
      </c>
      <c r="O15" s="437" t="s">
        <v>1052</v>
      </c>
      <c r="P15" s="437" t="s">
        <v>1053</v>
      </c>
      <c r="Q15" s="437"/>
      <c r="R15" s="437">
        <v>1</v>
      </c>
      <c r="S15" s="437"/>
      <c r="T15" s="437">
        <v>1</v>
      </c>
      <c r="U15" s="437" t="s">
        <v>1054</v>
      </c>
      <c r="V15" s="437" t="s">
        <v>1055</v>
      </c>
      <c r="W15" s="437">
        <v>2</v>
      </c>
      <c r="X15" s="436"/>
      <c r="Y15" s="439">
        <v>2019</v>
      </c>
      <c r="Z15" s="436" t="s">
        <v>1064</v>
      </c>
      <c r="AA15" s="436">
        <v>1</v>
      </c>
      <c r="AB15" s="430" t="str">
        <f>VLOOKUP(E15,Source!F:F,1,FALSE)</f>
        <v>Framingham State University</v>
      </c>
      <c r="AC15" s="472"/>
      <c r="AE15" s="441"/>
    </row>
    <row r="16" spans="1:36" s="440" customFormat="1" x14ac:dyDescent="0.2">
      <c r="A16" s="436" t="str">
        <f t="shared" ref="A16" si="1">E16&amp;AA16</f>
        <v>Fitchburg State University1</v>
      </c>
      <c r="B16" s="436" t="s">
        <v>1046</v>
      </c>
      <c r="C16" s="436" t="s">
        <v>1046</v>
      </c>
      <c r="D16" s="436" t="s">
        <v>575</v>
      </c>
      <c r="E16" s="436" t="s">
        <v>117</v>
      </c>
      <c r="F16" s="436" t="s">
        <v>117</v>
      </c>
      <c r="G16" s="436" t="s">
        <v>1628</v>
      </c>
      <c r="H16" s="437" t="s">
        <v>705</v>
      </c>
      <c r="I16" s="437" t="s">
        <v>574</v>
      </c>
      <c r="J16" s="438"/>
      <c r="K16" s="437"/>
      <c r="L16" s="437"/>
      <c r="M16" s="437"/>
      <c r="N16" s="437"/>
      <c r="O16" s="437"/>
      <c r="P16" s="437" t="s">
        <v>1053</v>
      </c>
      <c r="Q16" s="437"/>
      <c r="R16" s="437">
        <v>1</v>
      </c>
      <c r="S16" s="437"/>
      <c r="T16" s="437">
        <v>1</v>
      </c>
      <c r="U16" s="437" t="s">
        <v>1054</v>
      </c>
      <c r="V16" s="437" t="s">
        <v>1055</v>
      </c>
      <c r="W16" s="437">
        <v>2</v>
      </c>
      <c r="X16" s="436"/>
      <c r="Y16" s="439">
        <v>2019</v>
      </c>
      <c r="Z16" s="436" t="s">
        <v>1064</v>
      </c>
      <c r="AA16" s="436">
        <v>1</v>
      </c>
      <c r="AB16" s="430" t="str">
        <f>VLOOKUP(E16,Source!F:F,1,FALSE)</f>
        <v>Fitchburg State University</v>
      </c>
      <c r="AC16" s="472"/>
      <c r="AE16" s="441"/>
    </row>
    <row r="17" spans="1:34" s="442" customFormat="1" x14ac:dyDescent="0.2">
      <c r="A17" s="436" t="str">
        <f t="shared" si="0"/>
        <v>Greenfield Comm. College1</v>
      </c>
      <c r="B17" s="436" t="s">
        <v>1046</v>
      </c>
      <c r="C17" s="436" t="s">
        <v>1046</v>
      </c>
      <c r="D17" s="436" t="s">
        <v>1047</v>
      </c>
      <c r="E17" s="436" t="s">
        <v>143</v>
      </c>
      <c r="F17" s="436" t="s">
        <v>1089</v>
      </c>
      <c r="G17" s="436" t="s">
        <v>1090</v>
      </c>
      <c r="H17" s="437" t="s">
        <v>717</v>
      </c>
      <c r="I17" s="437" t="s">
        <v>574</v>
      </c>
      <c r="J17" s="438" t="s">
        <v>1091</v>
      </c>
      <c r="K17" s="437"/>
      <c r="L17" s="437" t="s">
        <v>1076</v>
      </c>
      <c r="M17" s="437"/>
      <c r="N17" s="437" t="s">
        <v>1080</v>
      </c>
      <c r="O17" s="437" t="s">
        <v>1052</v>
      </c>
      <c r="P17" s="437" t="s">
        <v>1053</v>
      </c>
      <c r="Q17" s="437"/>
      <c r="R17" s="437">
        <v>1</v>
      </c>
      <c r="T17" s="437">
        <v>1</v>
      </c>
      <c r="U17" s="437" t="s">
        <v>1054</v>
      </c>
      <c r="V17" s="437" t="s">
        <v>1060</v>
      </c>
      <c r="W17" s="437">
        <v>1</v>
      </c>
      <c r="X17" s="436">
        <v>72329</v>
      </c>
      <c r="Y17" s="439">
        <v>2015</v>
      </c>
      <c r="Z17" s="436" t="s">
        <v>1064</v>
      </c>
      <c r="AA17" s="436">
        <v>1</v>
      </c>
      <c r="AB17" s="430" t="str">
        <f>VLOOKUP(E17,Source!F:F,1,FALSE)</f>
        <v>Greenfield Comm. College</v>
      </c>
      <c r="AC17" s="472"/>
      <c r="AD17" s="440"/>
      <c r="AE17" s="441"/>
      <c r="AF17" s="440"/>
    </row>
    <row r="18" spans="1:34" s="442" customFormat="1" x14ac:dyDescent="0.2">
      <c r="A18" s="436" t="str">
        <f t="shared" si="0"/>
        <v>Greenfield Comm. College2</v>
      </c>
      <c r="B18" s="436" t="s">
        <v>1046</v>
      </c>
      <c r="C18" s="436" t="s">
        <v>1046</v>
      </c>
      <c r="D18" s="436" t="s">
        <v>1047</v>
      </c>
      <c r="E18" s="436" t="s">
        <v>143</v>
      </c>
      <c r="F18" s="436" t="s">
        <v>1089</v>
      </c>
      <c r="G18" s="436" t="s">
        <v>1090</v>
      </c>
      <c r="H18" s="437" t="s">
        <v>717</v>
      </c>
      <c r="I18" s="437" t="s">
        <v>574</v>
      </c>
      <c r="J18" s="438" t="s">
        <v>1091</v>
      </c>
      <c r="K18" s="437"/>
      <c r="L18" s="437"/>
      <c r="M18" s="437"/>
      <c r="N18" s="437" t="s">
        <v>1080</v>
      </c>
      <c r="O18" s="437" t="s">
        <v>1052</v>
      </c>
      <c r="P18" s="437" t="s">
        <v>1053</v>
      </c>
      <c r="Q18" s="437"/>
      <c r="R18" s="437"/>
      <c r="S18" s="437">
        <v>1</v>
      </c>
      <c r="T18" s="437"/>
      <c r="U18" s="437" t="s">
        <v>1640</v>
      </c>
      <c r="V18" s="437" t="s">
        <v>1060</v>
      </c>
      <c r="W18" s="437">
        <v>1</v>
      </c>
      <c r="X18" s="436"/>
      <c r="Y18" s="439">
        <v>2020</v>
      </c>
      <c r="Z18" s="436"/>
      <c r="AA18" s="436">
        <v>2</v>
      </c>
      <c r="AB18" s="430" t="str">
        <f>VLOOKUP(E18,Source!F:F,1,FALSE)</f>
        <v>Greenfield Comm. College</v>
      </c>
      <c r="AC18" s="472"/>
      <c r="AD18" s="440"/>
      <c r="AE18" s="441"/>
      <c r="AF18" s="440"/>
    </row>
    <row r="19" spans="1:34" s="442" customFormat="1" x14ac:dyDescent="0.2">
      <c r="A19" s="436" t="str">
        <f t="shared" si="0"/>
        <v>Holyoke Comm. College1</v>
      </c>
      <c r="B19" s="436" t="s">
        <v>1046</v>
      </c>
      <c r="C19" s="436" t="s">
        <v>1046</v>
      </c>
      <c r="D19" s="436" t="s">
        <v>1047</v>
      </c>
      <c r="E19" s="436" t="s">
        <v>150</v>
      </c>
      <c r="F19" s="436" t="s">
        <v>1048</v>
      </c>
      <c r="G19" s="436" t="s">
        <v>1092</v>
      </c>
      <c r="H19" s="437" t="s">
        <v>965</v>
      </c>
      <c r="I19" s="437" t="s">
        <v>574</v>
      </c>
      <c r="J19" s="438" t="s">
        <v>1050</v>
      </c>
      <c r="K19" s="437"/>
      <c r="L19" s="437"/>
      <c r="M19" s="437"/>
      <c r="N19" s="437" t="s">
        <v>1051</v>
      </c>
      <c r="O19" s="437" t="s">
        <v>1052</v>
      </c>
      <c r="P19" s="437" t="s">
        <v>1053</v>
      </c>
      <c r="Q19" s="437"/>
      <c r="R19" s="437">
        <v>1</v>
      </c>
      <c r="S19" s="437"/>
      <c r="T19" s="437">
        <v>1</v>
      </c>
      <c r="U19" s="437" t="s">
        <v>1054</v>
      </c>
      <c r="V19" s="437" t="s">
        <v>1055</v>
      </c>
      <c r="W19" s="437">
        <v>2</v>
      </c>
      <c r="X19" s="436"/>
      <c r="Y19" s="439">
        <v>2016</v>
      </c>
      <c r="Z19" s="436" t="s">
        <v>1064</v>
      </c>
      <c r="AA19" s="436">
        <v>1</v>
      </c>
      <c r="AB19" s="430" t="str">
        <f>VLOOKUP(E19,Source!F:F,1,FALSE)</f>
        <v>Holyoke Comm. College</v>
      </c>
      <c r="AC19" s="472"/>
      <c r="AD19" s="440"/>
      <c r="AE19" s="441"/>
      <c r="AF19" s="440"/>
    </row>
    <row r="20" spans="1:34" s="442" customFormat="1" x14ac:dyDescent="0.2">
      <c r="A20" s="436" t="str">
        <f t="shared" si="0"/>
        <v>Mass. College of Art &amp; Design1</v>
      </c>
      <c r="B20" s="436" t="s">
        <v>1046</v>
      </c>
      <c r="C20" s="436" t="s">
        <v>1046</v>
      </c>
      <c r="D20" s="436" t="s">
        <v>575</v>
      </c>
      <c r="E20" s="436" t="s">
        <v>168</v>
      </c>
      <c r="F20" s="417" t="s">
        <v>1093</v>
      </c>
      <c r="G20" s="436" t="s">
        <v>1094</v>
      </c>
      <c r="H20" s="437" t="s">
        <v>604</v>
      </c>
      <c r="I20" s="437" t="s">
        <v>574</v>
      </c>
      <c r="J20" s="438" t="s">
        <v>1095</v>
      </c>
      <c r="K20" s="437"/>
      <c r="L20" s="437"/>
      <c r="M20" s="437"/>
      <c r="N20" s="437" t="s">
        <v>1080</v>
      </c>
      <c r="O20" s="437" t="s">
        <v>1052</v>
      </c>
      <c r="P20" s="437" t="s">
        <v>1053</v>
      </c>
      <c r="Q20" s="437">
        <v>1</v>
      </c>
      <c r="R20" s="437"/>
      <c r="S20" s="437"/>
      <c r="T20" s="437">
        <v>1</v>
      </c>
      <c r="U20" s="437" t="s">
        <v>1096</v>
      </c>
      <c r="V20" s="437" t="s">
        <v>1060</v>
      </c>
      <c r="W20" s="437">
        <v>1</v>
      </c>
      <c r="X20" s="436"/>
      <c r="Y20" s="439" t="s">
        <v>1002</v>
      </c>
      <c r="Z20" s="436" t="s">
        <v>1097</v>
      </c>
      <c r="AA20" s="436">
        <v>1</v>
      </c>
      <c r="AB20" s="430" t="str">
        <f>VLOOKUP(E20,Source!F:F,1,FALSE)</f>
        <v>Mass. College of Art &amp; Design</v>
      </c>
      <c r="AC20" s="472"/>
      <c r="AD20" s="440"/>
      <c r="AE20" s="441"/>
      <c r="AF20" s="440"/>
    </row>
    <row r="21" spans="1:34" s="442" customFormat="1" x14ac:dyDescent="0.2">
      <c r="A21" s="436" t="str">
        <f t="shared" si="0"/>
        <v>Mass. College of Art &amp; Design2</v>
      </c>
      <c r="B21" s="436" t="s">
        <v>1046</v>
      </c>
      <c r="C21" s="436" t="s">
        <v>1046</v>
      </c>
      <c r="D21" s="436" t="s">
        <v>575</v>
      </c>
      <c r="E21" s="436" t="s">
        <v>168</v>
      </c>
      <c r="F21" s="417" t="s">
        <v>1093</v>
      </c>
      <c r="G21" s="436" t="s">
        <v>1098</v>
      </c>
      <c r="H21" s="437" t="s">
        <v>604</v>
      </c>
      <c r="I21" s="437" t="s">
        <v>574</v>
      </c>
      <c r="J21" s="438" t="s">
        <v>1095</v>
      </c>
      <c r="K21" s="437"/>
      <c r="L21" s="437"/>
      <c r="M21" s="437"/>
      <c r="N21" s="437" t="s">
        <v>1080</v>
      </c>
      <c r="O21" s="437" t="s">
        <v>1052</v>
      </c>
      <c r="P21" s="437" t="s">
        <v>1053</v>
      </c>
      <c r="Q21" s="437">
        <v>1</v>
      </c>
      <c r="R21" s="437"/>
      <c r="S21" s="437"/>
      <c r="T21" s="437">
        <v>1</v>
      </c>
      <c r="U21" s="437" t="s">
        <v>1096</v>
      </c>
      <c r="V21" s="437" t="s">
        <v>1060</v>
      </c>
      <c r="W21" s="437">
        <v>1</v>
      </c>
      <c r="X21" s="436"/>
      <c r="Y21" s="439" t="s">
        <v>1002</v>
      </c>
      <c r="Z21" s="436" t="s">
        <v>1097</v>
      </c>
      <c r="AA21" s="436">
        <v>2</v>
      </c>
      <c r="AB21" s="430" t="str">
        <f>VLOOKUP(E21,Source!F:F,1,FALSE)</f>
        <v>Mass. College of Art &amp; Design</v>
      </c>
      <c r="AC21" s="440"/>
      <c r="AD21" s="440"/>
      <c r="AE21" s="441"/>
      <c r="AF21" s="440"/>
    </row>
    <row r="22" spans="1:34" s="442" customFormat="1" x14ac:dyDescent="0.2">
      <c r="A22" s="436" t="str">
        <f t="shared" si="0"/>
        <v>Mass. College of Art &amp; Design3</v>
      </c>
      <c r="B22" s="436" t="s">
        <v>1046</v>
      </c>
      <c r="C22" s="436" t="s">
        <v>1046</v>
      </c>
      <c r="D22" s="436" t="s">
        <v>575</v>
      </c>
      <c r="E22" s="436" t="s">
        <v>168</v>
      </c>
      <c r="F22" s="417" t="s">
        <v>1093</v>
      </c>
      <c r="G22" s="436" t="s">
        <v>1098</v>
      </c>
      <c r="H22" s="437" t="s">
        <v>604</v>
      </c>
      <c r="I22" s="437" t="s">
        <v>574</v>
      </c>
      <c r="J22" s="438" t="s">
        <v>1095</v>
      </c>
      <c r="K22" s="437"/>
      <c r="L22" s="437"/>
      <c r="M22" s="437"/>
      <c r="N22" s="437" t="s">
        <v>1080</v>
      </c>
      <c r="O22" s="437" t="s">
        <v>1052</v>
      </c>
      <c r="P22" s="437" t="s">
        <v>1053</v>
      </c>
      <c r="Q22" s="437">
        <v>1</v>
      </c>
      <c r="R22" s="437"/>
      <c r="S22" s="437"/>
      <c r="T22" s="437">
        <v>1</v>
      </c>
      <c r="U22" s="437" t="s">
        <v>1096</v>
      </c>
      <c r="V22" s="437" t="s">
        <v>1060</v>
      </c>
      <c r="W22" s="437">
        <v>1</v>
      </c>
      <c r="X22" s="436"/>
      <c r="Y22" s="439" t="s">
        <v>1002</v>
      </c>
      <c r="Z22" s="436" t="s">
        <v>1097</v>
      </c>
      <c r="AA22" s="436">
        <v>3</v>
      </c>
      <c r="AB22" s="430" t="str">
        <f>VLOOKUP(E22,Source!F:F,1,FALSE)</f>
        <v>Mass. College of Art &amp; Design</v>
      </c>
      <c r="AC22" s="440"/>
      <c r="AD22" s="440"/>
      <c r="AE22" s="441"/>
      <c r="AF22" s="440"/>
    </row>
    <row r="23" spans="1:34" s="442" customFormat="1" x14ac:dyDescent="0.2">
      <c r="A23" s="436" t="str">
        <f t="shared" si="0"/>
        <v>Mass. College of Art &amp; Design4</v>
      </c>
      <c r="B23" s="436" t="s">
        <v>1046</v>
      </c>
      <c r="C23" s="436" t="s">
        <v>1046</v>
      </c>
      <c r="D23" s="436" t="s">
        <v>575</v>
      </c>
      <c r="E23" s="436" t="s">
        <v>168</v>
      </c>
      <c r="F23" s="417" t="s">
        <v>1093</v>
      </c>
      <c r="G23" s="436" t="s">
        <v>1098</v>
      </c>
      <c r="H23" s="437" t="s">
        <v>604</v>
      </c>
      <c r="I23" s="437" t="s">
        <v>574</v>
      </c>
      <c r="J23" s="438" t="s">
        <v>1095</v>
      </c>
      <c r="K23" s="437"/>
      <c r="L23" s="437"/>
      <c r="M23" s="437"/>
      <c r="N23" s="437" t="s">
        <v>1080</v>
      </c>
      <c r="O23" s="437" t="s">
        <v>1052</v>
      </c>
      <c r="P23" s="437" t="s">
        <v>1053</v>
      </c>
      <c r="Q23" s="437">
        <v>1</v>
      </c>
      <c r="R23" s="437"/>
      <c r="S23" s="437"/>
      <c r="T23" s="437">
        <v>1</v>
      </c>
      <c r="U23" s="437" t="s">
        <v>1096</v>
      </c>
      <c r="V23" s="437" t="s">
        <v>1060</v>
      </c>
      <c r="W23" s="437">
        <v>1</v>
      </c>
      <c r="X23" s="436"/>
      <c r="Y23" s="439" t="s">
        <v>1002</v>
      </c>
      <c r="Z23" s="436" t="s">
        <v>1097</v>
      </c>
      <c r="AA23" s="436">
        <v>4</v>
      </c>
      <c r="AB23" s="430" t="str">
        <f>VLOOKUP(E23,Source!F:F,1,FALSE)</f>
        <v>Mass. College of Art &amp; Design</v>
      </c>
      <c r="AC23" s="440"/>
      <c r="AD23" s="440"/>
      <c r="AE23" s="441"/>
      <c r="AF23" s="440"/>
    </row>
    <row r="24" spans="1:34" s="442" customFormat="1" x14ac:dyDescent="0.2">
      <c r="A24" s="436" t="str">
        <f t="shared" si="0"/>
        <v>Mass. College of Art &amp; Design5</v>
      </c>
      <c r="B24" s="436" t="s">
        <v>1046</v>
      </c>
      <c r="C24" s="436" t="s">
        <v>1046</v>
      </c>
      <c r="D24" s="436" t="s">
        <v>575</v>
      </c>
      <c r="E24" s="436" t="s">
        <v>168</v>
      </c>
      <c r="F24" s="417" t="s">
        <v>1093</v>
      </c>
      <c r="G24" s="436" t="s">
        <v>1098</v>
      </c>
      <c r="H24" s="437" t="s">
        <v>604</v>
      </c>
      <c r="I24" s="437" t="s">
        <v>574</v>
      </c>
      <c r="J24" s="438" t="s">
        <v>1095</v>
      </c>
      <c r="K24" s="437"/>
      <c r="L24" s="437"/>
      <c r="M24" s="437"/>
      <c r="N24" s="437" t="s">
        <v>1080</v>
      </c>
      <c r="O24" s="437" t="s">
        <v>1052</v>
      </c>
      <c r="P24" s="437" t="s">
        <v>1053</v>
      </c>
      <c r="Q24" s="437">
        <v>1</v>
      </c>
      <c r="R24" s="437"/>
      <c r="S24" s="437"/>
      <c r="T24" s="437">
        <v>1</v>
      </c>
      <c r="U24" s="437" t="s">
        <v>1096</v>
      </c>
      <c r="V24" s="437" t="s">
        <v>1060</v>
      </c>
      <c r="W24" s="437">
        <v>1</v>
      </c>
      <c r="X24" s="436"/>
      <c r="Y24" s="439" t="s">
        <v>1002</v>
      </c>
      <c r="Z24" s="436" t="s">
        <v>1097</v>
      </c>
      <c r="AA24" s="436">
        <v>5</v>
      </c>
      <c r="AB24" s="430" t="str">
        <f>VLOOKUP(E24,Source!F:F,1,FALSE)</f>
        <v>Mass. College of Art &amp; Design</v>
      </c>
      <c r="AC24" s="440"/>
      <c r="AD24" s="440"/>
      <c r="AE24" s="441"/>
      <c r="AF24" s="440"/>
    </row>
    <row r="25" spans="1:34" s="442" customFormat="1" x14ac:dyDescent="0.2">
      <c r="A25" s="436" t="str">
        <f t="shared" si="0"/>
        <v>Mass. College of Art &amp; Design6</v>
      </c>
      <c r="B25" s="436" t="s">
        <v>1046</v>
      </c>
      <c r="C25" s="436" t="s">
        <v>1046</v>
      </c>
      <c r="D25" s="436" t="s">
        <v>575</v>
      </c>
      <c r="E25" s="436" t="s">
        <v>168</v>
      </c>
      <c r="F25" s="417" t="s">
        <v>1093</v>
      </c>
      <c r="G25" s="436" t="s">
        <v>1098</v>
      </c>
      <c r="H25" s="437" t="s">
        <v>604</v>
      </c>
      <c r="I25" s="437" t="s">
        <v>574</v>
      </c>
      <c r="J25" s="438" t="s">
        <v>1095</v>
      </c>
      <c r="K25" s="437"/>
      <c r="L25" s="437"/>
      <c r="M25" s="437"/>
      <c r="N25" s="437" t="s">
        <v>1080</v>
      </c>
      <c r="O25" s="437" t="s">
        <v>1052</v>
      </c>
      <c r="P25" s="437" t="s">
        <v>1053</v>
      </c>
      <c r="Q25" s="437">
        <v>1</v>
      </c>
      <c r="R25" s="437"/>
      <c r="S25" s="437"/>
      <c r="T25" s="437">
        <v>1</v>
      </c>
      <c r="U25" s="437" t="s">
        <v>1096</v>
      </c>
      <c r="V25" s="437" t="s">
        <v>1060</v>
      </c>
      <c r="W25" s="437">
        <v>1</v>
      </c>
      <c r="X25" s="436"/>
      <c r="Y25" s="439" t="s">
        <v>1002</v>
      </c>
      <c r="Z25" s="436" t="s">
        <v>1097</v>
      </c>
      <c r="AA25" s="436">
        <v>6</v>
      </c>
      <c r="AB25" s="430" t="str">
        <f>VLOOKUP(E25,Source!F:F,1,FALSE)</f>
        <v>Mass. College of Art &amp; Design</v>
      </c>
      <c r="AC25" s="440"/>
      <c r="AD25" s="440"/>
      <c r="AE25" s="441"/>
      <c r="AF25" s="440"/>
    </row>
    <row r="26" spans="1:34" x14ac:dyDescent="0.2">
      <c r="A26" s="98" t="str">
        <f t="shared" si="0"/>
        <v>Mass. College of Liberal Arts1</v>
      </c>
      <c r="B26" s="98" t="s">
        <v>1046</v>
      </c>
      <c r="C26" s="98" t="s">
        <v>1046</v>
      </c>
      <c r="D26" s="98" t="s">
        <v>1099</v>
      </c>
      <c r="E26" s="98" t="s">
        <v>173</v>
      </c>
      <c r="F26" s="98" t="s">
        <v>1100</v>
      </c>
      <c r="G26" s="98" t="s">
        <v>1101</v>
      </c>
      <c r="H26" s="99" t="s">
        <v>720</v>
      </c>
      <c r="I26" s="99" t="s">
        <v>574</v>
      </c>
      <c r="J26" s="100" t="s">
        <v>1102</v>
      </c>
      <c r="K26" s="99"/>
      <c r="L26" s="99" t="s">
        <v>1076</v>
      </c>
      <c r="M26" s="99"/>
      <c r="N26" s="99" t="s">
        <v>1059</v>
      </c>
      <c r="O26" s="99" t="s">
        <v>1052</v>
      </c>
      <c r="P26" s="99" t="s">
        <v>1053</v>
      </c>
      <c r="Q26" s="99"/>
      <c r="R26" s="99">
        <v>1</v>
      </c>
      <c r="S26" s="99"/>
      <c r="T26" s="99">
        <v>1</v>
      </c>
      <c r="U26" s="99" t="s">
        <v>1054</v>
      </c>
      <c r="V26" s="99" t="s">
        <v>1060</v>
      </c>
      <c r="W26" s="99">
        <v>1</v>
      </c>
      <c r="X26" s="98">
        <v>61293</v>
      </c>
      <c r="Y26" s="102" t="s">
        <v>1002</v>
      </c>
      <c r="Z26" s="98" t="s">
        <v>1064</v>
      </c>
      <c r="AA26" s="98">
        <v>1</v>
      </c>
      <c r="AB26" s="85" t="str">
        <f>VLOOKUP(E26,Source!F:F,1,FALSE)</f>
        <v>Mass. College of Liberal Arts</v>
      </c>
      <c r="AC26" s="88"/>
      <c r="AD26" s="88"/>
      <c r="AE26" s="79"/>
      <c r="AF26" s="88"/>
    </row>
    <row r="27" spans="1:34" x14ac:dyDescent="0.2">
      <c r="A27" s="98" t="str">
        <f t="shared" si="0"/>
        <v>MassDEP - leased1</v>
      </c>
      <c r="B27" s="98" t="s">
        <v>1046</v>
      </c>
      <c r="C27" s="98" t="s">
        <v>1046</v>
      </c>
      <c r="D27" s="98" t="s">
        <v>1103</v>
      </c>
      <c r="E27" s="98" t="s">
        <v>213</v>
      </c>
      <c r="F27" s="98" t="s">
        <v>1104</v>
      </c>
      <c r="G27" s="98" t="s">
        <v>1105</v>
      </c>
      <c r="H27" s="99" t="s">
        <v>692</v>
      </c>
      <c r="I27" s="99" t="s">
        <v>574</v>
      </c>
      <c r="J27" s="100" t="s">
        <v>1106</v>
      </c>
      <c r="K27" s="99"/>
      <c r="L27" s="99" t="s">
        <v>1076</v>
      </c>
      <c r="M27" s="99"/>
      <c r="N27" s="99" t="s">
        <v>1059</v>
      </c>
      <c r="O27" s="99" t="s">
        <v>1052</v>
      </c>
      <c r="P27" s="99" t="s">
        <v>1053</v>
      </c>
      <c r="Q27" s="99"/>
      <c r="R27" s="99">
        <v>1</v>
      </c>
      <c r="S27" s="99"/>
      <c r="T27" s="99">
        <v>1</v>
      </c>
      <c r="U27" s="99" t="s">
        <v>1054</v>
      </c>
      <c r="V27" s="99" t="s">
        <v>1055</v>
      </c>
      <c r="W27" s="99">
        <v>2</v>
      </c>
      <c r="X27" s="98">
        <v>64110</v>
      </c>
      <c r="Y27" s="103">
        <v>2014</v>
      </c>
      <c r="Z27" s="98" t="s">
        <v>1064</v>
      </c>
      <c r="AA27" s="98">
        <v>1</v>
      </c>
      <c r="AB27" s="85" t="str">
        <f>VLOOKUP(E27,Source!F:F,1,FALSE)</f>
        <v>MassDEP - leased</v>
      </c>
      <c r="AC27" s="88"/>
      <c r="AD27" s="88"/>
      <c r="AE27" s="79"/>
      <c r="AF27" s="88"/>
    </row>
    <row r="28" spans="1:34" x14ac:dyDescent="0.2">
      <c r="A28" s="98" t="str">
        <f t="shared" si="0"/>
        <v>MassDEP - leased2</v>
      </c>
      <c r="B28" s="98" t="s">
        <v>1046</v>
      </c>
      <c r="C28" s="98" t="s">
        <v>1046</v>
      </c>
      <c r="D28" s="98" t="s">
        <v>1103</v>
      </c>
      <c r="E28" s="98" t="s">
        <v>213</v>
      </c>
      <c r="F28" s="98" t="s">
        <v>1107</v>
      </c>
      <c r="G28" s="98" t="s">
        <v>1108</v>
      </c>
      <c r="H28" s="99" t="s">
        <v>1109</v>
      </c>
      <c r="I28" s="99" t="s">
        <v>574</v>
      </c>
      <c r="J28" s="100" t="s">
        <v>1110</v>
      </c>
      <c r="K28" s="99"/>
      <c r="L28" s="99"/>
      <c r="M28" s="99"/>
      <c r="N28" s="99" t="s">
        <v>1051</v>
      </c>
      <c r="O28" s="99" t="s">
        <v>1052</v>
      </c>
      <c r="P28" s="99" t="s">
        <v>1053</v>
      </c>
      <c r="Q28" s="99"/>
      <c r="R28" s="99">
        <v>1</v>
      </c>
      <c r="S28" s="99"/>
      <c r="T28" s="99">
        <v>1</v>
      </c>
      <c r="U28" s="99" t="s">
        <v>1054</v>
      </c>
      <c r="V28" s="99" t="s">
        <v>1055</v>
      </c>
      <c r="W28" s="99">
        <v>2</v>
      </c>
      <c r="X28" s="98"/>
      <c r="Y28" s="103">
        <v>2016</v>
      </c>
      <c r="Z28" s="98" t="s">
        <v>1064</v>
      </c>
      <c r="AA28" s="98">
        <v>2</v>
      </c>
      <c r="AB28" s="85" t="str">
        <f>VLOOKUP(E28,Source!F:F,1,FALSE)</f>
        <v>MassDEP - leased</v>
      </c>
      <c r="AC28" s="88"/>
      <c r="AD28" s="88"/>
      <c r="AE28" s="79"/>
      <c r="AF28" s="88"/>
      <c r="AG28" s="83"/>
      <c r="AH28" s="83"/>
    </row>
    <row r="29" spans="1:34" x14ac:dyDescent="0.2">
      <c r="A29" s="98" t="str">
        <f t="shared" si="0"/>
        <v>MassDEP - leased3</v>
      </c>
      <c r="B29" s="98" t="s">
        <v>1046</v>
      </c>
      <c r="C29" s="98" t="s">
        <v>1046</v>
      </c>
      <c r="D29" s="98" t="s">
        <v>1103</v>
      </c>
      <c r="E29" s="98" t="s">
        <v>213</v>
      </c>
      <c r="F29" s="98" t="s">
        <v>1111</v>
      </c>
      <c r="G29" s="98" t="s">
        <v>1112</v>
      </c>
      <c r="H29" s="99" t="s">
        <v>1113</v>
      </c>
      <c r="I29" s="99" t="s">
        <v>574</v>
      </c>
      <c r="J29" s="100" t="s">
        <v>1114</v>
      </c>
      <c r="K29" s="99"/>
      <c r="L29" s="99"/>
      <c r="M29" s="99"/>
      <c r="N29" s="99" t="s">
        <v>1051</v>
      </c>
      <c r="O29" s="99" t="s">
        <v>1052</v>
      </c>
      <c r="P29" s="99" t="s">
        <v>1053</v>
      </c>
      <c r="Q29" s="99"/>
      <c r="R29" s="99">
        <v>1</v>
      </c>
      <c r="S29" s="99"/>
      <c r="T29" s="99">
        <v>1</v>
      </c>
      <c r="U29" s="99" t="s">
        <v>1054</v>
      </c>
      <c r="V29" s="99" t="s">
        <v>1055</v>
      </c>
      <c r="W29" s="99">
        <v>2</v>
      </c>
      <c r="X29" s="98"/>
      <c r="Y29" s="102" t="s">
        <v>1002</v>
      </c>
      <c r="Z29" s="98" t="s">
        <v>1064</v>
      </c>
      <c r="AA29" s="98">
        <v>3</v>
      </c>
      <c r="AB29" s="85" t="str">
        <f>VLOOKUP(E29,Source!F:F,1,FALSE)</f>
        <v>MassDEP - leased</v>
      </c>
      <c r="AC29" s="88"/>
      <c r="AD29" s="88"/>
      <c r="AE29" s="79"/>
      <c r="AF29" s="88"/>
    </row>
    <row r="30" spans="1:34" x14ac:dyDescent="0.2">
      <c r="A30" s="98" t="str">
        <f t="shared" si="0"/>
        <v>MassDOT - Highway &amp; Turnpike Divisions1</v>
      </c>
      <c r="B30" s="98" t="s">
        <v>1046</v>
      </c>
      <c r="C30" s="98" t="s">
        <v>1046</v>
      </c>
      <c r="D30" s="98" t="s">
        <v>798</v>
      </c>
      <c r="E30" s="82" t="s">
        <v>215</v>
      </c>
      <c r="F30" s="86" t="s">
        <v>1115</v>
      </c>
      <c r="G30" s="98" t="s">
        <v>1116</v>
      </c>
      <c r="H30" s="99" t="s">
        <v>757</v>
      </c>
      <c r="I30" s="99" t="s">
        <v>574</v>
      </c>
      <c r="J30" s="100"/>
      <c r="K30" s="99"/>
      <c r="L30" s="99"/>
      <c r="M30" s="99"/>
      <c r="N30" s="99" t="s">
        <v>1080</v>
      </c>
      <c r="O30" s="99" t="s">
        <v>1052</v>
      </c>
      <c r="P30" s="99" t="s">
        <v>1117</v>
      </c>
      <c r="Q30" s="99"/>
      <c r="R30" s="99">
        <v>1</v>
      </c>
      <c r="S30" s="99"/>
      <c r="T30" s="99">
        <v>1</v>
      </c>
      <c r="U30" s="99" t="s">
        <v>1054</v>
      </c>
      <c r="V30" s="99" t="s">
        <v>1055</v>
      </c>
      <c r="W30" s="99">
        <v>2</v>
      </c>
      <c r="X30" s="98"/>
      <c r="Y30" s="102">
        <v>2013</v>
      </c>
      <c r="Z30" s="98" t="s">
        <v>1064</v>
      </c>
      <c r="AA30" s="98">
        <v>1</v>
      </c>
      <c r="AB30" s="85" t="str">
        <f>VLOOKUP(E30,Source!F:F,1,FALSE)</f>
        <v>MassDOT - Highway &amp; Turnpike Divisions</v>
      </c>
      <c r="AC30" s="88"/>
      <c r="AD30" s="88"/>
      <c r="AE30" s="79"/>
      <c r="AF30" s="88"/>
    </row>
    <row r="31" spans="1:34" x14ac:dyDescent="0.2">
      <c r="A31" s="98" t="str">
        <f t="shared" si="0"/>
        <v>MassDOT - Highway &amp; Turnpike Divisions2</v>
      </c>
      <c r="B31" s="98" t="s">
        <v>1046</v>
      </c>
      <c r="C31" s="98" t="s">
        <v>1046</v>
      </c>
      <c r="D31" s="98" t="s">
        <v>798</v>
      </c>
      <c r="E31" s="82" t="s">
        <v>215</v>
      </c>
      <c r="F31" s="98" t="s">
        <v>1118</v>
      </c>
      <c r="G31" s="98" t="s">
        <v>1119</v>
      </c>
      <c r="H31" s="99" t="s">
        <v>1120</v>
      </c>
      <c r="I31" s="99" t="s">
        <v>574</v>
      </c>
      <c r="J31" s="100" t="s">
        <v>1121</v>
      </c>
      <c r="K31" s="99"/>
      <c r="L31" s="99"/>
      <c r="M31" s="99"/>
      <c r="N31" s="99" t="s">
        <v>1080</v>
      </c>
      <c r="O31" s="99" t="s">
        <v>1052</v>
      </c>
      <c r="P31" s="99" t="s">
        <v>1117</v>
      </c>
      <c r="Q31" s="99"/>
      <c r="R31" s="99">
        <v>1</v>
      </c>
      <c r="S31" s="99"/>
      <c r="T31" s="99">
        <v>1</v>
      </c>
      <c r="U31" s="99" t="s">
        <v>1054</v>
      </c>
      <c r="V31" s="99" t="s">
        <v>1060</v>
      </c>
      <c r="W31" s="99">
        <v>1</v>
      </c>
      <c r="X31" s="98"/>
      <c r="Y31" s="102">
        <v>2012</v>
      </c>
      <c r="Z31" s="98" t="s">
        <v>1064</v>
      </c>
      <c r="AA31" s="98">
        <v>2</v>
      </c>
      <c r="AB31" s="85" t="str">
        <f>VLOOKUP(E31,Source!F:F,1,FALSE)</f>
        <v>MassDOT - Highway &amp; Turnpike Divisions</v>
      </c>
      <c r="AC31" s="88"/>
      <c r="AD31" s="88"/>
      <c r="AE31" s="79"/>
      <c r="AF31" s="88"/>
    </row>
    <row r="32" spans="1:34" x14ac:dyDescent="0.2">
      <c r="A32" s="98" t="str">
        <f t="shared" si="0"/>
        <v>MassDOT - Highway &amp; Turnpike Divisions3</v>
      </c>
      <c r="B32" s="98" t="s">
        <v>1046</v>
      </c>
      <c r="C32" s="98" t="s">
        <v>1046</v>
      </c>
      <c r="D32" s="98" t="s">
        <v>798</v>
      </c>
      <c r="E32" s="82" t="s">
        <v>215</v>
      </c>
      <c r="F32" s="98" t="s">
        <v>1118</v>
      </c>
      <c r="G32" s="98" t="s">
        <v>1119</v>
      </c>
      <c r="H32" s="99" t="s">
        <v>1120</v>
      </c>
      <c r="I32" s="99" t="s">
        <v>574</v>
      </c>
      <c r="J32" s="100" t="s">
        <v>1121</v>
      </c>
      <c r="K32" s="99"/>
      <c r="L32" s="99"/>
      <c r="M32" s="99"/>
      <c r="N32" s="99" t="s">
        <v>1080</v>
      </c>
      <c r="O32" s="99" t="s">
        <v>1052</v>
      </c>
      <c r="P32" s="99" t="s">
        <v>1117</v>
      </c>
      <c r="Q32" s="99"/>
      <c r="R32" s="99">
        <v>1</v>
      </c>
      <c r="S32" s="99"/>
      <c r="T32" s="99">
        <v>1</v>
      </c>
      <c r="U32" s="99" t="s">
        <v>1054</v>
      </c>
      <c r="V32" s="99" t="s">
        <v>1060</v>
      </c>
      <c r="W32" s="99">
        <v>1</v>
      </c>
      <c r="X32" s="98"/>
      <c r="Y32" s="102">
        <v>2012</v>
      </c>
      <c r="Z32" s="98" t="s">
        <v>1064</v>
      </c>
      <c r="AA32" s="98">
        <v>3</v>
      </c>
      <c r="AB32" s="85" t="str">
        <f>VLOOKUP(E32,Source!F:F,1,FALSE)</f>
        <v>MassDOT - Highway &amp; Turnpike Divisions</v>
      </c>
      <c r="AC32" s="88"/>
      <c r="AD32" s="88"/>
      <c r="AE32" s="79"/>
      <c r="AF32" s="88"/>
    </row>
    <row r="33" spans="1:32" x14ac:dyDescent="0.2">
      <c r="A33" s="98" t="str">
        <f t="shared" si="0"/>
        <v>MassDOT - Highway &amp; Turnpike Divisions4</v>
      </c>
      <c r="B33" s="98" t="s">
        <v>1046</v>
      </c>
      <c r="C33" s="98" t="s">
        <v>1046</v>
      </c>
      <c r="D33" s="98" t="s">
        <v>798</v>
      </c>
      <c r="E33" s="82" t="s">
        <v>215</v>
      </c>
      <c r="F33" s="98" t="s">
        <v>1122</v>
      </c>
      <c r="G33" s="98" t="s">
        <v>1123</v>
      </c>
      <c r="H33" s="99" t="s">
        <v>604</v>
      </c>
      <c r="I33" s="99" t="s">
        <v>574</v>
      </c>
      <c r="J33" s="100" t="s">
        <v>1124</v>
      </c>
      <c r="K33" s="99"/>
      <c r="L33" s="99"/>
      <c r="M33" s="99"/>
      <c r="N33" s="99" t="s">
        <v>1080</v>
      </c>
      <c r="O33" s="99" t="s">
        <v>1052</v>
      </c>
      <c r="P33" s="99" t="s">
        <v>1117</v>
      </c>
      <c r="Q33" s="99"/>
      <c r="R33" s="99">
        <v>1</v>
      </c>
      <c r="S33" s="99"/>
      <c r="T33" s="99">
        <v>1</v>
      </c>
      <c r="U33" s="99" t="s">
        <v>1054</v>
      </c>
      <c r="V33" s="99" t="s">
        <v>1055</v>
      </c>
      <c r="W33" s="99">
        <v>2</v>
      </c>
      <c r="X33" s="98"/>
      <c r="Y33" s="102">
        <v>2013</v>
      </c>
      <c r="Z33" s="98" t="s">
        <v>1064</v>
      </c>
      <c r="AA33" s="98">
        <v>4</v>
      </c>
      <c r="AB33" s="85" t="str">
        <f>VLOOKUP(E33,Source!F:F,1,FALSE)</f>
        <v>MassDOT - Highway &amp; Turnpike Divisions</v>
      </c>
      <c r="AC33" s="88"/>
      <c r="AD33" s="88"/>
      <c r="AE33" s="79"/>
      <c r="AF33" s="88"/>
    </row>
    <row r="34" spans="1:32" x14ac:dyDescent="0.2">
      <c r="A34" s="98" t="str">
        <f t="shared" si="0"/>
        <v>MassDOT - Highway &amp; Turnpike Divisions5</v>
      </c>
      <c r="B34" s="98" t="s">
        <v>1046</v>
      </c>
      <c r="C34" s="98" t="s">
        <v>1046</v>
      </c>
      <c r="D34" s="98" t="s">
        <v>798</v>
      </c>
      <c r="E34" s="82" t="s">
        <v>215</v>
      </c>
      <c r="F34" s="86" t="s">
        <v>1125</v>
      </c>
      <c r="G34" s="98" t="s">
        <v>1126</v>
      </c>
      <c r="H34" s="99" t="s">
        <v>604</v>
      </c>
      <c r="I34" s="99" t="s">
        <v>574</v>
      </c>
      <c r="J34" s="100" t="s">
        <v>1127</v>
      </c>
      <c r="K34" s="99"/>
      <c r="L34" s="99"/>
      <c r="M34" s="99"/>
      <c r="N34" s="99" t="s">
        <v>1080</v>
      </c>
      <c r="O34" s="99" t="s">
        <v>1052</v>
      </c>
      <c r="P34" s="99" t="s">
        <v>1117</v>
      </c>
      <c r="Q34" s="99"/>
      <c r="R34" s="99">
        <v>1</v>
      </c>
      <c r="S34" s="99"/>
      <c r="T34" s="99">
        <v>1</v>
      </c>
      <c r="U34" s="99" t="s">
        <v>1054</v>
      </c>
      <c r="V34" s="99" t="s">
        <v>1060</v>
      </c>
      <c r="W34" s="99">
        <v>1</v>
      </c>
      <c r="X34" s="98"/>
      <c r="Y34" s="102">
        <v>2013</v>
      </c>
      <c r="Z34" s="98" t="s">
        <v>1064</v>
      </c>
      <c r="AA34" s="98">
        <v>5</v>
      </c>
      <c r="AB34" s="85" t="str">
        <f>VLOOKUP(E34,Source!F:F,1,FALSE)</f>
        <v>MassDOT - Highway &amp; Turnpike Divisions</v>
      </c>
      <c r="AC34" s="88"/>
      <c r="AD34" s="88"/>
      <c r="AE34" s="79"/>
      <c r="AF34" s="88"/>
    </row>
    <row r="35" spans="1:32" x14ac:dyDescent="0.2">
      <c r="A35" s="98" t="str">
        <f t="shared" si="0"/>
        <v>MassDOT - Highway &amp; Turnpike Divisions6</v>
      </c>
      <c r="B35" s="98" t="s">
        <v>1046</v>
      </c>
      <c r="C35" s="98" t="s">
        <v>1046</v>
      </c>
      <c r="D35" s="98" t="s">
        <v>798</v>
      </c>
      <c r="E35" s="82" t="s">
        <v>215</v>
      </c>
      <c r="F35" s="86" t="s">
        <v>1125</v>
      </c>
      <c r="G35" s="98" t="s">
        <v>1126</v>
      </c>
      <c r="H35" s="99" t="s">
        <v>604</v>
      </c>
      <c r="I35" s="99" t="s">
        <v>574</v>
      </c>
      <c r="J35" s="100" t="s">
        <v>1127</v>
      </c>
      <c r="K35" s="99"/>
      <c r="L35" s="99"/>
      <c r="M35" s="99"/>
      <c r="N35" s="99" t="s">
        <v>1080</v>
      </c>
      <c r="O35" s="99" t="s">
        <v>1052</v>
      </c>
      <c r="P35" s="99" t="s">
        <v>1117</v>
      </c>
      <c r="Q35" s="99"/>
      <c r="R35" s="99">
        <v>1</v>
      </c>
      <c r="S35" s="99"/>
      <c r="T35" s="99">
        <v>1</v>
      </c>
      <c r="U35" s="99" t="s">
        <v>1054</v>
      </c>
      <c r="V35" s="99" t="s">
        <v>1060</v>
      </c>
      <c r="W35" s="99">
        <v>1</v>
      </c>
      <c r="X35" s="98"/>
      <c r="Y35" s="102">
        <v>2013</v>
      </c>
      <c r="Z35" s="98" t="s">
        <v>1064</v>
      </c>
      <c r="AA35" s="98">
        <v>6</v>
      </c>
      <c r="AB35" s="85" t="str">
        <f>VLOOKUP(E35,Source!F:F,1,FALSE)</f>
        <v>MassDOT - Highway &amp; Turnpike Divisions</v>
      </c>
      <c r="AC35" s="88"/>
      <c r="AD35" s="88"/>
      <c r="AE35" s="79"/>
      <c r="AF35" s="88"/>
    </row>
    <row r="36" spans="1:32" x14ac:dyDescent="0.2">
      <c r="A36" s="98" t="str">
        <f t="shared" si="0"/>
        <v>MassDOT - Highway &amp; Turnpike Divisions7</v>
      </c>
      <c r="B36" s="98" t="s">
        <v>1046</v>
      </c>
      <c r="C36" s="98" t="s">
        <v>1046</v>
      </c>
      <c r="D36" s="98" t="s">
        <v>798</v>
      </c>
      <c r="E36" s="82" t="s">
        <v>215</v>
      </c>
      <c r="F36" s="86" t="s">
        <v>1125</v>
      </c>
      <c r="G36" s="98" t="s">
        <v>1126</v>
      </c>
      <c r="H36" s="99" t="s">
        <v>604</v>
      </c>
      <c r="I36" s="99" t="s">
        <v>574</v>
      </c>
      <c r="J36" s="100" t="s">
        <v>1127</v>
      </c>
      <c r="K36" s="99"/>
      <c r="L36" s="99"/>
      <c r="M36" s="99"/>
      <c r="N36" s="99" t="s">
        <v>1080</v>
      </c>
      <c r="O36" s="99" t="s">
        <v>1052</v>
      </c>
      <c r="P36" s="99" t="s">
        <v>1117</v>
      </c>
      <c r="Q36" s="99"/>
      <c r="R36" s="99">
        <v>1</v>
      </c>
      <c r="S36" s="99"/>
      <c r="T36" s="99">
        <v>1</v>
      </c>
      <c r="U36" s="99" t="s">
        <v>1054</v>
      </c>
      <c r="V36" s="99" t="s">
        <v>1060</v>
      </c>
      <c r="W36" s="99">
        <v>1</v>
      </c>
      <c r="X36" s="98"/>
      <c r="Y36" s="102">
        <v>2013</v>
      </c>
      <c r="Z36" s="98" t="s">
        <v>1064</v>
      </c>
      <c r="AA36" s="98">
        <v>7</v>
      </c>
      <c r="AB36" s="85" t="str">
        <f>VLOOKUP(E36,Source!F:F,1,FALSE)</f>
        <v>MassDOT - Highway &amp; Turnpike Divisions</v>
      </c>
      <c r="AC36" s="88"/>
      <c r="AD36" s="88"/>
      <c r="AE36" s="79"/>
      <c r="AF36" s="88"/>
    </row>
    <row r="37" spans="1:32" x14ac:dyDescent="0.2">
      <c r="A37" s="98" t="str">
        <f t="shared" si="0"/>
        <v>MassDOT - Highway &amp; Turnpike Divisions8</v>
      </c>
      <c r="B37" s="98" t="s">
        <v>1046</v>
      </c>
      <c r="C37" s="98" t="s">
        <v>1046</v>
      </c>
      <c r="D37" s="98" t="s">
        <v>798</v>
      </c>
      <c r="E37" s="82" t="s">
        <v>215</v>
      </c>
      <c r="F37" s="86" t="s">
        <v>1125</v>
      </c>
      <c r="G37" s="98" t="s">
        <v>1126</v>
      </c>
      <c r="H37" s="99" t="s">
        <v>604</v>
      </c>
      <c r="I37" s="99" t="s">
        <v>574</v>
      </c>
      <c r="J37" s="100" t="s">
        <v>1127</v>
      </c>
      <c r="K37" s="99"/>
      <c r="L37" s="99"/>
      <c r="M37" s="99"/>
      <c r="N37" s="99" t="s">
        <v>1080</v>
      </c>
      <c r="O37" s="99" t="s">
        <v>1052</v>
      </c>
      <c r="P37" s="99" t="s">
        <v>1117</v>
      </c>
      <c r="Q37" s="99"/>
      <c r="R37" s="99">
        <v>1</v>
      </c>
      <c r="S37" s="99"/>
      <c r="T37" s="99">
        <v>1</v>
      </c>
      <c r="U37" s="99" t="s">
        <v>1054</v>
      </c>
      <c r="V37" s="99" t="s">
        <v>1060</v>
      </c>
      <c r="W37" s="99">
        <v>1</v>
      </c>
      <c r="X37" s="98"/>
      <c r="Y37" s="102">
        <v>2013</v>
      </c>
      <c r="Z37" s="98" t="s">
        <v>1064</v>
      </c>
      <c r="AA37" s="98">
        <v>8</v>
      </c>
      <c r="AB37" s="85" t="str">
        <f>VLOOKUP(E37,Source!F:F,1,FALSE)</f>
        <v>MassDOT - Highway &amp; Turnpike Divisions</v>
      </c>
      <c r="AC37" s="88"/>
      <c r="AD37" s="88"/>
      <c r="AE37" s="79"/>
      <c r="AF37" s="88"/>
    </row>
    <row r="38" spans="1:32" x14ac:dyDescent="0.2">
      <c r="A38" s="98" t="str">
        <f t="shared" si="0"/>
        <v>MassDOT - Highway &amp; Turnpike Divisions9</v>
      </c>
      <c r="B38" s="98" t="s">
        <v>1046</v>
      </c>
      <c r="C38" s="98" t="s">
        <v>1046</v>
      </c>
      <c r="D38" s="98" t="s">
        <v>798</v>
      </c>
      <c r="E38" s="82" t="s">
        <v>215</v>
      </c>
      <c r="F38" s="86" t="s">
        <v>1125</v>
      </c>
      <c r="G38" s="98" t="s">
        <v>1126</v>
      </c>
      <c r="H38" s="99" t="s">
        <v>604</v>
      </c>
      <c r="I38" s="99" t="s">
        <v>574</v>
      </c>
      <c r="J38" s="100" t="s">
        <v>1127</v>
      </c>
      <c r="K38" s="99"/>
      <c r="L38" s="99"/>
      <c r="M38" s="99"/>
      <c r="N38" s="99" t="s">
        <v>1080</v>
      </c>
      <c r="O38" s="99" t="s">
        <v>1052</v>
      </c>
      <c r="P38" s="99" t="s">
        <v>1117</v>
      </c>
      <c r="Q38" s="99"/>
      <c r="R38" s="99">
        <v>1</v>
      </c>
      <c r="S38" s="99"/>
      <c r="T38" s="99">
        <v>1</v>
      </c>
      <c r="U38" s="99" t="s">
        <v>1054</v>
      </c>
      <c r="V38" s="99" t="s">
        <v>1060</v>
      </c>
      <c r="W38" s="99">
        <v>1</v>
      </c>
      <c r="X38" s="98"/>
      <c r="Y38" s="102">
        <v>2013</v>
      </c>
      <c r="Z38" s="98" t="s">
        <v>1064</v>
      </c>
      <c r="AA38" s="98">
        <v>9</v>
      </c>
      <c r="AB38" s="85" t="str">
        <f>VLOOKUP(E38,Source!F:F,1,FALSE)</f>
        <v>MassDOT - Highway &amp; Turnpike Divisions</v>
      </c>
      <c r="AC38" s="88"/>
      <c r="AD38" s="88"/>
      <c r="AE38" s="79"/>
      <c r="AF38" s="88"/>
    </row>
    <row r="39" spans="1:32" x14ac:dyDescent="0.2">
      <c r="A39" s="98" t="str">
        <f t="shared" si="0"/>
        <v>MassDOT - Highway &amp; Turnpike Divisions10</v>
      </c>
      <c r="B39" s="98" t="s">
        <v>1046</v>
      </c>
      <c r="C39" s="98" t="s">
        <v>1046</v>
      </c>
      <c r="D39" s="98" t="s">
        <v>798</v>
      </c>
      <c r="E39" s="82" t="s">
        <v>215</v>
      </c>
      <c r="F39" s="98" t="s">
        <v>1128</v>
      </c>
      <c r="G39" s="98" t="s">
        <v>1129</v>
      </c>
      <c r="H39" s="99" t="s">
        <v>1130</v>
      </c>
      <c r="I39" s="99" t="s">
        <v>574</v>
      </c>
      <c r="J39" s="100" t="s">
        <v>1131</v>
      </c>
      <c r="K39" s="99"/>
      <c r="L39" s="99"/>
      <c r="M39" s="99"/>
      <c r="N39" s="99" t="s">
        <v>1051</v>
      </c>
      <c r="O39" s="99" t="s">
        <v>1052</v>
      </c>
      <c r="P39" s="99" t="s">
        <v>1117</v>
      </c>
      <c r="Q39" s="99"/>
      <c r="R39" s="99">
        <v>1</v>
      </c>
      <c r="S39" s="99"/>
      <c r="T39" s="99">
        <v>1</v>
      </c>
      <c r="U39" s="99" t="s">
        <v>1054</v>
      </c>
      <c r="V39" s="99" t="s">
        <v>1060</v>
      </c>
      <c r="W39" s="99">
        <v>1</v>
      </c>
      <c r="X39" s="98"/>
      <c r="Y39" s="102">
        <v>2013</v>
      </c>
      <c r="Z39" s="98" t="s">
        <v>1064</v>
      </c>
      <c r="AA39" s="98">
        <v>10</v>
      </c>
      <c r="AB39" s="85" t="str">
        <f>VLOOKUP(E39,Source!F:F,1,FALSE)</f>
        <v>MassDOT - Highway &amp; Turnpike Divisions</v>
      </c>
      <c r="AC39" s="88"/>
      <c r="AD39" s="88"/>
      <c r="AE39" s="79"/>
      <c r="AF39" s="88"/>
    </row>
    <row r="40" spans="1:32" x14ac:dyDescent="0.2">
      <c r="A40" s="98" t="str">
        <f t="shared" si="0"/>
        <v>MassDOT - Highway &amp; Turnpike Divisions11</v>
      </c>
      <c r="B40" s="98" t="s">
        <v>1046</v>
      </c>
      <c r="C40" s="98" t="s">
        <v>1046</v>
      </c>
      <c r="D40" s="98" t="s">
        <v>798</v>
      </c>
      <c r="E40" s="82" t="s">
        <v>215</v>
      </c>
      <c r="F40" s="98" t="s">
        <v>1128</v>
      </c>
      <c r="G40" s="98" t="s">
        <v>1129</v>
      </c>
      <c r="H40" s="99" t="s">
        <v>1130</v>
      </c>
      <c r="I40" s="99" t="s">
        <v>574</v>
      </c>
      <c r="J40" s="100" t="s">
        <v>1131</v>
      </c>
      <c r="K40" s="99"/>
      <c r="L40" s="99"/>
      <c r="M40" s="99"/>
      <c r="N40" s="99" t="s">
        <v>1051</v>
      </c>
      <c r="O40" s="99" t="s">
        <v>1052</v>
      </c>
      <c r="P40" s="99" t="s">
        <v>1117</v>
      </c>
      <c r="Q40" s="99"/>
      <c r="R40" s="99">
        <v>1</v>
      </c>
      <c r="S40" s="99"/>
      <c r="T40" s="99">
        <v>1</v>
      </c>
      <c r="U40" s="99" t="s">
        <v>1054</v>
      </c>
      <c r="V40" s="99" t="s">
        <v>1060</v>
      </c>
      <c r="W40" s="99">
        <v>1</v>
      </c>
      <c r="X40" s="98"/>
      <c r="Y40" s="102">
        <v>2013</v>
      </c>
      <c r="Z40" s="98" t="s">
        <v>1064</v>
      </c>
      <c r="AA40" s="98">
        <v>11</v>
      </c>
      <c r="AB40" s="85" t="str">
        <f>VLOOKUP(E40,Source!F:F,1,FALSE)</f>
        <v>MassDOT - Highway &amp; Turnpike Divisions</v>
      </c>
      <c r="AC40" s="88"/>
      <c r="AD40" s="88"/>
      <c r="AE40" s="79"/>
      <c r="AF40" s="88"/>
    </row>
    <row r="41" spans="1:32" x14ac:dyDescent="0.2">
      <c r="A41" s="98" t="str">
        <f t="shared" si="0"/>
        <v>MassDOT - Highway &amp; Turnpike Divisions12</v>
      </c>
      <c r="B41" s="98" t="s">
        <v>1046</v>
      </c>
      <c r="C41" s="98" t="s">
        <v>1046</v>
      </c>
      <c r="D41" s="98" t="s">
        <v>798</v>
      </c>
      <c r="E41" s="82" t="s">
        <v>215</v>
      </c>
      <c r="F41" s="98" t="s">
        <v>1132</v>
      </c>
      <c r="G41" s="98" t="s">
        <v>1133</v>
      </c>
      <c r="H41" s="99" t="s">
        <v>692</v>
      </c>
      <c r="I41" s="99" t="s">
        <v>574</v>
      </c>
      <c r="J41" s="100" t="s">
        <v>1134</v>
      </c>
      <c r="K41" s="99"/>
      <c r="L41" s="99"/>
      <c r="M41" s="99"/>
      <c r="N41" s="99" t="s">
        <v>1059</v>
      </c>
      <c r="O41" s="99" t="s">
        <v>1052</v>
      </c>
      <c r="P41" s="99" t="s">
        <v>1117</v>
      </c>
      <c r="Q41" s="99"/>
      <c r="R41" s="99">
        <v>1</v>
      </c>
      <c r="S41" s="99"/>
      <c r="T41" s="99">
        <v>1</v>
      </c>
      <c r="U41" s="99" t="s">
        <v>1054</v>
      </c>
      <c r="V41" s="99" t="s">
        <v>1055</v>
      </c>
      <c r="W41" s="99">
        <v>2</v>
      </c>
      <c r="X41" s="98"/>
      <c r="Y41" s="102">
        <v>2012</v>
      </c>
      <c r="Z41" s="98" t="s">
        <v>1064</v>
      </c>
      <c r="AA41" s="98">
        <v>12</v>
      </c>
      <c r="AB41" s="85" t="str">
        <f>VLOOKUP(E41,Source!F:F,1,FALSE)</f>
        <v>MassDOT - Highway &amp; Turnpike Divisions</v>
      </c>
      <c r="AC41" s="88"/>
      <c r="AD41" s="88"/>
      <c r="AE41" s="79"/>
      <c r="AF41" s="88"/>
    </row>
    <row r="42" spans="1:32" x14ac:dyDescent="0.2">
      <c r="A42" s="98" t="str">
        <f t="shared" si="0"/>
        <v>MassDOT - Highway &amp; Turnpike Divisions13</v>
      </c>
      <c r="B42" s="98" t="s">
        <v>1046</v>
      </c>
      <c r="C42" s="98" t="s">
        <v>1046</v>
      </c>
      <c r="D42" s="98" t="s">
        <v>798</v>
      </c>
      <c r="E42" s="82" t="s">
        <v>215</v>
      </c>
      <c r="F42" s="86" t="s">
        <v>1135</v>
      </c>
      <c r="G42" s="98" t="s">
        <v>1136</v>
      </c>
      <c r="H42" s="99" t="s">
        <v>809</v>
      </c>
      <c r="I42" s="99" t="s">
        <v>574</v>
      </c>
      <c r="J42" s="100" t="s">
        <v>1137</v>
      </c>
      <c r="K42" s="99"/>
      <c r="L42" s="99"/>
      <c r="M42" s="99"/>
      <c r="N42" s="99" t="s">
        <v>1080</v>
      </c>
      <c r="O42" s="99" t="s">
        <v>1052</v>
      </c>
      <c r="P42" s="99" t="s">
        <v>1138</v>
      </c>
      <c r="Q42" s="99"/>
      <c r="R42" s="99"/>
      <c r="S42" s="99">
        <v>1</v>
      </c>
      <c r="T42" s="99">
        <v>1</v>
      </c>
      <c r="U42" s="99" t="s">
        <v>1139</v>
      </c>
      <c r="V42" s="99" t="s">
        <v>1060</v>
      </c>
      <c r="W42" s="105">
        <v>1</v>
      </c>
      <c r="X42" s="98"/>
      <c r="Y42" s="102">
        <v>2017</v>
      </c>
      <c r="Z42" s="98" t="s">
        <v>1140</v>
      </c>
      <c r="AA42" s="98">
        <v>13</v>
      </c>
      <c r="AB42" s="85" t="str">
        <f>VLOOKUP(E42,Source!F:F,1,FALSE)</f>
        <v>MassDOT - Highway &amp; Turnpike Divisions</v>
      </c>
      <c r="AC42" s="88"/>
      <c r="AD42" s="88"/>
      <c r="AE42" s="79"/>
      <c r="AF42" s="88"/>
    </row>
    <row r="43" spans="1:32" x14ac:dyDescent="0.2">
      <c r="A43" s="98" t="str">
        <f t="shared" ref="A43:A99" si="2">E43&amp;AA43</f>
        <v>MassDOT - Highway &amp; Turnpike Divisions14</v>
      </c>
      <c r="B43" s="98" t="s">
        <v>1046</v>
      </c>
      <c r="C43" s="98" t="s">
        <v>1046</v>
      </c>
      <c r="D43" s="98" t="s">
        <v>798</v>
      </c>
      <c r="E43" s="82" t="s">
        <v>215</v>
      </c>
      <c r="F43" s="86" t="s">
        <v>1135</v>
      </c>
      <c r="G43" s="98" t="s">
        <v>1141</v>
      </c>
      <c r="H43" s="99" t="s">
        <v>664</v>
      </c>
      <c r="I43" s="99" t="s">
        <v>574</v>
      </c>
      <c r="J43" s="100" t="s">
        <v>1088</v>
      </c>
      <c r="K43" s="99"/>
      <c r="L43" s="99"/>
      <c r="M43" s="99"/>
      <c r="N43" s="99" t="s">
        <v>1080</v>
      </c>
      <c r="O43" s="99" t="s">
        <v>1052</v>
      </c>
      <c r="P43" s="99" t="s">
        <v>1138</v>
      </c>
      <c r="Q43" s="99"/>
      <c r="R43" s="99"/>
      <c r="S43" s="99">
        <v>1</v>
      </c>
      <c r="T43" s="99">
        <v>1</v>
      </c>
      <c r="U43" s="99" t="s">
        <v>1139</v>
      </c>
      <c r="V43" s="99" t="s">
        <v>1060</v>
      </c>
      <c r="W43" s="99">
        <v>1</v>
      </c>
      <c r="X43" s="98"/>
      <c r="Y43" s="102">
        <v>2017</v>
      </c>
      <c r="Z43" s="98"/>
      <c r="AA43" s="98">
        <v>14</v>
      </c>
      <c r="AB43" s="85" t="str">
        <f>VLOOKUP(E43,Source!F:F,1,FALSE)</f>
        <v>MassDOT - Highway &amp; Turnpike Divisions</v>
      </c>
      <c r="AC43" s="88"/>
      <c r="AD43" s="88"/>
      <c r="AE43" s="79"/>
      <c r="AF43" s="88"/>
    </row>
    <row r="44" spans="1:32" x14ac:dyDescent="0.2">
      <c r="A44" s="98" t="str">
        <f t="shared" si="2"/>
        <v>MassDOT - Highway &amp; Turnpike Divisions15</v>
      </c>
      <c r="B44" s="98" t="s">
        <v>1046</v>
      </c>
      <c r="C44" s="98" t="s">
        <v>1046</v>
      </c>
      <c r="D44" s="98" t="s">
        <v>798</v>
      </c>
      <c r="E44" s="82" t="s">
        <v>215</v>
      </c>
      <c r="F44" s="86" t="s">
        <v>1142</v>
      </c>
      <c r="G44" s="98" t="s">
        <v>1143</v>
      </c>
      <c r="H44" s="99" t="s">
        <v>922</v>
      </c>
      <c r="I44" s="99" t="s">
        <v>574</v>
      </c>
      <c r="J44" s="100" t="s">
        <v>1144</v>
      </c>
      <c r="K44" s="99"/>
      <c r="L44" s="99"/>
      <c r="M44" s="99"/>
      <c r="N44" s="99" t="s">
        <v>1080</v>
      </c>
      <c r="O44" s="99" t="s">
        <v>1052</v>
      </c>
      <c r="P44" s="99" t="s">
        <v>1117</v>
      </c>
      <c r="Q44" s="99"/>
      <c r="R44" s="99">
        <v>1</v>
      </c>
      <c r="S44" s="99"/>
      <c r="T44" s="99">
        <v>1</v>
      </c>
      <c r="U44" s="99" t="s">
        <v>1054</v>
      </c>
      <c r="V44" s="99" t="s">
        <v>1055</v>
      </c>
      <c r="W44" s="99">
        <v>2</v>
      </c>
      <c r="X44" s="98"/>
      <c r="Y44" s="102">
        <v>2017</v>
      </c>
      <c r="Z44" s="98"/>
      <c r="AA44" s="98">
        <v>15</v>
      </c>
      <c r="AB44" s="85" t="str">
        <f>VLOOKUP(E44,Source!F:F,1,FALSE)</f>
        <v>MassDOT - Highway &amp; Turnpike Divisions</v>
      </c>
      <c r="AC44" s="88"/>
      <c r="AD44" s="88"/>
      <c r="AE44" s="79"/>
      <c r="AF44" s="88"/>
    </row>
    <row r="45" spans="1:32" s="89" customFormat="1" x14ac:dyDescent="0.2">
      <c r="A45" s="98" t="str">
        <f t="shared" si="2"/>
        <v>MassDOT - Highway &amp; Turnpike Divisions16</v>
      </c>
      <c r="B45" s="98" t="s">
        <v>1046</v>
      </c>
      <c r="C45" s="98" t="s">
        <v>1046</v>
      </c>
      <c r="D45" s="98" t="s">
        <v>798</v>
      </c>
      <c r="E45" s="82" t="s">
        <v>215</v>
      </c>
      <c r="F45" s="86" t="s">
        <v>1142</v>
      </c>
      <c r="G45" s="98" t="s">
        <v>1143</v>
      </c>
      <c r="H45" s="99" t="s">
        <v>922</v>
      </c>
      <c r="I45" s="99" t="s">
        <v>574</v>
      </c>
      <c r="J45" s="100" t="s">
        <v>1144</v>
      </c>
      <c r="K45" s="99"/>
      <c r="L45" s="99"/>
      <c r="M45" s="99"/>
      <c r="N45" s="99" t="s">
        <v>1080</v>
      </c>
      <c r="O45" s="99" t="s">
        <v>1052</v>
      </c>
      <c r="P45" s="99" t="s">
        <v>1117</v>
      </c>
      <c r="Q45" s="99"/>
      <c r="R45" s="99">
        <v>1</v>
      </c>
      <c r="S45" s="99"/>
      <c r="T45" s="99">
        <v>1</v>
      </c>
      <c r="U45" s="99" t="s">
        <v>1054</v>
      </c>
      <c r="V45" s="99" t="s">
        <v>1055</v>
      </c>
      <c r="W45" s="99">
        <v>2</v>
      </c>
      <c r="X45" s="98"/>
      <c r="Y45" s="102">
        <v>2017</v>
      </c>
      <c r="Z45" s="98"/>
      <c r="AA45" s="98">
        <v>16</v>
      </c>
      <c r="AB45" s="85" t="str">
        <f>VLOOKUP(E45,Source!F:F,1,FALSE)</f>
        <v>MassDOT - Highway &amp; Turnpike Divisions</v>
      </c>
      <c r="AE45" s="79"/>
    </row>
    <row r="46" spans="1:32" x14ac:dyDescent="0.2">
      <c r="A46" s="98" t="str">
        <f t="shared" si="2"/>
        <v>MassDOT - Highway &amp; Turnpike Divisions17</v>
      </c>
      <c r="B46" s="98" t="s">
        <v>1046</v>
      </c>
      <c r="C46" s="98" t="s">
        <v>1046</v>
      </c>
      <c r="D46" s="98" t="s">
        <v>798</v>
      </c>
      <c r="E46" s="82" t="s">
        <v>215</v>
      </c>
      <c r="F46" s="86" t="s">
        <v>1145</v>
      </c>
      <c r="G46" s="98" t="s">
        <v>1146</v>
      </c>
      <c r="H46" s="99" t="s">
        <v>1147</v>
      </c>
      <c r="I46" s="99" t="s">
        <v>574</v>
      </c>
      <c r="J46" s="100" t="s">
        <v>1148</v>
      </c>
      <c r="K46" s="99"/>
      <c r="L46" s="99"/>
      <c r="M46" s="99"/>
      <c r="N46" s="99" t="s">
        <v>1080</v>
      </c>
      <c r="O46" s="99" t="s">
        <v>1052</v>
      </c>
      <c r="P46" s="99" t="s">
        <v>1053</v>
      </c>
      <c r="Q46" s="99"/>
      <c r="R46" s="99"/>
      <c r="S46" s="99">
        <v>1</v>
      </c>
      <c r="T46" s="99">
        <v>1</v>
      </c>
      <c r="U46" s="99" t="s">
        <v>1139</v>
      </c>
      <c r="V46" s="99" t="s">
        <v>1060</v>
      </c>
      <c r="W46" s="105">
        <v>1</v>
      </c>
      <c r="X46" s="98"/>
      <c r="Y46" s="102">
        <v>2017</v>
      </c>
      <c r="Z46" s="98" t="s">
        <v>1140</v>
      </c>
      <c r="AA46" s="98">
        <v>17</v>
      </c>
      <c r="AB46" s="85" t="str">
        <f>VLOOKUP(E46,Source!F:F,1,FALSE)</f>
        <v>MassDOT - Highway &amp; Turnpike Divisions</v>
      </c>
      <c r="AC46" s="88"/>
      <c r="AD46" s="88"/>
      <c r="AE46" s="79"/>
      <c r="AF46" s="88"/>
    </row>
    <row r="47" spans="1:32" x14ac:dyDescent="0.2">
      <c r="A47" s="98" t="str">
        <f t="shared" si="2"/>
        <v>MassDOT - Highway &amp; Turnpike Divisions18</v>
      </c>
      <c r="B47" s="98" t="s">
        <v>1046</v>
      </c>
      <c r="C47" s="98" t="s">
        <v>1046</v>
      </c>
      <c r="D47" s="98" t="s">
        <v>798</v>
      </c>
      <c r="E47" s="82" t="s">
        <v>215</v>
      </c>
      <c r="F47" s="86" t="s">
        <v>1145</v>
      </c>
      <c r="G47" s="98" t="s">
        <v>1149</v>
      </c>
      <c r="H47" s="99" t="s">
        <v>1147</v>
      </c>
      <c r="I47" s="99" t="s">
        <v>574</v>
      </c>
      <c r="J47" s="100" t="s">
        <v>1150</v>
      </c>
      <c r="K47" s="99"/>
      <c r="L47" s="99"/>
      <c r="M47" s="99"/>
      <c r="N47" s="99" t="s">
        <v>1080</v>
      </c>
      <c r="O47" s="99" t="s">
        <v>1052</v>
      </c>
      <c r="P47" s="99" t="s">
        <v>1053</v>
      </c>
      <c r="Q47" s="99"/>
      <c r="R47" s="99"/>
      <c r="S47" s="99">
        <v>1</v>
      </c>
      <c r="T47" s="99">
        <v>1</v>
      </c>
      <c r="U47" s="99" t="s">
        <v>1139</v>
      </c>
      <c r="V47" s="99" t="s">
        <v>1060</v>
      </c>
      <c r="W47" s="105">
        <v>1</v>
      </c>
      <c r="X47" s="98"/>
      <c r="Y47" s="102">
        <v>2017</v>
      </c>
      <c r="Z47" s="98" t="s">
        <v>1140</v>
      </c>
      <c r="AA47" s="98">
        <v>18</v>
      </c>
      <c r="AB47" s="85" t="str">
        <f>VLOOKUP(E47,Source!F:F,1,FALSE)</f>
        <v>MassDOT - Highway &amp; Turnpike Divisions</v>
      </c>
      <c r="AC47" s="88"/>
      <c r="AD47" s="88"/>
      <c r="AE47" s="79"/>
      <c r="AF47" s="88"/>
    </row>
    <row r="48" spans="1:32" x14ac:dyDescent="0.2">
      <c r="A48" s="98" t="str">
        <f t="shared" si="2"/>
        <v>MassDOT - Highway &amp; Turnpike Divisions19</v>
      </c>
      <c r="B48" s="98" t="s">
        <v>1046</v>
      </c>
      <c r="C48" s="98" t="s">
        <v>1046</v>
      </c>
      <c r="D48" s="98" t="s">
        <v>798</v>
      </c>
      <c r="E48" s="82" t="s">
        <v>215</v>
      </c>
      <c r="F48" s="86" t="s">
        <v>1151</v>
      </c>
      <c r="G48" s="98" t="s">
        <v>1152</v>
      </c>
      <c r="H48" s="99" t="s">
        <v>1153</v>
      </c>
      <c r="I48" s="99" t="s">
        <v>574</v>
      </c>
      <c r="J48" s="100" t="s">
        <v>1154</v>
      </c>
      <c r="K48" s="99"/>
      <c r="L48" s="99"/>
      <c r="M48" s="99"/>
      <c r="N48" s="99" t="s">
        <v>1059</v>
      </c>
      <c r="O48" s="99" t="s">
        <v>1052</v>
      </c>
      <c r="P48" s="99" t="s">
        <v>1138</v>
      </c>
      <c r="Q48" s="99"/>
      <c r="R48" s="99"/>
      <c r="S48" s="99">
        <v>1</v>
      </c>
      <c r="T48" s="99">
        <v>1</v>
      </c>
      <c r="U48" s="99" t="s">
        <v>1139</v>
      </c>
      <c r="V48" s="99" t="s">
        <v>1060</v>
      </c>
      <c r="W48" s="99">
        <v>1</v>
      </c>
      <c r="X48" s="98"/>
      <c r="Y48" s="102">
        <v>2018</v>
      </c>
      <c r="Z48" s="98"/>
      <c r="AA48" s="98">
        <v>19</v>
      </c>
      <c r="AB48" s="85" t="str">
        <f>VLOOKUP(E48,Source!F:F,1,FALSE)</f>
        <v>MassDOT - Highway &amp; Turnpike Divisions</v>
      </c>
      <c r="AC48" s="88"/>
      <c r="AD48" s="88"/>
      <c r="AE48" s="79"/>
      <c r="AF48" s="88"/>
    </row>
    <row r="49" spans="1:35" s="88" customFormat="1" x14ac:dyDescent="0.2">
      <c r="A49" s="98" t="str">
        <f t="shared" si="2"/>
        <v>MassDOT - Highway &amp; Turnpike Divisions20</v>
      </c>
      <c r="B49" s="98" t="s">
        <v>1046</v>
      </c>
      <c r="C49" s="98" t="s">
        <v>1046</v>
      </c>
      <c r="D49" s="98" t="s">
        <v>798</v>
      </c>
      <c r="E49" s="82" t="s">
        <v>215</v>
      </c>
      <c r="F49" s="86" t="s">
        <v>1151</v>
      </c>
      <c r="G49" s="98" t="s">
        <v>1155</v>
      </c>
      <c r="H49" s="99" t="s">
        <v>1153</v>
      </c>
      <c r="I49" s="99" t="s">
        <v>574</v>
      </c>
      <c r="J49" s="100" t="s">
        <v>1156</v>
      </c>
      <c r="K49" s="99"/>
      <c r="L49" s="99"/>
      <c r="M49" s="99"/>
      <c r="N49" s="99" t="s">
        <v>1059</v>
      </c>
      <c r="O49" s="99" t="s">
        <v>1052</v>
      </c>
      <c r="P49" s="99" t="s">
        <v>1138</v>
      </c>
      <c r="Q49" s="99"/>
      <c r="R49" s="99"/>
      <c r="S49" s="99">
        <v>1</v>
      </c>
      <c r="T49" s="99">
        <v>1</v>
      </c>
      <c r="U49" s="99" t="s">
        <v>1139</v>
      </c>
      <c r="V49" s="99" t="s">
        <v>1060</v>
      </c>
      <c r="W49" s="99">
        <v>1</v>
      </c>
      <c r="X49" s="98"/>
      <c r="Y49" s="102">
        <v>2018</v>
      </c>
      <c r="Z49" s="98"/>
      <c r="AA49" s="98">
        <v>20</v>
      </c>
      <c r="AB49" s="85" t="str">
        <f>VLOOKUP(E49,Source!F:F,1,FALSE)</f>
        <v>MassDOT - Highway &amp; Turnpike Divisions</v>
      </c>
      <c r="AE49" s="79"/>
    </row>
    <row r="50" spans="1:35" s="88" customFormat="1" x14ac:dyDescent="0.2">
      <c r="A50" s="98" t="str">
        <f t="shared" si="2"/>
        <v>MassPort Authority1</v>
      </c>
      <c r="B50" s="98" t="s">
        <v>1046</v>
      </c>
      <c r="C50" s="98" t="s">
        <v>1046</v>
      </c>
      <c r="D50" s="98" t="s">
        <v>453</v>
      </c>
      <c r="E50" s="98" t="s">
        <v>216</v>
      </c>
      <c r="F50" s="98" t="s">
        <v>453</v>
      </c>
      <c r="G50" s="98" t="s">
        <v>1157</v>
      </c>
      <c r="H50" s="99" t="s">
        <v>664</v>
      </c>
      <c r="I50" s="99" t="s">
        <v>574</v>
      </c>
      <c r="J50" s="100" t="s">
        <v>1088</v>
      </c>
      <c r="K50" s="99">
        <v>1701</v>
      </c>
      <c r="L50" s="99"/>
      <c r="M50" s="99" t="s">
        <v>1158</v>
      </c>
      <c r="N50" s="99" t="s">
        <v>1080</v>
      </c>
      <c r="O50" s="99" t="s">
        <v>1052</v>
      </c>
      <c r="P50" s="99" t="s">
        <v>1053</v>
      </c>
      <c r="Q50" s="99"/>
      <c r="R50" s="104">
        <v>1</v>
      </c>
      <c r="S50" s="104"/>
      <c r="T50" s="99">
        <v>1</v>
      </c>
      <c r="U50" s="99" t="s">
        <v>1054</v>
      </c>
      <c r="V50" s="99" t="s">
        <v>1055</v>
      </c>
      <c r="W50" s="99">
        <v>2</v>
      </c>
      <c r="X50" s="98"/>
      <c r="Y50" s="103">
        <v>2015</v>
      </c>
      <c r="Z50" s="98" t="s">
        <v>1064</v>
      </c>
      <c r="AA50" s="98">
        <v>1</v>
      </c>
      <c r="AB50" s="85" t="str">
        <f>VLOOKUP(E50,Source!F:F,1,FALSE)</f>
        <v>MassPort Authority</v>
      </c>
      <c r="AE50" s="79"/>
    </row>
    <row r="51" spans="1:35" s="88" customFormat="1" x14ac:dyDescent="0.2">
      <c r="A51" s="98" t="str">
        <f t="shared" si="2"/>
        <v>MassPort Authority2</v>
      </c>
      <c r="B51" s="98" t="s">
        <v>1046</v>
      </c>
      <c r="C51" s="98" t="s">
        <v>1046</v>
      </c>
      <c r="D51" s="98" t="s">
        <v>453</v>
      </c>
      <c r="E51" s="98" t="s">
        <v>216</v>
      </c>
      <c r="F51" s="98" t="s">
        <v>453</v>
      </c>
      <c r="G51" s="98" t="s">
        <v>1159</v>
      </c>
      <c r="H51" s="99" t="s">
        <v>664</v>
      </c>
      <c r="I51" s="99" t="s">
        <v>574</v>
      </c>
      <c r="J51" s="100" t="s">
        <v>1088</v>
      </c>
      <c r="K51" s="99">
        <v>1701</v>
      </c>
      <c r="L51" s="99"/>
      <c r="M51" s="99" t="s">
        <v>1158</v>
      </c>
      <c r="N51" s="99" t="s">
        <v>1080</v>
      </c>
      <c r="O51" s="99" t="s">
        <v>1052</v>
      </c>
      <c r="P51" s="99" t="s">
        <v>1053</v>
      </c>
      <c r="Q51" s="99"/>
      <c r="R51" s="104">
        <v>1</v>
      </c>
      <c r="S51" s="104"/>
      <c r="T51" s="99">
        <v>1</v>
      </c>
      <c r="U51" s="99" t="s">
        <v>1054</v>
      </c>
      <c r="V51" s="99" t="s">
        <v>1055</v>
      </c>
      <c r="W51" s="99">
        <v>2</v>
      </c>
      <c r="X51" s="98"/>
      <c r="Y51" s="103">
        <v>2015</v>
      </c>
      <c r="Z51" s="98" t="s">
        <v>1064</v>
      </c>
      <c r="AA51" s="98">
        <v>2</v>
      </c>
      <c r="AB51" s="85" t="str">
        <f>VLOOKUP(E51,Source!F:F,1,FALSE)</f>
        <v>MassPort Authority</v>
      </c>
      <c r="AC51" s="94"/>
      <c r="AD51" s="94"/>
      <c r="AE51" s="79"/>
      <c r="AF51" s="94"/>
    </row>
    <row r="52" spans="1:35" s="88" customFormat="1" x14ac:dyDescent="0.2">
      <c r="A52" s="98" t="str">
        <f t="shared" si="2"/>
        <v>MassPort Authority3</v>
      </c>
      <c r="B52" s="98" t="s">
        <v>1046</v>
      </c>
      <c r="C52" s="98" t="s">
        <v>1046</v>
      </c>
      <c r="D52" s="98" t="s">
        <v>453</v>
      </c>
      <c r="E52" s="98" t="s">
        <v>216</v>
      </c>
      <c r="F52" s="98" t="s">
        <v>1160</v>
      </c>
      <c r="G52" s="98" t="s">
        <v>1161</v>
      </c>
      <c r="H52" s="99" t="s">
        <v>604</v>
      </c>
      <c r="I52" s="99" t="s">
        <v>574</v>
      </c>
      <c r="J52" s="100" t="s">
        <v>1162</v>
      </c>
      <c r="K52" s="99"/>
      <c r="L52" s="99"/>
      <c r="M52" s="99"/>
      <c r="N52" s="99" t="s">
        <v>1080</v>
      </c>
      <c r="O52" s="99" t="s">
        <v>1052</v>
      </c>
      <c r="P52" s="99" t="s">
        <v>1053</v>
      </c>
      <c r="Q52" s="99"/>
      <c r="R52" s="104">
        <v>1</v>
      </c>
      <c r="S52" s="104"/>
      <c r="T52" s="99">
        <v>1</v>
      </c>
      <c r="U52" s="99" t="s">
        <v>1054</v>
      </c>
      <c r="V52" s="99" t="s">
        <v>1055</v>
      </c>
      <c r="W52" s="99">
        <v>2</v>
      </c>
      <c r="X52" s="98"/>
      <c r="Y52" s="103">
        <v>2012</v>
      </c>
      <c r="Z52" s="98" t="s">
        <v>1064</v>
      </c>
      <c r="AA52" s="98">
        <v>3</v>
      </c>
      <c r="AB52" s="85" t="str">
        <f>VLOOKUP(E52,Source!F:F,1,FALSE)</f>
        <v>MassPort Authority</v>
      </c>
      <c r="AE52" s="79"/>
      <c r="AG52" s="94"/>
      <c r="AH52" s="93"/>
      <c r="AI52" s="93"/>
    </row>
    <row r="53" spans="1:35" s="88" customFormat="1" x14ac:dyDescent="0.2">
      <c r="A53" s="98" t="str">
        <f t="shared" si="2"/>
        <v>MassPort Authority4</v>
      </c>
      <c r="B53" s="98" t="s">
        <v>1046</v>
      </c>
      <c r="C53" s="98" t="s">
        <v>1046</v>
      </c>
      <c r="D53" s="98" t="s">
        <v>453</v>
      </c>
      <c r="E53" s="98" t="s">
        <v>216</v>
      </c>
      <c r="F53" s="98" t="s">
        <v>1160</v>
      </c>
      <c r="G53" s="98" t="s">
        <v>1161</v>
      </c>
      <c r="H53" s="99" t="s">
        <v>604</v>
      </c>
      <c r="I53" s="99" t="s">
        <v>574</v>
      </c>
      <c r="J53" s="100" t="s">
        <v>1162</v>
      </c>
      <c r="K53" s="99"/>
      <c r="L53" s="99"/>
      <c r="M53" s="99"/>
      <c r="N53" s="99" t="s">
        <v>1080</v>
      </c>
      <c r="O53" s="99" t="s">
        <v>1052</v>
      </c>
      <c r="P53" s="99" t="s">
        <v>1053</v>
      </c>
      <c r="Q53" s="99"/>
      <c r="R53" s="104">
        <v>1</v>
      </c>
      <c r="S53" s="104"/>
      <c r="T53" s="99">
        <v>1</v>
      </c>
      <c r="U53" s="99" t="s">
        <v>1054</v>
      </c>
      <c r="V53" s="99" t="s">
        <v>1055</v>
      </c>
      <c r="W53" s="99">
        <v>2</v>
      </c>
      <c r="X53" s="98"/>
      <c r="Y53" s="103">
        <v>2012</v>
      </c>
      <c r="Z53" s="98" t="s">
        <v>1064</v>
      </c>
      <c r="AA53" s="98">
        <v>4</v>
      </c>
      <c r="AB53" s="85" t="str">
        <f>VLOOKUP(E53,Source!F:F,1,FALSE)</f>
        <v>MassPort Authority</v>
      </c>
      <c r="AE53" s="79"/>
    </row>
    <row r="54" spans="1:35" s="88" customFormat="1" x14ac:dyDescent="0.2">
      <c r="A54" s="98" t="str">
        <f t="shared" si="2"/>
        <v>MassPort Authority5</v>
      </c>
      <c r="B54" s="98" t="s">
        <v>1046</v>
      </c>
      <c r="C54" s="98" t="s">
        <v>1046</v>
      </c>
      <c r="D54" s="98" t="s">
        <v>453</v>
      </c>
      <c r="E54" s="98" t="s">
        <v>216</v>
      </c>
      <c r="F54" s="98" t="s">
        <v>1160</v>
      </c>
      <c r="G54" s="98" t="s">
        <v>1163</v>
      </c>
      <c r="H54" s="99" t="s">
        <v>604</v>
      </c>
      <c r="I54" s="99" t="s">
        <v>574</v>
      </c>
      <c r="J54" s="100" t="s">
        <v>1162</v>
      </c>
      <c r="K54" s="99"/>
      <c r="L54" s="99"/>
      <c r="M54" s="99"/>
      <c r="N54" s="99" t="s">
        <v>1080</v>
      </c>
      <c r="O54" s="99" t="s">
        <v>1052</v>
      </c>
      <c r="P54" s="99" t="s">
        <v>1053</v>
      </c>
      <c r="Q54" s="99"/>
      <c r="R54" s="104">
        <v>1</v>
      </c>
      <c r="S54" s="104"/>
      <c r="T54" s="99">
        <v>1</v>
      </c>
      <c r="U54" s="99" t="s">
        <v>1054</v>
      </c>
      <c r="V54" s="99" t="s">
        <v>1055</v>
      </c>
      <c r="W54" s="99">
        <v>2</v>
      </c>
      <c r="X54" s="98"/>
      <c r="Y54" s="103">
        <v>2012</v>
      </c>
      <c r="Z54" s="98" t="s">
        <v>1064</v>
      </c>
      <c r="AA54" s="98">
        <v>5</v>
      </c>
      <c r="AB54" s="85" t="str">
        <f>VLOOKUP(E54,Source!F:F,1,FALSE)</f>
        <v>MassPort Authority</v>
      </c>
      <c r="AE54" s="79"/>
    </row>
    <row r="55" spans="1:35" s="88" customFormat="1" x14ac:dyDescent="0.2">
      <c r="A55" s="98" t="str">
        <f t="shared" si="2"/>
        <v>MassPort Authority6</v>
      </c>
      <c r="B55" s="98" t="s">
        <v>1046</v>
      </c>
      <c r="C55" s="98" t="s">
        <v>1046</v>
      </c>
      <c r="D55" s="98" t="s">
        <v>453</v>
      </c>
      <c r="E55" s="98" t="s">
        <v>216</v>
      </c>
      <c r="F55" s="98" t="s">
        <v>1160</v>
      </c>
      <c r="G55" s="98" t="s">
        <v>1163</v>
      </c>
      <c r="H55" s="99" t="s">
        <v>604</v>
      </c>
      <c r="I55" s="99" t="s">
        <v>574</v>
      </c>
      <c r="J55" s="100" t="s">
        <v>1162</v>
      </c>
      <c r="K55" s="99"/>
      <c r="L55" s="99"/>
      <c r="M55" s="99"/>
      <c r="N55" s="99" t="s">
        <v>1080</v>
      </c>
      <c r="O55" s="99" t="s">
        <v>1052</v>
      </c>
      <c r="P55" s="99" t="s">
        <v>1053</v>
      </c>
      <c r="Q55" s="99"/>
      <c r="R55" s="104">
        <v>1</v>
      </c>
      <c r="S55" s="104"/>
      <c r="T55" s="99">
        <v>1</v>
      </c>
      <c r="U55" s="99" t="s">
        <v>1054</v>
      </c>
      <c r="V55" s="99" t="s">
        <v>1055</v>
      </c>
      <c r="W55" s="99">
        <v>2</v>
      </c>
      <c r="X55" s="98"/>
      <c r="Y55" s="103">
        <v>2012</v>
      </c>
      <c r="Z55" s="98" t="s">
        <v>1064</v>
      </c>
      <c r="AA55" s="98">
        <v>6</v>
      </c>
      <c r="AB55" s="85" t="str">
        <f>VLOOKUP(E55,Source!F:F,1,FALSE)</f>
        <v>MassPort Authority</v>
      </c>
      <c r="AE55" s="79"/>
    </row>
    <row r="56" spans="1:35" s="88" customFormat="1" x14ac:dyDescent="0.2">
      <c r="A56" s="98" t="str">
        <f t="shared" si="2"/>
        <v>MassPort Authority7</v>
      </c>
      <c r="B56" s="98" t="s">
        <v>1046</v>
      </c>
      <c r="C56" s="98" t="s">
        <v>1046</v>
      </c>
      <c r="D56" s="98" t="s">
        <v>453</v>
      </c>
      <c r="E56" s="98" t="s">
        <v>216</v>
      </c>
      <c r="F56" s="98" t="s">
        <v>1160</v>
      </c>
      <c r="G56" s="101" t="s">
        <v>1164</v>
      </c>
      <c r="H56" s="99" t="s">
        <v>604</v>
      </c>
      <c r="I56" s="99" t="s">
        <v>574</v>
      </c>
      <c r="J56" s="100" t="s">
        <v>1162</v>
      </c>
      <c r="K56" s="99"/>
      <c r="L56" s="99"/>
      <c r="M56" s="99"/>
      <c r="N56" s="99" t="s">
        <v>1080</v>
      </c>
      <c r="O56" s="99" t="s">
        <v>1052</v>
      </c>
      <c r="P56" s="99" t="s">
        <v>1053</v>
      </c>
      <c r="Q56" s="99"/>
      <c r="R56" s="104">
        <v>1</v>
      </c>
      <c r="S56" s="104"/>
      <c r="T56" s="99">
        <v>1</v>
      </c>
      <c r="U56" s="99" t="s">
        <v>1054</v>
      </c>
      <c r="V56" s="99" t="s">
        <v>1055</v>
      </c>
      <c r="W56" s="99">
        <v>2</v>
      </c>
      <c r="X56" s="98"/>
      <c r="Y56" s="102">
        <v>2012</v>
      </c>
      <c r="Z56" s="98" t="s">
        <v>1064</v>
      </c>
      <c r="AA56" s="98">
        <v>7</v>
      </c>
      <c r="AB56" s="85" t="str">
        <f>VLOOKUP(E56,Source!F:F,1,FALSE)</f>
        <v>MassPort Authority</v>
      </c>
      <c r="AE56" s="79"/>
    </row>
    <row r="57" spans="1:35" s="88" customFormat="1" x14ac:dyDescent="0.2">
      <c r="A57" s="98" t="str">
        <f t="shared" si="2"/>
        <v>MassPort Authority8</v>
      </c>
      <c r="B57" s="98" t="s">
        <v>1046</v>
      </c>
      <c r="C57" s="98" t="s">
        <v>1046</v>
      </c>
      <c r="D57" s="98" t="s">
        <v>453</v>
      </c>
      <c r="E57" s="98" t="s">
        <v>216</v>
      </c>
      <c r="F57" s="98" t="s">
        <v>1160</v>
      </c>
      <c r="G57" s="101" t="s">
        <v>1164</v>
      </c>
      <c r="H57" s="99" t="s">
        <v>604</v>
      </c>
      <c r="I57" s="99" t="s">
        <v>574</v>
      </c>
      <c r="J57" s="100" t="s">
        <v>1162</v>
      </c>
      <c r="K57" s="99"/>
      <c r="L57" s="99"/>
      <c r="M57" s="99"/>
      <c r="N57" s="99" t="s">
        <v>1080</v>
      </c>
      <c r="O57" s="99" t="s">
        <v>1052</v>
      </c>
      <c r="P57" s="99" t="s">
        <v>1053</v>
      </c>
      <c r="Q57" s="99"/>
      <c r="R57" s="104">
        <v>1</v>
      </c>
      <c r="S57" s="104"/>
      <c r="T57" s="99">
        <v>1</v>
      </c>
      <c r="U57" s="99" t="s">
        <v>1054</v>
      </c>
      <c r="V57" s="99" t="s">
        <v>1055</v>
      </c>
      <c r="W57" s="99">
        <v>2</v>
      </c>
      <c r="X57" s="98"/>
      <c r="Y57" s="102">
        <v>2012</v>
      </c>
      <c r="Z57" s="98" t="s">
        <v>1064</v>
      </c>
      <c r="AA57" s="98">
        <v>8</v>
      </c>
      <c r="AB57" s="85" t="str">
        <f>VLOOKUP(E57,Source!F:F,1,FALSE)</f>
        <v>MassPort Authority</v>
      </c>
      <c r="AE57" s="79"/>
    </row>
    <row r="58" spans="1:35" s="88" customFormat="1" x14ac:dyDescent="0.2">
      <c r="A58" s="98" t="str">
        <f t="shared" si="2"/>
        <v>MassPort Authority9</v>
      </c>
      <c r="B58" s="98" t="s">
        <v>1046</v>
      </c>
      <c r="C58" s="98" t="s">
        <v>1046</v>
      </c>
      <c r="D58" s="98" t="s">
        <v>453</v>
      </c>
      <c r="E58" s="98" t="s">
        <v>216</v>
      </c>
      <c r="F58" s="98" t="s">
        <v>1160</v>
      </c>
      <c r="G58" s="101" t="s">
        <v>1165</v>
      </c>
      <c r="H58" s="99" t="s">
        <v>604</v>
      </c>
      <c r="I58" s="99" t="s">
        <v>574</v>
      </c>
      <c r="J58" s="100" t="s">
        <v>1162</v>
      </c>
      <c r="K58" s="99"/>
      <c r="L58" s="99"/>
      <c r="M58" s="99"/>
      <c r="N58" s="99" t="s">
        <v>1080</v>
      </c>
      <c r="O58" s="99" t="s">
        <v>1052</v>
      </c>
      <c r="P58" s="99" t="s">
        <v>1053</v>
      </c>
      <c r="Q58" s="99"/>
      <c r="R58" s="104">
        <v>1</v>
      </c>
      <c r="S58" s="104"/>
      <c r="T58" s="99">
        <v>1</v>
      </c>
      <c r="U58" s="99" t="s">
        <v>1054</v>
      </c>
      <c r="V58" s="99" t="s">
        <v>1055</v>
      </c>
      <c r="W58" s="99">
        <v>2</v>
      </c>
      <c r="X58" s="98"/>
      <c r="Y58" s="102">
        <v>2014</v>
      </c>
      <c r="Z58" s="98" t="s">
        <v>1064</v>
      </c>
      <c r="AA58" s="98">
        <v>9</v>
      </c>
      <c r="AB58" s="85" t="str">
        <f>VLOOKUP(E58,Source!F:F,1,FALSE)</f>
        <v>MassPort Authority</v>
      </c>
      <c r="AE58" s="79"/>
    </row>
    <row r="59" spans="1:35" s="88" customFormat="1" x14ac:dyDescent="0.2">
      <c r="A59" s="98" t="str">
        <f t="shared" si="2"/>
        <v>MassPort Authority10</v>
      </c>
      <c r="B59" s="98" t="s">
        <v>1046</v>
      </c>
      <c r="C59" s="98" t="s">
        <v>1046</v>
      </c>
      <c r="D59" s="98" t="s">
        <v>453</v>
      </c>
      <c r="E59" s="98" t="s">
        <v>216</v>
      </c>
      <c r="F59" s="98" t="s">
        <v>1160</v>
      </c>
      <c r="G59" s="101" t="s">
        <v>1165</v>
      </c>
      <c r="H59" s="99" t="s">
        <v>604</v>
      </c>
      <c r="I59" s="99" t="s">
        <v>574</v>
      </c>
      <c r="J59" s="100" t="s">
        <v>1162</v>
      </c>
      <c r="K59" s="99"/>
      <c r="L59" s="99"/>
      <c r="M59" s="99"/>
      <c r="N59" s="99" t="s">
        <v>1080</v>
      </c>
      <c r="O59" s="99" t="s">
        <v>1052</v>
      </c>
      <c r="P59" s="99" t="s">
        <v>1053</v>
      </c>
      <c r="Q59" s="99"/>
      <c r="R59" s="104">
        <v>1</v>
      </c>
      <c r="S59" s="104"/>
      <c r="T59" s="99">
        <v>1</v>
      </c>
      <c r="U59" s="99" t="s">
        <v>1054</v>
      </c>
      <c r="V59" s="99" t="s">
        <v>1055</v>
      </c>
      <c r="W59" s="99">
        <v>2</v>
      </c>
      <c r="X59" s="98"/>
      <c r="Y59" s="102">
        <v>2014</v>
      </c>
      <c r="Z59" s="98" t="s">
        <v>1064</v>
      </c>
      <c r="AA59" s="98">
        <v>10</v>
      </c>
      <c r="AB59" s="85" t="str">
        <f>VLOOKUP(E59,Source!F:F,1,FALSE)</f>
        <v>MassPort Authority</v>
      </c>
      <c r="AE59" s="79"/>
    </row>
    <row r="60" spans="1:35" s="88" customFormat="1" x14ac:dyDescent="0.2">
      <c r="A60" s="98" t="str">
        <f t="shared" si="2"/>
        <v>MassPort Authority11</v>
      </c>
      <c r="B60" s="98" t="s">
        <v>1046</v>
      </c>
      <c r="C60" s="98" t="s">
        <v>1046</v>
      </c>
      <c r="D60" s="98" t="s">
        <v>453</v>
      </c>
      <c r="E60" s="98" t="s">
        <v>216</v>
      </c>
      <c r="F60" s="98" t="s">
        <v>1160</v>
      </c>
      <c r="G60" s="98" t="s">
        <v>1165</v>
      </c>
      <c r="H60" s="99" t="s">
        <v>604</v>
      </c>
      <c r="I60" s="99" t="s">
        <v>574</v>
      </c>
      <c r="J60" s="100" t="s">
        <v>1162</v>
      </c>
      <c r="K60" s="99"/>
      <c r="L60" s="99"/>
      <c r="M60" s="99"/>
      <c r="N60" s="99" t="s">
        <v>1080</v>
      </c>
      <c r="O60" s="99" t="s">
        <v>1052</v>
      </c>
      <c r="P60" s="99" t="s">
        <v>1053</v>
      </c>
      <c r="Q60" s="99"/>
      <c r="R60" s="104">
        <v>1</v>
      </c>
      <c r="S60" s="104"/>
      <c r="T60" s="99">
        <v>1</v>
      </c>
      <c r="U60" s="99" t="s">
        <v>1054</v>
      </c>
      <c r="V60" s="99" t="s">
        <v>1055</v>
      </c>
      <c r="W60" s="99">
        <v>2</v>
      </c>
      <c r="X60" s="98"/>
      <c r="Y60" s="103">
        <v>2014</v>
      </c>
      <c r="Z60" s="98" t="s">
        <v>1064</v>
      </c>
      <c r="AA60" s="98">
        <v>11</v>
      </c>
      <c r="AB60" s="85" t="str">
        <f>VLOOKUP(E60,Source!F:F,1,FALSE)</f>
        <v>MassPort Authority</v>
      </c>
      <c r="AE60" s="79"/>
    </row>
    <row r="61" spans="1:35" s="88" customFormat="1" x14ac:dyDescent="0.2">
      <c r="A61" s="98" t="str">
        <f t="shared" si="2"/>
        <v>MassPort Authority12</v>
      </c>
      <c r="B61" s="98" t="s">
        <v>1046</v>
      </c>
      <c r="C61" s="98" t="s">
        <v>1046</v>
      </c>
      <c r="D61" s="98" t="s">
        <v>453</v>
      </c>
      <c r="E61" s="98" t="s">
        <v>216</v>
      </c>
      <c r="F61" s="98" t="s">
        <v>1160</v>
      </c>
      <c r="G61" s="98" t="s">
        <v>1165</v>
      </c>
      <c r="H61" s="99" t="s">
        <v>604</v>
      </c>
      <c r="I61" s="99" t="s">
        <v>574</v>
      </c>
      <c r="J61" s="100" t="s">
        <v>1166</v>
      </c>
      <c r="K61" s="99"/>
      <c r="L61" s="99"/>
      <c r="M61" s="99"/>
      <c r="N61" s="99" t="s">
        <v>1080</v>
      </c>
      <c r="O61" s="99" t="s">
        <v>1052</v>
      </c>
      <c r="P61" s="99" t="s">
        <v>1053</v>
      </c>
      <c r="Q61" s="99"/>
      <c r="R61" s="104">
        <v>1</v>
      </c>
      <c r="S61" s="104"/>
      <c r="T61" s="99">
        <v>1</v>
      </c>
      <c r="U61" s="99" t="s">
        <v>1054</v>
      </c>
      <c r="V61" s="99" t="s">
        <v>1055</v>
      </c>
      <c r="W61" s="99">
        <v>2</v>
      </c>
      <c r="X61" s="98"/>
      <c r="Y61" s="103">
        <v>2014</v>
      </c>
      <c r="Z61" s="98" t="s">
        <v>1064</v>
      </c>
      <c r="AA61" s="98">
        <v>12</v>
      </c>
      <c r="AB61" s="85" t="str">
        <f>VLOOKUP(E61,Source!F:F,1,FALSE)</f>
        <v>MassPort Authority</v>
      </c>
      <c r="AC61" s="80"/>
      <c r="AE61" s="79"/>
    </row>
    <row r="62" spans="1:35" s="88" customFormat="1" x14ac:dyDescent="0.2">
      <c r="A62" s="98" t="str">
        <f t="shared" si="2"/>
        <v>MassPort Authority13</v>
      </c>
      <c r="B62" s="98" t="s">
        <v>1046</v>
      </c>
      <c r="C62" s="98" t="s">
        <v>1046</v>
      </c>
      <c r="D62" s="98" t="s">
        <v>453</v>
      </c>
      <c r="E62" s="98" t="s">
        <v>216</v>
      </c>
      <c r="F62" s="98" t="s">
        <v>1160</v>
      </c>
      <c r="G62" s="98" t="s">
        <v>1167</v>
      </c>
      <c r="H62" s="99" t="s">
        <v>604</v>
      </c>
      <c r="I62" s="99" t="s">
        <v>574</v>
      </c>
      <c r="J62" s="100" t="s">
        <v>1162</v>
      </c>
      <c r="K62" s="99"/>
      <c r="L62" s="99"/>
      <c r="M62" s="99"/>
      <c r="N62" s="99" t="s">
        <v>1080</v>
      </c>
      <c r="O62" s="99" t="s">
        <v>1052</v>
      </c>
      <c r="P62" s="99" t="s">
        <v>1053</v>
      </c>
      <c r="Q62" s="99"/>
      <c r="R62" s="104">
        <v>1</v>
      </c>
      <c r="S62" s="104"/>
      <c r="T62" s="99">
        <v>1</v>
      </c>
      <c r="U62" s="99" t="s">
        <v>1054</v>
      </c>
      <c r="V62" s="99" t="s">
        <v>1055</v>
      </c>
      <c r="W62" s="99">
        <v>2</v>
      </c>
      <c r="X62" s="98"/>
      <c r="Y62" s="102">
        <v>2014</v>
      </c>
      <c r="Z62" s="98" t="s">
        <v>1064</v>
      </c>
      <c r="AA62" s="98">
        <v>13</v>
      </c>
      <c r="AB62" s="85" t="str">
        <f>VLOOKUP(E62,Source!F:F,1,FALSE)</f>
        <v>MassPort Authority</v>
      </c>
      <c r="AC62" s="80"/>
      <c r="AE62" s="79"/>
    </row>
    <row r="63" spans="1:35" s="88" customFormat="1" x14ac:dyDescent="0.2">
      <c r="A63" s="98" t="str">
        <f t="shared" si="2"/>
        <v>MassPort Authority14</v>
      </c>
      <c r="B63" s="98" t="s">
        <v>1046</v>
      </c>
      <c r="C63" s="98" t="s">
        <v>1046</v>
      </c>
      <c r="D63" s="98" t="s">
        <v>453</v>
      </c>
      <c r="E63" s="98" t="s">
        <v>216</v>
      </c>
      <c r="F63" s="98" t="s">
        <v>1160</v>
      </c>
      <c r="G63" s="98" t="s">
        <v>1167</v>
      </c>
      <c r="H63" s="99" t="s">
        <v>604</v>
      </c>
      <c r="I63" s="99" t="s">
        <v>574</v>
      </c>
      <c r="J63" s="100" t="s">
        <v>1162</v>
      </c>
      <c r="K63" s="99"/>
      <c r="L63" s="99"/>
      <c r="M63" s="99"/>
      <c r="N63" s="99" t="s">
        <v>1080</v>
      </c>
      <c r="O63" s="99" t="s">
        <v>1052</v>
      </c>
      <c r="P63" s="99" t="s">
        <v>1053</v>
      </c>
      <c r="Q63" s="99"/>
      <c r="R63" s="104">
        <v>1</v>
      </c>
      <c r="S63" s="104"/>
      <c r="T63" s="99">
        <v>1</v>
      </c>
      <c r="U63" s="99" t="s">
        <v>1054</v>
      </c>
      <c r="V63" s="99" t="s">
        <v>1055</v>
      </c>
      <c r="W63" s="99">
        <v>2</v>
      </c>
      <c r="X63" s="98"/>
      <c r="Y63" s="102">
        <v>2014</v>
      </c>
      <c r="Z63" s="98" t="s">
        <v>1064</v>
      </c>
      <c r="AA63" s="98">
        <v>14</v>
      </c>
      <c r="AB63" s="85" t="str">
        <f>VLOOKUP(E63,Source!F:F,1,FALSE)</f>
        <v>MassPort Authority</v>
      </c>
      <c r="AE63" s="79"/>
      <c r="AG63" s="94"/>
      <c r="AH63" s="94"/>
    </row>
    <row r="64" spans="1:35" s="88" customFormat="1" x14ac:dyDescent="0.2">
      <c r="A64" s="98" t="str">
        <f t="shared" si="2"/>
        <v>MassPort Authority15</v>
      </c>
      <c r="B64" s="98" t="s">
        <v>1046</v>
      </c>
      <c r="C64" s="98" t="s">
        <v>1046</v>
      </c>
      <c r="D64" s="98" t="s">
        <v>453</v>
      </c>
      <c r="E64" s="98" t="s">
        <v>216</v>
      </c>
      <c r="F64" s="98" t="s">
        <v>1160</v>
      </c>
      <c r="G64" s="98" t="s">
        <v>1167</v>
      </c>
      <c r="H64" s="99" t="s">
        <v>604</v>
      </c>
      <c r="I64" s="99" t="s">
        <v>574</v>
      </c>
      <c r="J64" s="100" t="s">
        <v>1162</v>
      </c>
      <c r="K64" s="99">
        <v>2128</v>
      </c>
      <c r="L64" s="99"/>
      <c r="M64" s="99" t="s">
        <v>1158</v>
      </c>
      <c r="N64" s="99" t="s">
        <v>1080</v>
      </c>
      <c r="O64" s="99" t="s">
        <v>1052</v>
      </c>
      <c r="P64" s="99" t="s">
        <v>1053</v>
      </c>
      <c r="Q64" s="99"/>
      <c r="R64" s="104">
        <v>1</v>
      </c>
      <c r="S64" s="104"/>
      <c r="T64" s="99">
        <v>1</v>
      </c>
      <c r="U64" s="99" t="s">
        <v>1054</v>
      </c>
      <c r="V64" s="99" t="s">
        <v>1060</v>
      </c>
      <c r="W64" s="99">
        <v>1</v>
      </c>
      <c r="X64" s="98"/>
      <c r="Y64" s="102">
        <v>2014</v>
      </c>
      <c r="Z64" s="98" t="s">
        <v>1064</v>
      </c>
      <c r="AA64" s="98">
        <v>15</v>
      </c>
      <c r="AB64" s="85" t="str">
        <f>VLOOKUP(E64,Source!F:F,1,FALSE)</f>
        <v>MassPort Authority</v>
      </c>
      <c r="AC64" s="80"/>
      <c r="AE64" s="79"/>
    </row>
    <row r="65" spans="1:31" s="88" customFormat="1" x14ac:dyDescent="0.2">
      <c r="A65" s="98" t="str">
        <f t="shared" si="2"/>
        <v>MassPort Authority16</v>
      </c>
      <c r="B65" s="98" t="s">
        <v>1046</v>
      </c>
      <c r="C65" s="98" t="s">
        <v>1046</v>
      </c>
      <c r="D65" s="98" t="s">
        <v>453</v>
      </c>
      <c r="E65" s="98" t="s">
        <v>216</v>
      </c>
      <c r="F65" s="98" t="s">
        <v>1160</v>
      </c>
      <c r="G65" s="98" t="s">
        <v>1168</v>
      </c>
      <c r="H65" s="99" t="s">
        <v>604</v>
      </c>
      <c r="I65" s="99" t="s">
        <v>574</v>
      </c>
      <c r="J65" s="100" t="s">
        <v>1169</v>
      </c>
      <c r="K65" s="99"/>
      <c r="L65" s="99"/>
      <c r="M65" s="99"/>
      <c r="N65" s="99" t="s">
        <v>1080</v>
      </c>
      <c r="O65" s="99" t="s">
        <v>1052</v>
      </c>
      <c r="P65" s="99" t="s">
        <v>1053</v>
      </c>
      <c r="Q65" s="99"/>
      <c r="R65" s="104"/>
      <c r="S65" s="104">
        <v>1</v>
      </c>
      <c r="T65" s="99">
        <v>1</v>
      </c>
      <c r="U65" s="99" t="s">
        <v>1139</v>
      </c>
      <c r="V65" s="99" t="s">
        <v>1060</v>
      </c>
      <c r="W65" s="99">
        <v>1</v>
      </c>
      <c r="X65" s="98"/>
      <c r="Y65" s="102">
        <v>2019</v>
      </c>
      <c r="Z65" s="98" t="s">
        <v>1140</v>
      </c>
      <c r="AA65" s="98">
        <v>16</v>
      </c>
      <c r="AB65" s="85" t="str">
        <f>VLOOKUP(E65,Source!F:F,1,FALSE)</f>
        <v>MassPort Authority</v>
      </c>
      <c r="AC65" s="80"/>
      <c r="AE65" s="79"/>
    </row>
    <row r="66" spans="1:31" s="88" customFormat="1" x14ac:dyDescent="0.2">
      <c r="A66" s="98" t="str">
        <f t="shared" si="2"/>
        <v>MassPort Authority17</v>
      </c>
      <c r="B66" s="98" t="s">
        <v>1046</v>
      </c>
      <c r="C66" s="98" t="s">
        <v>1046</v>
      </c>
      <c r="D66" s="98" t="s">
        <v>453</v>
      </c>
      <c r="E66" s="98" t="s">
        <v>216</v>
      </c>
      <c r="F66" s="98" t="s">
        <v>1160</v>
      </c>
      <c r="G66" s="98" t="s">
        <v>1168</v>
      </c>
      <c r="H66" s="99" t="s">
        <v>604</v>
      </c>
      <c r="I66" s="99" t="s">
        <v>574</v>
      </c>
      <c r="J66" s="100" t="s">
        <v>1170</v>
      </c>
      <c r="K66" s="99"/>
      <c r="L66" s="99"/>
      <c r="M66" s="99"/>
      <c r="N66" s="99" t="s">
        <v>1080</v>
      </c>
      <c r="O66" s="99" t="s">
        <v>1052</v>
      </c>
      <c r="P66" s="99" t="s">
        <v>1053</v>
      </c>
      <c r="Q66" s="99"/>
      <c r="R66" s="104"/>
      <c r="S66" s="104">
        <v>1</v>
      </c>
      <c r="T66" s="99">
        <v>1</v>
      </c>
      <c r="U66" s="99" t="s">
        <v>1139</v>
      </c>
      <c r="V66" s="99" t="s">
        <v>1060</v>
      </c>
      <c r="W66" s="99">
        <v>1</v>
      </c>
      <c r="X66" s="98"/>
      <c r="Y66" s="102">
        <v>2019</v>
      </c>
      <c r="Z66" s="98" t="s">
        <v>1140</v>
      </c>
      <c r="AA66" s="98">
        <v>17</v>
      </c>
      <c r="AB66" s="85" t="str">
        <f>VLOOKUP(E66,Source!F:F,1,FALSE)</f>
        <v>MassPort Authority</v>
      </c>
      <c r="AC66" s="80"/>
      <c r="AE66" s="79"/>
    </row>
    <row r="67" spans="1:31" s="88" customFormat="1" x14ac:dyDescent="0.2">
      <c r="A67" s="98" t="str">
        <f t="shared" si="2"/>
        <v>MassPort Authority18</v>
      </c>
      <c r="B67" s="98" t="s">
        <v>1046</v>
      </c>
      <c r="C67" s="98" t="s">
        <v>1046</v>
      </c>
      <c r="D67" s="98" t="s">
        <v>453</v>
      </c>
      <c r="E67" s="98" t="s">
        <v>216</v>
      </c>
      <c r="F67" s="98" t="s">
        <v>1160</v>
      </c>
      <c r="G67" s="98" t="s">
        <v>1168</v>
      </c>
      <c r="H67" s="99" t="s">
        <v>604</v>
      </c>
      <c r="I67" s="99" t="s">
        <v>574</v>
      </c>
      <c r="J67" s="100" t="s">
        <v>1171</v>
      </c>
      <c r="K67" s="99"/>
      <c r="L67" s="99"/>
      <c r="M67" s="99"/>
      <c r="N67" s="99" t="s">
        <v>1080</v>
      </c>
      <c r="O67" s="99" t="s">
        <v>1052</v>
      </c>
      <c r="P67" s="99" t="s">
        <v>1053</v>
      </c>
      <c r="Q67" s="99"/>
      <c r="R67" s="104"/>
      <c r="S67" s="104">
        <v>1</v>
      </c>
      <c r="T67" s="99">
        <v>1</v>
      </c>
      <c r="U67" s="99" t="s">
        <v>1139</v>
      </c>
      <c r="V67" s="99" t="s">
        <v>1060</v>
      </c>
      <c r="W67" s="99">
        <v>1</v>
      </c>
      <c r="X67" s="98"/>
      <c r="Y67" s="102">
        <v>2019</v>
      </c>
      <c r="Z67" s="98" t="s">
        <v>1140</v>
      </c>
      <c r="AA67" s="98">
        <v>18</v>
      </c>
      <c r="AB67" s="85" t="str">
        <f>VLOOKUP(E67,Source!F:F,1,FALSE)</f>
        <v>MassPort Authority</v>
      </c>
      <c r="AC67" s="80"/>
      <c r="AE67" s="79"/>
    </row>
    <row r="68" spans="1:31" s="88" customFormat="1" x14ac:dyDescent="0.2">
      <c r="A68" s="98" t="str">
        <f t="shared" ref="A68:A70" si="3">E68&amp;AA68</f>
        <v>MassPort Authority19</v>
      </c>
      <c r="B68" s="98" t="s">
        <v>1046</v>
      </c>
      <c r="C68" s="98" t="s">
        <v>1046</v>
      </c>
      <c r="D68" s="98" t="s">
        <v>453</v>
      </c>
      <c r="E68" s="98" t="s">
        <v>216</v>
      </c>
      <c r="F68" s="98" t="s">
        <v>1160</v>
      </c>
      <c r="G68" s="98" t="s">
        <v>1168</v>
      </c>
      <c r="H68" s="99" t="s">
        <v>604</v>
      </c>
      <c r="I68" s="99" t="s">
        <v>574</v>
      </c>
      <c r="J68" s="100" t="s">
        <v>1162</v>
      </c>
      <c r="K68" s="99"/>
      <c r="L68" s="99"/>
      <c r="M68" s="99"/>
      <c r="N68" s="99" t="s">
        <v>1080</v>
      </c>
      <c r="O68" s="99" t="s">
        <v>1052</v>
      </c>
      <c r="P68" s="99" t="s">
        <v>1053</v>
      </c>
      <c r="Q68" s="99"/>
      <c r="R68" s="104"/>
      <c r="S68" s="104">
        <v>1</v>
      </c>
      <c r="T68" s="99">
        <v>1</v>
      </c>
      <c r="U68" s="99" t="s">
        <v>1139</v>
      </c>
      <c r="V68" s="99" t="s">
        <v>1060</v>
      </c>
      <c r="W68" s="99">
        <v>1</v>
      </c>
      <c r="X68" s="98"/>
      <c r="Y68" s="102">
        <v>2019</v>
      </c>
      <c r="Z68" s="98" t="s">
        <v>1140</v>
      </c>
      <c r="AA68" s="98">
        <v>19</v>
      </c>
      <c r="AB68" s="85" t="str">
        <f>VLOOKUP(E68,Source!F:F,1,FALSE)</f>
        <v>MassPort Authority</v>
      </c>
      <c r="AC68" s="80"/>
      <c r="AE68" s="79"/>
    </row>
    <row r="69" spans="1:31" s="88" customFormat="1" x14ac:dyDescent="0.2">
      <c r="A69" s="98" t="str">
        <f t="shared" si="3"/>
        <v>MassPort Authority17</v>
      </c>
      <c r="B69" s="98" t="s">
        <v>1046</v>
      </c>
      <c r="C69" s="98" t="s">
        <v>1046</v>
      </c>
      <c r="D69" s="98" t="s">
        <v>453</v>
      </c>
      <c r="E69" s="98" t="s">
        <v>216</v>
      </c>
      <c r="F69" s="98" t="s">
        <v>1160</v>
      </c>
      <c r="G69" s="98" t="s">
        <v>1172</v>
      </c>
      <c r="H69" s="99" t="s">
        <v>604</v>
      </c>
      <c r="I69" s="99" t="s">
        <v>574</v>
      </c>
      <c r="J69" s="100" t="s">
        <v>1162</v>
      </c>
      <c r="K69" s="99"/>
      <c r="L69" s="99"/>
      <c r="M69" s="99"/>
      <c r="N69" s="99" t="s">
        <v>1080</v>
      </c>
      <c r="O69" s="99" t="s">
        <v>1052</v>
      </c>
      <c r="P69" s="99" t="s">
        <v>1053</v>
      </c>
      <c r="Q69" s="99"/>
      <c r="R69" s="104">
        <v>1</v>
      </c>
      <c r="S69" s="104"/>
      <c r="T69" s="99">
        <v>1</v>
      </c>
      <c r="U69" s="99" t="s">
        <v>1054</v>
      </c>
      <c r="V69" s="99" t="s">
        <v>1055</v>
      </c>
      <c r="W69" s="99">
        <v>2</v>
      </c>
      <c r="X69" s="98"/>
      <c r="Y69" s="102">
        <v>2019</v>
      </c>
      <c r="Z69" s="98" t="s">
        <v>1064</v>
      </c>
      <c r="AA69" s="98">
        <v>17</v>
      </c>
      <c r="AB69" s="85" t="str">
        <f>VLOOKUP(E69,Source!F:F,1,FALSE)</f>
        <v>MassPort Authority</v>
      </c>
      <c r="AC69" s="80"/>
      <c r="AE69" s="79"/>
    </row>
    <row r="70" spans="1:31" s="88" customFormat="1" x14ac:dyDescent="0.2">
      <c r="A70" s="98" t="str">
        <f t="shared" si="3"/>
        <v>MassPort Authority18</v>
      </c>
      <c r="B70" s="98" t="s">
        <v>1046</v>
      </c>
      <c r="C70" s="98" t="s">
        <v>1046</v>
      </c>
      <c r="D70" s="98" t="s">
        <v>453</v>
      </c>
      <c r="E70" s="98" t="s">
        <v>216</v>
      </c>
      <c r="F70" s="98" t="s">
        <v>1160</v>
      </c>
      <c r="G70" s="98" t="s">
        <v>1173</v>
      </c>
      <c r="H70" s="99" t="s">
        <v>604</v>
      </c>
      <c r="I70" s="99" t="s">
        <v>574</v>
      </c>
      <c r="J70" s="100" t="s">
        <v>1162</v>
      </c>
      <c r="K70" s="99"/>
      <c r="L70" s="99"/>
      <c r="M70" s="99"/>
      <c r="N70" s="99" t="s">
        <v>1080</v>
      </c>
      <c r="O70" s="99" t="s">
        <v>1052</v>
      </c>
      <c r="P70" s="99" t="s">
        <v>1053</v>
      </c>
      <c r="Q70" s="99"/>
      <c r="R70" s="104">
        <v>1</v>
      </c>
      <c r="S70" s="104"/>
      <c r="T70" s="99">
        <v>1</v>
      </c>
      <c r="U70" s="99" t="s">
        <v>1054</v>
      </c>
      <c r="V70" s="99" t="s">
        <v>1055</v>
      </c>
      <c r="W70" s="99">
        <v>2</v>
      </c>
      <c r="X70" s="98"/>
      <c r="Y70" s="102">
        <v>2019</v>
      </c>
      <c r="Z70" s="98" t="s">
        <v>1064</v>
      </c>
      <c r="AA70" s="98">
        <v>18</v>
      </c>
      <c r="AB70" s="85" t="str">
        <f>VLOOKUP(E70,Source!F:F,1,FALSE)</f>
        <v>MassPort Authority</v>
      </c>
      <c r="AC70" s="80"/>
      <c r="AE70" s="79"/>
    </row>
    <row r="71" spans="1:31" s="88" customFormat="1" x14ac:dyDescent="0.2">
      <c r="A71" s="98" t="str">
        <f t="shared" si="2"/>
        <v>Mass. Water Resources Authority1</v>
      </c>
      <c r="B71" s="98" t="s">
        <v>1046</v>
      </c>
      <c r="C71" s="98" t="s">
        <v>1046</v>
      </c>
      <c r="D71" s="98" t="s">
        <v>1174</v>
      </c>
      <c r="E71" s="98" t="s">
        <v>191</v>
      </c>
      <c r="F71" s="98" t="s">
        <v>1175</v>
      </c>
      <c r="G71" s="98" t="s">
        <v>1176</v>
      </c>
      <c r="H71" s="99" t="s">
        <v>622</v>
      </c>
      <c r="I71" s="99" t="s">
        <v>574</v>
      </c>
      <c r="J71" s="100" t="s">
        <v>1177</v>
      </c>
      <c r="K71" s="99"/>
      <c r="L71" s="99"/>
      <c r="M71" s="99"/>
      <c r="N71" s="99" t="s">
        <v>1080</v>
      </c>
      <c r="O71" s="99" t="s">
        <v>1052</v>
      </c>
      <c r="P71" s="99" t="s">
        <v>1117</v>
      </c>
      <c r="Q71" s="99"/>
      <c r="R71" s="104">
        <v>1</v>
      </c>
      <c r="S71" s="104"/>
      <c r="T71" s="99">
        <v>1</v>
      </c>
      <c r="U71" s="99" t="s">
        <v>1054</v>
      </c>
      <c r="V71" s="99" t="s">
        <v>1055</v>
      </c>
      <c r="W71" s="99">
        <v>2</v>
      </c>
      <c r="X71" s="98"/>
      <c r="Y71" s="102">
        <v>2018</v>
      </c>
      <c r="Z71" s="98" t="s">
        <v>1064</v>
      </c>
      <c r="AA71" s="98">
        <v>1</v>
      </c>
      <c r="AB71" s="85" t="str">
        <f>VLOOKUP(E71,Source!F:F,1,FALSE)</f>
        <v>Mass. Water Resources Authority</v>
      </c>
      <c r="AC71" s="80"/>
      <c r="AE71" s="79"/>
    </row>
    <row r="72" spans="1:31" s="88" customFormat="1" x14ac:dyDescent="0.2">
      <c r="A72" s="98" t="str">
        <f t="shared" ref="A72" si="4">E72&amp;AA72</f>
        <v>Mass. Water Resources Authority2</v>
      </c>
      <c r="B72" s="98" t="s">
        <v>1046</v>
      </c>
      <c r="C72" s="98" t="s">
        <v>1046</v>
      </c>
      <c r="D72" s="98" t="s">
        <v>1174</v>
      </c>
      <c r="E72" s="98" t="s">
        <v>191</v>
      </c>
      <c r="F72" s="98" t="s">
        <v>1175</v>
      </c>
      <c r="G72" s="98" t="s">
        <v>1176</v>
      </c>
      <c r="H72" s="99" t="s">
        <v>622</v>
      </c>
      <c r="I72" s="99" t="s">
        <v>574</v>
      </c>
      <c r="J72" s="100" t="s">
        <v>1177</v>
      </c>
      <c r="K72" s="99"/>
      <c r="L72" s="99"/>
      <c r="M72" s="99"/>
      <c r="N72" s="99" t="s">
        <v>1080</v>
      </c>
      <c r="O72" s="99" t="s">
        <v>1052</v>
      </c>
      <c r="P72" s="99" t="s">
        <v>1117</v>
      </c>
      <c r="Q72" s="99"/>
      <c r="R72" s="104">
        <v>1</v>
      </c>
      <c r="S72" s="104"/>
      <c r="T72" s="99">
        <v>1</v>
      </c>
      <c r="U72" s="99" t="s">
        <v>1054</v>
      </c>
      <c r="V72" s="99" t="s">
        <v>1055</v>
      </c>
      <c r="W72" s="99">
        <v>2</v>
      </c>
      <c r="X72" s="98"/>
      <c r="Y72" s="102">
        <v>2018</v>
      </c>
      <c r="Z72" s="98" t="s">
        <v>1064</v>
      </c>
      <c r="AA72" s="98">
        <v>2</v>
      </c>
      <c r="AB72" s="85" t="str">
        <f>VLOOKUP(E72,Source!F:F,1,FALSE)</f>
        <v>Mass. Water Resources Authority</v>
      </c>
      <c r="AC72" s="80"/>
      <c r="AE72" s="79"/>
    </row>
    <row r="73" spans="1:31" s="88" customFormat="1" x14ac:dyDescent="0.2">
      <c r="A73" s="98" t="str">
        <f t="shared" ref="A73:A77" si="5">E73&amp;AA73</f>
        <v>Mass. Water Resources Authority3</v>
      </c>
      <c r="B73" s="98" t="s">
        <v>1046</v>
      </c>
      <c r="C73" s="98" t="s">
        <v>1046</v>
      </c>
      <c r="D73" s="98" t="s">
        <v>1174</v>
      </c>
      <c r="E73" s="98" t="s">
        <v>191</v>
      </c>
      <c r="F73" s="98" t="s">
        <v>1571</v>
      </c>
      <c r="G73" s="98" t="s">
        <v>1572</v>
      </c>
      <c r="H73" s="99" t="s">
        <v>604</v>
      </c>
      <c r="I73" s="99" t="s">
        <v>574</v>
      </c>
      <c r="J73" s="100"/>
      <c r="K73" s="99"/>
      <c r="L73" s="99"/>
      <c r="M73" s="99"/>
      <c r="N73" s="99"/>
      <c r="O73" s="99" t="s">
        <v>1052</v>
      </c>
      <c r="P73" s="99" t="s">
        <v>1117</v>
      </c>
      <c r="Q73" s="99"/>
      <c r="R73" s="104">
        <v>1</v>
      </c>
      <c r="S73" s="104"/>
      <c r="T73" s="99">
        <v>1</v>
      </c>
      <c r="U73" s="99" t="s">
        <v>1054</v>
      </c>
      <c r="V73" s="99" t="s">
        <v>1060</v>
      </c>
      <c r="W73" s="99">
        <v>1</v>
      </c>
      <c r="X73" s="98"/>
      <c r="Y73" s="102">
        <v>2019</v>
      </c>
      <c r="Z73" s="98" t="s">
        <v>1064</v>
      </c>
      <c r="AA73" s="98">
        <v>3</v>
      </c>
      <c r="AB73" s="85" t="str">
        <f>VLOOKUP(E73,Source!F:F,1,FALSE)</f>
        <v>Mass. Water Resources Authority</v>
      </c>
      <c r="AC73" s="80"/>
      <c r="AE73" s="79"/>
    </row>
    <row r="74" spans="1:31" s="88" customFormat="1" x14ac:dyDescent="0.2">
      <c r="A74" s="98" t="str">
        <f t="shared" si="5"/>
        <v>Mass. Water Resources Authority4</v>
      </c>
      <c r="B74" s="98" t="s">
        <v>1046</v>
      </c>
      <c r="C74" s="98" t="s">
        <v>1046</v>
      </c>
      <c r="D74" s="98" t="s">
        <v>1174</v>
      </c>
      <c r="E74" s="98" t="s">
        <v>191</v>
      </c>
      <c r="F74" s="98" t="s">
        <v>1573</v>
      </c>
      <c r="G74" s="98" t="s">
        <v>1574</v>
      </c>
      <c r="H74" s="99" t="s">
        <v>1575</v>
      </c>
      <c r="I74" s="99" t="s">
        <v>574</v>
      </c>
      <c r="J74" s="100"/>
      <c r="K74" s="99"/>
      <c r="L74" s="99"/>
      <c r="M74" s="99"/>
      <c r="N74" s="99"/>
      <c r="O74" s="99" t="s">
        <v>1052</v>
      </c>
      <c r="P74" s="99" t="s">
        <v>1117</v>
      </c>
      <c r="Q74" s="99"/>
      <c r="R74" s="104">
        <v>1</v>
      </c>
      <c r="S74" s="104"/>
      <c r="T74" s="99">
        <v>1</v>
      </c>
      <c r="U74" s="99" t="s">
        <v>1054</v>
      </c>
      <c r="V74" s="99" t="s">
        <v>1060</v>
      </c>
      <c r="W74" s="99">
        <v>1</v>
      </c>
      <c r="X74" s="98"/>
      <c r="Y74" s="102">
        <v>2019</v>
      </c>
      <c r="Z74" s="98" t="s">
        <v>1064</v>
      </c>
      <c r="AA74" s="98">
        <v>4</v>
      </c>
      <c r="AB74" s="85" t="str">
        <f>VLOOKUP(E74,Source!F:F,1,FALSE)</f>
        <v>Mass. Water Resources Authority</v>
      </c>
      <c r="AC74" s="80"/>
      <c r="AE74" s="79"/>
    </row>
    <row r="75" spans="1:31" s="88" customFormat="1" x14ac:dyDescent="0.2">
      <c r="A75" s="98" t="str">
        <f t="shared" si="5"/>
        <v>Mass. Water Resources Authority5</v>
      </c>
      <c r="B75" s="98" t="s">
        <v>1046</v>
      </c>
      <c r="C75" s="98" t="s">
        <v>1046</v>
      </c>
      <c r="D75" s="98" t="s">
        <v>1174</v>
      </c>
      <c r="E75" s="98" t="s">
        <v>191</v>
      </c>
      <c r="F75" s="88" t="s">
        <v>1573</v>
      </c>
      <c r="G75" s="98" t="s">
        <v>1574</v>
      </c>
      <c r="H75" s="99" t="s">
        <v>1575</v>
      </c>
      <c r="I75" s="99" t="s">
        <v>574</v>
      </c>
      <c r="J75" s="100"/>
      <c r="K75" s="99"/>
      <c r="L75" s="99"/>
      <c r="M75" s="99"/>
      <c r="N75" s="99"/>
      <c r="O75" s="99" t="s">
        <v>1052</v>
      </c>
      <c r="P75" s="99" t="s">
        <v>1117</v>
      </c>
      <c r="Q75" s="99"/>
      <c r="R75" s="104">
        <v>1</v>
      </c>
      <c r="S75" s="104"/>
      <c r="T75" s="99">
        <v>1</v>
      </c>
      <c r="U75" s="99" t="s">
        <v>1054</v>
      </c>
      <c r="V75" s="99" t="s">
        <v>1060</v>
      </c>
      <c r="W75" s="99">
        <v>1</v>
      </c>
      <c r="X75" s="98"/>
      <c r="Y75" s="102">
        <v>2019</v>
      </c>
      <c r="Z75" s="98" t="s">
        <v>1064</v>
      </c>
      <c r="AA75" s="98">
        <v>5</v>
      </c>
      <c r="AB75" s="85" t="str">
        <f>VLOOKUP(E75,Source!F:F,1,FALSE)</f>
        <v>Mass. Water Resources Authority</v>
      </c>
      <c r="AC75" s="80"/>
      <c r="AE75" s="79"/>
    </row>
    <row r="76" spans="1:31" s="88" customFormat="1" x14ac:dyDescent="0.2">
      <c r="A76" s="98" t="str">
        <f t="shared" si="5"/>
        <v>Mass. Water Resources Authority6</v>
      </c>
      <c r="B76" s="98" t="s">
        <v>1046</v>
      </c>
      <c r="C76" s="98" t="s">
        <v>1046</v>
      </c>
      <c r="D76" s="98" t="s">
        <v>1174</v>
      </c>
      <c r="E76" s="98" t="s">
        <v>191</v>
      </c>
      <c r="F76" s="98" t="s">
        <v>1576</v>
      </c>
      <c r="G76" s="98" t="s">
        <v>1577</v>
      </c>
      <c r="H76" s="99" t="s">
        <v>742</v>
      </c>
      <c r="I76" s="99" t="s">
        <v>574</v>
      </c>
      <c r="J76" s="100"/>
      <c r="K76" s="99"/>
      <c r="L76" s="99"/>
      <c r="M76" s="99"/>
      <c r="N76" s="99"/>
      <c r="O76" s="99" t="s">
        <v>1052</v>
      </c>
      <c r="P76" s="99" t="s">
        <v>1117</v>
      </c>
      <c r="Q76" s="99"/>
      <c r="R76" s="104">
        <v>1</v>
      </c>
      <c r="S76" s="104"/>
      <c r="T76" s="99">
        <v>1</v>
      </c>
      <c r="U76" s="99" t="s">
        <v>1054</v>
      </c>
      <c r="V76" s="99" t="s">
        <v>1060</v>
      </c>
      <c r="W76" s="99">
        <v>1</v>
      </c>
      <c r="X76" s="98"/>
      <c r="Y76" s="102">
        <v>2019</v>
      </c>
      <c r="Z76" s="98" t="s">
        <v>1064</v>
      </c>
      <c r="AA76" s="98">
        <v>6</v>
      </c>
      <c r="AB76" s="85" t="str">
        <f>VLOOKUP(E76,Source!F:F,1,FALSE)</f>
        <v>Mass. Water Resources Authority</v>
      </c>
      <c r="AC76" s="80"/>
      <c r="AE76" s="79"/>
    </row>
    <row r="77" spans="1:31" s="88" customFormat="1" x14ac:dyDescent="0.2">
      <c r="A77" s="98" t="str">
        <f t="shared" si="5"/>
        <v>Mass. Water Resources Authority7</v>
      </c>
      <c r="B77" s="98" t="s">
        <v>1046</v>
      </c>
      <c r="C77" s="98" t="s">
        <v>1046</v>
      </c>
      <c r="D77" s="98" t="s">
        <v>1174</v>
      </c>
      <c r="E77" s="98" t="s">
        <v>191</v>
      </c>
      <c r="F77" s="98" t="s">
        <v>1576</v>
      </c>
      <c r="G77" s="98" t="s">
        <v>1577</v>
      </c>
      <c r="H77" s="99" t="s">
        <v>742</v>
      </c>
      <c r="I77" s="99" t="s">
        <v>574</v>
      </c>
      <c r="J77" s="100"/>
      <c r="K77" s="99"/>
      <c r="L77" s="99"/>
      <c r="M77" s="99"/>
      <c r="N77" s="99"/>
      <c r="O77" s="99" t="s">
        <v>1052</v>
      </c>
      <c r="P77" s="99" t="s">
        <v>1117</v>
      </c>
      <c r="Q77" s="99"/>
      <c r="R77" s="104">
        <v>1</v>
      </c>
      <c r="S77" s="104"/>
      <c r="T77" s="99">
        <v>1</v>
      </c>
      <c r="U77" s="99" t="s">
        <v>1054</v>
      </c>
      <c r="V77" s="99" t="s">
        <v>1060</v>
      </c>
      <c r="W77" s="99">
        <v>1</v>
      </c>
      <c r="X77" s="98"/>
      <c r="Y77" s="102">
        <v>2019</v>
      </c>
      <c r="Z77" s="98" t="s">
        <v>1064</v>
      </c>
      <c r="AA77" s="98">
        <v>7</v>
      </c>
      <c r="AB77" s="85" t="str">
        <f>VLOOKUP(E77,Source!F:F,1,FALSE)</f>
        <v>Mass. Water Resources Authority</v>
      </c>
      <c r="AC77" s="80"/>
      <c r="AE77" s="79"/>
    </row>
    <row r="78" spans="1:31" s="88" customFormat="1" x14ac:dyDescent="0.2">
      <c r="A78" s="98" t="str">
        <f t="shared" ref="A78:A80" si="6">E78&amp;AA78</f>
        <v>Mass. Water Resources Authority8</v>
      </c>
      <c r="B78" s="98" t="s">
        <v>1046</v>
      </c>
      <c r="C78" s="98" t="s">
        <v>1046</v>
      </c>
      <c r="D78" s="98" t="s">
        <v>1174</v>
      </c>
      <c r="E78" s="98" t="s">
        <v>191</v>
      </c>
      <c r="F78" s="98" t="s">
        <v>1175</v>
      </c>
      <c r="G78" s="98" t="s">
        <v>1176</v>
      </c>
      <c r="H78" s="99" t="s">
        <v>622</v>
      </c>
      <c r="I78" s="99" t="s">
        <v>574</v>
      </c>
      <c r="J78" s="100"/>
      <c r="K78" s="99"/>
      <c r="L78" s="99"/>
      <c r="M78" s="99"/>
      <c r="N78" s="99"/>
      <c r="O78" s="99" t="s">
        <v>1052</v>
      </c>
      <c r="P78" s="99" t="s">
        <v>1117</v>
      </c>
      <c r="Q78" s="99"/>
      <c r="R78" s="104">
        <v>1</v>
      </c>
      <c r="S78" s="104"/>
      <c r="T78" s="99">
        <v>1</v>
      </c>
      <c r="U78" s="99" t="s">
        <v>1054</v>
      </c>
      <c r="V78" s="99" t="s">
        <v>1060</v>
      </c>
      <c r="W78" s="99">
        <v>1</v>
      </c>
      <c r="X78" s="98"/>
      <c r="Y78" s="102">
        <v>2020</v>
      </c>
      <c r="Z78" s="98" t="s">
        <v>1064</v>
      </c>
      <c r="AA78" s="98">
        <v>8</v>
      </c>
      <c r="AB78" s="85" t="str">
        <f>VLOOKUP(E78,Source!F:F,1,FALSE)</f>
        <v>Mass. Water Resources Authority</v>
      </c>
      <c r="AC78" s="80"/>
      <c r="AE78" s="79"/>
    </row>
    <row r="79" spans="1:31" s="88" customFormat="1" x14ac:dyDescent="0.2">
      <c r="A79" s="98" t="str">
        <f t="shared" si="6"/>
        <v>Mass. Water Resources Authority9</v>
      </c>
      <c r="B79" s="98" t="s">
        <v>1046</v>
      </c>
      <c r="C79" s="98" t="s">
        <v>1046</v>
      </c>
      <c r="D79" s="98" t="s">
        <v>1174</v>
      </c>
      <c r="E79" s="98" t="s">
        <v>191</v>
      </c>
      <c r="F79" s="98" t="s">
        <v>1175</v>
      </c>
      <c r="G79" s="98" t="s">
        <v>1176</v>
      </c>
      <c r="H79" s="99" t="s">
        <v>622</v>
      </c>
      <c r="I79" s="99" t="s">
        <v>574</v>
      </c>
      <c r="J79" s="100"/>
      <c r="K79" s="99"/>
      <c r="L79" s="99"/>
      <c r="M79" s="99"/>
      <c r="N79" s="99"/>
      <c r="O79" s="99" t="s">
        <v>1052</v>
      </c>
      <c r="P79" s="99" t="s">
        <v>1117</v>
      </c>
      <c r="Q79" s="99"/>
      <c r="R79" s="104">
        <v>1</v>
      </c>
      <c r="S79" s="104"/>
      <c r="T79" s="99">
        <v>1</v>
      </c>
      <c r="U79" s="99" t="s">
        <v>1054</v>
      </c>
      <c r="V79" s="99" t="s">
        <v>1060</v>
      </c>
      <c r="W79" s="99">
        <v>1</v>
      </c>
      <c r="X79" s="98"/>
      <c r="Y79" s="102">
        <v>2020</v>
      </c>
      <c r="Z79" s="98" t="s">
        <v>1064</v>
      </c>
      <c r="AA79" s="98">
        <v>9</v>
      </c>
      <c r="AB79" s="85" t="str">
        <f>VLOOKUP(E79,Source!F:F,1,FALSE)</f>
        <v>Mass. Water Resources Authority</v>
      </c>
      <c r="AC79" s="80"/>
      <c r="AE79" s="79"/>
    </row>
    <row r="80" spans="1:31" s="88" customFormat="1" x14ac:dyDescent="0.2">
      <c r="A80" s="98" t="str">
        <f t="shared" si="6"/>
        <v>Mass. Water Resources Authority10</v>
      </c>
      <c r="B80" s="98" t="s">
        <v>1046</v>
      </c>
      <c r="C80" s="98" t="s">
        <v>1046</v>
      </c>
      <c r="D80" s="98" t="s">
        <v>1174</v>
      </c>
      <c r="E80" s="98" t="s">
        <v>191</v>
      </c>
      <c r="F80" s="98" t="s">
        <v>1582</v>
      </c>
      <c r="G80" s="98" t="s">
        <v>1583</v>
      </c>
      <c r="H80" s="99" t="s">
        <v>768</v>
      </c>
      <c r="I80" s="99" t="s">
        <v>574</v>
      </c>
      <c r="J80" s="100"/>
      <c r="K80" s="99"/>
      <c r="L80" s="99"/>
      <c r="M80" s="99"/>
      <c r="N80" s="99"/>
      <c r="O80" s="99" t="s">
        <v>1052</v>
      </c>
      <c r="P80" s="99" t="s">
        <v>1117</v>
      </c>
      <c r="Q80" s="99"/>
      <c r="R80" s="104">
        <v>1</v>
      </c>
      <c r="S80" s="104"/>
      <c r="T80" s="99">
        <v>1</v>
      </c>
      <c r="U80" s="99" t="s">
        <v>1054</v>
      </c>
      <c r="V80" s="99" t="s">
        <v>1060</v>
      </c>
      <c r="W80" s="99">
        <v>1</v>
      </c>
      <c r="X80" s="98"/>
      <c r="Y80" s="102">
        <v>2019</v>
      </c>
      <c r="Z80" s="98" t="s">
        <v>1064</v>
      </c>
      <c r="AA80" s="98">
        <v>10</v>
      </c>
      <c r="AB80" s="85" t="str">
        <f>VLOOKUP(E80,Source!F:F,1,FALSE)</f>
        <v>Mass. Water Resources Authority</v>
      </c>
      <c r="AC80" s="80"/>
      <c r="AE80" s="79"/>
    </row>
    <row r="81" spans="1:32" s="88" customFormat="1" x14ac:dyDescent="0.2">
      <c r="A81" s="98" t="str">
        <f t="shared" ref="A81" si="7">E81&amp;AA81</f>
        <v>North Shore Comm. College1</v>
      </c>
      <c r="B81" s="98" t="s">
        <v>1046</v>
      </c>
      <c r="C81" s="98" t="s">
        <v>1046</v>
      </c>
      <c r="D81" s="98" t="s">
        <v>575</v>
      </c>
      <c r="E81" s="98" t="s">
        <v>240</v>
      </c>
      <c r="F81" s="98" t="s">
        <v>240</v>
      </c>
      <c r="G81" s="98" t="s">
        <v>1631</v>
      </c>
      <c r="H81" s="99" t="s">
        <v>1632</v>
      </c>
      <c r="I81" s="99" t="s">
        <v>574</v>
      </c>
      <c r="J81" s="100"/>
      <c r="K81" s="99"/>
      <c r="L81" s="99"/>
      <c r="M81" s="99"/>
      <c r="N81" s="99"/>
      <c r="O81" s="99" t="s">
        <v>1052</v>
      </c>
      <c r="P81" s="99" t="s">
        <v>1339</v>
      </c>
      <c r="Q81" s="99"/>
      <c r="R81" s="104"/>
      <c r="S81" s="104"/>
      <c r="T81" s="99"/>
      <c r="U81" s="99" t="s">
        <v>1339</v>
      </c>
      <c r="V81" s="99" t="s">
        <v>1339</v>
      </c>
      <c r="W81" s="99"/>
      <c r="X81" s="98"/>
      <c r="Y81" s="102" t="s">
        <v>1339</v>
      </c>
      <c r="Z81" s="98" t="s">
        <v>1064</v>
      </c>
      <c r="AA81" s="98">
        <v>1</v>
      </c>
      <c r="AB81" s="85" t="str">
        <f>VLOOKUP(E81,Source!F:F,1,FALSE)</f>
        <v>North Shore Comm. College</v>
      </c>
      <c r="AC81" s="80"/>
      <c r="AE81" s="79"/>
    </row>
    <row r="82" spans="1:32" s="88" customFormat="1" x14ac:dyDescent="0.2">
      <c r="A82" s="98" t="str">
        <f t="shared" si="2"/>
        <v>Quinsigamond Comm. College1</v>
      </c>
      <c r="B82" s="98" t="s">
        <v>1046</v>
      </c>
      <c r="C82" s="98" t="s">
        <v>1046</v>
      </c>
      <c r="D82" s="98" t="s">
        <v>575</v>
      </c>
      <c r="E82" s="98" t="s">
        <v>256</v>
      </c>
      <c r="F82" s="98" t="s">
        <v>1178</v>
      </c>
      <c r="G82" s="98" t="s">
        <v>1179</v>
      </c>
      <c r="H82" s="99" t="s">
        <v>692</v>
      </c>
      <c r="I82" s="99" t="s">
        <v>574</v>
      </c>
      <c r="J82" s="100" t="s">
        <v>1106</v>
      </c>
      <c r="K82" s="99"/>
      <c r="L82" s="99"/>
      <c r="M82" s="99"/>
      <c r="N82" s="99" t="s">
        <v>1059</v>
      </c>
      <c r="O82" s="99" t="s">
        <v>1052</v>
      </c>
      <c r="P82" s="99" t="s">
        <v>1053</v>
      </c>
      <c r="Q82" s="99"/>
      <c r="R82" s="104">
        <v>1</v>
      </c>
      <c r="S82" s="104"/>
      <c r="T82" s="99">
        <v>1</v>
      </c>
      <c r="U82" s="99" t="s">
        <v>1054</v>
      </c>
      <c r="V82" s="99" t="s">
        <v>1055</v>
      </c>
      <c r="W82" s="99">
        <v>2</v>
      </c>
      <c r="X82" s="98"/>
      <c r="Y82" s="103">
        <v>2014</v>
      </c>
      <c r="Z82" s="98" t="s">
        <v>1064</v>
      </c>
      <c r="AA82" s="98">
        <v>1</v>
      </c>
      <c r="AB82" s="85" t="str">
        <f>VLOOKUP(E82,Source!F:F,1,FALSE)</f>
        <v>Quinsigamond Comm. College</v>
      </c>
      <c r="AC82" s="80"/>
      <c r="AE82" s="79"/>
    </row>
    <row r="83" spans="1:32" s="88" customFormat="1" x14ac:dyDescent="0.2">
      <c r="A83" s="98" t="str">
        <f t="shared" si="2"/>
        <v>Quinsigamond Comm. College2</v>
      </c>
      <c r="B83" s="98" t="s">
        <v>1046</v>
      </c>
      <c r="C83" s="98" t="s">
        <v>1046</v>
      </c>
      <c r="D83" s="98" t="s">
        <v>575</v>
      </c>
      <c r="E83" s="98" t="s">
        <v>256</v>
      </c>
      <c r="F83" s="98" t="s">
        <v>1178</v>
      </c>
      <c r="G83" s="98" t="s">
        <v>1180</v>
      </c>
      <c r="H83" s="99" t="s">
        <v>692</v>
      </c>
      <c r="I83" s="99" t="s">
        <v>574</v>
      </c>
      <c r="J83" s="100" t="s">
        <v>1181</v>
      </c>
      <c r="K83" s="99"/>
      <c r="L83" s="99"/>
      <c r="M83" s="99"/>
      <c r="N83" s="99" t="s">
        <v>1059</v>
      </c>
      <c r="O83" s="99" t="s">
        <v>1052</v>
      </c>
      <c r="P83" s="99" t="s">
        <v>1053</v>
      </c>
      <c r="Q83" s="99"/>
      <c r="R83" s="104">
        <v>1</v>
      </c>
      <c r="S83" s="104"/>
      <c r="T83" s="99">
        <v>1</v>
      </c>
      <c r="U83" s="99" t="s">
        <v>1054</v>
      </c>
      <c r="V83" s="99" t="s">
        <v>1055</v>
      </c>
      <c r="W83" s="99">
        <v>2</v>
      </c>
      <c r="X83" s="98"/>
      <c r="Y83" s="103">
        <v>2013</v>
      </c>
      <c r="Z83" s="98" t="s">
        <v>1064</v>
      </c>
      <c r="AA83" s="98">
        <v>2</v>
      </c>
      <c r="AB83" s="85" t="str">
        <f>VLOOKUP(E83,Source!F:F,1,FALSE)</f>
        <v>Quinsigamond Comm. College</v>
      </c>
      <c r="AC83" s="80"/>
      <c r="AE83" s="79"/>
    </row>
    <row r="84" spans="1:32" s="88" customFormat="1" x14ac:dyDescent="0.2">
      <c r="A84" s="98" t="str">
        <f t="shared" si="2"/>
        <v>Roxbury Comm. College1</v>
      </c>
      <c r="B84" s="98" t="s">
        <v>1046</v>
      </c>
      <c r="C84" s="98" t="s">
        <v>1046</v>
      </c>
      <c r="D84" s="98" t="s">
        <v>575</v>
      </c>
      <c r="E84" s="98" t="s">
        <v>261</v>
      </c>
      <c r="F84" s="98" t="s">
        <v>1182</v>
      </c>
      <c r="G84" s="98" t="s">
        <v>1183</v>
      </c>
      <c r="H84" s="99" t="s">
        <v>604</v>
      </c>
      <c r="I84" s="99" t="s">
        <v>574</v>
      </c>
      <c r="J84" s="100" t="s">
        <v>1184</v>
      </c>
      <c r="K84" s="99"/>
      <c r="L84" s="99"/>
      <c r="M84" s="99"/>
      <c r="N84" s="99" t="s">
        <v>1080</v>
      </c>
      <c r="O84" s="99" t="s">
        <v>1052</v>
      </c>
      <c r="P84" s="99" t="s">
        <v>1053</v>
      </c>
      <c r="Q84" s="99"/>
      <c r="R84" s="104">
        <v>1</v>
      </c>
      <c r="S84" s="104"/>
      <c r="T84" s="99">
        <v>1</v>
      </c>
      <c r="U84" s="99" t="s">
        <v>1054</v>
      </c>
      <c r="V84" s="99" t="s">
        <v>1055</v>
      </c>
      <c r="W84" s="99">
        <v>2</v>
      </c>
      <c r="X84" s="98"/>
      <c r="Y84" s="102">
        <v>2017</v>
      </c>
      <c r="Z84" s="98" t="s">
        <v>1064</v>
      </c>
      <c r="AA84" s="98">
        <v>1</v>
      </c>
      <c r="AB84" s="85" t="str">
        <f>VLOOKUP(E84,Source!F:F,1,FALSE)</f>
        <v>Roxbury Comm. College</v>
      </c>
      <c r="AC84" s="80"/>
      <c r="AE84" s="79"/>
    </row>
    <row r="85" spans="1:32" s="88" customFormat="1" x14ac:dyDescent="0.2">
      <c r="A85" s="98" t="str">
        <f t="shared" si="2"/>
        <v>Roxbury Comm. College2</v>
      </c>
      <c r="B85" s="98" t="s">
        <v>1046</v>
      </c>
      <c r="C85" s="98" t="s">
        <v>1046</v>
      </c>
      <c r="D85" s="98" t="s">
        <v>575</v>
      </c>
      <c r="E85" s="98" t="s">
        <v>261</v>
      </c>
      <c r="F85" s="98" t="s">
        <v>1182</v>
      </c>
      <c r="G85" s="98" t="s">
        <v>1183</v>
      </c>
      <c r="H85" s="99" t="s">
        <v>604</v>
      </c>
      <c r="I85" s="99" t="s">
        <v>574</v>
      </c>
      <c r="J85" s="100" t="s">
        <v>1184</v>
      </c>
      <c r="K85" s="99"/>
      <c r="L85" s="99"/>
      <c r="M85" s="99"/>
      <c r="N85" s="99" t="s">
        <v>1080</v>
      </c>
      <c r="O85" s="99" t="s">
        <v>1052</v>
      </c>
      <c r="P85" s="99" t="s">
        <v>1053</v>
      </c>
      <c r="Q85" s="99"/>
      <c r="R85" s="104">
        <v>1</v>
      </c>
      <c r="S85" s="104"/>
      <c r="T85" s="99">
        <v>1</v>
      </c>
      <c r="U85" s="99" t="s">
        <v>1054</v>
      </c>
      <c r="V85" s="99" t="s">
        <v>1055</v>
      </c>
      <c r="W85" s="99">
        <v>2</v>
      </c>
      <c r="X85" s="98"/>
      <c r="Y85" s="102">
        <v>2017</v>
      </c>
      <c r="Z85" s="98" t="s">
        <v>1064</v>
      </c>
      <c r="AA85" s="98">
        <v>2</v>
      </c>
      <c r="AB85" s="85" t="str">
        <f>VLOOKUP(E85,Source!F:F,1,FALSE)</f>
        <v>Roxbury Comm. College</v>
      </c>
      <c r="AC85" s="80"/>
      <c r="AE85" s="79"/>
    </row>
    <row r="86" spans="1:32" s="88" customFormat="1" x14ac:dyDescent="0.2">
      <c r="A86" s="98" t="str">
        <f t="shared" si="2"/>
        <v>Roxbury Comm. College3</v>
      </c>
      <c r="B86" s="98" t="s">
        <v>1046</v>
      </c>
      <c r="C86" s="98" t="s">
        <v>1046</v>
      </c>
      <c r="D86" s="98" t="s">
        <v>575</v>
      </c>
      <c r="E86" s="98" t="s">
        <v>261</v>
      </c>
      <c r="F86" s="98" t="s">
        <v>1182</v>
      </c>
      <c r="G86" s="98" t="s">
        <v>1183</v>
      </c>
      <c r="H86" s="99" t="s">
        <v>604</v>
      </c>
      <c r="I86" s="99" t="s">
        <v>574</v>
      </c>
      <c r="J86" s="100" t="s">
        <v>1184</v>
      </c>
      <c r="K86" s="99"/>
      <c r="L86" s="99"/>
      <c r="M86" s="99"/>
      <c r="N86" s="99" t="s">
        <v>1080</v>
      </c>
      <c r="O86" s="99" t="s">
        <v>1052</v>
      </c>
      <c r="P86" s="99" t="s">
        <v>1053</v>
      </c>
      <c r="Q86" s="99"/>
      <c r="R86" s="104">
        <v>1</v>
      </c>
      <c r="S86" s="104"/>
      <c r="T86" s="99">
        <v>1</v>
      </c>
      <c r="U86" s="99" t="s">
        <v>1054</v>
      </c>
      <c r="V86" s="99" t="s">
        <v>1055</v>
      </c>
      <c r="W86" s="99">
        <v>2</v>
      </c>
      <c r="X86" s="98"/>
      <c r="Y86" s="102">
        <v>2017</v>
      </c>
      <c r="Z86" s="98" t="s">
        <v>1064</v>
      </c>
      <c r="AA86" s="98">
        <v>3</v>
      </c>
      <c r="AB86" s="85" t="str">
        <f>VLOOKUP(E86,Source!F:F,1,FALSE)</f>
        <v>Roxbury Comm. College</v>
      </c>
      <c r="AC86" s="80"/>
      <c r="AE86" s="79"/>
    </row>
    <row r="87" spans="1:32" x14ac:dyDescent="0.2">
      <c r="A87" s="98" t="str">
        <f t="shared" si="2"/>
        <v>Salem State University1</v>
      </c>
      <c r="B87" s="98" t="s">
        <v>1046</v>
      </c>
      <c r="C87" s="98" t="s">
        <v>1046</v>
      </c>
      <c r="D87" s="98" t="s">
        <v>575</v>
      </c>
      <c r="E87" s="98" t="s">
        <v>272</v>
      </c>
      <c r="F87" s="98" t="s">
        <v>1185</v>
      </c>
      <c r="G87" s="98" t="s">
        <v>1186</v>
      </c>
      <c r="H87" s="99" t="s">
        <v>853</v>
      </c>
      <c r="I87" s="99" t="s">
        <v>574</v>
      </c>
      <c r="J87" s="100" t="s">
        <v>1187</v>
      </c>
      <c r="K87" s="99"/>
      <c r="L87" s="99"/>
      <c r="M87" s="99"/>
      <c r="N87" s="99" t="s">
        <v>1059</v>
      </c>
      <c r="O87" s="99" t="s">
        <v>1052</v>
      </c>
      <c r="P87" s="99" t="s">
        <v>1053</v>
      </c>
      <c r="Q87" s="99"/>
      <c r="R87" s="104">
        <v>1</v>
      </c>
      <c r="S87" s="104"/>
      <c r="T87" s="99">
        <v>1</v>
      </c>
      <c r="U87" s="99" t="s">
        <v>1054</v>
      </c>
      <c r="V87" s="99" t="s">
        <v>1055</v>
      </c>
      <c r="W87" s="99">
        <v>2</v>
      </c>
      <c r="X87" s="98"/>
      <c r="Y87" s="102" t="s">
        <v>1002</v>
      </c>
      <c r="Z87" s="98"/>
      <c r="AA87" s="98">
        <v>1</v>
      </c>
      <c r="AB87" s="85" t="str">
        <f>VLOOKUP(E87,Source!F:F,1,FALSE)</f>
        <v>Salem State University</v>
      </c>
      <c r="AC87" s="80"/>
      <c r="AD87" s="88"/>
      <c r="AE87" s="79"/>
      <c r="AF87" s="88"/>
    </row>
    <row r="88" spans="1:32" x14ac:dyDescent="0.2">
      <c r="A88" s="98" t="str">
        <f t="shared" si="2"/>
        <v>Salem State University2</v>
      </c>
      <c r="B88" s="98" t="s">
        <v>1046</v>
      </c>
      <c r="C88" s="98" t="s">
        <v>1046</v>
      </c>
      <c r="D88" s="98" t="s">
        <v>575</v>
      </c>
      <c r="E88" s="98" t="s">
        <v>272</v>
      </c>
      <c r="F88" s="98" t="s">
        <v>1185</v>
      </c>
      <c r="G88" s="98" t="s">
        <v>1188</v>
      </c>
      <c r="H88" s="99" t="s">
        <v>853</v>
      </c>
      <c r="I88" s="99" t="s">
        <v>574</v>
      </c>
      <c r="J88" s="100" t="s">
        <v>1187</v>
      </c>
      <c r="K88" s="99"/>
      <c r="L88" s="99"/>
      <c r="M88" s="99"/>
      <c r="N88" s="99" t="s">
        <v>1059</v>
      </c>
      <c r="O88" s="99" t="s">
        <v>1052</v>
      </c>
      <c r="P88" s="99" t="s">
        <v>1053</v>
      </c>
      <c r="Q88" s="99"/>
      <c r="R88" s="104">
        <v>1</v>
      </c>
      <c r="S88" s="104"/>
      <c r="T88" s="99">
        <v>1</v>
      </c>
      <c r="U88" s="99" t="s">
        <v>1054</v>
      </c>
      <c r="V88" s="99" t="s">
        <v>1060</v>
      </c>
      <c r="W88" s="99">
        <v>1</v>
      </c>
      <c r="X88" s="98"/>
      <c r="Y88" s="102" t="s">
        <v>1002</v>
      </c>
      <c r="Z88" s="98"/>
      <c r="AA88" s="98">
        <v>2</v>
      </c>
      <c r="AB88" s="85" t="str">
        <f>VLOOKUP(E88,Source!F:F,1,FALSE)</f>
        <v>Salem State University</v>
      </c>
      <c r="AC88" s="88"/>
      <c r="AD88" s="88"/>
      <c r="AE88" s="79"/>
      <c r="AF88" s="88"/>
    </row>
    <row r="89" spans="1:32" x14ac:dyDescent="0.2">
      <c r="A89" s="98" t="str">
        <f t="shared" si="2"/>
        <v>Salem State University3</v>
      </c>
      <c r="B89" s="98" t="s">
        <v>1046</v>
      </c>
      <c r="C89" s="98" t="s">
        <v>1046</v>
      </c>
      <c r="D89" s="98" t="s">
        <v>575</v>
      </c>
      <c r="E89" s="98" t="s">
        <v>272</v>
      </c>
      <c r="F89" s="98" t="s">
        <v>1185</v>
      </c>
      <c r="G89" s="98" t="s">
        <v>1188</v>
      </c>
      <c r="H89" s="99" t="s">
        <v>853</v>
      </c>
      <c r="I89" s="99" t="s">
        <v>574</v>
      </c>
      <c r="J89" s="100" t="s">
        <v>1187</v>
      </c>
      <c r="K89" s="99"/>
      <c r="L89" s="99"/>
      <c r="M89" s="99"/>
      <c r="N89" s="99" t="s">
        <v>1059</v>
      </c>
      <c r="O89" s="99" t="s">
        <v>1052</v>
      </c>
      <c r="P89" s="99" t="s">
        <v>1053</v>
      </c>
      <c r="Q89" s="99"/>
      <c r="R89" s="104">
        <v>1</v>
      </c>
      <c r="S89" s="104"/>
      <c r="T89" s="99">
        <v>1</v>
      </c>
      <c r="U89" s="99" t="s">
        <v>1054</v>
      </c>
      <c r="V89" s="99" t="s">
        <v>1055</v>
      </c>
      <c r="W89" s="99">
        <v>2</v>
      </c>
      <c r="X89" s="98"/>
      <c r="Y89" s="102" t="s">
        <v>1002</v>
      </c>
      <c r="Z89" s="98"/>
      <c r="AA89" s="98">
        <v>3</v>
      </c>
      <c r="AB89" s="85" t="str">
        <f>VLOOKUP(E89,Source!F:F,1,FALSE)</f>
        <v>Salem State University</v>
      </c>
      <c r="AC89" s="80"/>
      <c r="AD89" s="88"/>
      <c r="AE89" s="79"/>
      <c r="AF89" s="88"/>
    </row>
    <row r="90" spans="1:32" x14ac:dyDescent="0.2">
      <c r="A90" s="98" t="str">
        <f t="shared" si="2"/>
        <v>Salem State University4</v>
      </c>
      <c r="B90" s="98" t="s">
        <v>1046</v>
      </c>
      <c r="C90" s="98" t="s">
        <v>1046</v>
      </c>
      <c r="D90" s="98" t="s">
        <v>575</v>
      </c>
      <c r="E90" s="98" t="s">
        <v>272</v>
      </c>
      <c r="F90" s="98" t="s">
        <v>1185</v>
      </c>
      <c r="G90" s="98" t="s">
        <v>1188</v>
      </c>
      <c r="H90" s="99" t="s">
        <v>853</v>
      </c>
      <c r="I90" s="99" t="s">
        <v>574</v>
      </c>
      <c r="J90" s="100" t="s">
        <v>1187</v>
      </c>
      <c r="K90" s="99"/>
      <c r="L90" s="99"/>
      <c r="M90" s="99"/>
      <c r="N90" s="99" t="s">
        <v>1059</v>
      </c>
      <c r="O90" s="99" t="s">
        <v>1052</v>
      </c>
      <c r="P90" s="99" t="s">
        <v>1053</v>
      </c>
      <c r="Q90" s="99"/>
      <c r="R90" s="104">
        <v>1</v>
      </c>
      <c r="S90" s="104"/>
      <c r="T90" s="99">
        <v>1</v>
      </c>
      <c r="U90" s="99" t="s">
        <v>1054</v>
      </c>
      <c r="V90" s="99" t="s">
        <v>1055</v>
      </c>
      <c r="W90" s="99">
        <v>2</v>
      </c>
      <c r="X90" s="98"/>
      <c r="Y90" s="102" t="s">
        <v>1002</v>
      </c>
      <c r="Z90" s="98"/>
      <c r="AA90" s="98">
        <v>4</v>
      </c>
      <c r="AB90" s="85" t="str">
        <f>VLOOKUP(E90,Source!F:F,1,FALSE)</f>
        <v>Salem State University</v>
      </c>
      <c r="AC90" s="88"/>
      <c r="AD90" s="88"/>
      <c r="AE90" s="81"/>
      <c r="AF90" s="88"/>
    </row>
    <row r="91" spans="1:32" ht="18" customHeight="1" x14ac:dyDescent="0.2">
      <c r="A91" s="98" t="str">
        <f t="shared" ref="A91" si="8">E91&amp;AA91</f>
        <v>Salem State University5</v>
      </c>
      <c r="B91" s="98" t="s">
        <v>1046</v>
      </c>
      <c r="C91" s="98" t="s">
        <v>1046</v>
      </c>
      <c r="D91" s="98" t="s">
        <v>575</v>
      </c>
      <c r="E91" s="98" t="s">
        <v>272</v>
      </c>
      <c r="F91" s="98" t="s">
        <v>1185</v>
      </c>
      <c r="G91" s="98" t="s">
        <v>1639</v>
      </c>
      <c r="H91" s="99" t="s">
        <v>853</v>
      </c>
      <c r="I91" s="99" t="s">
        <v>574</v>
      </c>
      <c r="J91" s="100" t="s">
        <v>1187</v>
      </c>
      <c r="K91" s="99"/>
      <c r="L91" s="99"/>
      <c r="M91" s="99"/>
      <c r="N91" s="99" t="s">
        <v>1059</v>
      </c>
      <c r="O91" s="99" t="s">
        <v>1052</v>
      </c>
      <c r="P91" s="99" t="s">
        <v>1053</v>
      </c>
      <c r="Q91" s="99"/>
      <c r="R91" s="104">
        <v>1</v>
      </c>
      <c r="S91" s="104"/>
      <c r="T91" s="99">
        <v>1</v>
      </c>
      <c r="U91" s="99" t="s">
        <v>1054</v>
      </c>
      <c r="V91" s="99" t="s">
        <v>1055</v>
      </c>
      <c r="W91" s="99">
        <v>2</v>
      </c>
      <c r="X91" s="98"/>
      <c r="Y91" s="102">
        <v>2020</v>
      </c>
      <c r="Z91" s="98" t="s">
        <v>1064</v>
      </c>
      <c r="AA91" s="98">
        <v>5</v>
      </c>
      <c r="AB91" s="85" t="str">
        <f>VLOOKUP(E91,Source!F:F,1,FALSE)</f>
        <v>Salem State University</v>
      </c>
      <c r="AC91" s="88"/>
      <c r="AD91" s="88"/>
      <c r="AE91" s="81"/>
      <c r="AF91" s="88"/>
    </row>
    <row r="92" spans="1:32" ht="18" customHeight="1" x14ac:dyDescent="0.2">
      <c r="A92" s="98" t="str">
        <f t="shared" ref="A92:A96" si="9">E92&amp;AA92</f>
        <v>Salem State University6</v>
      </c>
      <c r="B92" s="98" t="s">
        <v>1046</v>
      </c>
      <c r="C92" s="98" t="s">
        <v>1046</v>
      </c>
      <c r="D92" s="98" t="s">
        <v>575</v>
      </c>
      <c r="E92" s="98" t="s">
        <v>272</v>
      </c>
      <c r="F92" s="98" t="s">
        <v>1185</v>
      </c>
      <c r="G92" s="98" t="s">
        <v>1639</v>
      </c>
      <c r="H92" s="99" t="s">
        <v>853</v>
      </c>
      <c r="I92" s="99" t="s">
        <v>574</v>
      </c>
      <c r="J92" s="100" t="s">
        <v>1187</v>
      </c>
      <c r="K92" s="99"/>
      <c r="L92" s="99"/>
      <c r="M92" s="99"/>
      <c r="N92" s="99" t="s">
        <v>1059</v>
      </c>
      <c r="O92" s="99" t="s">
        <v>1052</v>
      </c>
      <c r="P92" s="99" t="s">
        <v>1053</v>
      </c>
      <c r="Q92" s="99"/>
      <c r="R92" s="104">
        <v>1</v>
      </c>
      <c r="S92" s="104"/>
      <c r="T92" s="99">
        <v>1</v>
      </c>
      <c r="U92" s="99" t="s">
        <v>1054</v>
      </c>
      <c r="V92" s="99" t="s">
        <v>1055</v>
      </c>
      <c r="W92" s="99">
        <v>2</v>
      </c>
      <c r="X92" s="98"/>
      <c r="Y92" s="102">
        <v>2020</v>
      </c>
      <c r="Z92" s="98" t="s">
        <v>1064</v>
      </c>
      <c r="AA92" s="98">
        <v>6</v>
      </c>
      <c r="AB92" s="85" t="str">
        <f>VLOOKUP(E92,Source!F:F,1,FALSE)</f>
        <v>Salem State University</v>
      </c>
      <c r="AC92" s="88"/>
      <c r="AD92" s="88"/>
      <c r="AE92" s="81"/>
      <c r="AF92" s="88"/>
    </row>
    <row r="93" spans="1:32" ht="18" customHeight="1" x14ac:dyDescent="0.2">
      <c r="A93" s="98" t="str">
        <f t="shared" si="9"/>
        <v>Salem State University7</v>
      </c>
      <c r="B93" s="98" t="s">
        <v>1046</v>
      </c>
      <c r="C93" s="98" t="s">
        <v>1046</v>
      </c>
      <c r="D93" s="98" t="s">
        <v>575</v>
      </c>
      <c r="E93" s="98" t="s">
        <v>272</v>
      </c>
      <c r="F93" s="98" t="s">
        <v>1185</v>
      </c>
      <c r="G93" s="98" t="s">
        <v>1639</v>
      </c>
      <c r="H93" s="99" t="s">
        <v>853</v>
      </c>
      <c r="I93" s="99" t="s">
        <v>574</v>
      </c>
      <c r="J93" s="100" t="s">
        <v>1187</v>
      </c>
      <c r="K93" s="99"/>
      <c r="L93" s="99"/>
      <c r="M93" s="99"/>
      <c r="N93" s="99" t="s">
        <v>1059</v>
      </c>
      <c r="O93" s="99" t="s">
        <v>1052</v>
      </c>
      <c r="P93" s="99" t="s">
        <v>1053</v>
      </c>
      <c r="Q93" s="99"/>
      <c r="R93" s="104">
        <v>1</v>
      </c>
      <c r="S93" s="104"/>
      <c r="T93" s="99">
        <v>1</v>
      </c>
      <c r="U93" s="99" t="s">
        <v>1054</v>
      </c>
      <c r="V93" s="99" t="s">
        <v>1055</v>
      </c>
      <c r="W93" s="99">
        <v>2</v>
      </c>
      <c r="X93" s="98"/>
      <c r="Y93" s="102">
        <v>2020</v>
      </c>
      <c r="Z93" s="98" t="s">
        <v>1064</v>
      </c>
      <c r="AA93" s="98">
        <v>7</v>
      </c>
      <c r="AB93" s="85" t="str">
        <f>VLOOKUP(E93,Source!F:F,1,FALSE)</f>
        <v>Salem State University</v>
      </c>
      <c r="AC93" s="88"/>
      <c r="AD93" s="88"/>
      <c r="AE93" s="81"/>
      <c r="AF93" s="88"/>
    </row>
    <row r="94" spans="1:32" ht="18" customHeight="1" x14ac:dyDescent="0.2">
      <c r="A94" s="98" t="str">
        <f t="shared" si="9"/>
        <v>Salem State University8</v>
      </c>
      <c r="B94" s="98" t="s">
        <v>1046</v>
      </c>
      <c r="C94" s="98" t="s">
        <v>1046</v>
      </c>
      <c r="D94" s="98" t="s">
        <v>575</v>
      </c>
      <c r="E94" s="98" t="s">
        <v>272</v>
      </c>
      <c r="F94" s="98" t="s">
        <v>1185</v>
      </c>
      <c r="G94" s="98" t="s">
        <v>1639</v>
      </c>
      <c r="H94" s="99" t="s">
        <v>853</v>
      </c>
      <c r="I94" s="99" t="s">
        <v>574</v>
      </c>
      <c r="J94" s="100" t="s">
        <v>1187</v>
      </c>
      <c r="K94" s="99"/>
      <c r="L94" s="99"/>
      <c r="M94" s="99"/>
      <c r="N94" s="99" t="s">
        <v>1059</v>
      </c>
      <c r="O94" s="99" t="s">
        <v>1052</v>
      </c>
      <c r="P94" s="99" t="s">
        <v>1053</v>
      </c>
      <c r="Q94" s="99"/>
      <c r="R94" s="104">
        <v>1</v>
      </c>
      <c r="S94" s="104"/>
      <c r="T94" s="99">
        <v>1</v>
      </c>
      <c r="U94" s="99" t="s">
        <v>1054</v>
      </c>
      <c r="V94" s="99" t="s">
        <v>1055</v>
      </c>
      <c r="W94" s="99">
        <v>2</v>
      </c>
      <c r="X94" s="98"/>
      <c r="Y94" s="102">
        <v>2020</v>
      </c>
      <c r="Z94" s="98" t="s">
        <v>1064</v>
      </c>
      <c r="AA94" s="98">
        <v>8</v>
      </c>
      <c r="AB94" s="85" t="str">
        <f>VLOOKUP(E94,Source!F:F,1,FALSE)</f>
        <v>Salem State University</v>
      </c>
      <c r="AC94" s="88"/>
      <c r="AD94" s="88"/>
      <c r="AE94" s="81"/>
      <c r="AF94" s="88"/>
    </row>
    <row r="95" spans="1:32" x14ac:dyDescent="0.2">
      <c r="A95" s="98" t="str">
        <f t="shared" si="9"/>
        <v>Salem State University9</v>
      </c>
      <c r="B95" s="98" t="s">
        <v>1046</v>
      </c>
      <c r="C95" s="98" t="s">
        <v>1046</v>
      </c>
      <c r="D95" s="98" t="s">
        <v>575</v>
      </c>
      <c r="E95" s="98" t="s">
        <v>272</v>
      </c>
      <c r="F95" s="98" t="s">
        <v>1185</v>
      </c>
      <c r="G95" s="98" t="s">
        <v>1639</v>
      </c>
      <c r="H95" s="99" t="s">
        <v>853</v>
      </c>
      <c r="I95" s="99" t="s">
        <v>574</v>
      </c>
      <c r="J95" s="100" t="s">
        <v>1187</v>
      </c>
      <c r="K95" s="99"/>
      <c r="L95" s="99"/>
      <c r="M95" s="99"/>
      <c r="N95" s="99" t="s">
        <v>1059</v>
      </c>
      <c r="O95" s="99" t="s">
        <v>1052</v>
      </c>
      <c r="P95" s="99" t="s">
        <v>1053</v>
      </c>
      <c r="Q95" s="99"/>
      <c r="R95" s="104">
        <v>1</v>
      </c>
      <c r="S95" s="104"/>
      <c r="T95" s="99">
        <v>1</v>
      </c>
      <c r="U95" s="99" t="s">
        <v>1054</v>
      </c>
      <c r="V95" s="99" t="s">
        <v>1055</v>
      </c>
      <c r="W95" s="99">
        <v>2</v>
      </c>
      <c r="X95" s="98"/>
      <c r="Y95" s="102">
        <v>2020</v>
      </c>
      <c r="Z95" s="98" t="s">
        <v>1064</v>
      </c>
      <c r="AA95" s="98">
        <v>9</v>
      </c>
      <c r="AB95" s="85" t="str">
        <f>VLOOKUP(E95,Source!F:F,1,FALSE)</f>
        <v>Salem State University</v>
      </c>
      <c r="AC95" s="88"/>
      <c r="AD95" s="88"/>
      <c r="AE95" s="81"/>
      <c r="AF95" s="88"/>
    </row>
    <row r="96" spans="1:32" x14ac:dyDescent="0.2">
      <c r="A96" s="98" t="str">
        <f t="shared" si="9"/>
        <v>Salem State University10</v>
      </c>
      <c r="B96" s="98" t="s">
        <v>1046</v>
      </c>
      <c r="C96" s="98" t="s">
        <v>1046</v>
      </c>
      <c r="D96" s="98" t="s">
        <v>575</v>
      </c>
      <c r="E96" s="98" t="s">
        <v>272</v>
      </c>
      <c r="F96" s="98" t="s">
        <v>1185</v>
      </c>
      <c r="G96" s="98" t="s">
        <v>1639</v>
      </c>
      <c r="H96" s="99" t="s">
        <v>853</v>
      </c>
      <c r="I96" s="99" t="s">
        <v>574</v>
      </c>
      <c r="J96" s="100" t="s">
        <v>1187</v>
      </c>
      <c r="K96" s="99"/>
      <c r="L96" s="99"/>
      <c r="M96" s="99"/>
      <c r="N96" s="99" t="s">
        <v>1059</v>
      </c>
      <c r="O96" s="99" t="s">
        <v>1052</v>
      </c>
      <c r="P96" s="99" t="s">
        <v>1053</v>
      </c>
      <c r="Q96" s="99"/>
      <c r="R96" s="104">
        <v>1</v>
      </c>
      <c r="S96" s="104"/>
      <c r="T96" s="99">
        <v>1</v>
      </c>
      <c r="U96" s="99" t="s">
        <v>1054</v>
      </c>
      <c r="V96" s="99" t="s">
        <v>1055</v>
      </c>
      <c r="W96" s="99">
        <v>2</v>
      </c>
      <c r="X96" s="98"/>
      <c r="Y96" s="102">
        <v>2020</v>
      </c>
      <c r="Z96" s="98" t="s">
        <v>1064</v>
      </c>
      <c r="AA96" s="98">
        <v>10</v>
      </c>
      <c r="AB96" s="85" t="str">
        <f>VLOOKUP(E96,Source!F:F,1,FALSE)</f>
        <v>Salem State University</v>
      </c>
      <c r="AC96" s="88"/>
      <c r="AD96" s="88"/>
      <c r="AE96" s="81"/>
      <c r="AF96" s="88"/>
    </row>
    <row r="97" spans="1:32" ht="16" x14ac:dyDescent="0.2">
      <c r="A97" s="98" t="str">
        <f t="shared" si="2"/>
        <v>Springfield Technical Comm. College1</v>
      </c>
      <c r="B97" s="98" t="s">
        <v>1046</v>
      </c>
      <c r="C97" s="98" t="s">
        <v>1046</v>
      </c>
      <c r="D97" s="98" t="s">
        <v>575</v>
      </c>
      <c r="E97" s="824" t="s">
        <v>282</v>
      </c>
      <c r="F97" s="824" t="s">
        <v>282</v>
      </c>
      <c r="G97" s="98" t="s">
        <v>1630</v>
      </c>
      <c r="H97" s="99" t="s">
        <v>794</v>
      </c>
      <c r="I97" s="99" t="s">
        <v>574</v>
      </c>
      <c r="J97" s="100"/>
      <c r="K97" s="99"/>
      <c r="L97" s="99"/>
      <c r="M97" s="99"/>
      <c r="N97" s="99"/>
      <c r="O97" s="99" t="s">
        <v>1052</v>
      </c>
      <c r="P97" s="99" t="s">
        <v>1053</v>
      </c>
      <c r="Q97" s="99"/>
      <c r="R97" s="104">
        <v>1</v>
      </c>
      <c r="S97" s="104"/>
      <c r="T97" s="99">
        <v>1</v>
      </c>
      <c r="U97" s="99" t="s">
        <v>1054</v>
      </c>
      <c r="V97" s="99" t="s">
        <v>1055</v>
      </c>
      <c r="W97" s="99">
        <v>2</v>
      </c>
      <c r="X97" s="98"/>
      <c r="Y97" s="102">
        <v>2020</v>
      </c>
      <c r="Z97" s="98" t="s">
        <v>1064</v>
      </c>
      <c r="AA97" s="98">
        <v>1</v>
      </c>
      <c r="AB97" s="85" t="str">
        <f>VLOOKUP(E97,Source!F:F,1,FALSE)</f>
        <v>Springfield Technical Comm. College</v>
      </c>
      <c r="AC97" s="88"/>
      <c r="AD97" s="88"/>
      <c r="AE97" s="81"/>
      <c r="AF97" s="88"/>
    </row>
    <row r="98" spans="1:32" ht="16" x14ac:dyDescent="0.2">
      <c r="A98" s="98" t="str">
        <f t="shared" ref="A98" si="10">E98&amp;AA98</f>
        <v>Springfield Technical Comm. College2</v>
      </c>
      <c r="B98" s="98" t="s">
        <v>1046</v>
      </c>
      <c r="C98" s="98" t="s">
        <v>1046</v>
      </c>
      <c r="D98" s="98" t="s">
        <v>575</v>
      </c>
      <c r="E98" s="824" t="s">
        <v>282</v>
      </c>
      <c r="F98" s="824" t="s">
        <v>282</v>
      </c>
      <c r="G98" s="98" t="s">
        <v>1630</v>
      </c>
      <c r="H98" s="99" t="s">
        <v>794</v>
      </c>
      <c r="I98" s="99" t="s">
        <v>574</v>
      </c>
      <c r="J98" s="100"/>
      <c r="K98" s="99"/>
      <c r="L98" s="99"/>
      <c r="M98" s="99"/>
      <c r="N98" s="99"/>
      <c r="O98" s="99" t="s">
        <v>1052</v>
      </c>
      <c r="P98" s="99" t="s">
        <v>1053</v>
      </c>
      <c r="Q98" s="99"/>
      <c r="R98" s="104">
        <v>1</v>
      </c>
      <c r="S98" s="104"/>
      <c r="T98" s="99">
        <v>1</v>
      </c>
      <c r="U98" s="99" t="s">
        <v>1054</v>
      </c>
      <c r="V98" s="99" t="s">
        <v>1055</v>
      </c>
      <c r="W98" s="99">
        <v>2</v>
      </c>
      <c r="X98" s="98"/>
      <c r="Y98" s="102">
        <v>2020</v>
      </c>
      <c r="Z98" s="98" t="s">
        <v>1064</v>
      </c>
      <c r="AA98" s="98">
        <v>2</v>
      </c>
      <c r="AB98" s="85" t="str">
        <f>VLOOKUP(E98,Source!F:F,1,FALSE)</f>
        <v>Springfield Technical Comm. College</v>
      </c>
      <c r="AC98" s="88"/>
      <c r="AD98" s="88"/>
      <c r="AE98" s="81"/>
      <c r="AF98" s="88"/>
    </row>
    <row r="99" spans="1:32" x14ac:dyDescent="0.2">
      <c r="A99" s="98" t="str">
        <f t="shared" si="2"/>
        <v>UMass Amherst1</v>
      </c>
      <c r="B99" s="98" t="s">
        <v>1046</v>
      </c>
      <c r="C99" s="98" t="s">
        <v>1046</v>
      </c>
      <c r="D99" s="98" t="s">
        <v>865</v>
      </c>
      <c r="E99" s="98" t="s">
        <v>299</v>
      </c>
      <c r="F99" s="98" t="s">
        <v>1189</v>
      </c>
      <c r="G99" s="98" t="s">
        <v>1190</v>
      </c>
      <c r="H99" s="99" t="s">
        <v>864</v>
      </c>
      <c r="I99" s="99" t="s">
        <v>574</v>
      </c>
      <c r="J99" s="100" t="s">
        <v>1191</v>
      </c>
      <c r="K99" s="99"/>
      <c r="L99" s="99" t="s">
        <v>1076</v>
      </c>
      <c r="M99" s="99"/>
      <c r="N99" s="99" t="s">
        <v>1080</v>
      </c>
      <c r="O99" s="99" t="s">
        <v>1052</v>
      </c>
      <c r="P99" s="99" t="s">
        <v>1053</v>
      </c>
      <c r="Q99" s="99"/>
      <c r="R99" s="99">
        <v>1</v>
      </c>
      <c r="S99" s="99"/>
      <c r="T99" s="99">
        <v>1</v>
      </c>
      <c r="U99" s="99" t="s">
        <v>1054</v>
      </c>
      <c r="V99" s="99" t="s">
        <v>1055</v>
      </c>
      <c r="W99" s="99">
        <v>2</v>
      </c>
      <c r="X99" s="98">
        <v>61273</v>
      </c>
      <c r="Y99" s="102">
        <v>2014</v>
      </c>
      <c r="Z99" s="98" t="s">
        <v>1064</v>
      </c>
      <c r="AA99" s="98">
        <v>1</v>
      </c>
      <c r="AB99" s="85" t="str">
        <f>VLOOKUP(E99,Source!F:F,1,FALSE)</f>
        <v>UMass Amherst</v>
      </c>
      <c r="AC99" s="88"/>
      <c r="AD99" s="88"/>
      <c r="AE99" s="81"/>
      <c r="AF99" s="88"/>
    </row>
    <row r="100" spans="1:32" x14ac:dyDescent="0.2">
      <c r="A100" s="98" t="str">
        <f t="shared" ref="A100:A163" si="11">E100&amp;AA100</f>
        <v>UMass Amherst2</v>
      </c>
      <c r="B100" s="98" t="s">
        <v>1046</v>
      </c>
      <c r="C100" s="98" t="s">
        <v>1046</v>
      </c>
      <c r="D100" s="98" t="s">
        <v>865</v>
      </c>
      <c r="E100" s="98" t="s">
        <v>299</v>
      </c>
      <c r="F100" s="98" t="s">
        <v>1189</v>
      </c>
      <c r="G100" s="98" t="s">
        <v>1190</v>
      </c>
      <c r="H100" s="99" t="s">
        <v>864</v>
      </c>
      <c r="I100" s="99" t="s">
        <v>574</v>
      </c>
      <c r="J100" s="100" t="s">
        <v>1191</v>
      </c>
      <c r="K100" s="99"/>
      <c r="L100" s="99" t="s">
        <v>1076</v>
      </c>
      <c r="M100" s="99"/>
      <c r="N100" s="99" t="s">
        <v>1080</v>
      </c>
      <c r="O100" s="99" t="s">
        <v>1052</v>
      </c>
      <c r="P100" s="99" t="s">
        <v>1053</v>
      </c>
      <c r="Q100" s="99"/>
      <c r="R100" s="99">
        <v>1</v>
      </c>
      <c r="S100" s="99"/>
      <c r="T100" s="99">
        <v>1</v>
      </c>
      <c r="U100" s="99" t="s">
        <v>1054</v>
      </c>
      <c r="V100" s="99" t="s">
        <v>1055</v>
      </c>
      <c r="W100" s="99">
        <v>2</v>
      </c>
      <c r="X100" s="98">
        <v>61273</v>
      </c>
      <c r="Y100" s="102">
        <v>2014</v>
      </c>
      <c r="Z100" s="98" t="s">
        <v>1064</v>
      </c>
      <c r="AA100" s="98">
        <v>2</v>
      </c>
      <c r="AB100" s="85" t="str">
        <f>VLOOKUP(E100,Source!F:F,1,FALSE)</f>
        <v>UMass Amherst</v>
      </c>
      <c r="AC100" s="88"/>
      <c r="AD100" s="88"/>
      <c r="AE100" s="79"/>
      <c r="AF100" s="88"/>
    </row>
    <row r="101" spans="1:32" x14ac:dyDescent="0.2">
      <c r="A101" s="98" t="str">
        <f t="shared" si="11"/>
        <v>UMass Amherst3</v>
      </c>
      <c r="B101" s="98" t="s">
        <v>1046</v>
      </c>
      <c r="C101" s="98" t="s">
        <v>1046</v>
      </c>
      <c r="D101" s="98" t="s">
        <v>865</v>
      </c>
      <c r="E101" s="98" t="s">
        <v>299</v>
      </c>
      <c r="F101" s="98" t="s">
        <v>1189</v>
      </c>
      <c r="G101" s="98" t="s">
        <v>1192</v>
      </c>
      <c r="H101" s="99" t="s">
        <v>864</v>
      </c>
      <c r="I101" s="99" t="s">
        <v>574</v>
      </c>
      <c r="J101" s="100" t="s">
        <v>1191</v>
      </c>
      <c r="K101" s="99"/>
      <c r="L101" s="99" t="s">
        <v>1076</v>
      </c>
      <c r="M101" s="99"/>
      <c r="N101" s="99" t="s">
        <v>1080</v>
      </c>
      <c r="O101" s="99" t="s">
        <v>1052</v>
      </c>
      <c r="P101" s="99" t="s">
        <v>1053</v>
      </c>
      <c r="Q101" s="99"/>
      <c r="R101" s="99">
        <v>1</v>
      </c>
      <c r="S101" s="99"/>
      <c r="T101" s="99">
        <v>1</v>
      </c>
      <c r="U101" s="99" t="s">
        <v>1054</v>
      </c>
      <c r="V101" s="99" t="s">
        <v>1055</v>
      </c>
      <c r="W101" s="99">
        <v>2</v>
      </c>
      <c r="X101" s="98">
        <v>71556</v>
      </c>
      <c r="Y101" s="102">
        <v>2015</v>
      </c>
      <c r="Z101" s="98" t="s">
        <v>1064</v>
      </c>
      <c r="AA101" s="98">
        <v>3</v>
      </c>
      <c r="AB101" s="85" t="str">
        <f>VLOOKUP(E101,Source!F:F,1,FALSE)</f>
        <v>UMass Amherst</v>
      </c>
      <c r="AC101" s="88"/>
      <c r="AD101" s="88"/>
      <c r="AE101" s="79"/>
      <c r="AF101" s="88"/>
    </row>
    <row r="102" spans="1:32" x14ac:dyDescent="0.2">
      <c r="A102" s="98" t="str">
        <f t="shared" si="11"/>
        <v>UMass Amherst4</v>
      </c>
      <c r="B102" s="98" t="s">
        <v>1046</v>
      </c>
      <c r="C102" s="98" t="s">
        <v>1046</v>
      </c>
      <c r="D102" s="98" t="s">
        <v>865</v>
      </c>
      <c r="E102" s="98" t="s">
        <v>299</v>
      </c>
      <c r="F102" s="98" t="s">
        <v>1189</v>
      </c>
      <c r="G102" s="98" t="s">
        <v>1193</v>
      </c>
      <c r="H102" s="99" t="s">
        <v>864</v>
      </c>
      <c r="I102" s="99" t="s">
        <v>574</v>
      </c>
      <c r="J102" s="100" t="s">
        <v>1191</v>
      </c>
      <c r="K102" s="99"/>
      <c r="L102" s="99" t="s">
        <v>1076</v>
      </c>
      <c r="M102" s="99"/>
      <c r="N102" s="99" t="s">
        <v>1080</v>
      </c>
      <c r="O102" s="99" t="s">
        <v>1052</v>
      </c>
      <c r="P102" s="99" t="s">
        <v>1053</v>
      </c>
      <c r="Q102" s="99"/>
      <c r="R102" s="99"/>
      <c r="S102" s="99">
        <v>1</v>
      </c>
      <c r="T102" s="99">
        <v>1</v>
      </c>
      <c r="U102" s="99" t="s">
        <v>1139</v>
      </c>
      <c r="V102" s="99" t="s">
        <v>1060</v>
      </c>
      <c r="W102" s="99">
        <v>1</v>
      </c>
      <c r="X102" s="98">
        <v>65376</v>
      </c>
      <c r="Y102" s="102">
        <v>2016</v>
      </c>
      <c r="Z102" s="98"/>
      <c r="AA102" s="98">
        <v>4</v>
      </c>
      <c r="AB102" s="85" t="str">
        <f>VLOOKUP(E102,Source!F:F,1,FALSE)</f>
        <v>UMass Amherst</v>
      </c>
      <c r="AC102" s="92"/>
      <c r="AD102" s="92"/>
      <c r="AE102" s="81"/>
      <c r="AF102" s="88"/>
    </row>
    <row r="103" spans="1:32" x14ac:dyDescent="0.2">
      <c r="A103" s="98" t="str">
        <f t="shared" si="11"/>
        <v>UMass Amherst5</v>
      </c>
      <c r="B103" s="98" t="s">
        <v>1046</v>
      </c>
      <c r="C103" s="98" t="s">
        <v>1046</v>
      </c>
      <c r="D103" s="98" t="s">
        <v>865</v>
      </c>
      <c r="E103" s="98" t="s">
        <v>299</v>
      </c>
      <c r="F103" s="98" t="s">
        <v>1189</v>
      </c>
      <c r="G103" s="98" t="s">
        <v>1194</v>
      </c>
      <c r="H103" s="99" t="s">
        <v>864</v>
      </c>
      <c r="I103" s="99" t="s">
        <v>574</v>
      </c>
      <c r="J103" s="100" t="s">
        <v>1191</v>
      </c>
      <c r="K103" s="99"/>
      <c r="L103" s="99" t="s">
        <v>1076</v>
      </c>
      <c r="M103" s="99"/>
      <c r="N103" s="99" t="s">
        <v>1080</v>
      </c>
      <c r="O103" s="99" t="s">
        <v>1052</v>
      </c>
      <c r="P103" s="99" t="s">
        <v>1053</v>
      </c>
      <c r="Q103" s="99"/>
      <c r="R103" s="99">
        <v>1</v>
      </c>
      <c r="S103" s="99"/>
      <c r="T103" s="99">
        <v>1</v>
      </c>
      <c r="U103" s="99" t="s">
        <v>1054</v>
      </c>
      <c r="V103" s="99" t="s">
        <v>1055</v>
      </c>
      <c r="W103" s="99">
        <v>2</v>
      </c>
      <c r="X103" s="98">
        <v>72511</v>
      </c>
      <c r="Y103" s="102">
        <v>2014</v>
      </c>
      <c r="Z103" s="98" t="s">
        <v>1064</v>
      </c>
      <c r="AA103" s="98">
        <v>5</v>
      </c>
      <c r="AB103" s="85" t="str">
        <f>VLOOKUP(E103,Source!F:F,1,FALSE)</f>
        <v>UMass Amherst</v>
      </c>
      <c r="AC103" s="88"/>
      <c r="AD103" s="88"/>
      <c r="AE103" s="81"/>
      <c r="AF103" s="88"/>
    </row>
    <row r="104" spans="1:32" x14ac:dyDescent="0.2">
      <c r="A104" s="98" t="str">
        <f t="shared" si="11"/>
        <v>UMass Amherst6</v>
      </c>
      <c r="B104" s="98" t="s">
        <v>1046</v>
      </c>
      <c r="C104" s="98" t="s">
        <v>1046</v>
      </c>
      <c r="D104" s="98" t="s">
        <v>865</v>
      </c>
      <c r="E104" s="98" t="s">
        <v>299</v>
      </c>
      <c r="F104" s="98" t="s">
        <v>1189</v>
      </c>
      <c r="G104" s="98" t="s">
        <v>1194</v>
      </c>
      <c r="H104" s="99" t="s">
        <v>864</v>
      </c>
      <c r="I104" s="99" t="s">
        <v>574</v>
      </c>
      <c r="J104" s="100" t="s">
        <v>1191</v>
      </c>
      <c r="K104" s="99"/>
      <c r="L104" s="99" t="s">
        <v>1076</v>
      </c>
      <c r="M104" s="99"/>
      <c r="N104" s="99" t="s">
        <v>1080</v>
      </c>
      <c r="O104" s="99" t="s">
        <v>1052</v>
      </c>
      <c r="P104" s="99" t="s">
        <v>1053</v>
      </c>
      <c r="Q104" s="99"/>
      <c r="R104" s="99">
        <v>1</v>
      </c>
      <c r="S104" s="99"/>
      <c r="T104" s="99">
        <v>1</v>
      </c>
      <c r="U104" s="99" t="s">
        <v>1054</v>
      </c>
      <c r="V104" s="99" t="s">
        <v>1055</v>
      </c>
      <c r="W104" s="99">
        <v>2</v>
      </c>
      <c r="X104" s="98">
        <v>72511</v>
      </c>
      <c r="Y104" s="102">
        <v>2014</v>
      </c>
      <c r="Z104" s="98" t="s">
        <v>1064</v>
      </c>
      <c r="AA104" s="98">
        <v>6</v>
      </c>
      <c r="AB104" s="85" t="str">
        <f>VLOOKUP(E104,Source!F:F,1,FALSE)</f>
        <v>UMass Amherst</v>
      </c>
      <c r="AC104" s="80"/>
      <c r="AD104" s="88"/>
      <c r="AE104" s="79"/>
      <c r="AF104" s="88"/>
    </row>
    <row r="105" spans="1:32" x14ac:dyDescent="0.2">
      <c r="A105" s="98" t="str">
        <f t="shared" si="11"/>
        <v>UMass Amherst7</v>
      </c>
      <c r="B105" s="98" t="s">
        <v>1046</v>
      </c>
      <c r="C105" s="98" t="s">
        <v>1046</v>
      </c>
      <c r="D105" s="98" t="s">
        <v>865</v>
      </c>
      <c r="E105" s="98" t="s">
        <v>299</v>
      </c>
      <c r="F105" s="98" t="s">
        <v>1189</v>
      </c>
      <c r="G105" s="98" t="s">
        <v>1195</v>
      </c>
      <c r="H105" s="99" t="s">
        <v>864</v>
      </c>
      <c r="I105" s="99" t="s">
        <v>574</v>
      </c>
      <c r="J105" s="100" t="s">
        <v>1191</v>
      </c>
      <c r="K105" s="99"/>
      <c r="L105" s="99" t="s">
        <v>1076</v>
      </c>
      <c r="M105" s="99"/>
      <c r="N105" s="99" t="s">
        <v>1080</v>
      </c>
      <c r="O105" s="99" t="s">
        <v>1052</v>
      </c>
      <c r="P105" s="99" t="s">
        <v>1053</v>
      </c>
      <c r="Q105" s="99"/>
      <c r="R105" s="99">
        <v>1</v>
      </c>
      <c r="S105" s="99"/>
      <c r="T105" s="99">
        <v>1</v>
      </c>
      <c r="U105" s="99" t="s">
        <v>1054</v>
      </c>
      <c r="V105" s="99" t="s">
        <v>1055</v>
      </c>
      <c r="W105" s="99">
        <v>2</v>
      </c>
      <c r="X105" s="98">
        <v>72511</v>
      </c>
      <c r="Y105" s="102">
        <v>2016</v>
      </c>
      <c r="Z105" s="98" t="s">
        <v>1064</v>
      </c>
      <c r="AA105" s="98">
        <v>7</v>
      </c>
      <c r="AB105" s="85" t="str">
        <f>VLOOKUP(E105,Source!F:F,1,FALSE)</f>
        <v>UMass Amherst</v>
      </c>
      <c r="AC105" s="88"/>
      <c r="AD105" s="88"/>
      <c r="AE105" s="79"/>
      <c r="AF105" s="88"/>
    </row>
    <row r="106" spans="1:32" x14ac:dyDescent="0.2">
      <c r="A106" s="98" t="str">
        <f t="shared" si="11"/>
        <v>UMass Amherst8</v>
      </c>
      <c r="B106" s="98" t="s">
        <v>1046</v>
      </c>
      <c r="C106" s="98" t="s">
        <v>1046</v>
      </c>
      <c r="D106" s="98" t="s">
        <v>865</v>
      </c>
      <c r="E106" s="98" t="s">
        <v>299</v>
      </c>
      <c r="F106" s="98" t="s">
        <v>1189</v>
      </c>
      <c r="G106" s="98" t="s">
        <v>1195</v>
      </c>
      <c r="H106" s="99" t="s">
        <v>864</v>
      </c>
      <c r="I106" s="99" t="s">
        <v>574</v>
      </c>
      <c r="J106" s="100" t="s">
        <v>1191</v>
      </c>
      <c r="K106" s="99"/>
      <c r="L106" s="99" t="s">
        <v>1076</v>
      </c>
      <c r="M106" s="99"/>
      <c r="N106" s="99" t="s">
        <v>1080</v>
      </c>
      <c r="O106" s="99" t="s">
        <v>1052</v>
      </c>
      <c r="P106" s="99" t="s">
        <v>1053</v>
      </c>
      <c r="Q106" s="99"/>
      <c r="R106" s="99">
        <v>1</v>
      </c>
      <c r="S106" s="99"/>
      <c r="T106" s="99">
        <v>1</v>
      </c>
      <c r="U106" s="99" t="s">
        <v>1054</v>
      </c>
      <c r="V106" s="99" t="s">
        <v>1055</v>
      </c>
      <c r="W106" s="99">
        <v>2</v>
      </c>
      <c r="X106" s="98">
        <v>72511</v>
      </c>
      <c r="Y106" s="102">
        <v>2016</v>
      </c>
      <c r="Z106" s="98" t="s">
        <v>1064</v>
      </c>
      <c r="AA106" s="98">
        <v>8</v>
      </c>
      <c r="AB106" s="85" t="str">
        <f>VLOOKUP(E106,Source!F:F,1,FALSE)</f>
        <v>UMass Amherst</v>
      </c>
      <c r="AC106" s="88"/>
      <c r="AD106" s="88"/>
      <c r="AE106" s="79"/>
      <c r="AF106" s="88"/>
    </row>
    <row r="107" spans="1:32" ht="30" x14ac:dyDescent="0.2">
      <c r="A107" s="98" t="str">
        <f t="shared" si="11"/>
        <v>UMass Amherst9</v>
      </c>
      <c r="B107" s="98" t="s">
        <v>1046</v>
      </c>
      <c r="C107" s="98" t="s">
        <v>1046</v>
      </c>
      <c r="D107" s="98" t="s">
        <v>865</v>
      </c>
      <c r="E107" s="98" t="s">
        <v>299</v>
      </c>
      <c r="F107" s="98" t="s">
        <v>1189</v>
      </c>
      <c r="G107" s="598" t="s">
        <v>1196</v>
      </c>
      <c r="H107" s="99" t="s">
        <v>864</v>
      </c>
      <c r="I107" s="99" t="s">
        <v>574</v>
      </c>
      <c r="J107" s="100" t="s">
        <v>1191</v>
      </c>
      <c r="K107" s="99"/>
      <c r="L107" s="99"/>
      <c r="M107" s="99"/>
      <c r="N107" s="99" t="s">
        <v>1080</v>
      </c>
      <c r="O107" s="99" t="s">
        <v>1052</v>
      </c>
      <c r="P107" s="99" t="s">
        <v>1053</v>
      </c>
      <c r="Q107" s="99"/>
      <c r="R107" s="99">
        <v>1</v>
      </c>
      <c r="S107" s="99"/>
      <c r="T107" s="99">
        <v>1</v>
      </c>
      <c r="U107" s="99" t="s">
        <v>1054</v>
      </c>
      <c r="V107" s="99" t="s">
        <v>1055</v>
      </c>
      <c r="W107" s="99">
        <v>2</v>
      </c>
      <c r="X107" s="98"/>
      <c r="Y107" s="102">
        <v>2017</v>
      </c>
      <c r="Z107" s="98" t="s">
        <v>1064</v>
      </c>
      <c r="AA107" s="98">
        <v>9</v>
      </c>
      <c r="AB107" s="85" t="str">
        <f>VLOOKUP(E107,Source!F:F,1,FALSE)</f>
        <v>UMass Amherst</v>
      </c>
      <c r="AC107" s="88"/>
      <c r="AD107" s="88"/>
      <c r="AE107" s="79"/>
      <c r="AF107" s="88"/>
    </row>
    <row r="108" spans="1:32" ht="30" x14ac:dyDescent="0.2">
      <c r="A108" s="98" t="str">
        <f t="shared" si="11"/>
        <v>UMass Amherst10</v>
      </c>
      <c r="B108" s="98" t="s">
        <v>1046</v>
      </c>
      <c r="C108" s="98" t="s">
        <v>1046</v>
      </c>
      <c r="D108" s="98" t="s">
        <v>865</v>
      </c>
      <c r="E108" s="98" t="s">
        <v>299</v>
      </c>
      <c r="F108" s="98" t="s">
        <v>1189</v>
      </c>
      <c r="G108" s="598" t="s">
        <v>1197</v>
      </c>
      <c r="H108" s="99" t="s">
        <v>864</v>
      </c>
      <c r="I108" s="99" t="s">
        <v>574</v>
      </c>
      <c r="J108" s="100" t="s">
        <v>1191</v>
      </c>
      <c r="K108" s="99"/>
      <c r="L108" s="99"/>
      <c r="M108" s="99"/>
      <c r="N108" s="99" t="s">
        <v>1080</v>
      </c>
      <c r="O108" s="99" t="s">
        <v>1052</v>
      </c>
      <c r="P108" s="99" t="s">
        <v>1053</v>
      </c>
      <c r="Q108" s="99"/>
      <c r="R108" s="99">
        <v>1</v>
      </c>
      <c r="S108" s="99"/>
      <c r="T108" s="99">
        <v>1</v>
      </c>
      <c r="U108" s="99" t="s">
        <v>1054</v>
      </c>
      <c r="V108" s="99" t="s">
        <v>1055</v>
      </c>
      <c r="W108" s="99">
        <v>2</v>
      </c>
      <c r="X108" s="98"/>
      <c r="Y108" s="102">
        <v>2017</v>
      </c>
      <c r="Z108" s="98" t="s">
        <v>1064</v>
      </c>
      <c r="AA108" s="98">
        <v>10</v>
      </c>
      <c r="AB108" s="85" t="str">
        <f>VLOOKUP(E108,Source!F:F,1,FALSE)</f>
        <v>UMass Amherst</v>
      </c>
      <c r="AC108" s="88"/>
      <c r="AD108" s="88"/>
      <c r="AE108" s="79"/>
      <c r="AF108" s="88"/>
    </row>
    <row r="109" spans="1:32" x14ac:dyDescent="0.2">
      <c r="A109" s="98" t="str">
        <f t="shared" si="11"/>
        <v>UMass Amherst11</v>
      </c>
      <c r="B109" s="98" t="s">
        <v>1046</v>
      </c>
      <c r="C109" s="98" t="s">
        <v>1046</v>
      </c>
      <c r="D109" s="98" t="s">
        <v>865</v>
      </c>
      <c r="E109" s="98" t="s">
        <v>299</v>
      </c>
      <c r="F109" s="98" t="s">
        <v>1189</v>
      </c>
      <c r="G109" s="98" t="s">
        <v>1584</v>
      </c>
      <c r="H109" s="99" t="s">
        <v>864</v>
      </c>
      <c r="I109" s="99" t="s">
        <v>574</v>
      </c>
      <c r="J109" s="100" t="s">
        <v>1191</v>
      </c>
      <c r="K109" s="99"/>
      <c r="L109" s="99"/>
      <c r="M109" s="99"/>
      <c r="N109" s="99" t="s">
        <v>1080</v>
      </c>
      <c r="O109" s="99" t="s">
        <v>1052</v>
      </c>
      <c r="P109" s="99" t="s">
        <v>1053</v>
      </c>
      <c r="Q109" s="99"/>
      <c r="R109" s="99">
        <v>1</v>
      </c>
      <c r="S109" s="99"/>
      <c r="T109" s="99">
        <v>1</v>
      </c>
      <c r="U109" s="99" t="s">
        <v>1054</v>
      </c>
      <c r="V109" s="99" t="s">
        <v>1055</v>
      </c>
      <c r="W109" s="99">
        <v>2</v>
      </c>
      <c r="X109" s="98"/>
      <c r="Y109" s="102">
        <v>2018</v>
      </c>
      <c r="Z109" s="98" t="s">
        <v>1064</v>
      </c>
      <c r="AA109" s="98">
        <v>11</v>
      </c>
      <c r="AB109" s="85" t="str">
        <f>VLOOKUP(E109,Source!F:F,1,FALSE)</f>
        <v>UMass Amherst</v>
      </c>
      <c r="AC109" s="88"/>
      <c r="AD109" s="88"/>
      <c r="AE109" s="79"/>
      <c r="AF109" s="88"/>
    </row>
    <row r="110" spans="1:32" x14ac:dyDescent="0.2">
      <c r="A110" s="98" t="str">
        <f t="shared" si="11"/>
        <v>UMass Amherst12</v>
      </c>
      <c r="B110" s="98" t="s">
        <v>1046</v>
      </c>
      <c r="C110" s="98" t="s">
        <v>1046</v>
      </c>
      <c r="D110" s="98" t="s">
        <v>865</v>
      </c>
      <c r="E110" s="98" t="s">
        <v>299</v>
      </c>
      <c r="F110" s="98" t="s">
        <v>1189</v>
      </c>
      <c r="G110" s="85" t="s">
        <v>1198</v>
      </c>
      <c r="H110" s="99" t="s">
        <v>864</v>
      </c>
      <c r="I110" s="99" t="s">
        <v>574</v>
      </c>
      <c r="J110" s="100" t="s">
        <v>1191</v>
      </c>
      <c r="K110" s="99"/>
      <c r="L110" s="99"/>
      <c r="M110" s="99"/>
      <c r="N110" s="99" t="s">
        <v>1080</v>
      </c>
      <c r="O110" s="99" t="s">
        <v>1052</v>
      </c>
      <c r="P110" s="99" t="s">
        <v>1053</v>
      </c>
      <c r="Q110" s="99"/>
      <c r="R110" s="99">
        <v>1</v>
      </c>
      <c r="S110" s="99"/>
      <c r="T110" s="99">
        <v>1</v>
      </c>
      <c r="U110" s="99" t="s">
        <v>1054</v>
      </c>
      <c r="V110" s="99" t="s">
        <v>1055</v>
      </c>
      <c r="W110" s="99">
        <v>2</v>
      </c>
      <c r="X110" s="98"/>
      <c r="Y110" s="102">
        <v>2019</v>
      </c>
      <c r="Z110" s="98" t="s">
        <v>1064</v>
      </c>
      <c r="AA110" s="98">
        <v>12</v>
      </c>
      <c r="AB110" s="85" t="str">
        <f>VLOOKUP(E110,Source!F:F,1,FALSE)</f>
        <v>UMass Amherst</v>
      </c>
      <c r="AC110" s="88"/>
      <c r="AD110" s="88"/>
      <c r="AE110" s="79"/>
      <c r="AF110" s="88"/>
    </row>
    <row r="111" spans="1:32" x14ac:dyDescent="0.2">
      <c r="A111" s="98" t="str">
        <f t="shared" si="11"/>
        <v>UMass Amherst13</v>
      </c>
      <c r="B111" s="98" t="s">
        <v>1046</v>
      </c>
      <c r="C111" s="98" t="s">
        <v>1046</v>
      </c>
      <c r="D111" s="98" t="s">
        <v>865</v>
      </c>
      <c r="E111" s="98" t="s">
        <v>299</v>
      </c>
      <c r="F111" s="98" t="s">
        <v>1189</v>
      </c>
      <c r="G111" s="85" t="s">
        <v>1199</v>
      </c>
      <c r="H111" s="99" t="s">
        <v>864</v>
      </c>
      <c r="I111" s="99" t="s">
        <v>574</v>
      </c>
      <c r="J111" s="100" t="s">
        <v>1191</v>
      </c>
      <c r="K111" s="99"/>
      <c r="L111" s="99"/>
      <c r="M111" s="99"/>
      <c r="N111" s="99" t="s">
        <v>1080</v>
      </c>
      <c r="O111" s="99" t="s">
        <v>1052</v>
      </c>
      <c r="P111" s="99" t="s">
        <v>1053</v>
      </c>
      <c r="Q111" s="99"/>
      <c r="R111" s="99">
        <v>1</v>
      </c>
      <c r="S111" s="99"/>
      <c r="T111" s="99">
        <v>1</v>
      </c>
      <c r="U111" s="99" t="s">
        <v>1054</v>
      </c>
      <c r="V111" s="99" t="s">
        <v>1055</v>
      </c>
      <c r="W111" s="99">
        <v>2</v>
      </c>
      <c r="X111" s="98"/>
      <c r="Y111" s="102">
        <v>2019</v>
      </c>
      <c r="Z111" s="98" t="s">
        <v>1064</v>
      </c>
      <c r="AA111" s="98">
        <v>13</v>
      </c>
      <c r="AB111" s="85" t="str">
        <f>VLOOKUP(E111,Source!F:F,1,FALSE)</f>
        <v>UMass Amherst</v>
      </c>
      <c r="AC111" s="88"/>
      <c r="AD111" s="88"/>
      <c r="AE111" s="79"/>
      <c r="AF111" s="88"/>
    </row>
    <row r="112" spans="1:32" x14ac:dyDescent="0.2">
      <c r="A112" s="98" t="str">
        <f t="shared" si="11"/>
        <v>UMass Amherst14</v>
      </c>
      <c r="B112" s="98" t="s">
        <v>1046</v>
      </c>
      <c r="C112" s="98" t="s">
        <v>1046</v>
      </c>
      <c r="D112" s="98" t="s">
        <v>865</v>
      </c>
      <c r="E112" s="98" t="s">
        <v>299</v>
      </c>
      <c r="F112" s="98" t="s">
        <v>1189</v>
      </c>
      <c r="G112" s="85" t="s">
        <v>1200</v>
      </c>
      <c r="H112" s="99" t="s">
        <v>864</v>
      </c>
      <c r="I112" s="99" t="s">
        <v>574</v>
      </c>
      <c r="J112" s="100" t="s">
        <v>1191</v>
      </c>
      <c r="K112" s="99"/>
      <c r="L112" s="99"/>
      <c r="M112" s="99"/>
      <c r="N112" s="99" t="s">
        <v>1080</v>
      </c>
      <c r="O112" s="99" t="s">
        <v>1052</v>
      </c>
      <c r="P112" s="99" t="s">
        <v>1053</v>
      </c>
      <c r="Q112" s="99"/>
      <c r="R112" s="99">
        <v>1</v>
      </c>
      <c r="S112" s="99"/>
      <c r="T112" s="99">
        <v>1</v>
      </c>
      <c r="U112" s="99" t="s">
        <v>1054</v>
      </c>
      <c r="V112" s="99" t="s">
        <v>1055</v>
      </c>
      <c r="W112" s="99">
        <v>2</v>
      </c>
      <c r="X112" s="98"/>
      <c r="Y112" s="102">
        <v>2019</v>
      </c>
      <c r="Z112" s="98" t="s">
        <v>1064</v>
      </c>
      <c r="AA112" s="98">
        <v>14</v>
      </c>
      <c r="AB112" s="85" t="str">
        <f>VLOOKUP(E112,Source!F:F,1,FALSE)</f>
        <v>UMass Amherst</v>
      </c>
      <c r="AC112" s="88"/>
      <c r="AD112" s="88"/>
      <c r="AE112" s="79"/>
      <c r="AF112" s="88"/>
    </row>
    <row r="113" spans="1:32" x14ac:dyDescent="0.2">
      <c r="A113" s="98" t="str">
        <f t="shared" ref="A113:A116" si="12">E113&amp;AA113</f>
        <v>UMass Amherst15</v>
      </c>
      <c r="B113" s="98" t="s">
        <v>1046</v>
      </c>
      <c r="C113" s="98" t="s">
        <v>1046</v>
      </c>
      <c r="D113" s="98" t="s">
        <v>865</v>
      </c>
      <c r="E113" s="98" t="s">
        <v>299</v>
      </c>
      <c r="F113" s="98" t="s">
        <v>1189</v>
      </c>
      <c r="G113" s="802" t="s">
        <v>1585</v>
      </c>
      <c r="H113" s="99" t="s">
        <v>864</v>
      </c>
      <c r="I113" s="99" t="s">
        <v>574</v>
      </c>
      <c r="J113" s="100" t="s">
        <v>1191</v>
      </c>
      <c r="K113" s="99"/>
      <c r="L113" s="99"/>
      <c r="M113" s="99"/>
      <c r="N113" s="99" t="s">
        <v>1080</v>
      </c>
      <c r="O113" s="99" t="s">
        <v>1052</v>
      </c>
      <c r="P113" s="99" t="s">
        <v>1053</v>
      </c>
      <c r="Q113" s="99"/>
      <c r="R113" s="99">
        <v>1</v>
      </c>
      <c r="S113" s="99"/>
      <c r="T113" s="99">
        <v>1</v>
      </c>
      <c r="U113" s="99" t="s">
        <v>1054</v>
      </c>
      <c r="V113" s="99" t="s">
        <v>1055</v>
      </c>
      <c r="W113" s="99">
        <v>2</v>
      </c>
      <c r="X113" s="98"/>
      <c r="Y113" s="102">
        <v>2020</v>
      </c>
      <c r="Z113" s="98" t="s">
        <v>1064</v>
      </c>
      <c r="AA113" s="98">
        <v>15</v>
      </c>
      <c r="AB113" s="85" t="str">
        <f>VLOOKUP(E113,Source!F:F,1,FALSE)</f>
        <v>UMass Amherst</v>
      </c>
      <c r="AC113" s="88"/>
      <c r="AD113" s="88"/>
      <c r="AE113" s="79"/>
      <c r="AF113" s="88"/>
    </row>
    <row r="114" spans="1:32" x14ac:dyDescent="0.2">
      <c r="A114" s="98" t="str">
        <f t="shared" si="12"/>
        <v>UMass Amherst16</v>
      </c>
      <c r="B114" s="98" t="s">
        <v>1046</v>
      </c>
      <c r="C114" s="98" t="s">
        <v>1046</v>
      </c>
      <c r="D114" s="98" t="s">
        <v>865</v>
      </c>
      <c r="E114" s="98" t="s">
        <v>299</v>
      </c>
      <c r="F114" s="98" t="s">
        <v>1189</v>
      </c>
      <c r="G114" s="802" t="s">
        <v>1585</v>
      </c>
      <c r="H114" s="99" t="s">
        <v>864</v>
      </c>
      <c r="I114" s="99" t="s">
        <v>574</v>
      </c>
      <c r="J114" s="100" t="s">
        <v>1191</v>
      </c>
      <c r="K114" s="99"/>
      <c r="L114" s="99"/>
      <c r="M114" s="99"/>
      <c r="N114" s="99" t="s">
        <v>1080</v>
      </c>
      <c r="O114" s="99" t="s">
        <v>1052</v>
      </c>
      <c r="P114" s="99" t="s">
        <v>1053</v>
      </c>
      <c r="Q114" s="99"/>
      <c r="R114" s="99">
        <v>1</v>
      </c>
      <c r="S114" s="99"/>
      <c r="T114" s="99">
        <v>1</v>
      </c>
      <c r="U114" s="99" t="s">
        <v>1054</v>
      </c>
      <c r="V114" s="99" t="s">
        <v>1055</v>
      </c>
      <c r="W114" s="99">
        <v>2</v>
      </c>
      <c r="X114" s="98"/>
      <c r="Y114" s="102">
        <v>2020</v>
      </c>
      <c r="Z114" s="98" t="s">
        <v>1064</v>
      </c>
      <c r="AA114" s="98">
        <v>16</v>
      </c>
      <c r="AB114" s="85" t="str">
        <f>VLOOKUP(E114,Source!F:F,1,FALSE)</f>
        <v>UMass Amherst</v>
      </c>
      <c r="AC114" s="88"/>
      <c r="AD114" s="88"/>
      <c r="AE114" s="79"/>
      <c r="AF114" s="88"/>
    </row>
    <row r="115" spans="1:32" x14ac:dyDescent="0.2">
      <c r="A115" s="98" t="str">
        <f t="shared" si="12"/>
        <v>UMass Amherst17</v>
      </c>
      <c r="B115" s="98" t="s">
        <v>1046</v>
      </c>
      <c r="C115" s="98" t="s">
        <v>1046</v>
      </c>
      <c r="D115" s="98" t="s">
        <v>865</v>
      </c>
      <c r="E115" s="98" t="s">
        <v>299</v>
      </c>
      <c r="F115" s="98" t="s">
        <v>1189</v>
      </c>
      <c r="G115" s="802" t="s">
        <v>1585</v>
      </c>
      <c r="H115" s="99" t="s">
        <v>864</v>
      </c>
      <c r="I115" s="99" t="s">
        <v>574</v>
      </c>
      <c r="J115" s="100" t="s">
        <v>1191</v>
      </c>
      <c r="K115" s="99"/>
      <c r="L115" s="99"/>
      <c r="M115" s="99"/>
      <c r="N115" s="99" t="s">
        <v>1080</v>
      </c>
      <c r="O115" s="99" t="s">
        <v>1052</v>
      </c>
      <c r="P115" s="99" t="s">
        <v>1053</v>
      </c>
      <c r="Q115" s="99"/>
      <c r="R115" s="99">
        <v>1</v>
      </c>
      <c r="S115" s="99"/>
      <c r="T115" s="99">
        <v>1</v>
      </c>
      <c r="U115" s="99" t="s">
        <v>1054</v>
      </c>
      <c r="V115" s="99" t="s">
        <v>1055</v>
      </c>
      <c r="W115" s="99">
        <v>2</v>
      </c>
      <c r="X115" s="98"/>
      <c r="Y115" s="102">
        <v>2020</v>
      </c>
      <c r="Z115" s="98" t="s">
        <v>1064</v>
      </c>
      <c r="AA115" s="98">
        <v>17</v>
      </c>
      <c r="AB115" s="85" t="str">
        <f>VLOOKUP(E115,Source!F:F,1,FALSE)</f>
        <v>UMass Amherst</v>
      </c>
      <c r="AC115" s="88"/>
      <c r="AD115" s="88"/>
      <c r="AE115" s="79"/>
      <c r="AF115" s="88"/>
    </row>
    <row r="116" spans="1:32" x14ac:dyDescent="0.2">
      <c r="A116" s="98" t="str">
        <f t="shared" si="12"/>
        <v>UMass Amherst18</v>
      </c>
      <c r="B116" s="98" t="s">
        <v>1046</v>
      </c>
      <c r="C116" s="98" t="s">
        <v>1046</v>
      </c>
      <c r="D116" s="98" t="s">
        <v>865</v>
      </c>
      <c r="E116" s="98" t="s">
        <v>299</v>
      </c>
      <c r="F116" s="98" t="s">
        <v>1189</v>
      </c>
      <c r="G116" s="802" t="s">
        <v>1585</v>
      </c>
      <c r="H116" s="99" t="s">
        <v>864</v>
      </c>
      <c r="I116" s="99" t="s">
        <v>574</v>
      </c>
      <c r="J116" s="100" t="s">
        <v>1191</v>
      </c>
      <c r="K116" s="99"/>
      <c r="L116" s="99"/>
      <c r="M116" s="99"/>
      <c r="N116" s="99" t="s">
        <v>1080</v>
      </c>
      <c r="O116" s="99" t="s">
        <v>1052</v>
      </c>
      <c r="P116" s="99" t="s">
        <v>1053</v>
      </c>
      <c r="Q116" s="99"/>
      <c r="R116" s="99">
        <v>1</v>
      </c>
      <c r="S116" s="99"/>
      <c r="T116" s="99">
        <v>1</v>
      </c>
      <c r="U116" s="99" t="s">
        <v>1054</v>
      </c>
      <c r="V116" s="99" t="s">
        <v>1055</v>
      </c>
      <c r="W116" s="99">
        <v>2</v>
      </c>
      <c r="X116" s="98"/>
      <c r="Y116" s="102">
        <v>2020</v>
      </c>
      <c r="Z116" s="98" t="s">
        <v>1064</v>
      </c>
      <c r="AA116" s="98">
        <v>18</v>
      </c>
      <c r="AB116" s="85" t="str">
        <f>VLOOKUP(E116,Source!F:F,1,FALSE)</f>
        <v>UMass Amherst</v>
      </c>
      <c r="AC116" s="88"/>
      <c r="AD116" s="88"/>
      <c r="AE116" s="79"/>
      <c r="AF116" s="88"/>
    </row>
    <row r="117" spans="1:32" x14ac:dyDescent="0.2">
      <c r="A117" s="98" t="str">
        <f t="shared" ref="A117:A119" si="13">E117&amp;AA117</f>
        <v>UMass Amherst19</v>
      </c>
      <c r="B117" s="98" t="s">
        <v>1046</v>
      </c>
      <c r="C117" s="98" t="s">
        <v>1046</v>
      </c>
      <c r="D117" s="98" t="s">
        <v>865</v>
      </c>
      <c r="E117" s="98" t="s">
        <v>299</v>
      </c>
      <c r="F117" s="98" t="s">
        <v>1589</v>
      </c>
      <c r="G117" s="802" t="s">
        <v>1587</v>
      </c>
      <c r="H117" s="99" t="s">
        <v>1361</v>
      </c>
      <c r="I117" s="99" t="s">
        <v>574</v>
      </c>
      <c r="J117" s="100"/>
      <c r="K117" s="99"/>
      <c r="L117" s="99"/>
      <c r="M117" s="99"/>
      <c r="N117" s="99" t="s">
        <v>1080</v>
      </c>
      <c r="O117" s="99" t="s">
        <v>1052</v>
      </c>
      <c r="P117" s="99" t="s">
        <v>1053</v>
      </c>
      <c r="Q117" s="99"/>
      <c r="R117" s="99">
        <v>1</v>
      </c>
      <c r="S117" s="99"/>
      <c r="T117" s="99">
        <v>1</v>
      </c>
      <c r="U117" s="99" t="s">
        <v>1054</v>
      </c>
      <c r="V117" s="99" t="s">
        <v>1055</v>
      </c>
      <c r="W117" s="99">
        <v>2</v>
      </c>
      <c r="X117" s="98"/>
      <c r="Y117" s="102">
        <v>2021</v>
      </c>
      <c r="Z117" s="98" t="s">
        <v>1064</v>
      </c>
      <c r="AA117" s="98">
        <v>19</v>
      </c>
      <c r="AB117" s="85" t="str">
        <f>VLOOKUP(E117,Source!F:F,1,FALSE)</f>
        <v>UMass Amherst</v>
      </c>
      <c r="AC117" s="88"/>
      <c r="AD117" s="88"/>
      <c r="AE117" s="79"/>
      <c r="AF117" s="88"/>
    </row>
    <row r="118" spans="1:32" x14ac:dyDescent="0.2">
      <c r="A118" s="98" t="str">
        <f t="shared" si="13"/>
        <v>UMass Amherst20</v>
      </c>
      <c r="B118" s="98" t="s">
        <v>1046</v>
      </c>
      <c r="C118" s="98" t="s">
        <v>1046</v>
      </c>
      <c r="D118" s="98" t="s">
        <v>865</v>
      </c>
      <c r="E118" s="98" t="s">
        <v>299</v>
      </c>
      <c r="F118" s="98" t="s">
        <v>1589</v>
      </c>
      <c r="G118" s="802" t="s">
        <v>1587</v>
      </c>
      <c r="H118" s="99" t="s">
        <v>1361</v>
      </c>
      <c r="I118" s="99" t="s">
        <v>574</v>
      </c>
      <c r="J118" s="100"/>
      <c r="K118" s="99"/>
      <c r="L118" s="99"/>
      <c r="M118" s="99"/>
      <c r="N118" s="99" t="s">
        <v>1080</v>
      </c>
      <c r="O118" s="99" t="s">
        <v>1052</v>
      </c>
      <c r="P118" s="99" t="s">
        <v>1053</v>
      </c>
      <c r="Q118" s="99"/>
      <c r="R118" s="99">
        <v>1</v>
      </c>
      <c r="S118" s="99"/>
      <c r="T118" s="99">
        <v>1</v>
      </c>
      <c r="U118" s="99" t="s">
        <v>1054</v>
      </c>
      <c r="V118" s="99" t="s">
        <v>1055</v>
      </c>
      <c r="W118" s="99">
        <v>2</v>
      </c>
      <c r="X118" s="98"/>
      <c r="Y118" s="102">
        <v>2021</v>
      </c>
      <c r="Z118" s="98" t="s">
        <v>1064</v>
      </c>
      <c r="AA118" s="98">
        <v>20</v>
      </c>
      <c r="AB118" s="85" t="str">
        <f>VLOOKUP(E118,Source!F:F,1,FALSE)</f>
        <v>UMass Amherst</v>
      </c>
      <c r="AC118" s="88"/>
      <c r="AD118" s="88"/>
      <c r="AE118" s="79"/>
      <c r="AF118" s="88"/>
    </row>
    <row r="119" spans="1:32" x14ac:dyDescent="0.2">
      <c r="A119" s="98" t="str">
        <f t="shared" si="13"/>
        <v>UMass Amherst21</v>
      </c>
      <c r="B119" s="98" t="s">
        <v>1046</v>
      </c>
      <c r="C119" s="98" t="s">
        <v>1046</v>
      </c>
      <c r="D119" s="98" t="s">
        <v>865</v>
      </c>
      <c r="E119" s="98" t="s">
        <v>299</v>
      </c>
      <c r="F119" s="98" t="s">
        <v>1589</v>
      </c>
      <c r="G119" s="802" t="s">
        <v>1588</v>
      </c>
      <c r="H119" s="99" t="s">
        <v>1361</v>
      </c>
      <c r="I119" s="99" t="s">
        <v>574</v>
      </c>
      <c r="J119" s="100"/>
      <c r="K119" s="99"/>
      <c r="L119" s="99"/>
      <c r="M119" s="99"/>
      <c r="N119" s="99" t="s">
        <v>1080</v>
      </c>
      <c r="O119" s="99" t="s">
        <v>1052</v>
      </c>
      <c r="P119" s="99" t="s">
        <v>1053</v>
      </c>
      <c r="Q119" s="99"/>
      <c r="R119" s="99">
        <v>1</v>
      </c>
      <c r="S119" s="99"/>
      <c r="T119" s="99">
        <v>1</v>
      </c>
      <c r="U119" s="99" t="s">
        <v>1054</v>
      </c>
      <c r="V119" s="99" t="s">
        <v>1055</v>
      </c>
      <c r="W119" s="99">
        <v>2</v>
      </c>
      <c r="X119" s="98"/>
      <c r="Y119" s="102">
        <v>2021</v>
      </c>
      <c r="Z119" s="98" t="s">
        <v>1064</v>
      </c>
      <c r="AA119" s="98">
        <v>21</v>
      </c>
      <c r="AB119" s="85" t="str">
        <f>VLOOKUP(E119,Source!F:F,1,FALSE)</f>
        <v>UMass Amherst</v>
      </c>
      <c r="AC119" s="88"/>
      <c r="AD119" s="88"/>
      <c r="AE119" s="79"/>
      <c r="AF119" s="88"/>
    </row>
    <row r="120" spans="1:32" x14ac:dyDescent="0.2">
      <c r="A120" s="98" t="str">
        <f t="shared" si="11"/>
        <v>UMass Dartmouth1</v>
      </c>
      <c r="B120" s="98" t="s">
        <v>1046</v>
      </c>
      <c r="C120" s="98" t="s">
        <v>1046</v>
      </c>
      <c r="D120" s="98" t="s">
        <v>865</v>
      </c>
      <c r="E120" s="98" t="s">
        <v>313</v>
      </c>
      <c r="F120" s="98" t="s">
        <v>1201</v>
      </c>
      <c r="G120" s="98" t="s">
        <v>1202</v>
      </c>
      <c r="H120" s="99" t="s">
        <v>879</v>
      </c>
      <c r="I120" s="99" t="s">
        <v>574</v>
      </c>
      <c r="J120" s="100" t="s">
        <v>1203</v>
      </c>
      <c r="K120" s="99"/>
      <c r="L120" s="99"/>
      <c r="M120" s="99"/>
      <c r="N120" s="99" t="s">
        <v>1080</v>
      </c>
      <c r="O120" s="99" t="s">
        <v>1052</v>
      </c>
      <c r="P120" s="99" t="s">
        <v>1053</v>
      </c>
      <c r="Q120" s="99"/>
      <c r="R120" s="104">
        <v>1</v>
      </c>
      <c r="S120" s="104"/>
      <c r="T120" s="99">
        <v>1</v>
      </c>
      <c r="U120" s="99" t="s">
        <v>1054</v>
      </c>
      <c r="V120" s="99" t="s">
        <v>1055</v>
      </c>
      <c r="W120" s="99">
        <v>2</v>
      </c>
      <c r="X120" s="98"/>
      <c r="Y120" s="102">
        <v>2016</v>
      </c>
      <c r="Z120" s="98" t="s">
        <v>1064</v>
      </c>
      <c r="AA120" s="98">
        <v>1</v>
      </c>
      <c r="AB120" s="85" t="str">
        <f>VLOOKUP(E120,Source!F:F,1,FALSE)</f>
        <v>UMass Dartmouth</v>
      </c>
      <c r="AC120" s="88"/>
      <c r="AD120" s="88"/>
      <c r="AE120" s="79"/>
      <c r="AF120" s="88"/>
    </row>
    <row r="121" spans="1:32" x14ac:dyDescent="0.2">
      <c r="A121" s="98" t="str">
        <f t="shared" si="11"/>
        <v>UMass Dartmouth2</v>
      </c>
      <c r="B121" s="98" t="s">
        <v>1046</v>
      </c>
      <c r="C121" s="98" t="s">
        <v>1046</v>
      </c>
      <c r="D121" s="98" t="s">
        <v>865</v>
      </c>
      <c r="E121" s="98" t="s">
        <v>313</v>
      </c>
      <c r="F121" s="98" t="s">
        <v>1201</v>
      </c>
      <c r="G121" s="98" t="s">
        <v>1204</v>
      </c>
      <c r="H121" s="99" t="s">
        <v>1205</v>
      </c>
      <c r="I121" s="99" t="s">
        <v>574</v>
      </c>
      <c r="J121" s="100"/>
      <c r="K121" s="99"/>
      <c r="L121" s="99"/>
      <c r="M121" s="99"/>
      <c r="N121" s="99" t="s">
        <v>1080</v>
      </c>
      <c r="O121" s="99" t="s">
        <v>1052</v>
      </c>
      <c r="P121" s="99" t="s">
        <v>1053</v>
      </c>
      <c r="Q121" s="99"/>
      <c r="R121" s="104">
        <v>1</v>
      </c>
      <c r="S121" s="104"/>
      <c r="T121" s="99">
        <v>1</v>
      </c>
      <c r="U121" s="99" t="s">
        <v>1054</v>
      </c>
      <c r="V121" s="99" t="s">
        <v>1055</v>
      </c>
      <c r="W121" s="99">
        <v>2</v>
      </c>
      <c r="X121" s="98"/>
      <c r="Y121" s="102">
        <v>2017</v>
      </c>
      <c r="Z121" s="98"/>
      <c r="AA121" s="98">
        <v>2</v>
      </c>
      <c r="AB121" s="85" t="str">
        <f>VLOOKUP(E121,Source!F:F,1,FALSE)</f>
        <v>UMass Dartmouth</v>
      </c>
      <c r="AC121" s="88"/>
      <c r="AD121" s="88"/>
      <c r="AE121" s="79"/>
      <c r="AF121" s="88"/>
    </row>
    <row r="122" spans="1:32" x14ac:dyDescent="0.2">
      <c r="A122" s="98" t="str">
        <f t="shared" si="11"/>
        <v>UMass Dartmouth3</v>
      </c>
      <c r="B122" s="98" t="s">
        <v>1046</v>
      </c>
      <c r="C122" s="98" t="s">
        <v>1046</v>
      </c>
      <c r="D122" s="98" t="s">
        <v>865</v>
      </c>
      <c r="E122" s="98" t="s">
        <v>313</v>
      </c>
      <c r="F122" s="98" t="s">
        <v>1201</v>
      </c>
      <c r="G122" s="98" t="s">
        <v>1204</v>
      </c>
      <c r="H122" s="99" t="s">
        <v>1205</v>
      </c>
      <c r="I122" s="99" t="s">
        <v>574</v>
      </c>
      <c r="J122" s="100"/>
      <c r="K122" s="99"/>
      <c r="L122" s="99"/>
      <c r="M122" s="99"/>
      <c r="N122" s="99" t="s">
        <v>1080</v>
      </c>
      <c r="O122" s="99" t="s">
        <v>1052</v>
      </c>
      <c r="P122" s="99" t="s">
        <v>1053</v>
      </c>
      <c r="Q122" s="99"/>
      <c r="R122" s="104">
        <v>1</v>
      </c>
      <c r="S122" s="104"/>
      <c r="T122" s="99">
        <v>1</v>
      </c>
      <c r="U122" s="99" t="s">
        <v>1054</v>
      </c>
      <c r="V122" s="99" t="s">
        <v>1055</v>
      </c>
      <c r="W122" s="99">
        <v>2</v>
      </c>
      <c r="X122" s="98"/>
      <c r="Y122" s="102">
        <v>2017</v>
      </c>
      <c r="Z122" s="98"/>
      <c r="AA122" s="98">
        <v>3</v>
      </c>
      <c r="AB122" s="85" t="str">
        <f>VLOOKUP(E122,Source!F:F,1,FALSE)</f>
        <v>UMass Dartmouth</v>
      </c>
      <c r="AC122" s="88"/>
      <c r="AD122" s="88"/>
      <c r="AE122" s="79"/>
      <c r="AF122" s="88"/>
    </row>
    <row r="123" spans="1:32" x14ac:dyDescent="0.2">
      <c r="A123" s="98" t="str">
        <f t="shared" si="11"/>
        <v>UMass Dartmouth4</v>
      </c>
      <c r="B123" s="98" t="s">
        <v>1046</v>
      </c>
      <c r="C123" s="98" t="s">
        <v>1046</v>
      </c>
      <c r="D123" s="98" t="s">
        <v>865</v>
      </c>
      <c r="E123" s="98" t="s">
        <v>313</v>
      </c>
      <c r="F123" s="98" t="s">
        <v>1201</v>
      </c>
      <c r="G123" s="98" t="s">
        <v>1204</v>
      </c>
      <c r="H123" s="99" t="s">
        <v>1205</v>
      </c>
      <c r="I123" s="99" t="s">
        <v>574</v>
      </c>
      <c r="J123" s="100"/>
      <c r="K123" s="99"/>
      <c r="L123" s="99"/>
      <c r="M123" s="99"/>
      <c r="N123" s="99" t="s">
        <v>1080</v>
      </c>
      <c r="O123" s="99" t="s">
        <v>1052</v>
      </c>
      <c r="P123" s="99" t="s">
        <v>1053</v>
      </c>
      <c r="Q123" s="99"/>
      <c r="R123" s="104">
        <v>1</v>
      </c>
      <c r="S123" s="104"/>
      <c r="T123" s="99">
        <v>1</v>
      </c>
      <c r="U123" s="99" t="s">
        <v>1054</v>
      </c>
      <c r="V123" s="99" t="s">
        <v>1055</v>
      </c>
      <c r="W123" s="99">
        <v>2</v>
      </c>
      <c r="X123" s="98"/>
      <c r="Y123" s="102">
        <v>2017</v>
      </c>
      <c r="Z123" s="98"/>
      <c r="AA123" s="98">
        <v>4</v>
      </c>
      <c r="AB123" s="85" t="str">
        <f>VLOOKUP(E123,Source!F:F,1,FALSE)</f>
        <v>UMass Dartmouth</v>
      </c>
      <c r="AC123" s="88"/>
      <c r="AD123" s="88"/>
      <c r="AE123" s="79"/>
      <c r="AF123" s="88"/>
    </row>
    <row r="124" spans="1:32" x14ac:dyDescent="0.2">
      <c r="A124" s="98" t="str">
        <f t="shared" si="11"/>
        <v>UMass Lowell1</v>
      </c>
      <c r="B124" s="98" t="s">
        <v>1046</v>
      </c>
      <c r="C124" s="98" t="s">
        <v>1046</v>
      </c>
      <c r="D124" s="98" t="s">
        <v>865</v>
      </c>
      <c r="E124" s="98" t="s">
        <v>326</v>
      </c>
      <c r="F124" s="98" t="s">
        <v>1206</v>
      </c>
      <c r="G124" s="98" t="s">
        <v>1207</v>
      </c>
      <c r="H124" s="99" t="s">
        <v>892</v>
      </c>
      <c r="I124" s="99" t="s">
        <v>574</v>
      </c>
      <c r="J124" s="100" t="s">
        <v>1208</v>
      </c>
      <c r="K124" s="99"/>
      <c r="L124" s="99" t="s">
        <v>1076</v>
      </c>
      <c r="M124" s="99"/>
      <c r="N124" s="99" t="s">
        <v>1059</v>
      </c>
      <c r="O124" s="99" t="s">
        <v>1052</v>
      </c>
      <c r="P124" s="99" t="s">
        <v>1053</v>
      </c>
      <c r="Q124" s="99"/>
      <c r="R124" s="99">
        <v>1</v>
      </c>
      <c r="S124" s="99"/>
      <c r="T124" s="99">
        <v>1</v>
      </c>
      <c r="U124" s="99" t="s">
        <v>1054</v>
      </c>
      <c r="V124" s="99" t="s">
        <v>1055</v>
      </c>
      <c r="W124" s="99">
        <v>2</v>
      </c>
      <c r="X124" s="98">
        <v>65004</v>
      </c>
      <c r="Y124" s="102">
        <v>2015</v>
      </c>
      <c r="Z124" s="98" t="s">
        <v>1064</v>
      </c>
      <c r="AA124" s="98">
        <v>1</v>
      </c>
      <c r="AB124" s="85" t="str">
        <f>VLOOKUP(E124,Source!F:F,1,FALSE)</f>
        <v>UMass Lowell</v>
      </c>
      <c r="AC124" s="88"/>
      <c r="AD124" s="88"/>
      <c r="AE124" s="79"/>
      <c r="AF124" s="88"/>
    </row>
    <row r="125" spans="1:32" x14ac:dyDescent="0.2">
      <c r="A125" s="98" t="str">
        <f t="shared" si="11"/>
        <v>UMass Lowell2</v>
      </c>
      <c r="B125" s="98" t="s">
        <v>1046</v>
      </c>
      <c r="C125" s="98" t="s">
        <v>1046</v>
      </c>
      <c r="D125" s="98" t="s">
        <v>865</v>
      </c>
      <c r="E125" s="98" t="s">
        <v>326</v>
      </c>
      <c r="F125" s="98" t="s">
        <v>1206</v>
      </c>
      <c r="G125" s="98" t="s">
        <v>1209</v>
      </c>
      <c r="H125" s="99" t="s">
        <v>892</v>
      </c>
      <c r="I125" s="99" t="s">
        <v>574</v>
      </c>
      <c r="J125" s="100" t="s">
        <v>1208</v>
      </c>
      <c r="K125" s="99"/>
      <c r="L125" s="99"/>
      <c r="M125" s="99"/>
      <c r="N125" s="99" t="s">
        <v>1059</v>
      </c>
      <c r="O125" s="99" t="s">
        <v>1052</v>
      </c>
      <c r="P125" s="99" t="s">
        <v>1053</v>
      </c>
      <c r="Q125" s="99"/>
      <c r="R125" s="99">
        <v>1</v>
      </c>
      <c r="S125" s="99"/>
      <c r="T125" s="99">
        <v>1</v>
      </c>
      <c r="U125" s="99" t="s">
        <v>1054</v>
      </c>
      <c r="V125" s="99" t="s">
        <v>1055</v>
      </c>
      <c r="W125" s="99">
        <v>2</v>
      </c>
      <c r="X125" s="98"/>
      <c r="Y125" s="102">
        <v>2016</v>
      </c>
      <c r="Z125" s="98" t="s">
        <v>1064</v>
      </c>
      <c r="AA125" s="98">
        <v>2</v>
      </c>
      <c r="AB125" s="85" t="str">
        <f>VLOOKUP(E125,Source!F:F,1,FALSE)</f>
        <v>UMass Lowell</v>
      </c>
      <c r="AC125" s="88"/>
      <c r="AD125" s="88"/>
      <c r="AE125" s="79"/>
      <c r="AF125" s="88"/>
    </row>
    <row r="126" spans="1:32" x14ac:dyDescent="0.2">
      <c r="A126" s="98" t="str">
        <f t="shared" si="11"/>
        <v>UMass Lowell3</v>
      </c>
      <c r="B126" s="98" t="s">
        <v>1046</v>
      </c>
      <c r="C126" s="98" t="s">
        <v>1046</v>
      </c>
      <c r="D126" s="98" t="s">
        <v>865</v>
      </c>
      <c r="E126" s="98" t="s">
        <v>326</v>
      </c>
      <c r="F126" s="98" t="s">
        <v>1206</v>
      </c>
      <c r="G126" s="98" t="s">
        <v>1210</v>
      </c>
      <c r="H126" s="99" t="s">
        <v>892</v>
      </c>
      <c r="I126" s="99" t="s">
        <v>574</v>
      </c>
      <c r="J126" s="100" t="s">
        <v>1208</v>
      </c>
      <c r="K126" s="99"/>
      <c r="L126" s="99"/>
      <c r="M126" s="99"/>
      <c r="N126" s="99" t="s">
        <v>1059</v>
      </c>
      <c r="O126" s="99" t="s">
        <v>1052</v>
      </c>
      <c r="P126" s="99" t="s">
        <v>1053</v>
      </c>
      <c r="Q126" s="99"/>
      <c r="R126" s="99">
        <v>1</v>
      </c>
      <c r="S126" s="99"/>
      <c r="T126" s="99">
        <v>1</v>
      </c>
      <c r="U126" s="99" t="s">
        <v>1054</v>
      </c>
      <c r="V126" s="99" t="s">
        <v>1055</v>
      </c>
      <c r="W126" s="99">
        <v>2</v>
      </c>
      <c r="X126" s="98"/>
      <c r="Y126" s="102">
        <v>2016</v>
      </c>
      <c r="Z126" s="98" t="s">
        <v>1064</v>
      </c>
      <c r="AA126" s="98">
        <v>3</v>
      </c>
      <c r="AB126" s="85" t="str">
        <f>VLOOKUP(E126,Source!F:F,1,FALSE)</f>
        <v>UMass Lowell</v>
      </c>
    </row>
    <row r="127" spans="1:32" x14ac:dyDescent="0.2">
      <c r="A127" s="98" t="str">
        <f t="shared" si="11"/>
        <v>UMass Lowell4</v>
      </c>
      <c r="B127" s="98" t="s">
        <v>1046</v>
      </c>
      <c r="C127" s="98" t="s">
        <v>1046</v>
      </c>
      <c r="D127" s="98" t="s">
        <v>865</v>
      </c>
      <c r="E127" s="98" t="s">
        <v>326</v>
      </c>
      <c r="F127" s="98" t="s">
        <v>1206</v>
      </c>
      <c r="G127" s="98" t="s">
        <v>1211</v>
      </c>
      <c r="H127" s="99" t="s">
        <v>892</v>
      </c>
      <c r="I127" s="99" t="s">
        <v>574</v>
      </c>
      <c r="J127" s="100" t="s">
        <v>1208</v>
      </c>
      <c r="K127" s="99">
        <v>1854</v>
      </c>
      <c r="L127" s="99"/>
      <c r="M127" s="99" t="s">
        <v>1158</v>
      </c>
      <c r="N127" s="99" t="s">
        <v>1059</v>
      </c>
      <c r="O127" s="99" t="s">
        <v>1052</v>
      </c>
      <c r="P127" s="99" t="s">
        <v>1053</v>
      </c>
      <c r="Q127" s="99"/>
      <c r="R127" s="104">
        <v>1</v>
      </c>
      <c r="S127" s="104"/>
      <c r="T127" s="99">
        <v>1</v>
      </c>
      <c r="U127" s="99" t="s">
        <v>1054</v>
      </c>
      <c r="V127" s="99" t="s">
        <v>1055</v>
      </c>
      <c r="W127" s="99">
        <v>2</v>
      </c>
      <c r="X127" s="98"/>
      <c r="Y127" s="102">
        <v>2015</v>
      </c>
      <c r="Z127" s="98" t="s">
        <v>1064</v>
      </c>
      <c r="AA127" s="98">
        <v>4</v>
      </c>
      <c r="AB127" s="85" t="str">
        <f>VLOOKUP(E127,Source!F:F,1,FALSE)</f>
        <v>UMass Lowell</v>
      </c>
    </row>
    <row r="128" spans="1:32" x14ac:dyDescent="0.2">
      <c r="A128" s="98" t="str">
        <f t="shared" si="11"/>
        <v>UMass Lowell5</v>
      </c>
      <c r="B128" s="98" t="s">
        <v>1046</v>
      </c>
      <c r="C128" s="98" t="s">
        <v>1046</v>
      </c>
      <c r="D128" s="98" t="s">
        <v>865</v>
      </c>
      <c r="E128" s="98" t="s">
        <v>326</v>
      </c>
      <c r="F128" s="98" t="s">
        <v>1206</v>
      </c>
      <c r="G128" s="98" t="s">
        <v>1211</v>
      </c>
      <c r="H128" s="99" t="s">
        <v>892</v>
      </c>
      <c r="I128" s="99" t="s">
        <v>574</v>
      </c>
      <c r="J128" s="100" t="s">
        <v>1208</v>
      </c>
      <c r="K128" s="99"/>
      <c r="L128" s="99"/>
      <c r="M128" s="99"/>
      <c r="N128" s="99" t="s">
        <v>1059</v>
      </c>
      <c r="O128" s="99" t="s">
        <v>1052</v>
      </c>
      <c r="P128" s="99" t="s">
        <v>1053</v>
      </c>
      <c r="Q128" s="99"/>
      <c r="R128" s="104">
        <v>1</v>
      </c>
      <c r="S128" s="104"/>
      <c r="T128" s="99">
        <v>1</v>
      </c>
      <c r="U128" s="99" t="s">
        <v>1054</v>
      </c>
      <c r="V128" s="99" t="s">
        <v>1055</v>
      </c>
      <c r="W128" s="99">
        <v>2</v>
      </c>
      <c r="X128" s="98"/>
      <c r="Y128" s="102">
        <v>2017</v>
      </c>
      <c r="Z128" s="98" t="s">
        <v>1064</v>
      </c>
      <c r="AA128" s="98">
        <v>5</v>
      </c>
      <c r="AB128" s="85" t="str">
        <f>VLOOKUP(E128,Source!F:F,1,FALSE)</f>
        <v>UMass Lowell</v>
      </c>
    </row>
    <row r="129" spans="1:28" x14ac:dyDescent="0.2">
      <c r="A129" s="98" t="str">
        <f t="shared" si="11"/>
        <v>UMass Lowell6</v>
      </c>
      <c r="B129" s="98" t="s">
        <v>1046</v>
      </c>
      <c r="C129" s="98" t="s">
        <v>1046</v>
      </c>
      <c r="D129" s="98" t="s">
        <v>865</v>
      </c>
      <c r="E129" s="98" t="s">
        <v>326</v>
      </c>
      <c r="F129" s="98" t="s">
        <v>1206</v>
      </c>
      <c r="G129" s="98" t="s">
        <v>1207</v>
      </c>
      <c r="H129" s="99" t="s">
        <v>892</v>
      </c>
      <c r="I129" s="99" t="s">
        <v>574</v>
      </c>
      <c r="J129" s="100" t="s">
        <v>1208</v>
      </c>
      <c r="K129" s="99"/>
      <c r="L129" s="99"/>
      <c r="M129" s="99"/>
      <c r="N129" s="99" t="s">
        <v>1059</v>
      </c>
      <c r="O129" s="99" t="s">
        <v>1052</v>
      </c>
      <c r="P129" s="99" t="s">
        <v>1053</v>
      </c>
      <c r="Q129" s="99"/>
      <c r="R129" s="104">
        <v>1</v>
      </c>
      <c r="S129" s="104"/>
      <c r="T129" s="99">
        <v>1</v>
      </c>
      <c r="U129" s="99" t="s">
        <v>1054</v>
      </c>
      <c r="V129" s="99" t="s">
        <v>1055</v>
      </c>
      <c r="W129" s="99">
        <v>2</v>
      </c>
      <c r="X129" s="98"/>
      <c r="Y129" s="102">
        <v>2017</v>
      </c>
      <c r="Z129" s="98" t="s">
        <v>1064</v>
      </c>
      <c r="AA129" s="98">
        <v>6</v>
      </c>
      <c r="AB129" s="85" t="str">
        <f>VLOOKUP(E129,Source!F:F,1,FALSE)</f>
        <v>UMass Lowell</v>
      </c>
    </row>
    <row r="130" spans="1:28" x14ac:dyDescent="0.2">
      <c r="A130" s="98" t="str">
        <f t="shared" si="11"/>
        <v>UMass Lowell7</v>
      </c>
      <c r="B130" s="98" t="s">
        <v>1046</v>
      </c>
      <c r="C130" s="98" t="s">
        <v>1046</v>
      </c>
      <c r="D130" s="98" t="s">
        <v>865</v>
      </c>
      <c r="E130" s="98" t="s">
        <v>326</v>
      </c>
      <c r="F130" s="98" t="s">
        <v>1206</v>
      </c>
      <c r="G130" s="98" t="s">
        <v>1212</v>
      </c>
      <c r="H130" s="99" t="s">
        <v>892</v>
      </c>
      <c r="I130" s="99" t="s">
        <v>574</v>
      </c>
      <c r="J130" s="100" t="s">
        <v>1208</v>
      </c>
      <c r="K130" s="99"/>
      <c r="L130" s="99"/>
      <c r="M130" s="99"/>
      <c r="N130" s="99" t="s">
        <v>1059</v>
      </c>
      <c r="O130" s="99" t="s">
        <v>1052</v>
      </c>
      <c r="P130" s="99" t="s">
        <v>1053</v>
      </c>
      <c r="Q130" s="99"/>
      <c r="R130" s="104">
        <v>1</v>
      </c>
      <c r="S130" s="104"/>
      <c r="T130" s="99">
        <v>1</v>
      </c>
      <c r="U130" s="99" t="s">
        <v>1054</v>
      </c>
      <c r="V130" s="99" t="s">
        <v>1055</v>
      </c>
      <c r="W130" s="99">
        <v>2</v>
      </c>
      <c r="X130" s="98"/>
      <c r="Y130" s="102">
        <v>2015</v>
      </c>
      <c r="Z130" s="98" t="s">
        <v>1064</v>
      </c>
      <c r="AA130" s="98">
        <v>7</v>
      </c>
      <c r="AB130" s="85" t="str">
        <f>VLOOKUP(E130,Source!F:F,1,FALSE)</f>
        <v>UMass Lowell</v>
      </c>
    </row>
    <row r="131" spans="1:28" x14ac:dyDescent="0.2">
      <c r="A131" s="98" t="str">
        <f t="shared" ref="A131" si="14">E131&amp;AA131</f>
        <v>UMass Lowell8</v>
      </c>
      <c r="B131" s="98" t="s">
        <v>1046</v>
      </c>
      <c r="C131" s="98" t="s">
        <v>1046</v>
      </c>
      <c r="D131" s="98" t="s">
        <v>865</v>
      </c>
      <c r="E131" s="98" t="s">
        <v>326</v>
      </c>
      <c r="F131" s="98" t="s">
        <v>1206</v>
      </c>
      <c r="G131" s="85" t="s">
        <v>1213</v>
      </c>
      <c r="H131" s="99" t="s">
        <v>892</v>
      </c>
      <c r="I131" s="99" t="s">
        <v>574</v>
      </c>
      <c r="J131" s="100" t="s">
        <v>1208</v>
      </c>
      <c r="K131" s="99"/>
      <c r="L131" s="99"/>
      <c r="M131" s="99"/>
      <c r="N131" s="99" t="s">
        <v>1059</v>
      </c>
      <c r="O131" s="99" t="s">
        <v>1052</v>
      </c>
      <c r="P131" s="99" t="s">
        <v>1053</v>
      </c>
      <c r="Q131" s="99"/>
      <c r="R131" s="104">
        <v>1</v>
      </c>
      <c r="S131" s="104"/>
      <c r="T131" s="99">
        <v>1</v>
      </c>
      <c r="U131" s="99" t="s">
        <v>1054</v>
      </c>
      <c r="V131" s="99" t="s">
        <v>1055</v>
      </c>
      <c r="W131" s="99">
        <v>2</v>
      </c>
      <c r="X131" s="98"/>
      <c r="Y131" s="102">
        <v>2019</v>
      </c>
      <c r="Z131" s="98" t="s">
        <v>1064</v>
      </c>
      <c r="AA131" s="98">
        <v>8</v>
      </c>
      <c r="AB131" s="85" t="str">
        <f>VLOOKUP(E131,Source!F:F,1,FALSE)</f>
        <v>UMass Lowell</v>
      </c>
    </row>
    <row r="132" spans="1:28" x14ac:dyDescent="0.2">
      <c r="A132" s="98" t="str">
        <f t="shared" ref="A132:A137" si="15">E132&amp;AA132</f>
        <v>UMass Lowell9</v>
      </c>
      <c r="B132" s="98" t="s">
        <v>1046</v>
      </c>
      <c r="C132" s="98" t="s">
        <v>1046</v>
      </c>
      <c r="D132" s="98" t="s">
        <v>865</v>
      </c>
      <c r="E132" s="98" t="s">
        <v>326</v>
      </c>
      <c r="F132" s="98" t="s">
        <v>1206</v>
      </c>
      <c r="G132" s="85" t="s">
        <v>1209</v>
      </c>
      <c r="H132" s="99" t="s">
        <v>892</v>
      </c>
      <c r="I132" s="99" t="s">
        <v>574</v>
      </c>
      <c r="J132" s="100" t="s">
        <v>1208</v>
      </c>
      <c r="K132" s="99"/>
      <c r="L132" s="99"/>
      <c r="M132" s="99"/>
      <c r="N132" s="99" t="s">
        <v>1059</v>
      </c>
      <c r="O132" s="99" t="s">
        <v>1052</v>
      </c>
      <c r="P132" s="99" t="s">
        <v>1053</v>
      </c>
      <c r="Q132" s="99"/>
      <c r="R132" s="104">
        <v>1</v>
      </c>
      <c r="S132" s="104"/>
      <c r="T132" s="99">
        <v>1</v>
      </c>
      <c r="U132" s="99" t="s">
        <v>1054</v>
      </c>
      <c r="V132" s="99" t="s">
        <v>1055</v>
      </c>
      <c r="W132" s="99">
        <v>2</v>
      </c>
      <c r="X132" s="98"/>
      <c r="Y132" s="102">
        <v>2020</v>
      </c>
      <c r="Z132" s="98" t="s">
        <v>1064</v>
      </c>
      <c r="AA132" s="98">
        <v>9</v>
      </c>
      <c r="AB132" s="85" t="str">
        <f>VLOOKUP(E132,Source!F:F,1,FALSE)</f>
        <v>UMass Lowell</v>
      </c>
    </row>
    <row r="133" spans="1:28" x14ac:dyDescent="0.2">
      <c r="A133" s="98" t="str">
        <f t="shared" si="15"/>
        <v>UMass Lowell10</v>
      </c>
      <c r="B133" s="98" t="s">
        <v>1046</v>
      </c>
      <c r="C133" s="98" t="s">
        <v>1046</v>
      </c>
      <c r="D133" s="98" t="s">
        <v>865</v>
      </c>
      <c r="E133" s="98" t="s">
        <v>326</v>
      </c>
      <c r="F133" s="98" t="s">
        <v>1206</v>
      </c>
      <c r="G133" s="85" t="s">
        <v>1207</v>
      </c>
      <c r="H133" s="99" t="s">
        <v>892</v>
      </c>
      <c r="I133" s="99" t="s">
        <v>574</v>
      </c>
      <c r="J133" s="100" t="s">
        <v>1208</v>
      </c>
      <c r="K133" s="99"/>
      <c r="L133" s="99"/>
      <c r="M133" s="99"/>
      <c r="N133" s="99" t="s">
        <v>1059</v>
      </c>
      <c r="O133" s="99" t="s">
        <v>1052</v>
      </c>
      <c r="P133" s="99" t="s">
        <v>1053</v>
      </c>
      <c r="Q133" s="99"/>
      <c r="R133" s="104">
        <v>1</v>
      </c>
      <c r="S133" s="104"/>
      <c r="T133" s="99">
        <v>1</v>
      </c>
      <c r="U133" s="99" t="s">
        <v>1054</v>
      </c>
      <c r="V133" s="99" t="s">
        <v>1055</v>
      </c>
      <c r="W133" s="99">
        <v>2</v>
      </c>
      <c r="X133" s="98"/>
      <c r="Y133" s="102">
        <v>2020</v>
      </c>
      <c r="Z133" s="98" t="s">
        <v>1064</v>
      </c>
      <c r="AA133" s="98">
        <v>10</v>
      </c>
      <c r="AB133" s="85" t="str">
        <f>VLOOKUP(E133,Source!F:F,1,FALSE)</f>
        <v>UMass Lowell</v>
      </c>
    </row>
    <row r="134" spans="1:28" x14ac:dyDescent="0.2">
      <c r="A134" s="98" t="str">
        <f t="shared" si="15"/>
        <v>UMass Lowell11</v>
      </c>
      <c r="B134" s="98" t="s">
        <v>1046</v>
      </c>
      <c r="C134" s="98" t="s">
        <v>1046</v>
      </c>
      <c r="D134" s="98" t="s">
        <v>865</v>
      </c>
      <c r="E134" s="98" t="s">
        <v>326</v>
      </c>
      <c r="F134" s="98" t="s">
        <v>1206</v>
      </c>
      <c r="G134" s="85" t="s">
        <v>1214</v>
      </c>
      <c r="H134" s="99" t="s">
        <v>892</v>
      </c>
      <c r="I134" s="99" t="s">
        <v>574</v>
      </c>
      <c r="J134" s="100" t="s">
        <v>1208</v>
      </c>
      <c r="K134" s="99"/>
      <c r="L134" s="99"/>
      <c r="M134" s="99"/>
      <c r="N134" s="99" t="s">
        <v>1059</v>
      </c>
      <c r="O134" s="99" t="s">
        <v>1052</v>
      </c>
      <c r="P134" s="99" t="s">
        <v>1053</v>
      </c>
      <c r="Q134" s="99"/>
      <c r="R134" s="104">
        <v>1</v>
      </c>
      <c r="S134" s="104"/>
      <c r="T134" s="99">
        <v>1</v>
      </c>
      <c r="U134" s="99" t="s">
        <v>1054</v>
      </c>
      <c r="V134" s="99" t="s">
        <v>1055</v>
      </c>
      <c r="W134" s="99">
        <v>2</v>
      </c>
      <c r="X134" s="98"/>
      <c r="Y134" s="102">
        <v>2020</v>
      </c>
      <c r="Z134" s="98" t="s">
        <v>1064</v>
      </c>
      <c r="AA134" s="98">
        <v>11</v>
      </c>
      <c r="AB134" s="85" t="str">
        <f>VLOOKUP(E134,Source!F:F,1,FALSE)</f>
        <v>UMass Lowell</v>
      </c>
    </row>
    <row r="135" spans="1:28" x14ac:dyDescent="0.2">
      <c r="A135" s="98" t="str">
        <f t="shared" si="15"/>
        <v>UMass Lowell12</v>
      </c>
      <c r="B135" s="98" t="s">
        <v>1046</v>
      </c>
      <c r="C135" s="98" t="s">
        <v>1046</v>
      </c>
      <c r="D135" s="98" t="s">
        <v>865</v>
      </c>
      <c r="E135" s="98" t="s">
        <v>326</v>
      </c>
      <c r="F135" s="98" t="s">
        <v>1206</v>
      </c>
      <c r="G135" s="85" t="s">
        <v>1214</v>
      </c>
      <c r="H135" s="99" t="s">
        <v>892</v>
      </c>
      <c r="I135" s="99" t="s">
        <v>574</v>
      </c>
      <c r="J135" s="100" t="s">
        <v>1208</v>
      </c>
      <c r="K135" s="99"/>
      <c r="L135" s="99"/>
      <c r="M135" s="99"/>
      <c r="N135" s="99" t="s">
        <v>1059</v>
      </c>
      <c r="O135" s="99" t="s">
        <v>1052</v>
      </c>
      <c r="P135" s="99" t="s">
        <v>1053</v>
      </c>
      <c r="Q135" s="99"/>
      <c r="R135" s="104">
        <v>1</v>
      </c>
      <c r="S135" s="104"/>
      <c r="T135" s="99">
        <v>1</v>
      </c>
      <c r="U135" s="99" t="s">
        <v>1054</v>
      </c>
      <c r="V135" s="99" t="s">
        <v>1055</v>
      </c>
      <c r="W135" s="99">
        <v>2</v>
      </c>
      <c r="X135" s="98"/>
      <c r="Y135" s="102">
        <v>2020</v>
      </c>
      <c r="Z135" s="98" t="s">
        <v>1064</v>
      </c>
      <c r="AA135" s="98">
        <v>12</v>
      </c>
      <c r="AB135" s="85" t="str">
        <f>VLOOKUP(E135,Source!F:F,1,FALSE)</f>
        <v>UMass Lowell</v>
      </c>
    </row>
    <row r="136" spans="1:28" x14ac:dyDescent="0.2">
      <c r="A136" s="98" t="str">
        <f t="shared" si="15"/>
        <v>UMass Lowell13</v>
      </c>
      <c r="B136" s="98" t="s">
        <v>1046</v>
      </c>
      <c r="C136" s="98" t="s">
        <v>1046</v>
      </c>
      <c r="D136" s="98" t="s">
        <v>865</v>
      </c>
      <c r="E136" s="98" t="s">
        <v>326</v>
      </c>
      <c r="F136" s="98" t="s">
        <v>1206</v>
      </c>
      <c r="G136" s="85" t="s">
        <v>1215</v>
      </c>
      <c r="H136" s="99" t="s">
        <v>892</v>
      </c>
      <c r="I136" s="99" t="s">
        <v>574</v>
      </c>
      <c r="J136" s="100" t="s">
        <v>1208</v>
      </c>
      <c r="K136" s="99"/>
      <c r="L136" s="99"/>
      <c r="M136" s="99"/>
      <c r="N136" s="99" t="s">
        <v>1059</v>
      </c>
      <c r="O136" s="99" t="s">
        <v>1052</v>
      </c>
      <c r="P136" s="99" t="s">
        <v>1053</v>
      </c>
      <c r="Q136" s="99"/>
      <c r="R136" s="104">
        <v>1</v>
      </c>
      <c r="S136" s="104"/>
      <c r="T136" s="99">
        <v>1</v>
      </c>
      <c r="U136" s="99" t="s">
        <v>1054</v>
      </c>
      <c r="V136" s="99" t="s">
        <v>1055</v>
      </c>
      <c r="W136" s="99">
        <v>2</v>
      </c>
      <c r="X136" s="98"/>
      <c r="Y136" s="102">
        <v>2020</v>
      </c>
      <c r="Z136" s="98" t="s">
        <v>1064</v>
      </c>
      <c r="AA136" s="98">
        <v>13</v>
      </c>
      <c r="AB136" s="85" t="str">
        <f>VLOOKUP(E136,Source!F:F,1,FALSE)</f>
        <v>UMass Lowell</v>
      </c>
    </row>
    <row r="137" spans="1:28" x14ac:dyDescent="0.2">
      <c r="A137" s="98" t="str">
        <f t="shared" si="15"/>
        <v>UMass Lowell14</v>
      </c>
      <c r="B137" s="98" t="s">
        <v>1046</v>
      </c>
      <c r="C137" s="98" t="s">
        <v>1046</v>
      </c>
      <c r="D137" s="98" t="s">
        <v>865</v>
      </c>
      <c r="E137" s="98" t="s">
        <v>326</v>
      </c>
      <c r="F137" s="98" t="s">
        <v>1206</v>
      </c>
      <c r="G137" s="85" t="s">
        <v>1215</v>
      </c>
      <c r="H137" s="99" t="s">
        <v>892</v>
      </c>
      <c r="I137" s="99" t="s">
        <v>574</v>
      </c>
      <c r="J137" s="100" t="s">
        <v>1208</v>
      </c>
      <c r="K137" s="99"/>
      <c r="L137" s="99"/>
      <c r="M137" s="99"/>
      <c r="N137" s="99" t="s">
        <v>1059</v>
      </c>
      <c r="O137" s="99" t="s">
        <v>1052</v>
      </c>
      <c r="P137" s="99" t="s">
        <v>1053</v>
      </c>
      <c r="Q137" s="99"/>
      <c r="R137" s="104">
        <v>1</v>
      </c>
      <c r="S137" s="104"/>
      <c r="T137" s="99">
        <v>1</v>
      </c>
      <c r="U137" s="99" t="s">
        <v>1054</v>
      </c>
      <c r="V137" s="99" t="s">
        <v>1055</v>
      </c>
      <c r="W137" s="99">
        <v>2</v>
      </c>
      <c r="X137" s="98"/>
      <c r="Y137" s="102">
        <v>2020</v>
      </c>
      <c r="Z137" s="98" t="s">
        <v>1064</v>
      </c>
      <c r="AA137" s="98">
        <v>14</v>
      </c>
      <c r="AB137" s="85" t="str">
        <f>VLOOKUP(E137,Source!F:F,1,FALSE)</f>
        <v>UMass Lowell</v>
      </c>
    </row>
    <row r="138" spans="1:28" x14ac:dyDescent="0.2">
      <c r="A138" s="98" t="str">
        <f t="shared" si="11"/>
        <v>UMass Medical1</v>
      </c>
      <c r="B138" s="98" t="s">
        <v>1046</v>
      </c>
      <c r="C138" s="98" t="s">
        <v>1046</v>
      </c>
      <c r="D138" s="98" t="s">
        <v>865</v>
      </c>
      <c r="E138" s="98" t="s">
        <v>335</v>
      </c>
      <c r="F138" s="98" t="s">
        <v>1216</v>
      </c>
      <c r="G138" s="98" t="s">
        <v>1601</v>
      </c>
      <c r="H138" s="99" t="s">
        <v>692</v>
      </c>
      <c r="I138" s="99" t="s">
        <v>574</v>
      </c>
      <c r="J138" s="100" t="s">
        <v>1217</v>
      </c>
      <c r="K138" s="99"/>
      <c r="L138" s="99"/>
      <c r="M138" s="99"/>
      <c r="N138" s="99" t="s">
        <v>1059</v>
      </c>
      <c r="O138" s="99" t="s">
        <v>1052</v>
      </c>
      <c r="P138" s="99" t="s">
        <v>1053</v>
      </c>
      <c r="Q138" s="99"/>
      <c r="R138" s="104">
        <v>1</v>
      </c>
      <c r="S138" s="104"/>
      <c r="T138" s="99">
        <v>1</v>
      </c>
      <c r="U138" s="99" t="s">
        <v>1054</v>
      </c>
      <c r="V138" s="99" t="s">
        <v>1055</v>
      </c>
      <c r="W138" s="99">
        <v>2</v>
      </c>
      <c r="X138" s="98"/>
      <c r="Y138" s="102">
        <v>2021</v>
      </c>
      <c r="Z138" s="98" t="s">
        <v>1064</v>
      </c>
      <c r="AA138" s="98">
        <v>1</v>
      </c>
      <c r="AB138" s="85" t="str">
        <f>VLOOKUP(E138,Source!F:F,1,FALSE)</f>
        <v>UMass Medical</v>
      </c>
    </row>
    <row r="139" spans="1:28" x14ac:dyDescent="0.2">
      <c r="A139" s="98" t="str">
        <f t="shared" si="11"/>
        <v>UMass Medical2</v>
      </c>
      <c r="B139" s="98" t="s">
        <v>1046</v>
      </c>
      <c r="C139" s="98" t="s">
        <v>1046</v>
      </c>
      <c r="D139" s="98" t="s">
        <v>865</v>
      </c>
      <c r="E139" s="98" t="s">
        <v>335</v>
      </c>
      <c r="F139" s="98" t="s">
        <v>1216</v>
      </c>
      <c r="G139" s="98" t="s">
        <v>1601</v>
      </c>
      <c r="H139" s="99" t="s">
        <v>692</v>
      </c>
      <c r="I139" s="99" t="s">
        <v>574</v>
      </c>
      <c r="J139" s="100" t="s">
        <v>1217</v>
      </c>
      <c r="K139" s="99"/>
      <c r="L139" s="99"/>
      <c r="M139" s="99"/>
      <c r="N139" s="99" t="s">
        <v>1059</v>
      </c>
      <c r="O139" s="99" t="s">
        <v>1052</v>
      </c>
      <c r="P139" s="99" t="s">
        <v>1053</v>
      </c>
      <c r="Q139" s="99"/>
      <c r="R139" s="104">
        <v>1</v>
      </c>
      <c r="S139" s="104"/>
      <c r="T139" s="99">
        <v>1</v>
      </c>
      <c r="U139" s="99" t="s">
        <v>1054</v>
      </c>
      <c r="V139" s="99" t="s">
        <v>1055</v>
      </c>
      <c r="W139" s="99">
        <v>2</v>
      </c>
      <c r="X139" s="98"/>
      <c r="Y139" s="102">
        <v>2021</v>
      </c>
      <c r="Z139" s="98" t="s">
        <v>1064</v>
      </c>
      <c r="AA139" s="98">
        <v>2</v>
      </c>
      <c r="AB139" s="85" t="str">
        <f>VLOOKUP(E139,Source!F:F,1,FALSE)</f>
        <v>UMass Medical</v>
      </c>
    </row>
    <row r="140" spans="1:28" x14ac:dyDescent="0.2">
      <c r="A140" s="98" t="str">
        <f t="shared" si="11"/>
        <v>UMass Medical3</v>
      </c>
      <c r="B140" s="98" t="s">
        <v>1046</v>
      </c>
      <c r="C140" s="98" t="s">
        <v>1046</v>
      </c>
      <c r="D140" s="98" t="s">
        <v>865</v>
      </c>
      <c r="E140" s="98" t="s">
        <v>335</v>
      </c>
      <c r="F140" s="98" t="s">
        <v>1216</v>
      </c>
      <c r="G140" s="98" t="s">
        <v>1601</v>
      </c>
      <c r="H140" s="99" t="s">
        <v>692</v>
      </c>
      <c r="I140" s="99" t="s">
        <v>574</v>
      </c>
      <c r="J140" s="100" t="s">
        <v>1217</v>
      </c>
      <c r="K140" s="99"/>
      <c r="L140" s="99"/>
      <c r="M140" s="99"/>
      <c r="N140" s="99" t="s">
        <v>1059</v>
      </c>
      <c r="O140" s="99" t="s">
        <v>1052</v>
      </c>
      <c r="P140" s="99" t="s">
        <v>1053</v>
      </c>
      <c r="Q140" s="99"/>
      <c r="R140" s="104">
        <v>1</v>
      </c>
      <c r="S140" s="99"/>
      <c r="T140" s="99">
        <v>1</v>
      </c>
      <c r="U140" s="99" t="s">
        <v>1054</v>
      </c>
      <c r="V140" s="99" t="s">
        <v>1055</v>
      </c>
      <c r="W140" s="99">
        <v>2</v>
      </c>
      <c r="X140" s="98"/>
      <c r="Y140" s="102">
        <v>2021</v>
      </c>
      <c r="Z140" s="98" t="s">
        <v>1064</v>
      </c>
      <c r="AA140" s="98">
        <v>3</v>
      </c>
      <c r="AB140" s="85" t="str">
        <f>VLOOKUP(E140,Source!F:F,1,FALSE)</f>
        <v>UMass Medical</v>
      </c>
    </row>
    <row r="141" spans="1:28" x14ac:dyDescent="0.2">
      <c r="A141" s="98" t="str">
        <f t="shared" si="11"/>
        <v>UMass Medical4</v>
      </c>
      <c r="B141" s="98" t="s">
        <v>1046</v>
      </c>
      <c r="C141" s="98" t="s">
        <v>1046</v>
      </c>
      <c r="D141" s="98" t="s">
        <v>865</v>
      </c>
      <c r="E141" s="98" t="s">
        <v>335</v>
      </c>
      <c r="F141" s="98" t="s">
        <v>1216</v>
      </c>
      <c r="G141" s="98" t="s">
        <v>1601</v>
      </c>
      <c r="H141" s="99" t="s">
        <v>692</v>
      </c>
      <c r="I141" s="99" t="s">
        <v>574</v>
      </c>
      <c r="J141" s="100" t="s">
        <v>1217</v>
      </c>
      <c r="K141" s="99"/>
      <c r="L141" s="99"/>
      <c r="M141" s="99"/>
      <c r="N141" s="99" t="s">
        <v>1059</v>
      </c>
      <c r="O141" s="99" t="s">
        <v>1052</v>
      </c>
      <c r="P141" s="99" t="s">
        <v>1053</v>
      </c>
      <c r="Q141" s="99"/>
      <c r="R141" s="104">
        <v>1</v>
      </c>
      <c r="S141" s="99"/>
      <c r="T141" s="99">
        <v>1</v>
      </c>
      <c r="U141" s="99" t="s">
        <v>1054</v>
      </c>
      <c r="V141" s="99" t="s">
        <v>1055</v>
      </c>
      <c r="W141" s="99">
        <v>2</v>
      </c>
      <c r="X141" s="98"/>
      <c r="Y141" s="102">
        <v>2021</v>
      </c>
      <c r="Z141" s="98" t="s">
        <v>1064</v>
      </c>
      <c r="AA141" s="98">
        <v>4</v>
      </c>
      <c r="AB141" s="85" t="str">
        <f>VLOOKUP(E141,Source!F:F,1,FALSE)</f>
        <v>UMass Medical</v>
      </c>
    </row>
    <row r="142" spans="1:28" x14ac:dyDescent="0.2">
      <c r="A142" s="98" t="str">
        <f t="shared" si="11"/>
        <v>UMass Medical5</v>
      </c>
      <c r="B142" s="98" t="s">
        <v>1046</v>
      </c>
      <c r="C142" s="98" t="s">
        <v>1046</v>
      </c>
      <c r="D142" s="98" t="s">
        <v>865</v>
      </c>
      <c r="E142" s="98" t="s">
        <v>335</v>
      </c>
      <c r="F142" s="98" t="s">
        <v>1216</v>
      </c>
      <c r="G142" s="98" t="s">
        <v>1601</v>
      </c>
      <c r="H142" s="99" t="s">
        <v>692</v>
      </c>
      <c r="I142" s="99" t="s">
        <v>574</v>
      </c>
      <c r="J142" s="100" t="s">
        <v>1217</v>
      </c>
      <c r="K142" s="99"/>
      <c r="L142" s="99"/>
      <c r="M142" s="99"/>
      <c r="N142" s="99" t="s">
        <v>1059</v>
      </c>
      <c r="O142" s="99" t="s">
        <v>1052</v>
      </c>
      <c r="P142" s="99" t="s">
        <v>1053</v>
      </c>
      <c r="Q142" s="99"/>
      <c r="R142" s="104">
        <v>1</v>
      </c>
      <c r="S142" s="99"/>
      <c r="T142" s="99">
        <v>1</v>
      </c>
      <c r="U142" s="99" t="s">
        <v>1054</v>
      </c>
      <c r="V142" s="99" t="s">
        <v>1055</v>
      </c>
      <c r="W142" s="99">
        <v>2</v>
      </c>
      <c r="X142" s="98"/>
      <c r="Y142" s="102">
        <v>2021</v>
      </c>
      <c r="Z142" s="98" t="s">
        <v>1064</v>
      </c>
      <c r="AA142" s="98">
        <v>5</v>
      </c>
      <c r="AB142" s="85" t="str">
        <f>VLOOKUP(E142,Source!F:F,1,FALSE)</f>
        <v>UMass Medical</v>
      </c>
    </row>
    <row r="143" spans="1:28" x14ac:dyDescent="0.2">
      <c r="A143" s="98" t="str">
        <f t="shared" si="11"/>
        <v>UMass Medical6</v>
      </c>
      <c r="B143" s="98" t="s">
        <v>1046</v>
      </c>
      <c r="C143" s="98" t="s">
        <v>1046</v>
      </c>
      <c r="D143" s="98" t="s">
        <v>865</v>
      </c>
      <c r="E143" s="98" t="s">
        <v>335</v>
      </c>
      <c r="F143" s="98" t="s">
        <v>1216</v>
      </c>
      <c r="G143" s="98" t="s">
        <v>1601</v>
      </c>
      <c r="H143" s="99" t="s">
        <v>692</v>
      </c>
      <c r="I143" s="99" t="s">
        <v>574</v>
      </c>
      <c r="J143" s="100" t="s">
        <v>1217</v>
      </c>
      <c r="K143" s="99"/>
      <c r="L143" s="99"/>
      <c r="M143" s="99"/>
      <c r="N143" s="99" t="s">
        <v>1059</v>
      </c>
      <c r="O143" s="99" t="s">
        <v>1052</v>
      </c>
      <c r="P143" s="99" t="s">
        <v>1053</v>
      </c>
      <c r="Q143" s="99"/>
      <c r="R143" s="104">
        <v>1</v>
      </c>
      <c r="S143" s="99"/>
      <c r="T143" s="99">
        <v>1</v>
      </c>
      <c r="U143" s="99" t="s">
        <v>1054</v>
      </c>
      <c r="V143" s="99" t="s">
        <v>1055</v>
      </c>
      <c r="W143" s="99">
        <v>2</v>
      </c>
      <c r="X143" s="98"/>
      <c r="Y143" s="102">
        <v>2021</v>
      </c>
      <c r="Z143" s="98" t="s">
        <v>1064</v>
      </c>
      <c r="AA143" s="98">
        <v>6</v>
      </c>
      <c r="AB143" s="85" t="str">
        <f>VLOOKUP(E143,Source!F:F,1,FALSE)</f>
        <v>UMass Medical</v>
      </c>
    </row>
    <row r="144" spans="1:28" x14ac:dyDescent="0.2">
      <c r="A144" s="98" t="str">
        <f t="shared" si="11"/>
        <v>UMass Medical7</v>
      </c>
      <c r="B144" s="98" t="s">
        <v>1046</v>
      </c>
      <c r="C144" s="98" t="s">
        <v>1046</v>
      </c>
      <c r="D144" s="98" t="s">
        <v>865</v>
      </c>
      <c r="E144" s="98" t="s">
        <v>335</v>
      </c>
      <c r="F144" s="98" t="s">
        <v>1216</v>
      </c>
      <c r="G144" s="98" t="s">
        <v>1601</v>
      </c>
      <c r="H144" s="99" t="s">
        <v>692</v>
      </c>
      <c r="I144" s="99" t="s">
        <v>574</v>
      </c>
      <c r="J144" s="100" t="s">
        <v>1217</v>
      </c>
      <c r="K144" s="99"/>
      <c r="L144" s="99"/>
      <c r="M144" s="99"/>
      <c r="N144" s="99" t="s">
        <v>1059</v>
      </c>
      <c r="O144" s="99" t="s">
        <v>1052</v>
      </c>
      <c r="P144" s="99" t="s">
        <v>1053</v>
      </c>
      <c r="Q144" s="99"/>
      <c r="R144" s="104">
        <v>1</v>
      </c>
      <c r="S144" s="99"/>
      <c r="T144" s="99">
        <v>1</v>
      </c>
      <c r="U144" s="99" t="s">
        <v>1054</v>
      </c>
      <c r="V144" s="99" t="s">
        <v>1055</v>
      </c>
      <c r="W144" s="99">
        <v>2</v>
      </c>
      <c r="X144" s="98"/>
      <c r="Y144" s="102">
        <v>2021</v>
      </c>
      <c r="Z144" s="98" t="s">
        <v>1064</v>
      </c>
      <c r="AA144" s="98">
        <v>7</v>
      </c>
      <c r="AB144" s="85" t="str">
        <f>VLOOKUP(E144,Source!F:F,1,FALSE)</f>
        <v>UMass Medical</v>
      </c>
    </row>
    <row r="145" spans="1:28" x14ac:dyDescent="0.2">
      <c r="A145" s="98" t="str">
        <f t="shared" si="11"/>
        <v>UMass Medical8</v>
      </c>
      <c r="B145" s="98" t="s">
        <v>1046</v>
      </c>
      <c r="C145" s="98" t="s">
        <v>1046</v>
      </c>
      <c r="D145" s="98" t="s">
        <v>865</v>
      </c>
      <c r="E145" s="98" t="s">
        <v>335</v>
      </c>
      <c r="F145" s="98" t="s">
        <v>1216</v>
      </c>
      <c r="G145" s="98" t="s">
        <v>1601</v>
      </c>
      <c r="H145" s="99" t="s">
        <v>692</v>
      </c>
      <c r="I145" s="99" t="s">
        <v>574</v>
      </c>
      <c r="J145" s="100" t="s">
        <v>1217</v>
      </c>
      <c r="K145" s="99"/>
      <c r="L145" s="99"/>
      <c r="M145" s="99"/>
      <c r="N145" s="99" t="s">
        <v>1059</v>
      </c>
      <c r="O145" s="99" t="s">
        <v>1052</v>
      </c>
      <c r="P145" s="99" t="s">
        <v>1053</v>
      </c>
      <c r="Q145" s="99"/>
      <c r="R145" s="104">
        <v>1</v>
      </c>
      <c r="S145" s="99"/>
      <c r="T145" s="99">
        <v>1</v>
      </c>
      <c r="U145" s="99" t="s">
        <v>1054</v>
      </c>
      <c r="V145" s="99" t="s">
        <v>1055</v>
      </c>
      <c r="W145" s="99">
        <v>2</v>
      </c>
      <c r="X145" s="98"/>
      <c r="Y145" s="102">
        <v>2021</v>
      </c>
      <c r="Z145" s="98" t="s">
        <v>1064</v>
      </c>
      <c r="AA145" s="98">
        <v>8</v>
      </c>
      <c r="AB145" s="85" t="str">
        <f>VLOOKUP(E145,Source!F:F,1,FALSE)</f>
        <v>UMass Medical</v>
      </c>
    </row>
    <row r="146" spans="1:28" x14ac:dyDescent="0.2">
      <c r="A146" s="98" t="str">
        <f t="shared" si="11"/>
        <v>UMass Medical9</v>
      </c>
      <c r="B146" s="98" t="s">
        <v>1046</v>
      </c>
      <c r="C146" s="98" t="s">
        <v>1046</v>
      </c>
      <c r="D146" s="98" t="s">
        <v>865</v>
      </c>
      <c r="E146" s="98" t="s">
        <v>335</v>
      </c>
      <c r="F146" s="98" t="s">
        <v>1216</v>
      </c>
      <c r="G146" s="98" t="s">
        <v>1601</v>
      </c>
      <c r="H146" s="99" t="s">
        <v>692</v>
      </c>
      <c r="I146" s="99" t="s">
        <v>574</v>
      </c>
      <c r="J146" s="100" t="s">
        <v>1217</v>
      </c>
      <c r="K146" s="99"/>
      <c r="L146" s="99"/>
      <c r="M146" s="99"/>
      <c r="N146" s="99" t="s">
        <v>1059</v>
      </c>
      <c r="O146" s="99" t="s">
        <v>1052</v>
      </c>
      <c r="P146" s="99" t="s">
        <v>1053</v>
      </c>
      <c r="Q146" s="99"/>
      <c r="R146" s="104">
        <v>1</v>
      </c>
      <c r="S146" s="99"/>
      <c r="T146" s="99">
        <v>1</v>
      </c>
      <c r="U146" s="99" t="s">
        <v>1054</v>
      </c>
      <c r="V146" s="99" t="s">
        <v>1055</v>
      </c>
      <c r="W146" s="99">
        <v>2</v>
      </c>
      <c r="X146" s="98"/>
      <c r="Y146" s="102">
        <v>2021</v>
      </c>
      <c r="Z146" s="98" t="s">
        <v>1064</v>
      </c>
      <c r="AA146" s="98">
        <v>9</v>
      </c>
      <c r="AB146" s="85" t="str">
        <f>VLOOKUP(E146,Source!F:F,1,FALSE)</f>
        <v>UMass Medical</v>
      </c>
    </row>
    <row r="147" spans="1:28" x14ac:dyDescent="0.2">
      <c r="A147" s="98" t="str">
        <f t="shared" si="11"/>
        <v>UMass Medical10</v>
      </c>
      <c r="B147" s="98" t="s">
        <v>1046</v>
      </c>
      <c r="C147" s="98" t="s">
        <v>1046</v>
      </c>
      <c r="D147" s="98" t="s">
        <v>865</v>
      </c>
      <c r="E147" s="98" t="s">
        <v>335</v>
      </c>
      <c r="F147" s="98" t="s">
        <v>1216</v>
      </c>
      <c r="G147" s="98" t="s">
        <v>1601</v>
      </c>
      <c r="H147" s="99" t="s">
        <v>692</v>
      </c>
      <c r="I147" s="99" t="s">
        <v>574</v>
      </c>
      <c r="J147" s="100" t="s">
        <v>1217</v>
      </c>
      <c r="K147" s="99"/>
      <c r="L147" s="99"/>
      <c r="M147" s="99"/>
      <c r="N147" s="99" t="s">
        <v>1059</v>
      </c>
      <c r="O147" s="99" t="s">
        <v>1052</v>
      </c>
      <c r="P147" s="99" t="s">
        <v>1053</v>
      </c>
      <c r="Q147" s="99"/>
      <c r="R147" s="104">
        <v>1</v>
      </c>
      <c r="S147" s="99"/>
      <c r="T147" s="99">
        <v>1</v>
      </c>
      <c r="U147" s="99" t="s">
        <v>1054</v>
      </c>
      <c r="V147" s="99" t="s">
        <v>1055</v>
      </c>
      <c r="W147" s="99">
        <v>2</v>
      </c>
      <c r="X147" s="98"/>
      <c r="Y147" s="102">
        <v>2021</v>
      </c>
      <c r="Z147" s="98" t="s">
        <v>1064</v>
      </c>
      <c r="AA147" s="98">
        <v>10</v>
      </c>
      <c r="AB147" s="85" t="str">
        <f>VLOOKUP(E147,Source!F:F,1,FALSE)</f>
        <v>UMass Medical</v>
      </c>
    </row>
    <row r="148" spans="1:28" x14ac:dyDescent="0.2">
      <c r="A148" s="98" t="str">
        <f t="shared" si="11"/>
        <v>UMass Medical11</v>
      </c>
      <c r="B148" s="106" t="s">
        <v>1046</v>
      </c>
      <c r="C148" s="106" t="s">
        <v>1046</v>
      </c>
      <c r="D148" s="106" t="s">
        <v>865</v>
      </c>
      <c r="E148" s="106" t="s">
        <v>335</v>
      </c>
      <c r="F148" s="106" t="s">
        <v>1216</v>
      </c>
      <c r="G148" s="98" t="s">
        <v>1601</v>
      </c>
      <c r="H148" s="107" t="s">
        <v>692</v>
      </c>
      <c r="I148" s="107" t="s">
        <v>574</v>
      </c>
      <c r="J148" s="108" t="s">
        <v>1217</v>
      </c>
      <c r="K148" s="107"/>
      <c r="L148" s="107"/>
      <c r="M148" s="107"/>
      <c r="N148" s="107" t="s">
        <v>1059</v>
      </c>
      <c r="O148" s="107" t="s">
        <v>1052</v>
      </c>
      <c r="P148" s="107" t="s">
        <v>1053</v>
      </c>
      <c r="Q148" s="107"/>
      <c r="R148" s="104">
        <v>1</v>
      </c>
      <c r="S148" s="107"/>
      <c r="T148" s="107">
        <v>1</v>
      </c>
      <c r="U148" s="99" t="s">
        <v>1054</v>
      </c>
      <c r="V148" s="99" t="s">
        <v>1055</v>
      </c>
      <c r="W148" s="99">
        <v>2</v>
      </c>
      <c r="X148" s="106"/>
      <c r="Y148" s="102">
        <v>2021</v>
      </c>
      <c r="Z148" s="98" t="s">
        <v>1064</v>
      </c>
      <c r="AA148" s="98">
        <v>11</v>
      </c>
      <c r="AB148" s="85" t="str">
        <f>VLOOKUP(E148,Source!F:F,1,FALSE)</f>
        <v>UMass Medical</v>
      </c>
    </row>
    <row r="149" spans="1:28" x14ac:dyDescent="0.2">
      <c r="A149" s="98" t="str">
        <f t="shared" si="11"/>
        <v>UMass Medical12</v>
      </c>
      <c r="B149" s="106" t="s">
        <v>1046</v>
      </c>
      <c r="C149" s="106" t="s">
        <v>1046</v>
      </c>
      <c r="D149" s="106" t="s">
        <v>865</v>
      </c>
      <c r="E149" s="106" t="s">
        <v>335</v>
      </c>
      <c r="F149" s="106" t="s">
        <v>1216</v>
      </c>
      <c r="G149" s="98" t="s">
        <v>1601</v>
      </c>
      <c r="H149" s="99" t="s">
        <v>692</v>
      </c>
      <c r="I149" s="107" t="s">
        <v>574</v>
      </c>
      <c r="J149" s="108" t="s">
        <v>1217</v>
      </c>
      <c r="K149" s="107"/>
      <c r="L149" s="107"/>
      <c r="M149" s="107"/>
      <c r="N149" s="107" t="s">
        <v>1059</v>
      </c>
      <c r="O149" s="107" t="s">
        <v>1052</v>
      </c>
      <c r="P149" s="107" t="s">
        <v>1053</v>
      </c>
      <c r="Q149" s="107"/>
      <c r="R149" s="104">
        <v>1</v>
      </c>
      <c r="S149" s="107"/>
      <c r="T149" s="107">
        <v>1</v>
      </c>
      <c r="U149" s="99" t="s">
        <v>1054</v>
      </c>
      <c r="V149" s="99" t="s">
        <v>1055</v>
      </c>
      <c r="W149" s="99">
        <v>2</v>
      </c>
      <c r="X149" s="106"/>
      <c r="Y149" s="102">
        <v>2021</v>
      </c>
      <c r="Z149" s="98" t="s">
        <v>1064</v>
      </c>
      <c r="AA149" s="98">
        <v>12</v>
      </c>
      <c r="AB149" s="85" t="str">
        <f>VLOOKUP(E149,Source!F:F,1,FALSE)</f>
        <v>UMass Medical</v>
      </c>
    </row>
    <row r="150" spans="1:28" x14ac:dyDescent="0.2">
      <c r="A150" s="98" t="str">
        <f t="shared" si="11"/>
        <v>UMass Medical13</v>
      </c>
      <c r="B150" s="106" t="s">
        <v>1046</v>
      </c>
      <c r="C150" s="106" t="s">
        <v>1046</v>
      </c>
      <c r="D150" s="106" t="s">
        <v>865</v>
      </c>
      <c r="E150" s="106" t="s">
        <v>335</v>
      </c>
      <c r="F150" s="106" t="s">
        <v>1216</v>
      </c>
      <c r="G150" s="98" t="s">
        <v>1601</v>
      </c>
      <c r="H150" s="99" t="s">
        <v>692</v>
      </c>
      <c r="I150" s="107" t="s">
        <v>574</v>
      </c>
      <c r="J150" s="108" t="s">
        <v>1217</v>
      </c>
      <c r="K150" s="107"/>
      <c r="L150" s="107"/>
      <c r="M150" s="107"/>
      <c r="N150" s="107" t="s">
        <v>1059</v>
      </c>
      <c r="O150" s="107" t="s">
        <v>1052</v>
      </c>
      <c r="P150" s="107" t="s">
        <v>1053</v>
      </c>
      <c r="Q150" s="107"/>
      <c r="R150" s="104">
        <v>1</v>
      </c>
      <c r="S150" s="107"/>
      <c r="T150" s="107">
        <v>1</v>
      </c>
      <c r="U150" s="99" t="s">
        <v>1054</v>
      </c>
      <c r="V150" s="99" t="s">
        <v>1055</v>
      </c>
      <c r="W150" s="99">
        <v>2</v>
      </c>
      <c r="X150" s="106"/>
      <c r="Y150" s="102">
        <v>2021</v>
      </c>
      <c r="Z150" s="98" t="s">
        <v>1064</v>
      </c>
      <c r="AA150" s="98">
        <v>13</v>
      </c>
      <c r="AB150" s="85" t="str">
        <f>VLOOKUP(E150,Source!F:F,1,FALSE)</f>
        <v>UMass Medical</v>
      </c>
    </row>
    <row r="151" spans="1:28" x14ac:dyDescent="0.2">
      <c r="A151" s="98" t="str">
        <f t="shared" si="11"/>
        <v>UMass Medical14</v>
      </c>
      <c r="B151" s="106" t="s">
        <v>1046</v>
      </c>
      <c r="C151" s="106" t="s">
        <v>1046</v>
      </c>
      <c r="D151" s="106" t="s">
        <v>865</v>
      </c>
      <c r="E151" s="106" t="s">
        <v>335</v>
      </c>
      <c r="F151" s="106" t="s">
        <v>1216</v>
      </c>
      <c r="G151" s="98" t="s">
        <v>1601</v>
      </c>
      <c r="H151" s="99" t="s">
        <v>692</v>
      </c>
      <c r="I151" s="107" t="s">
        <v>574</v>
      </c>
      <c r="J151" s="108" t="s">
        <v>1217</v>
      </c>
      <c r="K151" s="107"/>
      <c r="L151" s="107"/>
      <c r="M151" s="107"/>
      <c r="N151" s="107" t="s">
        <v>1059</v>
      </c>
      <c r="O151" s="107" t="s">
        <v>1052</v>
      </c>
      <c r="P151" s="107" t="s">
        <v>1053</v>
      </c>
      <c r="Q151" s="107"/>
      <c r="R151" s="104">
        <v>1</v>
      </c>
      <c r="S151" s="107"/>
      <c r="T151" s="107">
        <v>1</v>
      </c>
      <c r="U151" s="99" t="s">
        <v>1054</v>
      </c>
      <c r="V151" s="99" t="s">
        <v>1055</v>
      </c>
      <c r="W151" s="99">
        <v>2</v>
      </c>
      <c r="X151" s="106"/>
      <c r="Y151" s="102">
        <v>2021</v>
      </c>
      <c r="Z151" s="98" t="s">
        <v>1064</v>
      </c>
      <c r="AA151" s="98">
        <v>14</v>
      </c>
      <c r="AB151" s="85" t="str">
        <f>VLOOKUP(E151,Source!F:F,1,FALSE)</f>
        <v>UMass Medical</v>
      </c>
    </row>
    <row r="152" spans="1:28" x14ac:dyDescent="0.2">
      <c r="A152" s="98" t="str">
        <f t="shared" si="11"/>
        <v>UMass Medical15</v>
      </c>
      <c r="B152" s="106" t="s">
        <v>1046</v>
      </c>
      <c r="C152" s="106" t="s">
        <v>1046</v>
      </c>
      <c r="D152" s="106" t="s">
        <v>865</v>
      </c>
      <c r="E152" s="106" t="s">
        <v>335</v>
      </c>
      <c r="F152" s="106" t="s">
        <v>1216</v>
      </c>
      <c r="G152" s="98" t="s">
        <v>1601</v>
      </c>
      <c r="H152" s="99" t="s">
        <v>692</v>
      </c>
      <c r="I152" s="107" t="s">
        <v>574</v>
      </c>
      <c r="J152" s="108" t="s">
        <v>1217</v>
      </c>
      <c r="K152" s="107"/>
      <c r="L152" s="107"/>
      <c r="M152" s="107"/>
      <c r="N152" s="107" t="s">
        <v>1059</v>
      </c>
      <c r="O152" s="107" t="s">
        <v>1052</v>
      </c>
      <c r="P152" s="107" t="s">
        <v>1053</v>
      </c>
      <c r="Q152" s="107"/>
      <c r="R152" s="104">
        <v>1</v>
      </c>
      <c r="S152" s="107"/>
      <c r="T152" s="107">
        <v>1</v>
      </c>
      <c r="U152" s="99" t="s">
        <v>1054</v>
      </c>
      <c r="V152" s="99" t="s">
        <v>1055</v>
      </c>
      <c r="W152" s="99">
        <v>2</v>
      </c>
      <c r="X152" s="106"/>
      <c r="Y152" s="102">
        <v>2021</v>
      </c>
      <c r="Z152" s="98" t="s">
        <v>1064</v>
      </c>
      <c r="AA152" s="98">
        <v>15</v>
      </c>
      <c r="AB152" s="85" t="str">
        <f>VLOOKUP(E152,Source!F:F,1,FALSE)</f>
        <v>UMass Medical</v>
      </c>
    </row>
    <row r="153" spans="1:28" x14ac:dyDescent="0.2">
      <c r="A153" s="98" t="str">
        <f t="shared" si="11"/>
        <v>UMass Medical16</v>
      </c>
      <c r="B153" s="106" t="s">
        <v>1046</v>
      </c>
      <c r="C153" s="106" t="s">
        <v>1046</v>
      </c>
      <c r="D153" s="106" t="s">
        <v>865</v>
      </c>
      <c r="E153" s="106" t="s">
        <v>335</v>
      </c>
      <c r="F153" s="106" t="s">
        <v>1216</v>
      </c>
      <c r="G153" s="98" t="s">
        <v>1601</v>
      </c>
      <c r="H153" s="99" t="s">
        <v>692</v>
      </c>
      <c r="I153" s="107" t="s">
        <v>574</v>
      </c>
      <c r="J153" s="108" t="s">
        <v>1217</v>
      </c>
      <c r="K153" s="107"/>
      <c r="L153" s="107"/>
      <c r="M153" s="107"/>
      <c r="N153" s="107" t="s">
        <v>1059</v>
      </c>
      <c r="O153" s="107" t="s">
        <v>1052</v>
      </c>
      <c r="P153" s="107" t="s">
        <v>1053</v>
      </c>
      <c r="Q153" s="107"/>
      <c r="R153" s="104">
        <v>1</v>
      </c>
      <c r="S153" s="107"/>
      <c r="T153" s="107">
        <v>1</v>
      </c>
      <c r="U153" s="99" t="s">
        <v>1054</v>
      </c>
      <c r="V153" s="99" t="s">
        <v>1055</v>
      </c>
      <c r="W153" s="99">
        <v>2</v>
      </c>
      <c r="X153" s="106"/>
      <c r="Y153" s="102">
        <v>2021</v>
      </c>
      <c r="Z153" s="98" t="s">
        <v>1064</v>
      </c>
      <c r="AA153" s="98">
        <v>16</v>
      </c>
      <c r="AB153" s="85" t="str">
        <f>VLOOKUP(E153,Source!F:F,1,FALSE)</f>
        <v>UMass Medical</v>
      </c>
    </row>
    <row r="154" spans="1:28" x14ac:dyDescent="0.2">
      <c r="A154" s="98" t="str">
        <f t="shared" si="11"/>
        <v>UMass Medical17</v>
      </c>
      <c r="B154" s="106" t="s">
        <v>1046</v>
      </c>
      <c r="C154" s="106" t="s">
        <v>1046</v>
      </c>
      <c r="D154" s="106" t="s">
        <v>865</v>
      </c>
      <c r="E154" s="106" t="s">
        <v>335</v>
      </c>
      <c r="F154" s="106" t="s">
        <v>1216</v>
      </c>
      <c r="G154" s="98" t="s">
        <v>1601</v>
      </c>
      <c r="H154" s="99" t="s">
        <v>692</v>
      </c>
      <c r="I154" s="107" t="s">
        <v>574</v>
      </c>
      <c r="J154" s="108" t="s">
        <v>1217</v>
      </c>
      <c r="K154" s="107"/>
      <c r="L154" s="107"/>
      <c r="M154" s="107"/>
      <c r="N154" s="107" t="s">
        <v>1059</v>
      </c>
      <c r="O154" s="107" t="s">
        <v>1052</v>
      </c>
      <c r="P154" s="107" t="s">
        <v>1053</v>
      </c>
      <c r="Q154" s="107"/>
      <c r="R154" s="104">
        <v>1</v>
      </c>
      <c r="S154" s="107"/>
      <c r="T154" s="107">
        <v>1</v>
      </c>
      <c r="U154" s="99" t="s">
        <v>1054</v>
      </c>
      <c r="V154" s="99" t="s">
        <v>1055</v>
      </c>
      <c r="W154" s="99">
        <v>2</v>
      </c>
      <c r="X154" s="106"/>
      <c r="Y154" s="102">
        <v>2021</v>
      </c>
      <c r="Z154" s="98" t="s">
        <v>1064</v>
      </c>
      <c r="AA154" s="98">
        <v>17</v>
      </c>
      <c r="AB154" s="85" t="str">
        <f>VLOOKUP(E154,Source!F:F,1,FALSE)</f>
        <v>UMass Medical</v>
      </c>
    </row>
    <row r="155" spans="1:28" x14ac:dyDescent="0.2">
      <c r="A155" s="98" t="str">
        <f>E155&amp;AA155</f>
        <v>UMass Medical18</v>
      </c>
      <c r="B155" s="106" t="s">
        <v>1046</v>
      </c>
      <c r="C155" s="106" t="s">
        <v>1046</v>
      </c>
      <c r="D155" s="106" t="s">
        <v>865</v>
      </c>
      <c r="E155" s="106" t="s">
        <v>335</v>
      </c>
      <c r="F155" s="106" t="s">
        <v>1216</v>
      </c>
      <c r="G155" s="98" t="s">
        <v>1601</v>
      </c>
      <c r="H155" s="99" t="s">
        <v>692</v>
      </c>
      <c r="I155" s="107" t="s">
        <v>574</v>
      </c>
      <c r="J155" s="108" t="s">
        <v>1217</v>
      </c>
      <c r="K155" s="107"/>
      <c r="L155" s="107"/>
      <c r="M155" s="107"/>
      <c r="N155" s="107" t="s">
        <v>1059</v>
      </c>
      <c r="O155" s="107" t="s">
        <v>1052</v>
      </c>
      <c r="P155" s="107" t="s">
        <v>1053</v>
      </c>
      <c r="Q155" s="107"/>
      <c r="R155" s="104">
        <v>1</v>
      </c>
      <c r="S155" s="107"/>
      <c r="T155" s="107">
        <v>1</v>
      </c>
      <c r="U155" s="99" t="s">
        <v>1054</v>
      </c>
      <c r="V155" s="99" t="s">
        <v>1055</v>
      </c>
      <c r="W155" s="99">
        <v>2</v>
      </c>
      <c r="X155" s="106"/>
      <c r="Y155" s="102">
        <v>2021</v>
      </c>
      <c r="Z155" s="98" t="s">
        <v>1064</v>
      </c>
      <c r="AA155" s="98">
        <v>18</v>
      </c>
      <c r="AB155" s="85" t="str">
        <f>VLOOKUP(E155,Source!F:F,1,FALSE)</f>
        <v>UMass Medical</v>
      </c>
    </row>
    <row r="156" spans="1:28" x14ac:dyDescent="0.2">
      <c r="A156" s="98" t="str">
        <f t="shared" ref="A156:A159" si="16">E156&amp;AA156</f>
        <v>UMass Medical19</v>
      </c>
      <c r="B156" s="106" t="s">
        <v>1046</v>
      </c>
      <c r="C156" s="106" t="s">
        <v>1046</v>
      </c>
      <c r="D156" s="106" t="s">
        <v>865</v>
      </c>
      <c r="E156" s="106" t="s">
        <v>335</v>
      </c>
      <c r="F156" s="106" t="s">
        <v>1216</v>
      </c>
      <c r="G156" s="106" t="s">
        <v>1602</v>
      </c>
      <c r="H156" s="99" t="s">
        <v>692</v>
      </c>
      <c r="I156" s="107" t="s">
        <v>574</v>
      </c>
      <c r="J156" s="108" t="s">
        <v>1217</v>
      </c>
      <c r="K156" s="107"/>
      <c r="L156" s="107"/>
      <c r="M156" s="107"/>
      <c r="N156" s="107" t="s">
        <v>1059</v>
      </c>
      <c r="O156" s="107" t="s">
        <v>1052</v>
      </c>
      <c r="P156" s="107" t="s">
        <v>1603</v>
      </c>
      <c r="Q156" s="107"/>
      <c r="R156" s="104">
        <v>1</v>
      </c>
      <c r="S156" s="107"/>
      <c r="T156" s="107">
        <v>1</v>
      </c>
      <c r="U156" s="99" t="s">
        <v>1054</v>
      </c>
      <c r="V156" s="99" t="s">
        <v>1055</v>
      </c>
      <c r="W156" s="99">
        <v>2</v>
      </c>
      <c r="X156" s="106"/>
      <c r="Y156" s="102">
        <v>2021</v>
      </c>
      <c r="Z156" s="98" t="s">
        <v>1064</v>
      </c>
      <c r="AA156" s="98">
        <v>19</v>
      </c>
      <c r="AB156" s="85" t="str">
        <f>VLOOKUP(E156,Source!F:F,1,FALSE)</f>
        <v>UMass Medical</v>
      </c>
    </row>
    <row r="157" spans="1:28" x14ac:dyDescent="0.2">
      <c r="A157" s="98" t="str">
        <f t="shared" si="16"/>
        <v>UMass Medical20</v>
      </c>
      <c r="B157" s="106" t="s">
        <v>1046</v>
      </c>
      <c r="C157" s="106" t="s">
        <v>1046</v>
      </c>
      <c r="D157" s="106" t="s">
        <v>865</v>
      </c>
      <c r="E157" s="106" t="s">
        <v>335</v>
      </c>
      <c r="F157" s="106" t="s">
        <v>1216</v>
      </c>
      <c r="G157" s="106" t="s">
        <v>1602</v>
      </c>
      <c r="H157" s="99" t="s">
        <v>692</v>
      </c>
      <c r="I157" s="107" t="s">
        <v>574</v>
      </c>
      <c r="J157" s="108" t="s">
        <v>1217</v>
      </c>
      <c r="K157" s="107"/>
      <c r="L157" s="107"/>
      <c r="M157" s="107"/>
      <c r="N157" s="107" t="s">
        <v>1059</v>
      </c>
      <c r="O157" s="107" t="s">
        <v>1052</v>
      </c>
      <c r="P157" s="107" t="s">
        <v>1603</v>
      </c>
      <c r="Q157" s="107"/>
      <c r="R157" s="104">
        <v>1</v>
      </c>
      <c r="S157" s="107"/>
      <c r="T157" s="107">
        <v>1</v>
      </c>
      <c r="U157" s="99" t="s">
        <v>1054</v>
      </c>
      <c r="V157" s="99" t="s">
        <v>1055</v>
      </c>
      <c r="W157" s="99">
        <v>2</v>
      </c>
      <c r="X157" s="106"/>
      <c r="Y157" s="102">
        <v>2021</v>
      </c>
      <c r="Z157" s="98" t="s">
        <v>1064</v>
      </c>
      <c r="AA157" s="98">
        <v>20</v>
      </c>
      <c r="AB157" s="85" t="str">
        <f>VLOOKUP(E157,Source!F:F,1,FALSE)</f>
        <v>UMass Medical</v>
      </c>
    </row>
    <row r="158" spans="1:28" x14ac:dyDescent="0.2">
      <c r="A158" s="98" t="str">
        <f t="shared" si="16"/>
        <v>UMass Medical21</v>
      </c>
      <c r="B158" s="106" t="s">
        <v>1046</v>
      </c>
      <c r="C158" s="106" t="s">
        <v>1046</v>
      </c>
      <c r="D158" s="106" t="s">
        <v>865</v>
      </c>
      <c r="E158" s="106" t="s">
        <v>335</v>
      </c>
      <c r="F158" s="106" t="s">
        <v>1216</v>
      </c>
      <c r="G158" s="106" t="s">
        <v>1602</v>
      </c>
      <c r="H158" s="99" t="s">
        <v>692</v>
      </c>
      <c r="I158" s="107" t="s">
        <v>574</v>
      </c>
      <c r="J158" s="108" t="s">
        <v>1217</v>
      </c>
      <c r="K158" s="107"/>
      <c r="L158" s="107"/>
      <c r="M158" s="107"/>
      <c r="N158" s="107" t="s">
        <v>1059</v>
      </c>
      <c r="O158" s="107" t="s">
        <v>1052</v>
      </c>
      <c r="P158" s="107" t="s">
        <v>1603</v>
      </c>
      <c r="Q158" s="107"/>
      <c r="R158" s="104">
        <v>1</v>
      </c>
      <c r="S158" s="107"/>
      <c r="T158" s="107">
        <v>1</v>
      </c>
      <c r="U158" s="99" t="s">
        <v>1054</v>
      </c>
      <c r="V158" s="99" t="s">
        <v>1055</v>
      </c>
      <c r="W158" s="99">
        <v>2</v>
      </c>
      <c r="X158" s="106"/>
      <c r="Y158" s="102">
        <v>2021</v>
      </c>
      <c r="Z158" s="98" t="s">
        <v>1064</v>
      </c>
      <c r="AA158" s="98">
        <v>21</v>
      </c>
      <c r="AB158" s="85" t="str">
        <f>VLOOKUP(E158,Source!F:F,1,FALSE)</f>
        <v>UMass Medical</v>
      </c>
    </row>
    <row r="159" spans="1:28" x14ac:dyDescent="0.2">
      <c r="A159" s="98" t="str">
        <f t="shared" si="16"/>
        <v>UMass Medical22</v>
      </c>
      <c r="B159" s="106" t="s">
        <v>1046</v>
      </c>
      <c r="C159" s="106" t="s">
        <v>1046</v>
      </c>
      <c r="D159" s="106" t="s">
        <v>865</v>
      </c>
      <c r="E159" s="106" t="s">
        <v>335</v>
      </c>
      <c r="F159" s="106" t="s">
        <v>1216</v>
      </c>
      <c r="G159" s="106" t="s">
        <v>1602</v>
      </c>
      <c r="H159" s="99" t="s">
        <v>692</v>
      </c>
      <c r="I159" s="107" t="s">
        <v>574</v>
      </c>
      <c r="J159" s="108" t="s">
        <v>1217</v>
      </c>
      <c r="K159" s="107"/>
      <c r="L159" s="107"/>
      <c r="M159" s="107"/>
      <c r="N159" s="107" t="s">
        <v>1059</v>
      </c>
      <c r="O159" s="107" t="s">
        <v>1052</v>
      </c>
      <c r="P159" s="107" t="s">
        <v>1603</v>
      </c>
      <c r="Q159" s="107"/>
      <c r="R159" s="104">
        <v>1</v>
      </c>
      <c r="S159" s="107"/>
      <c r="T159" s="107">
        <v>1</v>
      </c>
      <c r="U159" s="99" t="s">
        <v>1054</v>
      </c>
      <c r="V159" s="99" t="s">
        <v>1055</v>
      </c>
      <c r="W159" s="99">
        <v>2</v>
      </c>
      <c r="X159" s="106"/>
      <c r="Y159" s="102">
        <v>2021</v>
      </c>
      <c r="Z159" s="98" t="s">
        <v>1064</v>
      </c>
      <c r="AA159" s="98">
        <v>22</v>
      </c>
      <c r="AB159" s="85" t="str">
        <f>VLOOKUP(E159,Source!F:F,1,FALSE)</f>
        <v>UMass Medical</v>
      </c>
    </row>
    <row r="160" spans="1:28" x14ac:dyDescent="0.2">
      <c r="A160" s="98" t="str">
        <f t="shared" ref="A160" si="17">E160&amp;AA160</f>
        <v>Worcester State University1</v>
      </c>
      <c r="B160" s="98" t="s">
        <v>1046</v>
      </c>
      <c r="C160" s="98" t="s">
        <v>1046</v>
      </c>
      <c r="D160" s="98" t="s">
        <v>575</v>
      </c>
      <c r="E160" s="98" t="s">
        <v>352</v>
      </c>
      <c r="F160" s="106" t="s">
        <v>1218</v>
      </c>
      <c r="G160" s="98" t="s">
        <v>1221</v>
      </c>
      <c r="H160" s="99" t="s">
        <v>692</v>
      </c>
      <c r="I160" s="99" t="s">
        <v>574</v>
      </c>
      <c r="J160" s="100" t="s">
        <v>1219</v>
      </c>
      <c r="K160" s="99"/>
      <c r="L160" s="99" t="s">
        <v>1076</v>
      </c>
      <c r="M160" s="99"/>
      <c r="N160" s="99" t="s">
        <v>1059</v>
      </c>
      <c r="O160" s="99" t="s">
        <v>1052</v>
      </c>
      <c r="P160" s="99" t="s">
        <v>1053</v>
      </c>
      <c r="Q160" s="107"/>
      <c r="R160" s="99">
        <v>1</v>
      </c>
      <c r="S160" s="99"/>
      <c r="T160" s="99">
        <v>1</v>
      </c>
      <c r="U160" s="99" t="s">
        <v>1054</v>
      </c>
      <c r="V160" s="99" t="s">
        <v>1055</v>
      </c>
      <c r="W160" s="99">
        <v>2</v>
      </c>
      <c r="X160" s="98">
        <v>68169</v>
      </c>
      <c r="Y160" s="103">
        <v>2015</v>
      </c>
      <c r="Z160" s="98" t="s">
        <v>1220</v>
      </c>
      <c r="AA160" s="98">
        <v>1</v>
      </c>
      <c r="AB160" s="85" t="str">
        <f>VLOOKUP(E161,Source!F:F,1,FALSE)</f>
        <v>Worcester State University</v>
      </c>
    </row>
    <row r="161" spans="1:28" x14ac:dyDescent="0.2">
      <c r="A161" s="98" t="str">
        <f t="shared" si="11"/>
        <v>Worcester State University2</v>
      </c>
      <c r="B161" s="98" t="s">
        <v>1046</v>
      </c>
      <c r="C161" s="98" t="s">
        <v>1046</v>
      </c>
      <c r="D161" s="98" t="s">
        <v>575</v>
      </c>
      <c r="E161" s="810" t="s">
        <v>352</v>
      </c>
      <c r="F161" s="812" t="s">
        <v>1218</v>
      </c>
      <c r="G161" s="811" t="s">
        <v>1221</v>
      </c>
      <c r="H161" s="99" t="s">
        <v>692</v>
      </c>
      <c r="I161" s="99" t="s">
        <v>574</v>
      </c>
      <c r="J161" s="100" t="s">
        <v>1222</v>
      </c>
      <c r="K161" s="99"/>
      <c r="L161" s="99" t="s">
        <v>1076</v>
      </c>
      <c r="M161" s="99"/>
      <c r="N161" s="99" t="s">
        <v>1059</v>
      </c>
      <c r="O161" s="99" t="s">
        <v>1052</v>
      </c>
      <c r="P161" s="813" t="s">
        <v>1053</v>
      </c>
      <c r="Q161" s="815"/>
      <c r="R161" s="814">
        <v>1</v>
      </c>
      <c r="S161" s="99"/>
      <c r="T161" s="99">
        <v>1</v>
      </c>
      <c r="U161" s="99" t="s">
        <v>1054</v>
      </c>
      <c r="V161" s="99" t="s">
        <v>1055</v>
      </c>
      <c r="W161" s="99">
        <v>2</v>
      </c>
      <c r="X161" s="98">
        <v>68169</v>
      </c>
      <c r="Y161" s="103">
        <v>2018</v>
      </c>
      <c r="Z161" s="98" t="s">
        <v>1064</v>
      </c>
      <c r="AA161" s="98">
        <v>2</v>
      </c>
      <c r="AB161" s="85" t="str">
        <f>VLOOKUP(E162,Source!F:F,1,FALSE)</f>
        <v>Worcester State University</v>
      </c>
    </row>
    <row r="162" spans="1:28" x14ac:dyDescent="0.2">
      <c r="A162" s="98" t="str">
        <f t="shared" si="11"/>
        <v>Worcester State University3</v>
      </c>
      <c r="B162" s="98" t="s">
        <v>1046</v>
      </c>
      <c r="C162" s="98" t="s">
        <v>1046</v>
      </c>
      <c r="D162" s="98" t="s">
        <v>575</v>
      </c>
      <c r="E162" s="810" t="s">
        <v>352</v>
      </c>
      <c r="F162" s="812" t="s">
        <v>1218</v>
      </c>
      <c r="G162" s="811" t="s">
        <v>1221</v>
      </c>
      <c r="H162" s="99" t="s">
        <v>692</v>
      </c>
      <c r="I162" s="99" t="s">
        <v>574</v>
      </c>
      <c r="J162" s="100" t="s">
        <v>1222</v>
      </c>
      <c r="K162" s="99"/>
      <c r="L162" s="99" t="s">
        <v>1076</v>
      </c>
      <c r="M162" s="99"/>
      <c r="N162" s="99" t="s">
        <v>1059</v>
      </c>
      <c r="O162" s="99" t="s">
        <v>1052</v>
      </c>
      <c r="P162" s="813" t="s">
        <v>1053</v>
      </c>
      <c r="Q162" s="816"/>
      <c r="R162" s="814">
        <v>1</v>
      </c>
      <c r="S162" s="99"/>
      <c r="T162" s="99">
        <v>1</v>
      </c>
      <c r="U162" s="99" t="s">
        <v>1054</v>
      </c>
      <c r="V162" s="99" t="s">
        <v>1055</v>
      </c>
      <c r="W162" s="99">
        <v>2</v>
      </c>
      <c r="Y162" s="817">
        <v>2020</v>
      </c>
      <c r="Z162" s="98" t="s">
        <v>1071</v>
      </c>
      <c r="AA162" s="98">
        <v>3</v>
      </c>
      <c r="AB162" s="85" t="str">
        <f>VLOOKUP(E163,Source!F:F,1,FALSE)</f>
        <v>Worcester State University</v>
      </c>
    </row>
    <row r="163" spans="1:28" x14ac:dyDescent="0.2">
      <c r="A163" s="98" t="str">
        <f t="shared" si="11"/>
        <v>Worcester State University4</v>
      </c>
      <c r="B163" s="98" t="s">
        <v>1046</v>
      </c>
      <c r="C163" s="98" t="s">
        <v>1046</v>
      </c>
      <c r="D163" s="98" t="s">
        <v>575</v>
      </c>
      <c r="E163" s="810" t="s">
        <v>352</v>
      </c>
      <c r="F163" s="812" t="s">
        <v>1218</v>
      </c>
      <c r="G163" s="811" t="s">
        <v>1221</v>
      </c>
      <c r="H163" s="99" t="s">
        <v>692</v>
      </c>
      <c r="I163" s="99" t="s">
        <v>574</v>
      </c>
      <c r="J163" s="100" t="s">
        <v>1222</v>
      </c>
      <c r="K163" s="99"/>
      <c r="L163" s="99" t="s">
        <v>1076</v>
      </c>
      <c r="M163" s="99"/>
      <c r="N163" s="99" t="s">
        <v>1059</v>
      </c>
      <c r="O163" s="99" t="s">
        <v>1052</v>
      </c>
      <c r="P163" s="813" t="s">
        <v>1053</v>
      </c>
      <c r="Q163" s="816"/>
      <c r="R163" s="814">
        <v>1</v>
      </c>
      <c r="S163" s="99"/>
      <c r="T163" s="99">
        <v>1</v>
      </c>
      <c r="U163" s="99" t="s">
        <v>1054</v>
      </c>
      <c r="V163" s="99" t="s">
        <v>1055</v>
      </c>
      <c r="W163" s="99">
        <v>2</v>
      </c>
      <c r="Y163" s="817">
        <v>2020</v>
      </c>
      <c r="Z163" s="98" t="s">
        <v>1578</v>
      </c>
      <c r="AA163" s="98">
        <v>4</v>
      </c>
      <c r="AB163" s="85" t="str">
        <f>VLOOKUP(E164,Source!F:F,1,FALSE)</f>
        <v>Worcester State University</v>
      </c>
    </row>
    <row r="164" spans="1:28" x14ac:dyDescent="0.2">
      <c r="A164" s="98" t="str">
        <f t="shared" ref="A164:A167" si="18">E164&amp;AA164</f>
        <v>Worcester State University5</v>
      </c>
      <c r="B164" s="98" t="s">
        <v>1046</v>
      </c>
      <c r="C164" s="98" t="s">
        <v>1046</v>
      </c>
      <c r="D164" s="98" t="s">
        <v>575</v>
      </c>
      <c r="E164" s="810" t="s">
        <v>352</v>
      </c>
      <c r="F164" s="812" t="s">
        <v>1218</v>
      </c>
      <c r="G164" s="812" t="s">
        <v>1627</v>
      </c>
      <c r="H164" s="99" t="s">
        <v>692</v>
      </c>
      <c r="I164" s="99" t="s">
        <v>574</v>
      </c>
      <c r="J164" s="100" t="s">
        <v>1222</v>
      </c>
      <c r="K164" s="99"/>
      <c r="L164" s="99" t="s">
        <v>1076</v>
      </c>
      <c r="M164" s="99"/>
      <c r="N164" s="99" t="s">
        <v>1059</v>
      </c>
      <c r="O164" s="99" t="s">
        <v>1052</v>
      </c>
      <c r="P164" s="813" t="s">
        <v>1053</v>
      </c>
      <c r="Q164" s="816"/>
      <c r="R164" s="814">
        <v>1</v>
      </c>
      <c r="S164" s="99"/>
      <c r="T164" s="99">
        <v>1</v>
      </c>
      <c r="U164" s="99" t="s">
        <v>1054</v>
      </c>
      <c r="V164" s="99" t="s">
        <v>1055</v>
      </c>
      <c r="W164" s="99">
        <v>2</v>
      </c>
      <c r="Y164" s="817">
        <v>2021</v>
      </c>
      <c r="Z164" s="98" t="s">
        <v>1579</v>
      </c>
      <c r="AA164" s="98">
        <v>5</v>
      </c>
      <c r="AB164" s="85" t="str">
        <f>VLOOKUP(E165,Source!F:F,1,FALSE)</f>
        <v>Worcester State University</v>
      </c>
    </row>
    <row r="165" spans="1:28" x14ac:dyDescent="0.2">
      <c r="A165" s="98" t="str">
        <f t="shared" si="18"/>
        <v>Worcester State University6</v>
      </c>
      <c r="B165" s="98" t="s">
        <v>1046</v>
      </c>
      <c r="C165" s="98" t="s">
        <v>1046</v>
      </c>
      <c r="D165" s="98" t="s">
        <v>575</v>
      </c>
      <c r="E165" s="810" t="s">
        <v>352</v>
      </c>
      <c r="F165" s="812" t="s">
        <v>1218</v>
      </c>
      <c r="G165" s="812" t="s">
        <v>1627</v>
      </c>
      <c r="H165" s="99" t="s">
        <v>692</v>
      </c>
      <c r="I165" s="99" t="s">
        <v>574</v>
      </c>
      <c r="J165" s="100" t="s">
        <v>1222</v>
      </c>
      <c r="K165" s="99"/>
      <c r="L165" s="99" t="s">
        <v>1076</v>
      </c>
      <c r="M165" s="99"/>
      <c r="N165" s="99" t="s">
        <v>1059</v>
      </c>
      <c r="O165" s="99" t="s">
        <v>1052</v>
      </c>
      <c r="P165" s="813" t="s">
        <v>1053</v>
      </c>
      <c r="Q165" s="816"/>
      <c r="R165" s="814">
        <v>1</v>
      </c>
      <c r="S165" s="99"/>
      <c r="T165" s="99">
        <v>1</v>
      </c>
      <c r="U165" s="99" t="s">
        <v>1054</v>
      </c>
      <c r="V165" s="99" t="s">
        <v>1055</v>
      </c>
      <c r="W165" s="99">
        <v>2</v>
      </c>
      <c r="Y165" s="817">
        <v>2021</v>
      </c>
      <c r="Z165" s="98" t="s">
        <v>1580</v>
      </c>
      <c r="AA165" s="98">
        <v>6</v>
      </c>
      <c r="AB165" s="85" t="str">
        <f>VLOOKUP(E166,Source!F:F,1,FALSE)</f>
        <v>Worcester State University</v>
      </c>
    </row>
    <row r="166" spans="1:28" x14ac:dyDescent="0.2">
      <c r="A166" s="98" t="str">
        <f t="shared" si="18"/>
        <v>Worcester State University7</v>
      </c>
      <c r="B166" s="98" t="s">
        <v>1046</v>
      </c>
      <c r="C166" s="98" t="s">
        <v>1046</v>
      </c>
      <c r="D166" s="98" t="s">
        <v>575</v>
      </c>
      <c r="E166" s="810" t="s">
        <v>352</v>
      </c>
      <c r="F166" s="812" t="s">
        <v>1218</v>
      </c>
      <c r="G166" s="812" t="s">
        <v>1627</v>
      </c>
      <c r="H166" s="99" t="s">
        <v>692</v>
      </c>
      <c r="I166" s="99" t="s">
        <v>574</v>
      </c>
      <c r="J166" s="100" t="s">
        <v>1222</v>
      </c>
      <c r="K166" s="99"/>
      <c r="L166" s="99" t="s">
        <v>1076</v>
      </c>
      <c r="M166" s="99"/>
      <c r="N166" s="99" t="s">
        <v>1059</v>
      </c>
      <c r="O166" s="99" t="s">
        <v>1052</v>
      </c>
      <c r="P166" s="813" t="s">
        <v>1053</v>
      </c>
      <c r="Q166" s="816"/>
      <c r="R166" s="814">
        <v>1</v>
      </c>
      <c r="S166" s="99"/>
      <c r="T166" s="99">
        <v>1</v>
      </c>
      <c r="U166" s="99" t="s">
        <v>1054</v>
      </c>
      <c r="V166" s="99" t="s">
        <v>1055</v>
      </c>
      <c r="W166" s="99">
        <v>2</v>
      </c>
      <c r="Y166" s="817">
        <v>2021</v>
      </c>
      <c r="Z166" s="98" t="s">
        <v>1581</v>
      </c>
      <c r="AA166" s="98">
        <v>7</v>
      </c>
      <c r="AB166" s="85" t="str">
        <f>VLOOKUP(E167,Source!F:F,1,FALSE)</f>
        <v>Worcester State University</v>
      </c>
    </row>
    <row r="167" spans="1:28" x14ac:dyDescent="0.2">
      <c r="A167" s="98" t="str">
        <f t="shared" si="18"/>
        <v>Worcester State University8</v>
      </c>
      <c r="B167" s="98" t="s">
        <v>1046</v>
      </c>
      <c r="C167" s="98" t="s">
        <v>1046</v>
      </c>
      <c r="D167" s="98" t="s">
        <v>575</v>
      </c>
      <c r="E167" s="810" t="s">
        <v>352</v>
      </c>
      <c r="F167" s="812" t="s">
        <v>1218</v>
      </c>
      <c r="G167" s="812" t="s">
        <v>1627</v>
      </c>
      <c r="H167" s="99" t="s">
        <v>692</v>
      </c>
      <c r="I167" s="99" t="s">
        <v>574</v>
      </c>
      <c r="J167" s="100" t="s">
        <v>1222</v>
      </c>
      <c r="K167" s="99"/>
      <c r="L167" s="99" t="s">
        <v>1076</v>
      </c>
      <c r="M167" s="99"/>
      <c r="N167" s="99" t="s">
        <v>1059</v>
      </c>
      <c r="O167" s="99" t="s">
        <v>1052</v>
      </c>
      <c r="P167" s="813" t="s">
        <v>1053</v>
      </c>
      <c r="Q167" s="816"/>
      <c r="R167" s="814">
        <v>1</v>
      </c>
      <c r="S167" s="99"/>
      <c r="T167" s="99">
        <v>1</v>
      </c>
      <c r="U167" s="99" t="s">
        <v>1054</v>
      </c>
      <c r="V167" s="99" t="s">
        <v>1055</v>
      </c>
      <c r="W167" s="99">
        <v>2</v>
      </c>
      <c r="Y167" s="817">
        <v>2021</v>
      </c>
      <c r="Z167" s="98" t="s">
        <v>1586</v>
      </c>
      <c r="AA167" s="98">
        <v>8</v>
      </c>
      <c r="AB167" s="85" t="e">
        <f>VLOOKUP(E168,Source!F:F,1,FALSE)</f>
        <v>#N/A</v>
      </c>
    </row>
  </sheetData>
  <autoFilter ref="A1:AB161" xr:uid="{00000000-0009-0000-0000-000012000000}"/>
  <sortState xmlns:xlrd2="http://schemas.microsoft.com/office/spreadsheetml/2017/richdata2" ref="E2:AH123">
    <sortCondition ref="E1"/>
  </sortState>
  <dataConsolidate/>
  <phoneticPr fontId="81" type="noConversion"/>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0000000}">
          <x14:formula1>
            <xm:f>Source!$I$1:$I$3</xm:f>
          </x14:formula1>
          <xm:sqref>O2:O125</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0"/>
  <dimension ref="A1:P46"/>
  <sheetViews>
    <sheetView showGridLines="0" zoomScaleNormal="100" workbookViewId="0">
      <selection activeCell="B11" sqref="B11"/>
    </sheetView>
  </sheetViews>
  <sheetFormatPr baseColWidth="10" defaultColWidth="0" defaultRowHeight="16" zeroHeight="1" x14ac:dyDescent="0.2"/>
  <cols>
    <col min="1" max="1" width="3.5" style="297" customWidth="1"/>
    <col min="2" max="2" width="22.33203125" style="297" customWidth="1"/>
    <col min="3" max="3" width="13" style="297" bestFit="1" customWidth="1"/>
    <col min="4" max="4" width="74.1640625" style="297" customWidth="1"/>
    <col min="5" max="5" width="16.5" style="297" customWidth="1"/>
    <col min="6" max="6" width="20.5" style="297" customWidth="1"/>
    <col min="7" max="7" width="20" style="297" customWidth="1"/>
    <col min="8" max="8" width="20.33203125" style="297" customWidth="1"/>
    <col min="9" max="9" width="16.1640625" style="297" customWidth="1"/>
    <col min="10" max="10" width="9.5" style="297" customWidth="1"/>
    <col min="11" max="16" width="0" style="297" hidden="1" customWidth="1"/>
    <col min="17" max="16384" width="9.1640625" style="297" hidden="1"/>
  </cols>
  <sheetData>
    <row r="1" spans="1:16" s="10" customFormat="1" ht="17" thickBot="1" x14ac:dyDescent="0.25">
      <c r="A1" s="689"/>
      <c r="B1" s="972" t="s">
        <v>23</v>
      </c>
      <c r="C1" s="972"/>
      <c r="D1" s="972"/>
      <c r="E1" s="972"/>
      <c r="F1" s="972"/>
      <c r="G1" s="972"/>
      <c r="H1" s="972"/>
      <c r="I1" s="972"/>
      <c r="J1" s="689"/>
      <c r="K1" s="689"/>
      <c r="L1" s="689"/>
      <c r="M1" s="689"/>
      <c r="N1" s="689"/>
      <c r="O1" s="689"/>
      <c r="P1" s="689"/>
    </row>
    <row r="2" spans="1:16" s="10" customFormat="1" ht="15.75" customHeight="1" x14ac:dyDescent="0.2">
      <c r="A2" s="689"/>
      <c r="B2" s="1157" t="s">
        <v>17</v>
      </c>
      <c r="C2" s="1161" t="s">
        <v>1535</v>
      </c>
      <c r="D2" s="1162"/>
      <c r="E2" s="1162"/>
      <c r="F2" s="1162"/>
      <c r="G2" s="1162"/>
      <c r="H2" s="1162"/>
      <c r="I2" s="1162"/>
      <c r="J2" s="349"/>
      <c r="K2" s="349"/>
      <c r="L2" s="349"/>
      <c r="M2" s="349"/>
      <c r="N2" s="349"/>
      <c r="O2" s="349"/>
      <c r="P2" s="349"/>
    </row>
    <row r="3" spans="1:16" s="10" customFormat="1" ht="24" customHeight="1" x14ac:dyDescent="0.2">
      <c r="A3" s="689"/>
      <c r="B3" s="1157"/>
      <c r="C3" s="1163"/>
      <c r="D3" s="1164"/>
      <c r="E3" s="1164"/>
      <c r="F3" s="1164"/>
      <c r="G3" s="1164"/>
      <c r="H3" s="1164"/>
      <c r="I3" s="1164"/>
      <c r="J3" s="349"/>
      <c r="K3" s="349"/>
      <c r="L3" s="349"/>
      <c r="M3" s="349"/>
      <c r="N3" s="349"/>
      <c r="O3" s="349"/>
      <c r="P3" s="349"/>
    </row>
    <row r="4" spans="1:16" s="10" customFormat="1" x14ac:dyDescent="0.2">
      <c r="A4" s="689"/>
      <c r="B4" s="689"/>
      <c r="C4" s="689"/>
      <c r="D4" s="689"/>
      <c r="E4" s="689"/>
      <c r="F4" s="689"/>
      <c r="G4" s="689"/>
      <c r="H4" s="689"/>
      <c r="I4" s="689"/>
      <c r="J4" s="689"/>
      <c r="K4" s="689"/>
      <c r="L4" s="689"/>
      <c r="M4" s="689"/>
      <c r="N4" s="689"/>
      <c r="O4" s="689"/>
      <c r="P4" s="689"/>
    </row>
    <row r="5" spans="1:16" s="10" customFormat="1" ht="22" thickBot="1" x14ac:dyDescent="0.25">
      <c r="A5" s="689"/>
      <c r="B5" s="1143" t="s">
        <v>1223</v>
      </c>
      <c r="C5" s="1143"/>
      <c r="D5" s="1143"/>
      <c r="E5" s="1143"/>
      <c r="F5" s="1143"/>
      <c r="G5" s="1143"/>
      <c r="H5" s="1143"/>
      <c r="I5" s="1143"/>
      <c r="J5" s="689"/>
      <c r="K5" s="689"/>
      <c r="L5" s="689"/>
      <c r="M5" s="689"/>
      <c r="N5" s="689"/>
      <c r="O5" s="689"/>
      <c r="P5" s="689"/>
    </row>
    <row r="6" spans="1:16" s="8" customFormat="1" ht="12" customHeight="1" x14ac:dyDescent="0.25">
      <c r="B6" s="1014" t="s">
        <v>1224</v>
      </c>
      <c r="C6" s="1014" t="s">
        <v>516</v>
      </c>
      <c r="D6" s="1015" t="s">
        <v>1225</v>
      </c>
      <c r="E6" s="1015" t="s">
        <v>1226</v>
      </c>
      <c r="F6" s="1165" t="s">
        <v>1227</v>
      </c>
      <c r="G6" s="1165" t="s">
        <v>1228</v>
      </c>
      <c r="H6" s="1165" t="s">
        <v>1229</v>
      </c>
      <c r="I6" s="1015" t="s">
        <v>1230</v>
      </c>
    </row>
    <row r="7" spans="1:16" s="8" customFormat="1" ht="13.5" customHeight="1" x14ac:dyDescent="0.25">
      <c r="B7" s="1014"/>
      <c r="C7" s="1014"/>
      <c r="D7" s="1015"/>
      <c r="E7" s="1015"/>
      <c r="F7" s="1015"/>
      <c r="G7" s="1015"/>
      <c r="H7" s="1015"/>
      <c r="I7" s="1015"/>
    </row>
    <row r="8" spans="1:16" s="8" customFormat="1" ht="15" customHeight="1" x14ac:dyDescent="0.25">
      <c r="B8" s="1014"/>
      <c r="C8" s="1014"/>
      <c r="D8" s="1015"/>
      <c r="E8" s="1015"/>
      <c r="F8" s="1015"/>
      <c r="G8" s="1015"/>
      <c r="H8" s="1015"/>
      <c r="I8" s="1015"/>
    </row>
    <row r="9" spans="1:16" s="8" customFormat="1" ht="12" customHeight="1" thickBot="1" x14ac:dyDescent="0.3">
      <c r="B9" s="1160"/>
      <c r="C9" s="1160"/>
      <c r="D9" s="1158"/>
      <c r="E9" s="1158"/>
      <c r="F9" s="1158"/>
      <c r="G9" s="1158"/>
      <c r="H9" s="1158"/>
      <c r="I9" s="1158"/>
    </row>
    <row r="10" spans="1:16" s="10" customFormat="1" ht="15.75" customHeight="1" thickBot="1" x14ac:dyDescent="0.25">
      <c r="A10" s="689"/>
      <c r="B10" s="1159" t="s">
        <v>1467</v>
      </c>
      <c r="C10" s="1159"/>
      <c r="D10" s="1159"/>
      <c r="E10" s="1159"/>
      <c r="F10" s="1159"/>
      <c r="G10" s="1159"/>
      <c r="H10" s="1159"/>
      <c r="I10" s="1159"/>
      <c r="J10" s="689"/>
      <c r="K10" s="689"/>
      <c r="L10" s="689"/>
      <c r="M10" s="689"/>
      <c r="N10" s="689"/>
      <c r="O10" s="689"/>
      <c r="P10" s="689"/>
    </row>
    <row r="11" spans="1:16" s="351" customFormat="1" ht="15.75" customHeight="1" thickBot="1" x14ac:dyDescent="0.25">
      <c r="A11" s="350"/>
      <c r="B11" s="344"/>
      <c r="C11" s="345"/>
      <c r="D11" s="345"/>
      <c r="E11" s="346">
        <v>0</v>
      </c>
      <c r="F11" s="347"/>
      <c r="G11" s="347"/>
      <c r="H11" s="347"/>
      <c r="I11" s="348">
        <v>0</v>
      </c>
      <c r="J11" s="350"/>
    </row>
    <row r="12" spans="1:16" s="351" customFormat="1" ht="15.75" customHeight="1" thickBot="1" x14ac:dyDescent="0.25">
      <c r="A12" s="350"/>
      <c r="B12" s="344"/>
      <c r="C12" s="345"/>
      <c r="D12" s="345"/>
      <c r="E12" s="346">
        <v>0</v>
      </c>
      <c r="F12" s="347"/>
      <c r="G12" s="347"/>
      <c r="H12" s="347"/>
      <c r="I12" s="348">
        <v>0</v>
      </c>
      <c r="J12" s="350"/>
    </row>
    <row r="13" spans="1:16" s="351" customFormat="1" ht="15.75" customHeight="1" thickBot="1" x14ac:dyDescent="0.25">
      <c r="A13" s="350"/>
      <c r="B13" s="344"/>
      <c r="C13" s="345"/>
      <c r="D13" s="345"/>
      <c r="E13" s="346">
        <v>0</v>
      </c>
      <c r="F13" s="347"/>
      <c r="G13" s="347"/>
      <c r="H13" s="347"/>
      <c r="I13" s="348">
        <v>0</v>
      </c>
      <c r="J13" s="350"/>
    </row>
    <row r="14" spans="1:16" s="351" customFormat="1" ht="15.75" customHeight="1" thickBot="1" x14ac:dyDescent="0.25">
      <c r="A14" s="350"/>
      <c r="B14" s="344"/>
      <c r="C14" s="345"/>
      <c r="D14" s="345"/>
      <c r="E14" s="346">
        <v>0</v>
      </c>
      <c r="F14" s="347"/>
      <c r="G14" s="347"/>
      <c r="H14" s="347"/>
      <c r="I14" s="348">
        <v>0</v>
      </c>
      <c r="J14" s="350"/>
    </row>
    <row r="15" spans="1:16" s="351" customFormat="1" ht="15.75" customHeight="1" thickBot="1" x14ac:dyDescent="0.25">
      <c r="A15" s="350"/>
      <c r="B15" s="344"/>
      <c r="C15" s="345"/>
      <c r="D15" s="345"/>
      <c r="E15" s="346">
        <v>0</v>
      </c>
      <c r="F15" s="347"/>
      <c r="G15" s="347"/>
      <c r="H15" s="347"/>
      <c r="I15" s="348">
        <v>0</v>
      </c>
      <c r="J15" s="350"/>
    </row>
    <row r="16" spans="1:16" s="351" customFormat="1" ht="15.75" customHeight="1" thickBot="1" x14ac:dyDescent="0.25">
      <c r="A16" s="350"/>
      <c r="B16" s="344"/>
      <c r="C16" s="345"/>
      <c r="D16" s="345"/>
      <c r="E16" s="346">
        <v>0</v>
      </c>
      <c r="F16" s="347"/>
      <c r="G16" s="347"/>
      <c r="H16" s="347"/>
      <c r="I16" s="348">
        <v>0</v>
      </c>
      <c r="J16" s="350"/>
    </row>
    <row r="17" spans="1:14" s="351" customFormat="1" ht="15.75" customHeight="1" thickBot="1" x14ac:dyDescent="0.25">
      <c r="A17" s="350"/>
      <c r="B17" s="344"/>
      <c r="C17" s="345"/>
      <c r="D17" s="345"/>
      <c r="E17" s="346">
        <v>0</v>
      </c>
      <c r="F17" s="347"/>
      <c r="G17" s="347"/>
      <c r="H17" s="347"/>
      <c r="I17" s="348">
        <v>0</v>
      </c>
      <c r="J17" s="350"/>
    </row>
    <row r="18" spans="1:14" s="351" customFormat="1" ht="15.75" customHeight="1" thickBot="1" x14ac:dyDescent="0.25">
      <c r="A18" s="350"/>
      <c r="B18" s="344"/>
      <c r="C18" s="345"/>
      <c r="D18" s="345"/>
      <c r="E18" s="346">
        <v>0</v>
      </c>
      <c r="F18" s="347"/>
      <c r="G18" s="347"/>
      <c r="H18" s="347"/>
      <c r="I18" s="348">
        <v>0</v>
      </c>
      <c r="J18" s="350"/>
    </row>
    <row r="19" spans="1:14" s="351" customFormat="1" ht="15.75" customHeight="1" thickBot="1" x14ac:dyDescent="0.25">
      <c r="A19" s="350"/>
      <c r="B19" s="344"/>
      <c r="C19" s="345"/>
      <c r="D19" s="345"/>
      <c r="E19" s="346">
        <v>0</v>
      </c>
      <c r="F19" s="347"/>
      <c r="G19" s="347"/>
      <c r="H19" s="347"/>
      <c r="I19" s="348">
        <v>0</v>
      </c>
      <c r="J19" s="350"/>
    </row>
    <row r="20" spans="1:14" s="351" customFormat="1" ht="15.75" customHeight="1" thickBot="1" x14ac:dyDescent="0.25">
      <c r="A20" s="350"/>
      <c r="B20" s="344"/>
      <c r="C20" s="345"/>
      <c r="D20" s="345"/>
      <c r="E20" s="346">
        <v>0</v>
      </c>
      <c r="F20" s="347"/>
      <c r="G20" s="347"/>
      <c r="H20" s="347"/>
      <c r="I20" s="348">
        <v>0</v>
      </c>
      <c r="J20" s="350"/>
    </row>
    <row r="21" spans="1:14" s="351" customFormat="1" ht="15.75" customHeight="1" thickBot="1" x14ac:dyDescent="0.25">
      <c r="A21" s="350"/>
      <c r="B21" s="344"/>
      <c r="C21" s="345"/>
      <c r="D21" s="345"/>
      <c r="E21" s="346">
        <v>0</v>
      </c>
      <c r="F21" s="347"/>
      <c r="G21" s="347"/>
      <c r="H21" s="347"/>
      <c r="I21" s="348">
        <v>0</v>
      </c>
      <c r="J21" s="350"/>
    </row>
    <row r="22" spans="1:14" s="351" customFormat="1" ht="15.75" customHeight="1" thickBot="1" x14ac:dyDescent="0.25">
      <c r="A22" s="350"/>
      <c r="B22" s="344"/>
      <c r="C22" s="345"/>
      <c r="D22" s="345"/>
      <c r="E22" s="346">
        <v>0</v>
      </c>
      <c r="F22" s="347"/>
      <c r="G22" s="347"/>
      <c r="H22" s="347"/>
      <c r="I22" s="348">
        <v>0</v>
      </c>
      <c r="J22" s="350"/>
    </row>
    <row r="23" spans="1:14" s="351" customFormat="1" ht="15.75" customHeight="1" thickBot="1" x14ac:dyDescent="0.25">
      <c r="A23" s="350"/>
      <c r="B23" s="344"/>
      <c r="C23" s="345"/>
      <c r="D23" s="345"/>
      <c r="E23" s="346">
        <v>0</v>
      </c>
      <c r="F23" s="347"/>
      <c r="G23" s="347"/>
      <c r="H23" s="347"/>
      <c r="I23" s="348">
        <v>0</v>
      </c>
      <c r="J23" s="350"/>
    </row>
    <row r="24" spans="1:14" s="351" customFormat="1" ht="15.75" customHeight="1" thickBot="1" x14ac:dyDescent="0.25">
      <c r="A24" s="350"/>
      <c r="B24" s="344"/>
      <c r="C24" s="345"/>
      <c r="D24" s="345"/>
      <c r="E24" s="346">
        <v>0</v>
      </c>
      <c r="F24" s="347"/>
      <c r="G24" s="347"/>
      <c r="H24" s="347"/>
      <c r="I24" s="348">
        <v>0</v>
      </c>
      <c r="J24" s="350"/>
    </row>
    <row r="25" spans="1:14" s="351" customFormat="1" ht="15.75" customHeight="1" thickBot="1" x14ac:dyDescent="0.25">
      <c r="A25" s="350"/>
      <c r="B25" s="344"/>
      <c r="C25" s="345"/>
      <c r="D25" s="345"/>
      <c r="E25" s="346">
        <v>0</v>
      </c>
      <c r="F25" s="347"/>
      <c r="G25" s="347"/>
      <c r="H25" s="347"/>
      <c r="I25" s="348">
        <v>0</v>
      </c>
      <c r="J25" s="350"/>
    </row>
    <row r="26" spans="1:14" s="351" customFormat="1" ht="15.75" customHeight="1" thickBot="1" x14ac:dyDescent="0.25">
      <c r="A26" s="350"/>
      <c r="B26" s="344"/>
      <c r="C26" s="345"/>
      <c r="D26" s="345"/>
      <c r="E26" s="346">
        <v>0</v>
      </c>
      <c r="F26" s="347"/>
      <c r="G26" s="347"/>
      <c r="H26" s="347"/>
      <c r="I26" s="348">
        <v>0</v>
      </c>
      <c r="J26" s="350"/>
    </row>
    <row r="27" spans="1:14" s="351" customFormat="1" ht="15.75" customHeight="1" thickBot="1" x14ac:dyDescent="0.25">
      <c r="A27" s="350"/>
      <c r="B27" s="344"/>
      <c r="C27" s="345"/>
      <c r="D27" s="345"/>
      <c r="E27" s="346">
        <v>0</v>
      </c>
      <c r="F27" s="347"/>
      <c r="G27" s="347"/>
      <c r="H27" s="347"/>
      <c r="I27" s="348">
        <v>0</v>
      </c>
      <c r="J27" s="352"/>
    </row>
    <row r="28" spans="1:14" s="351" customFormat="1" ht="15.75" customHeight="1" thickBot="1" x14ac:dyDescent="0.25">
      <c r="A28" s="350"/>
      <c r="B28" s="344"/>
      <c r="C28" s="345"/>
      <c r="D28" s="345"/>
      <c r="E28" s="346">
        <v>0</v>
      </c>
      <c r="F28" s="347"/>
      <c r="G28" s="347"/>
      <c r="H28" s="347"/>
      <c r="I28" s="348">
        <v>0</v>
      </c>
      <c r="J28" s="352"/>
    </row>
    <row r="29" spans="1:14" s="351" customFormat="1" ht="15.75" customHeight="1" thickBot="1" x14ac:dyDescent="0.25">
      <c r="A29" s="350"/>
      <c r="B29" s="344"/>
      <c r="C29" s="345"/>
      <c r="D29" s="345"/>
      <c r="E29" s="346">
        <v>0</v>
      </c>
      <c r="F29" s="347"/>
      <c r="G29" s="347"/>
      <c r="H29" s="347"/>
      <c r="I29" s="348">
        <v>0</v>
      </c>
      <c r="J29" s="352"/>
    </row>
    <row r="30" spans="1:14" s="351" customFormat="1" ht="15.75" customHeight="1" thickBot="1" x14ac:dyDescent="0.25">
      <c r="A30" s="350"/>
      <c r="B30" s="344"/>
      <c r="C30" s="345"/>
      <c r="D30" s="345"/>
      <c r="E30" s="346"/>
      <c r="F30" s="347"/>
      <c r="G30" s="347"/>
      <c r="H30" s="347"/>
      <c r="I30" s="348"/>
      <c r="J30" s="352"/>
    </row>
    <row r="31" spans="1:14" s="355" customFormat="1" ht="13.5" customHeight="1" x14ac:dyDescent="0.2">
      <c r="A31" s="352"/>
      <c r="B31" s="352"/>
      <c r="C31" s="352"/>
      <c r="D31" s="352"/>
      <c r="E31" s="353"/>
      <c r="F31" s="354"/>
      <c r="G31" s="354"/>
      <c r="H31" s="354"/>
      <c r="I31" s="353"/>
      <c r="J31" s="352"/>
    </row>
    <row r="32" spans="1:14" s="351" customFormat="1" ht="15.75" customHeight="1" thickBot="1" x14ac:dyDescent="0.25">
      <c r="B32" s="1156" t="s">
        <v>1231</v>
      </c>
      <c r="C32" s="1156"/>
      <c r="D32" s="1156"/>
      <c r="E32" s="1156"/>
      <c r="F32" s="1156"/>
      <c r="G32" s="1156"/>
      <c r="H32" s="1156"/>
      <c r="I32" s="1156"/>
      <c r="J32" s="356"/>
      <c r="K32" s="357"/>
      <c r="L32" s="357"/>
      <c r="M32" s="357"/>
      <c r="N32" s="358"/>
    </row>
    <row r="33" spans="2:14" s="351" customFormat="1" ht="15.75" customHeight="1" x14ac:dyDescent="0.2">
      <c r="B33" s="954"/>
      <c r="C33" s="954"/>
      <c r="D33" s="954"/>
      <c r="E33" s="954"/>
      <c r="F33" s="954"/>
      <c r="G33" s="954"/>
      <c r="H33" s="954"/>
      <c r="I33" s="954"/>
      <c r="J33" s="359"/>
      <c r="K33" s="360"/>
      <c r="L33" s="360"/>
      <c r="M33" s="360"/>
      <c r="N33" s="361"/>
    </row>
    <row r="34" spans="2:14" s="351" customFormat="1" ht="15.75" customHeight="1" x14ac:dyDescent="0.2">
      <c r="B34" s="954"/>
      <c r="C34" s="954"/>
      <c r="D34" s="954"/>
      <c r="E34" s="954"/>
      <c r="F34" s="954"/>
      <c r="G34" s="954"/>
      <c r="H34" s="954"/>
      <c r="I34" s="954"/>
      <c r="J34" s="359"/>
      <c r="K34" s="362"/>
      <c r="L34" s="362"/>
      <c r="M34" s="362"/>
      <c r="N34" s="363"/>
    </row>
    <row r="35" spans="2:14" s="351" customFormat="1" ht="15.75" customHeight="1" x14ac:dyDescent="0.2">
      <c r="B35" s="954"/>
      <c r="C35" s="954"/>
      <c r="D35" s="954"/>
      <c r="E35" s="954"/>
      <c r="F35" s="954"/>
      <c r="G35" s="954"/>
      <c r="H35" s="954"/>
      <c r="I35" s="954"/>
      <c r="J35" s="359"/>
      <c r="K35" s="362"/>
      <c r="L35" s="362"/>
      <c r="M35" s="362"/>
      <c r="N35" s="363"/>
    </row>
    <row r="36" spans="2:14" s="351" customFormat="1" ht="15.75" customHeight="1" x14ac:dyDescent="0.2">
      <c r="B36" s="954"/>
      <c r="C36" s="954"/>
      <c r="D36" s="954"/>
      <c r="E36" s="954"/>
      <c r="F36" s="954"/>
      <c r="G36" s="954"/>
      <c r="H36" s="954"/>
      <c r="I36" s="954"/>
      <c r="J36" s="359"/>
      <c r="K36" s="362"/>
      <c r="L36" s="362"/>
      <c r="M36" s="362"/>
      <c r="N36" s="363"/>
    </row>
    <row r="37" spans="2:14" s="352" customFormat="1" x14ac:dyDescent="0.2">
      <c r="B37" s="359"/>
      <c r="C37" s="359"/>
      <c r="D37" s="359"/>
      <c r="E37" s="359"/>
      <c r="F37" s="359"/>
      <c r="G37" s="359"/>
      <c r="H37" s="359"/>
      <c r="I37" s="359"/>
      <c r="J37" s="359"/>
      <c r="K37" s="359"/>
      <c r="L37" s="359"/>
      <c r="M37" s="359"/>
      <c r="N37" s="359"/>
    </row>
    <row r="38" spans="2:14" s="352" customFormat="1" ht="12" customHeight="1" x14ac:dyDescent="0.2"/>
    <row r="39" spans="2:14" ht="0.75" customHeight="1" x14ac:dyDescent="0.2">
      <c r="B39" s="690"/>
      <c r="C39" s="690"/>
      <c r="D39" s="690"/>
      <c r="E39" s="690"/>
      <c r="F39" s="690"/>
      <c r="G39" s="690"/>
      <c r="H39" s="690"/>
      <c r="I39" s="690"/>
      <c r="J39" s="690"/>
      <c r="K39" s="690"/>
      <c r="L39" s="690"/>
      <c r="M39" s="690"/>
      <c r="N39" s="690"/>
    </row>
    <row r="40" spans="2:14" ht="15.75" customHeight="1" x14ac:dyDescent="0.2">
      <c r="B40" s="690"/>
      <c r="C40" s="690"/>
      <c r="D40" s="690"/>
      <c r="E40" s="690"/>
      <c r="F40" s="690"/>
      <c r="G40" s="690"/>
      <c r="H40" s="690"/>
      <c r="I40" s="690"/>
      <c r="J40" s="690"/>
      <c r="K40" s="690"/>
      <c r="L40" s="690"/>
      <c r="M40" s="690"/>
      <c r="N40" s="690"/>
    </row>
    <row r="41" spans="2:14" ht="15.75" customHeight="1" x14ac:dyDescent="0.2">
      <c r="B41" s="690"/>
      <c r="C41" s="690"/>
      <c r="D41" s="690"/>
      <c r="E41" s="690"/>
      <c r="F41" s="690"/>
      <c r="G41" s="690"/>
      <c r="H41" s="690"/>
      <c r="I41" s="690"/>
      <c r="J41" s="690"/>
      <c r="K41" s="690"/>
      <c r="L41" s="690"/>
      <c r="M41" s="690"/>
      <c r="N41" s="690"/>
    </row>
    <row r="42" spans="2:14" ht="15.75" customHeight="1" x14ac:dyDescent="0.2">
      <c r="B42" s="690"/>
      <c r="C42" s="690"/>
      <c r="D42" s="690"/>
      <c r="E42" s="690"/>
      <c r="F42" s="690"/>
      <c r="G42" s="690"/>
      <c r="H42" s="690"/>
      <c r="I42" s="690"/>
      <c r="J42" s="690"/>
      <c r="K42" s="690"/>
      <c r="L42" s="690"/>
      <c r="M42" s="690"/>
      <c r="N42" s="690"/>
    </row>
    <row r="43" spans="2:14" x14ac:dyDescent="0.2">
      <c r="B43" s="690"/>
      <c r="C43" s="690"/>
      <c r="D43" s="690"/>
      <c r="E43" s="690"/>
      <c r="F43" s="690"/>
      <c r="G43" s="690"/>
      <c r="H43" s="690"/>
      <c r="I43" s="690"/>
      <c r="J43" s="690"/>
      <c r="K43" s="690"/>
      <c r="L43" s="690"/>
      <c r="M43" s="690"/>
      <c r="N43" s="690"/>
    </row>
    <row r="44" spans="2:14" x14ac:dyDescent="0.2">
      <c r="B44" s="690"/>
      <c r="C44" s="690"/>
      <c r="D44" s="690"/>
      <c r="E44" s="690"/>
      <c r="F44" s="690"/>
      <c r="G44" s="690"/>
      <c r="H44" s="690"/>
      <c r="I44" s="690"/>
      <c r="J44" s="690"/>
      <c r="K44" s="690"/>
      <c r="L44" s="690"/>
      <c r="M44" s="690"/>
      <c r="N44" s="690"/>
    </row>
    <row r="45" spans="2:14" x14ac:dyDescent="0.2">
      <c r="B45" s="690"/>
      <c r="C45" s="690"/>
      <c r="D45" s="690"/>
      <c r="E45" s="690"/>
      <c r="F45" s="690"/>
      <c r="G45" s="690"/>
      <c r="H45" s="690"/>
      <c r="I45" s="690"/>
      <c r="J45" s="690"/>
      <c r="K45" s="690"/>
      <c r="L45" s="690"/>
      <c r="M45" s="690"/>
      <c r="N45" s="690"/>
    </row>
    <row r="46" spans="2:14" x14ac:dyDescent="0.2">
      <c r="B46" s="690"/>
      <c r="C46" s="690"/>
      <c r="D46" s="690"/>
      <c r="E46" s="690"/>
      <c r="F46" s="690"/>
      <c r="G46" s="690"/>
      <c r="H46" s="690"/>
      <c r="I46" s="690"/>
      <c r="J46" s="690"/>
      <c r="K46" s="690"/>
      <c r="L46" s="690"/>
      <c r="M46" s="690"/>
      <c r="N46" s="690"/>
    </row>
  </sheetData>
  <sheetProtection algorithmName="SHA-512" hashValue="lOMG9tZcx/VSn88+C6qNLW1hwod9h+4ZetEAeYW4XaQA9TmhFx2yQ9+ISQ0lN3pzkEPkw80kRGwdsJkwP+C5Mg==" saltValue="eD9qQiaJ5tJCv105SjM3UA==" spinCount="100000" sheet="1" selectLockedCells="1"/>
  <mergeCells count="15">
    <mergeCell ref="B1:I1"/>
    <mergeCell ref="B32:I32"/>
    <mergeCell ref="B33:I36"/>
    <mergeCell ref="B2:B3"/>
    <mergeCell ref="I6:I9"/>
    <mergeCell ref="B5:I5"/>
    <mergeCell ref="B10:I10"/>
    <mergeCell ref="E6:E9"/>
    <mergeCell ref="B6:B9"/>
    <mergeCell ref="C6:C9"/>
    <mergeCell ref="D6:D9"/>
    <mergeCell ref="C2:I3"/>
    <mergeCell ref="F6:F9"/>
    <mergeCell ref="G6:G9"/>
    <mergeCell ref="H6:H9"/>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239"/>
  <sheetViews>
    <sheetView zoomScale="75" workbookViewId="0">
      <selection activeCell="E20" sqref="E20"/>
    </sheetView>
  </sheetViews>
  <sheetFormatPr baseColWidth="10" defaultColWidth="8.83203125" defaultRowHeight="15" x14ac:dyDescent="0.2"/>
  <cols>
    <col min="1" max="1" width="31" style="75" bestFit="1" customWidth="1"/>
    <col min="2" max="2" width="9.6640625" bestFit="1" customWidth="1"/>
    <col min="3" max="3" width="14.6640625" customWidth="1"/>
    <col min="4" max="4" width="36.5" customWidth="1"/>
    <col min="5" max="5" width="19" style="123" bestFit="1" customWidth="1"/>
    <col min="6" max="6" width="18.1640625" style="823" customWidth="1"/>
    <col min="7" max="7" width="12.6640625" style="75" customWidth="1"/>
    <col min="11" max="11" width="15.33203125" bestFit="1" customWidth="1"/>
  </cols>
  <sheetData>
    <row r="1" spans="1:11" x14ac:dyDescent="0.2">
      <c r="A1" s="607" t="s">
        <v>1235</v>
      </c>
      <c r="B1" s="608" t="s">
        <v>1236</v>
      </c>
      <c r="C1" s="608" t="s">
        <v>1237</v>
      </c>
      <c r="D1" s="608" t="s">
        <v>445</v>
      </c>
      <c r="E1" s="609" t="s">
        <v>1233</v>
      </c>
      <c r="F1" s="610" t="s">
        <v>1238</v>
      </c>
      <c r="G1" s="608" t="s">
        <v>446</v>
      </c>
      <c r="H1" s="85"/>
      <c r="I1" s="85"/>
      <c r="J1" s="85"/>
      <c r="K1" s="85"/>
    </row>
    <row r="2" spans="1:11" s="430" customFormat="1" ht="16" x14ac:dyDescent="0.2">
      <c r="A2" s="435" t="str">
        <f t="shared" ref="A2:A56" si="0">D2&amp;G2</f>
        <v>Bridgewater State University2013</v>
      </c>
      <c r="B2" s="611">
        <v>2013</v>
      </c>
      <c r="C2" s="464" t="s">
        <v>575</v>
      </c>
      <c r="D2" s="464" t="s">
        <v>56</v>
      </c>
      <c r="E2" s="612">
        <v>3824448</v>
      </c>
      <c r="F2" s="818">
        <v>451713</v>
      </c>
      <c r="G2" s="611">
        <v>2013</v>
      </c>
      <c r="H2" s="430" t="str">
        <f>VLOOKUP(D2,Source!F:F,1,FALSE)</f>
        <v>Bridgewater State University</v>
      </c>
    </row>
    <row r="3" spans="1:11" s="430" customFormat="1" ht="16" x14ac:dyDescent="0.2">
      <c r="A3" s="435" t="str">
        <f t="shared" si="0"/>
        <v>Bridgewater State University2014</v>
      </c>
      <c r="B3" s="611">
        <v>2014</v>
      </c>
      <c r="C3" s="464" t="s">
        <v>575</v>
      </c>
      <c r="D3" s="464" t="s">
        <v>56</v>
      </c>
      <c r="E3" s="612">
        <v>32893340</v>
      </c>
      <c r="F3" s="818">
        <v>550109</v>
      </c>
      <c r="G3" s="611">
        <v>2014</v>
      </c>
      <c r="H3" s="430" t="str">
        <f>VLOOKUP(D3,Source!F:F,1,FALSE)</f>
        <v>Bridgewater State University</v>
      </c>
    </row>
    <row r="4" spans="1:11" s="430" customFormat="1" ht="16" x14ac:dyDescent="0.2">
      <c r="A4" s="435" t="str">
        <f t="shared" si="0"/>
        <v>Bridgewater State University2015</v>
      </c>
      <c r="B4" s="611">
        <v>2015</v>
      </c>
      <c r="C4" s="464" t="s">
        <v>575</v>
      </c>
      <c r="D4" s="464" t="s">
        <v>56</v>
      </c>
      <c r="E4" s="612">
        <v>29569820</v>
      </c>
      <c r="F4" s="818">
        <v>489407</v>
      </c>
      <c r="G4" s="611">
        <v>2015</v>
      </c>
      <c r="H4" s="430" t="str">
        <f>VLOOKUP(D4,Source!F:F,1,FALSE)</f>
        <v>Bridgewater State University</v>
      </c>
    </row>
    <row r="5" spans="1:11" s="430" customFormat="1" ht="16" x14ac:dyDescent="0.2">
      <c r="A5" s="435" t="str">
        <f t="shared" si="0"/>
        <v>Bridgewater State University2016</v>
      </c>
      <c r="B5" s="611">
        <v>2016</v>
      </c>
      <c r="C5" s="464" t="s">
        <v>575</v>
      </c>
      <c r="D5" s="464" t="s">
        <v>56</v>
      </c>
      <c r="E5" s="612">
        <v>26859254.030000001</v>
      </c>
      <c r="F5" s="818">
        <v>495001.42</v>
      </c>
      <c r="G5" s="611">
        <v>2016</v>
      </c>
      <c r="H5" s="430" t="str">
        <f>VLOOKUP(D5,Source!F:F,1,FALSE)</f>
        <v>Bridgewater State University</v>
      </c>
    </row>
    <row r="6" spans="1:11" s="430" customFormat="1" ht="16" x14ac:dyDescent="0.2">
      <c r="A6" s="435" t="str">
        <f t="shared" si="0"/>
        <v>Bridgewater State University2017</v>
      </c>
      <c r="B6" s="611">
        <v>2017</v>
      </c>
      <c r="C6" s="464" t="s">
        <v>575</v>
      </c>
      <c r="D6" s="464" t="s">
        <v>56</v>
      </c>
      <c r="E6" s="612">
        <v>31196085.190000001</v>
      </c>
      <c r="F6" s="818">
        <v>537727.76</v>
      </c>
      <c r="G6" s="611">
        <v>2017</v>
      </c>
      <c r="H6" s="430" t="str">
        <f>VLOOKUP(D6,Source!F:F,1,FALSE)</f>
        <v>Bridgewater State University</v>
      </c>
    </row>
    <row r="7" spans="1:11" s="430" customFormat="1" ht="16" x14ac:dyDescent="0.2">
      <c r="A7" s="435" t="str">
        <f t="shared" si="0"/>
        <v>Bridgewater State University2018</v>
      </c>
      <c r="B7" s="611">
        <v>2018</v>
      </c>
      <c r="C7" s="464" t="s">
        <v>575</v>
      </c>
      <c r="D7" s="464" t="s">
        <v>56</v>
      </c>
      <c r="E7" s="612">
        <v>33115512</v>
      </c>
      <c r="F7" s="818">
        <v>622299.75</v>
      </c>
      <c r="G7" s="611">
        <v>2018</v>
      </c>
      <c r="H7" s="430" t="str">
        <f>VLOOKUP(D7,Source!F:F,1,FALSE)</f>
        <v>Bridgewater State University</v>
      </c>
    </row>
    <row r="8" spans="1:11" s="430" customFormat="1" ht="16" x14ac:dyDescent="0.2">
      <c r="A8" s="435" t="str">
        <f t="shared" ref="A8:A9" si="1">D8&amp;G8</f>
        <v>Bridgewater State University2019</v>
      </c>
      <c r="B8" s="611">
        <v>2019</v>
      </c>
      <c r="C8" s="464" t="s">
        <v>575</v>
      </c>
      <c r="D8" s="464" t="s">
        <v>56</v>
      </c>
      <c r="E8" s="612">
        <v>28146950.649999999</v>
      </c>
      <c r="F8" s="818">
        <v>536928</v>
      </c>
      <c r="G8" s="611">
        <v>2019</v>
      </c>
      <c r="H8" s="430" t="str">
        <f>VLOOKUP(D8,Source!F:F,1,FALSE)</f>
        <v>Bridgewater State University</v>
      </c>
    </row>
    <row r="9" spans="1:11" s="430" customFormat="1" ht="16" x14ac:dyDescent="0.2">
      <c r="A9" s="435" t="str">
        <f t="shared" si="1"/>
        <v>Bridgewater State University2020</v>
      </c>
      <c r="B9" s="611">
        <v>2020</v>
      </c>
      <c r="C9" s="464" t="s">
        <v>575</v>
      </c>
      <c r="D9" s="464" t="s">
        <v>56</v>
      </c>
      <c r="E9" s="612" t="s">
        <v>1629</v>
      </c>
      <c r="F9" s="818" t="s">
        <v>1629</v>
      </c>
      <c r="G9" s="611">
        <v>2020</v>
      </c>
      <c r="H9" s="430" t="str">
        <f>VLOOKUP(D9,Source!F:F,1,FALSE)</f>
        <v>Bridgewater State University</v>
      </c>
    </row>
    <row r="10" spans="1:11" s="430" customFormat="1" ht="16" x14ac:dyDescent="0.2">
      <c r="A10" s="435" t="str">
        <f t="shared" si="0"/>
        <v>Bristol Comm. College2013</v>
      </c>
      <c r="B10" s="611">
        <v>2013</v>
      </c>
      <c r="C10" s="464" t="s">
        <v>575</v>
      </c>
      <c r="D10" s="464" t="s">
        <v>69</v>
      </c>
      <c r="E10" s="612">
        <v>2994244</v>
      </c>
      <c r="F10" s="818">
        <v>9154.75</v>
      </c>
      <c r="G10" s="611">
        <v>2013</v>
      </c>
      <c r="H10" s="430" t="str">
        <f>VLOOKUP(D10,Source!F:F,1,FALSE)</f>
        <v>Bristol Comm. College</v>
      </c>
    </row>
    <row r="11" spans="1:11" s="430" customFormat="1" ht="16" x14ac:dyDescent="0.2">
      <c r="A11" s="435" t="str">
        <f t="shared" si="0"/>
        <v>Bristol Comm. College2014</v>
      </c>
      <c r="B11" s="611">
        <v>2014</v>
      </c>
      <c r="C11" s="464" t="s">
        <v>575</v>
      </c>
      <c r="D11" s="464" t="s">
        <v>69</v>
      </c>
      <c r="E11" s="612">
        <v>2831928</v>
      </c>
      <c r="F11" s="818">
        <v>9494.65</v>
      </c>
      <c r="G11" s="611">
        <v>2014</v>
      </c>
      <c r="H11" s="430" t="str">
        <f>VLOOKUP(D11,Source!F:F,1,FALSE)</f>
        <v>Bristol Comm. College</v>
      </c>
    </row>
    <row r="12" spans="1:11" s="430" customFormat="1" ht="16" x14ac:dyDescent="0.2">
      <c r="A12" s="435" t="str">
        <f t="shared" si="0"/>
        <v>Bristol Comm. College2015</v>
      </c>
      <c r="B12" s="611">
        <v>2015</v>
      </c>
      <c r="C12" s="464" t="s">
        <v>575</v>
      </c>
      <c r="D12" s="464" t="s">
        <v>69</v>
      </c>
      <c r="E12" s="612">
        <v>2809488</v>
      </c>
      <c r="F12" s="818">
        <v>10667</v>
      </c>
      <c r="G12" s="611">
        <v>2015</v>
      </c>
      <c r="H12" s="430" t="str">
        <f>VLOOKUP(D12,Source!F:F,1,FALSE)</f>
        <v>Bristol Comm. College</v>
      </c>
    </row>
    <row r="13" spans="1:11" s="430" customFormat="1" ht="16" x14ac:dyDescent="0.2">
      <c r="A13" s="435" t="str">
        <f t="shared" si="0"/>
        <v>Bristol Comm. College2016</v>
      </c>
      <c r="B13" s="611">
        <v>2016</v>
      </c>
      <c r="C13" s="464" t="s">
        <v>575</v>
      </c>
      <c r="D13" s="464" t="s">
        <v>69</v>
      </c>
      <c r="E13" s="612">
        <v>3173000</v>
      </c>
      <c r="F13" s="818">
        <v>11342</v>
      </c>
      <c r="G13" s="611">
        <v>2016</v>
      </c>
      <c r="H13" s="430" t="str">
        <f>VLOOKUP(D13,Source!F:F,1,FALSE)</f>
        <v>Bristol Comm. College</v>
      </c>
    </row>
    <row r="14" spans="1:11" s="430" customFormat="1" ht="16" x14ac:dyDescent="0.2">
      <c r="A14" s="435" t="str">
        <f t="shared" si="0"/>
        <v>Bristol Comm. College2017</v>
      </c>
      <c r="B14" s="611">
        <v>2017</v>
      </c>
      <c r="C14" s="464" t="s">
        <v>575</v>
      </c>
      <c r="D14" s="464" t="s">
        <v>69</v>
      </c>
      <c r="E14" s="612">
        <v>2699719</v>
      </c>
      <c r="F14" s="818">
        <v>12606.35</v>
      </c>
      <c r="G14" s="611">
        <v>2017</v>
      </c>
      <c r="H14" s="430" t="str">
        <f>VLOOKUP(D14,Source!F:F,1,FALSE)</f>
        <v>Bristol Comm. College</v>
      </c>
    </row>
    <row r="15" spans="1:11" s="430" customFormat="1" ht="16" x14ac:dyDescent="0.2">
      <c r="A15" s="435" t="str">
        <f t="shared" si="0"/>
        <v>Bristol Comm. College2018</v>
      </c>
      <c r="B15" s="611">
        <v>2018</v>
      </c>
      <c r="C15" s="464" t="s">
        <v>575</v>
      </c>
      <c r="D15" s="464" t="s">
        <v>69</v>
      </c>
      <c r="E15" s="612">
        <v>2986223</v>
      </c>
      <c r="F15" s="818">
        <v>11726.56</v>
      </c>
      <c r="G15" s="611">
        <v>2018</v>
      </c>
      <c r="H15" s="430" t="str">
        <f>VLOOKUP(D15,Source!F:F,1,FALSE)</f>
        <v>Bristol Comm. College</v>
      </c>
    </row>
    <row r="16" spans="1:11" s="430" customFormat="1" ht="16" x14ac:dyDescent="0.2">
      <c r="A16" s="435" t="str">
        <f t="shared" ref="A16" si="2">D16&amp;G16</f>
        <v>Bristol Comm. College2019</v>
      </c>
      <c r="B16" s="611">
        <v>2019</v>
      </c>
      <c r="C16" s="464" t="s">
        <v>575</v>
      </c>
      <c r="D16" s="464" t="s">
        <v>69</v>
      </c>
      <c r="E16" s="612">
        <v>5154078</v>
      </c>
      <c r="F16" s="818">
        <v>18342</v>
      </c>
      <c r="G16" s="611">
        <v>2019</v>
      </c>
      <c r="H16" s="430" t="str">
        <f>VLOOKUP(D16,Source!F:F,1,FALSE)</f>
        <v>Bristol Comm. College</v>
      </c>
    </row>
    <row r="17" spans="1:11" s="430" customFormat="1" ht="16" x14ac:dyDescent="0.2">
      <c r="A17" s="435" t="str">
        <f t="shared" ref="A17" si="3">D17&amp;G17</f>
        <v>Bristol Comm. College2020</v>
      </c>
      <c r="B17" s="611">
        <v>2020</v>
      </c>
      <c r="C17" s="464" t="s">
        <v>575</v>
      </c>
      <c r="D17" s="464" t="s">
        <v>69</v>
      </c>
      <c r="E17" s="612" t="s">
        <v>1629</v>
      </c>
      <c r="F17" s="818" t="s">
        <v>1629</v>
      </c>
      <c r="G17" s="611">
        <v>2020</v>
      </c>
      <c r="H17" s="430" t="str">
        <f>VLOOKUP(D17,Source!F:F,1,FALSE)</f>
        <v>Bristol Comm. College</v>
      </c>
    </row>
    <row r="18" spans="1:11" ht="16" x14ac:dyDescent="0.2">
      <c r="A18" s="124" t="str">
        <f t="shared" si="0"/>
        <v>Bunker Hill Comm. College2016</v>
      </c>
      <c r="B18" s="613">
        <v>2016</v>
      </c>
      <c r="C18" s="614" t="s">
        <v>575</v>
      </c>
      <c r="D18" s="614" t="s">
        <v>78</v>
      </c>
      <c r="E18" s="615">
        <v>1687015</v>
      </c>
      <c r="F18" s="819">
        <v>252208</v>
      </c>
      <c r="G18" s="613">
        <v>2016</v>
      </c>
      <c r="H18" s="430" t="str">
        <f>VLOOKUP(D18,Source!F:F,1,FALSE)</f>
        <v>Bunker Hill Comm. College</v>
      </c>
      <c r="I18" s="85"/>
      <c r="J18" s="85"/>
      <c r="K18" s="85"/>
    </row>
    <row r="19" spans="1:11" ht="16" x14ac:dyDescent="0.2">
      <c r="A19" s="124" t="str">
        <f t="shared" si="0"/>
        <v>Bunker Hill Comm. College2017</v>
      </c>
      <c r="B19" s="613">
        <v>2017</v>
      </c>
      <c r="C19" s="614" t="s">
        <v>575</v>
      </c>
      <c r="D19" s="614" t="s">
        <v>78</v>
      </c>
      <c r="E19" s="615">
        <v>1409910</v>
      </c>
      <c r="F19" s="819">
        <v>210781</v>
      </c>
      <c r="G19" s="613">
        <v>2017</v>
      </c>
      <c r="H19" s="430" t="str">
        <f>VLOOKUP(D19,Source!F:F,1,FALSE)</f>
        <v>Bunker Hill Comm. College</v>
      </c>
      <c r="I19" s="85"/>
      <c r="J19" s="85"/>
      <c r="K19" s="122"/>
    </row>
    <row r="20" spans="1:11" s="85" customFormat="1" ht="16" x14ac:dyDescent="0.2">
      <c r="A20" s="124" t="str">
        <f t="shared" ref="A20:A21" si="4">D20&amp;G20</f>
        <v>Bunker Hill Comm. College2018</v>
      </c>
      <c r="B20" s="613">
        <v>2018</v>
      </c>
      <c r="C20" s="614" t="s">
        <v>575</v>
      </c>
      <c r="D20" s="614" t="s">
        <v>78</v>
      </c>
      <c r="E20" s="615" t="s">
        <v>1629</v>
      </c>
      <c r="F20" s="819" t="s">
        <v>1629</v>
      </c>
      <c r="G20" s="613">
        <v>2018</v>
      </c>
      <c r="H20" s="430" t="str">
        <f>VLOOKUP(D20,Source!F:F,1,FALSE)</f>
        <v>Bunker Hill Comm. College</v>
      </c>
      <c r="K20" s="122"/>
    </row>
    <row r="21" spans="1:11" s="85" customFormat="1" ht="16" x14ac:dyDescent="0.2">
      <c r="A21" s="124" t="str">
        <f t="shared" si="4"/>
        <v>Bunker Hill Comm. College2019</v>
      </c>
      <c r="B21" s="613">
        <v>2019</v>
      </c>
      <c r="C21" s="614" t="s">
        <v>575</v>
      </c>
      <c r="D21" s="614" t="s">
        <v>78</v>
      </c>
      <c r="E21" s="615" t="s">
        <v>1629</v>
      </c>
      <c r="F21" s="819" t="s">
        <v>1629</v>
      </c>
      <c r="G21" s="613">
        <v>2019</v>
      </c>
      <c r="H21" s="430" t="str">
        <f>VLOOKUP(D21,Source!F:F,1,FALSE)</f>
        <v>Bunker Hill Comm. College</v>
      </c>
      <c r="K21" s="122"/>
    </row>
    <row r="22" spans="1:11" s="85" customFormat="1" ht="16" x14ac:dyDescent="0.2">
      <c r="A22" s="124" t="str">
        <f t="shared" ref="A22" si="5">D22&amp;G22</f>
        <v>Bunker Hill Comm. College2020</v>
      </c>
      <c r="B22" s="613">
        <v>2020</v>
      </c>
      <c r="C22" s="614" t="s">
        <v>575</v>
      </c>
      <c r="D22" s="614" t="s">
        <v>78</v>
      </c>
      <c r="E22" s="612" t="s">
        <v>1629</v>
      </c>
      <c r="F22" s="818" t="s">
        <v>1629</v>
      </c>
      <c r="G22" s="613">
        <v>2020</v>
      </c>
      <c r="H22" s="430" t="str">
        <f>VLOOKUP(D22,Source!F:F,1,FALSE)</f>
        <v>Bunker Hill Comm. College</v>
      </c>
      <c r="K22" s="122"/>
    </row>
    <row r="23" spans="1:11" ht="16" x14ac:dyDescent="0.2">
      <c r="A23" s="124" t="str">
        <f t="shared" si="0"/>
        <v>Cape Cod Comm. College2013</v>
      </c>
      <c r="B23" s="613">
        <v>2013</v>
      </c>
      <c r="C23" s="614" t="s">
        <v>575</v>
      </c>
      <c r="D23" s="614" t="s">
        <v>84</v>
      </c>
      <c r="E23" s="615">
        <v>1641000</v>
      </c>
      <c r="F23" s="819">
        <v>6015.95</v>
      </c>
      <c r="G23" s="613">
        <v>2013</v>
      </c>
      <c r="H23" s="430" t="str">
        <f>VLOOKUP(D23,Source!F:F,1,FALSE)</f>
        <v>Cape Cod Comm. College</v>
      </c>
      <c r="I23" s="85"/>
      <c r="J23" s="85"/>
      <c r="K23" s="85"/>
    </row>
    <row r="24" spans="1:11" ht="16" x14ac:dyDescent="0.2">
      <c r="A24" s="124" t="str">
        <f t="shared" si="0"/>
        <v>Cape Cod Comm. College2014</v>
      </c>
      <c r="B24" s="613">
        <v>2014</v>
      </c>
      <c r="C24" s="614" t="s">
        <v>575</v>
      </c>
      <c r="D24" s="614" t="s">
        <v>84</v>
      </c>
      <c r="E24" s="615">
        <v>1577000</v>
      </c>
      <c r="F24" s="819">
        <v>5530.65</v>
      </c>
      <c r="G24" s="613">
        <v>2014</v>
      </c>
      <c r="H24" s="430" t="str">
        <f>VLOOKUP(D24,Source!F:F,1,FALSE)</f>
        <v>Cape Cod Comm. College</v>
      </c>
      <c r="I24" s="85"/>
      <c r="J24" s="85"/>
      <c r="K24" s="85"/>
    </row>
    <row r="25" spans="1:11" ht="16" x14ac:dyDescent="0.2">
      <c r="A25" s="124" t="str">
        <f t="shared" si="0"/>
        <v>Cape Cod Comm. College2015</v>
      </c>
      <c r="B25" s="613">
        <v>2015</v>
      </c>
      <c r="C25" s="614" t="s">
        <v>575</v>
      </c>
      <c r="D25" s="614" t="s">
        <v>84</v>
      </c>
      <c r="E25" s="615">
        <v>1638000</v>
      </c>
      <c r="F25" s="819">
        <v>6284.1</v>
      </c>
      <c r="G25" s="613">
        <v>2015</v>
      </c>
      <c r="H25" s="430" t="str">
        <f>VLOOKUP(D25,Source!F:F,1,FALSE)</f>
        <v>Cape Cod Comm. College</v>
      </c>
      <c r="I25" s="85"/>
      <c r="J25" s="85"/>
      <c r="K25" s="85"/>
    </row>
    <row r="26" spans="1:11" ht="16" x14ac:dyDescent="0.2">
      <c r="A26" s="124" t="str">
        <f t="shared" si="0"/>
        <v>Cape Cod Comm. College2016</v>
      </c>
      <c r="B26" s="613">
        <v>2016</v>
      </c>
      <c r="C26" s="614" t="s">
        <v>575</v>
      </c>
      <c r="D26" s="614" t="s">
        <v>84</v>
      </c>
      <c r="E26" s="615">
        <v>1652000</v>
      </c>
      <c r="F26" s="819">
        <v>6089.4</v>
      </c>
      <c r="G26" s="613">
        <v>2016</v>
      </c>
      <c r="H26" s="430" t="str">
        <f>VLOOKUP(D26,Source!F:F,1,FALSE)</f>
        <v>Cape Cod Comm. College</v>
      </c>
      <c r="I26" s="85"/>
      <c r="J26" s="85"/>
      <c r="K26" s="85"/>
    </row>
    <row r="27" spans="1:11" ht="16" x14ac:dyDescent="0.2">
      <c r="A27" s="124" t="str">
        <f t="shared" si="0"/>
        <v>Cape Cod Comm. College2017</v>
      </c>
      <c r="B27" s="613">
        <v>2017</v>
      </c>
      <c r="C27" s="614" t="s">
        <v>575</v>
      </c>
      <c r="D27" s="614" t="s">
        <v>84</v>
      </c>
      <c r="E27" s="615">
        <v>1146000</v>
      </c>
      <c r="F27" s="820">
        <v>4090</v>
      </c>
      <c r="G27" s="613">
        <v>2017</v>
      </c>
      <c r="H27" s="430" t="str">
        <f>VLOOKUP(D27,Source!F:F,1,FALSE)</f>
        <v>Cape Cod Comm. College</v>
      </c>
      <c r="I27" s="85"/>
      <c r="J27" s="85"/>
      <c r="K27" s="85"/>
    </row>
    <row r="28" spans="1:11" s="85" customFormat="1" ht="16" x14ac:dyDescent="0.2">
      <c r="A28" s="124" t="str">
        <f t="shared" ref="A28:A29" si="6">D28&amp;G28</f>
        <v>Cape Cod Comm. College2018</v>
      </c>
      <c r="B28" s="613">
        <v>2018</v>
      </c>
      <c r="C28" s="614" t="s">
        <v>575</v>
      </c>
      <c r="D28" s="614" t="s">
        <v>84</v>
      </c>
      <c r="E28" s="615" t="s">
        <v>1629</v>
      </c>
      <c r="F28" s="819" t="s">
        <v>1629</v>
      </c>
      <c r="G28" s="613">
        <v>2018</v>
      </c>
      <c r="H28" s="430" t="str">
        <f>VLOOKUP(D28,Source!F:F,1,FALSE)</f>
        <v>Cape Cod Comm. College</v>
      </c>
    </row>
    <row r="29" spans="1:11" s="85" customFormat="1" ht="16" x14ac:dyDescent="0.2">
      <c r="A29" s="124" t="str">
        <f t="shared" si="6"/>
        <v>Cape Cod Comm. College2019</v>
      </c>
      <c r="B29" s="613">
        <v>2019</v>
      </c>
      <c r="C29" s="614" t="s">
        <v>575</v>
      </c>
      <c r="D29" s="614" t="s">
        <v>84</v>
      </c>
      <c r="E29" s="615">
        <v>2034000</v>
      </c>
      <c r="F29" s="820">
        <v>7848</v>
      </c>
      <c r="G29" s="613">
        <v>2019</v>
      </c>
      <c r="H29" s="430" t="str">
        <f>VLOOKUP(D29,Source!F:F,1,FALSE)</f>
        <v>Cape Cod Comm. College</v>
      </c>
    </row>
    <row r="30" spans="1:11" s="85" customFormat="1" ht="16" x14ac:dyDescent="0.2">
      <c r="A30" s="124" t="str">
        <f t="shared" ref="A30" si="7">D30&amp;G30</f>
        <v>Cape Cod Comm. College2020</v>
      </c>
      <c r="B30" s="613">
        <v>2020</v>
      </c>
      <c r="C30" s="614" t="s">
        <v>575</v>
      </c>
      <c r="D30" s="614" t="s">
        <v>84</v>
      </c>
      <c r="E30" s="612" t="s">
        <v>1629</v>
      </c>
      <c r="F30" s="818" t="s">
        <v>1629</v>
      </c>
      <c r="G30" s="613">
        <v>2020</v>
      </c>
      <c r="H30" s="430" t="str">
        <f>VLOOKUP(D30,Source!F:F,1,FALSE)</f>
        <v>Cape Cod Comm. College</v>
      </c>
    </row>
    <row r="31" spans="1:11" s="430" customFormat="1" ht="16" x14ac:dyDescent="0.2">
      <c r="A31" s="435" t="str">
        <f t="shared" si="0"/>
        <v>Dept. of Correction2016</v>
      </c>
      <c r="B31" s="611">
        <v>2016</v>
      </c>
      <c r="C31" s="464" t="s">
        <v>640</v>
      </c>
      <c r="D31" s="464" t="s">
        <v>99</v>
      </c>
      <c r="E31" s="612">
        <v>7725439.1689999998</v>
      </c>
      <c r="F31" s="818">
        <v>0</v>
      </c>
      <c r="G31" s="611">
        <v>2016</v>
      </c>
      <c r="H31" s="430" t="str">
        <f>VLOOKUP(D31,Source!F:F,1,FALSE)</f>
        <v>Dept. of Correction</v>
      </c>
    </row>
    <row r="32" spans="1:11" s="430" customFormat="1" ht="16" x14ac:dyDescent="0.2">
      <c r="A32" s="435" t="str">
        <f t="shared" si="0"/>
        <v>Dept. of Correction2018</v>
      </c>
      <c r="B32" s="611">
        <v>2018</v>
      </c>
      <c r="C32" s="464" t="s">
        <v>640</v>
      </c>
      <c r="D32" s="464" t="s">
        <v>99</v>
      </c>
      <c r="E32" s="612">
        <v>8094838</v>
      </c>
      <c r="F32" s="818">
        <v>0</v>
      </c>
      <c r="G32" s="611">
        <v>2018</v>
      </c>
      <c r="H32" s="430" t="str">
        <f>VLOOKUP(D32,Source!F:F,1,FALSE)</f>
        <v>Dept. of Correction</v>
      </c>
    </row>
    <row r="33" spans="1:11" s="430" customFormat="1" ht="16" x14ac:dyDescent="0.2">
      <c r="A33" s="435" t="str">
        <f t="shared" ref="A33" si="8">D33&amp;G33</f>
        <v>Dept. of Correction2019</v>
      </c>
      <c r="B33" s="611">
        <v>2019</v>
      </c>
      <c r="C33" s="464" t="s">
        <v>640</v>
      </c>
      <c r="D33" s="464" t="s">
        <v>99</v>
      </c>
      <c r="E33" s="612">
        <v>107338489</v>
      </c>
      <c r="F33" s="818">
        <v>0</v>
      </c>
      <c r="G33" s="611">
        <v>2019</v>
      </c>
      <c r="H33" s="430" t="str">
        <f>VLOOKUP(D33,Source!F:F,1,FALSE)</f>
        <v>Dept. of Correction</v>
      </c>
    </row>
    <row r="34" spans="1:11" s="430" customFormat="1" ht="16" x14ac:dyDescent="0.2">
      <c r="A34" s="435" t="str">
        <f t="shared" ref="A34" si="9">D34&amp;G34</f>
        <v>Dept. of Correction2020</v>
      </c>
      <c r="B34" s="611">
        <v>2020</v>
      </c>
      <c r="C34" s="464" t="s">
        <v>640</v>
      </c>
      <c r="D34" s="464" t="s">
        <v>99</v>
      </c>
      <c r="E34" s="612">
        <v>42658137</v>
      </c>
      <c r="F34" s="818" t="s">
        <v>50</v>
      </c>
      <c r="G34" s="613">
        <v>2020</v>
      </c>
      <c r="H34" s="430" t="str">
        <f>VLOOKUP(D34,Source!F:F,1,FALSE)</f>
        <v>Dept. of Correction</v>
      </c>
    </row>
    <row r="35" spans="1:11" ht="16" x14ac:dyDescent="0.2">
      <c r="A35" s="124" t="str">
        <f t="shared" si="0"/>
        <v>Dept. of Fire Services2013</v>
      </c>
      <c r="B35" s="613">
        <v>2013</v>
      </c>
      <c r="C35" s="614" t="s">
        <v>640</v>
      </c>
      <c r="D35" s="614" t="s">
        <v>109</v>
      </c>
      <c r="E35" s="615">
        <v>768000</v>
      </c>
      <c r="F35" s="819">
        <v>5921</v>
      </c>
      <c r="G35" s="613">
        <v>2013</v>
      </c>
      <c r="H35" s="430" t="str">
        <f>VLOOKUP(D35,Source!F:F,1,FALSE)</f>
        <v>Dept. of Fire Services</v>
      </c>
      <c r="I35" s="85"/>
      <c r="J35" s="85"/>
      <c r="K35" s="85"/>
    </row>
    <row r="36" spans="1:11" ht="16" x14ac:dyDescent="0.2">
      <c r="A36" s="124" t="str">
        <f t="shared" si="0"/>
        <v>Dept. of Fire Services2014</v>
      </c>
      <c r="B36" s="613">
        <v>2014</v>
      </c>
      <c r="C36" s="614" t="s">
        <v>640</v>
      </c>
      <c r="D36" s="614" t="s">
        <v>109</v>
      </c>
      <c r="E36" s="615">
        <v>976000</v>
      </c>
      <c r="F36" s="819">
        <v>7279</v>
      </c>
      <c r="G36" s="613">
        <v>2014</v>
      </c>
      <c r="H36" s="430" t="str">
        <f>VLOOKUP(D36,Source!F:F,1,FALSE)</f>
        <v>Dept. of Fire Services</v>
      </c>
      <c r="I36" s="85"/>
      <c r="J36" s="85"/>
      <c r="K36" s="85"/>
    </row>
    <row r="37" spans="1:11" ht="16" x14ac:dyDescent="0.2">
      <c r="A37" s="124" t="str">
        <f t="shared" si="0"/>
        <v>Dept. of Fire Services2015</v>
      </c>
      <c r="B37" s="613">
        <v>2015</v>
      </c>
      <c r="C37" s="614" t="s">
        <v>640</v>
      </c>
      <c r="D37" s="614" t="s">
        <v>109</v>
      </c>
      <c r="E37" s="615">
        <v>293000</v>
      </c>
      <c r="F37" s="819">
        <v>3443</v>
      </c>
      <c r="G37" s="613">
        <v>2015</v>
      </c>
      <c r="H37" s="430" t="str">
        <f>VLOOKUP(D37,Source!F:F,1,FALSE)</f>
        <v>Dept. of Fire Services</v>
      </c>
      <c r="I37" s="85"/>
      <c r="J37" s="85"/>
      <c r="K37" s="85"/>
    </row>
    <row r="38" spans="1:11" ht="16" x14ac:dyDescent="0.2">
      <c r="A38" s="124" t="str">
        <f t="shared" si="0"/>
        <v>Dept. of Fire Services2016</v>
      </c>
      <c r="B38" s="613">
        <v>2016</v>
      </c>
      <c r="C38" s="614" t="s">
        <v>640</v>
      </c>
      <c r="D38" s="614" t="s">
        <v>109</v>
      </c>
      <c r="E38" s="615">
        <v>456000</v>
      </c>
      <c r="F38" s="819">
        <v>0</v>
      </c>
      <c r="G38" s="613">
        <v>2016</v>
      </c>
      <c r="H38" s="430" t="str">
        <f>VLOOKUP(D38,Source!F:F,1,FALSE)</f>
        <v>Dept. of Fire Services</v>
      </c>
    </row>
    <row r="39" spans="1:11" s="85" customFormat="1" ht="16" x14ac:dyDescent="0.2">
      <c r="A39" s="124" t="str">
        <f t="shared" ref="A39:A41" si="10">D39&amp;G39</f>
        <v>Dept. of Fire Services2017</v>
      </c>
      <c r="B39" s="613">
        <v>2017</v>
      </c>
      <c r="C39" s="614" t="s">
        <v>640</v>
      </c>
      <c r="D39" s="614" t="s">
        <v>109</v>
      </c>
      <c r="E39" s="615" t="s">
        <v>1629</v>
      </c>
      <c r="F39" s="819" t="s">
        <v>1629</v>
      </c>
      <c r="G39" s="613">
        <v>2017</v>
      </c>
      <c r="H39" s="430" t="str">
        <f>VLOOKUP(D39,Source!F:F,1,FALSE)</f>
        <v>Dept. of Fire Services</v>
      </c>
    </row>
    <row r="40" spans="1:11" s="85" customFormat="1" ht="16" x14ac:dyDescent="0.2">
      <c r="A40" s="124" t="str">
        <f t="shared" si="10"/>
        <v>Dept. of Fire Services2018</v>
      </c>
      <c r="B40" s="613">
        <v>2018</v>
      </c>
      <c r="C40" s="614" t="s">
        <v>640</v>
      </c>
      <c r="D40" s="614" t="s">
        <v>109</v>
      </c>
      <c r="E40" s="615" t="s">
        <v>1629</v>
      </c>
      <c r="F40" s="819" t="s">
        <v>1629</v>
      </c>
      <c r="G40" s="613">
        <v>2018</v>
      </c>
      <c r="H40" s="430" t="str">
        <f>VLOOKUP(D40,Source!F:F,1,FALSE)</f>
        <v>Dept. of Fire Services</v>
      </c>
    </row>
    <row r="41" spans="1:11" s="85" customFormat="1" ht="16" x14ac:dyDescent="0.2">
      <c r="A41" s="124" t="str">
        <f t="shared" si="10"/>
        <v>Dept. of Fire Services2019</v>
      </c>
      <c r="B41" s="613">
        <v>2019</v>
      </c>
      <c r="C41" s="614" t="s">
        <v>640</v>
      </c>
      <c r="D41" s="614" t="s">
        <v>109</v>
      </c>
      <c r="E41" s="615" t="s">
        <v>1629</v>
      </c>
      <c r="F41" s="819" t="s">
        <v>1629</v>
      </c>
      <c r="G41" s="613">
        <v>2019</v>
      </c>
      <c r="H41" s="430" t="str">
        <f>VLOOKUP(D41,Source!F:F,1,FALSE)</f>
        <v>Dept. of Fire Services</v>
      </c>
    </row>
    <row r="42" spans="1:11" s="85" customFormat="1" ht="16" x14ac:dyDescent="0.2">
      <c r="A42" s="124" t="str">
        <f t="shared" ref="A42" si="11">D42&amp;G42</f>
        <v>Dept. of Fire Services2020</v>
      </c>
      <c r="B42" s="613">
        <v>2020</v>
      </c>
      <c r="C42" s="614" t="s">
        <v>640</v>
      </c>
      <c r="D42" s="614" t="s">
        <v>109</v>
      </c>
      <c r="E42" s="612" t="s">
        <v>1629</v>
      </c>
      <c r="F42" s="818" t="s">
        <v>1629</v>
      </c>
      <c r="G42" s="613">
        <v>2020</v>
      </c>
      <c r="H42" s="430" t="str">
        <f>VLOOKUP(D42,Source!F:F,1,FALSE)</f>
        <v>Dept. of Fire Services</v>
      </c>
    </row>
    <row r="43" spans="1:11" s="430" customFormat="1" ht="16" x14ac:dyDescent="0.2">
      <c r="A43" s="435" t="str">
        <f t="shared" si="0"/>
        <v>Fitchburg State University2013</v>
      </c>
      <c r="B43" s="611">
        <v>2013</v>
      </c>
      <c r="C43" s="464" t="s">
        <v>575</v>
      </c>
      <c r="D43" s="464" t="s">
        <v>117</v>
      </c>
      <c r="E43" s="612">
        <v>33432000</v>
      </c>
      <c r="F43" s="818">
        <v>161466.32999999999</v>
      </c>
      <c r="G43" s="611">
        <v>2013</v>
      </c>
      <c r="H43" s="430" t="str">
        <f>VLOOKUP(D43,Source!F:F,1,FALSE)</f>
        <v>Fitchburg State University</v>
      </c>
    </row>
    <row r="44" spans="1:11" s="430" customFormat="1" ht="16" x14ac:dyDescent="0.2">
      <c r="A44" s="435" t="str">
        <f t="shared" si="0"/>
        <v>Fitchburg State University2014</v>
      </c>
      <c r="B44" s="611">
        <v>2014</v>
      </c>
      <c r="C44" s="464" t="s">
        <v>575</v>
      </c>
      <c r="D44" s="464" t="s">
        <v>117</v>
      </c>
      <c r="E44" s="612">
        <v>29689500</v>
      </c>
      <c r="F44" s="818">
        <v>149911.6</v>
      </c>
      <c r="G44" s="611">
        <v>2014</v>
      </c>
      <c r="H44" s="430" t="str">
        <f>VLOOKUP(D44,Source!F:F,1,FALSE)</f>
        <v>Fitchburg State University</v>
      </c>
    </row>
    <row r="45" spans="1:11" s="430" customFormat="1" ht="16" x14ac:dyDescent="0.2">
      <c r="A45" s="435" t="str">
        <f t="shared" si="0"/>
        <v>Fitchburg State University2015</v>
      </c>
      <c r="B45" s="611">
        <v>2015</v>
      </c>
      <c r="C45" s="464" t="s">
        <v>575</v>
      </c>
      <c r="D45" s="464" t="s">
        <v>117</v>
      </c>
      <c r="E45" s="612">
        <v>28621500</v>
      </c>
      <c r="F45" s="818">
        <v>144210.47</v>
      </c>
      <c r="G45" s="611">
        <v>2015</v>
      </c>
      <c r="H45" s="430" t="str">
        <f>VLOOKUP(D45,Source!F:F,1,FALSE)</f>
        <v>Fitchburg State University</v>
      </c>
    </row>
    <row r="46" spans="1:11" s="430" customFormat="1" ht="16" x14ac:dyDescent="0.2">
      <c r="A46" s="435" t="str">
        <f t="shared" si="0"/>
        <v>Fitchburg State University2016</v>
      </c>
      <c r="B46" s="611">
        <v>2016</v>
      </c>
      <c r="C46" s="464" t="s">
        <v>575</v>
      </c>
      <c r="D46" s="464" t="s">
        <v>117</v>
      </c>
      <c r="E46" s="612">
        <v>32001750</v>
      </c>
      <c r="F46" s="818">
        <v>156215.71</v>
      </c>
      <c r="G46" s="611">
        <v>2016</v>
      </c>
      <c r="H46" s="430" t="str">
        <f>VLOOKUP(D46,Source!F:F,1,FALSE)</f>
        <v>Fitchburg State University</v>
      </c>
    </row>
    <row r="47" spans="1:11" s="430" customFormat="1" ht="16" x14ac:dyDescent="0.2">
      <c r="A47" s="435" t="str">
        <f t="shared" si="0"/>
        <v>Fitchburg State University2017</v>
      </c>
      <c r="B47" s="611">
        <v>2017</v>
      </c>
      <c r="C47" s="464" t="s">
        <v>575</v>
      </c>
      <c r="D47" s="464" t="s">
        <v>117</v>
      </c>
      <c r="E47" s="612">
        <v>33650250</v>
      </c>
      <c r="F47" s="818">
        <v>184962.5</v>
      </c>
      <c r="G47" s="611">
        <v>2017</v>
      </c>
      <c r="H47" s="430" t="str">
        <f>VLOOKUP(D47,Source!F:F,1,FALSE)</f>
        <v>Fitchburg State University</v>
      </c>
    </row>
    <row r="48" spans="1:11" s="430" customFormat="1" ht="16" x14ac:dyDescent="0.2">
      <c r="A48" s="435" t="str">
        <f t="shared" si="0"/>
        <v>Fitchburg State University2018</v>
      </c>
      <c r="B48" s="611">
        <v>2018</v>
      </c>
      <c r="C48" s="464" t="s">
        <v>575</v>
      </c>
      <c r="D48" s="464" t="s">
        <v>117</v>
      </c>
      <c r="E48" s="612">
        <v>31810030</v>
      </c>
      <c r="F48" s="818">
        <v>187658</v>
      </c>
      <c r="G48" s="611">
        <v>2018</v>
      </c>
      <c r="H48" s="430" t="str">
        <f>VLOOKUP(D48,Source!F:F,1,FALSE)</f>
        <v>Fitchburg State University</v>
      </c>
    </row>
    <row r="49" spans="1:8" s="430" customFormat="1" ht="16" x14ac:dyDescent="0.2">
      <c r="A49" s="435" t="str">
        <f t="shared" ref="A49" si="12">D49&amp;G49</f>
        <v>Fitchburg State University2019</v>
      </c>
      <c r="B49" s="611">
        <v>2019</v>
      </c>
      <c r="C49" s="464" t="s">
        <v>575</v>
      </c>
      <c r="D49" s="464" t="s">
        <v>117</v>
      </c>
      <c r="E49" s="612">
        <v>30823353</v>
      </c>
      <c r="F49" s="818">
        <v>193810</v>
      </c>
      <c r="G49" s="611">
        <v>2019</v>
      </c>
      <c r="H49" s="430" t="str">
        <f>VLOOKUP(D49,Source!F:F,1,FALSE)</f>
        <v>Fitchburg State University</v>
      </c>
    </row>
    <row r="50" spans="1:8" s="430" customFormat="1" ht="16" x14ac:dyDescent="0.2">
      <c r="A50" s="435" t="str">
        <f t="shared" ref="A50" si="13">D50&amp;G50</f>
        <v>Fitchburg State University2020</v>
      </c>
      <c r="B50" s="611">
        <v>2020</v>
      </c>
      <c r="C50" s="464" t="s">
        <v>575</v>
      </c>
      <c r="D50" s="464" t="s">
        <v>117</v>
      </c>
      <c r="E50" s="612" t="s">
        <v>1629</v>
      </c>
      <c r="F50" s="818" t="s">
        <v>1629</v>
      </c>
      <c r="G50" s="613">
        <v>2020</v>
      </c>
      <c r="H50" s="430" t="str">
        <f>VLOOKUP(D50,Source!F:F,1,FALSE)</f>
        <v>Fitchburg State University</v>
      </c>
    </row>
    <row r="51" spans="1:8" s="430" customFormat="1" ht="16" x14ac:dyDescent="0.2">
      <c r="A51" s="435" t="str">
        <f t="shared" si="0"/>
        <v>Framingham State University2013</v>
      </c>
      <c r="B51" s="611">
        <v>2013</v>
      </c>
      <c r="C51" s="464" t="s">
        <v>575</v>
      </c>
      <c r="D51" s="464" t="s">
        <v>130</v>
      </c>
      <c r="E51" s="612">
        <v>23214000</v>
      </c>
      <c r="F51" s="818">
        <v>513295</v>
      </c>
      <c r="G51" s="611">
        <v>2013</v>
      </c>
      <c r="H51" s="430" t="str">
        <f>VLOOKUP(D51,Source!F:F,1,FALSE)</f>
        <v>Framingham State University</v>
      </c>
    </row>
    <row r="52" spans="1:8" s="430" customFormat="1" ht="16" x14ac:dyDescent="0.2">
      <c r="A52" s="435" t="str">
        <f t="shared" si="0"/>
        <v>Framingham State University2014</v>
      </c>
      <c r="B52" s="611">
        <v>2014</v>
      </c>
      <c r="C52" s="464" t="s">
        <v>575</v>
      </c>
      <c r="D52" s="464" t="s">
        <v>130</v>
      </c>
      <c r="E52" s="612">
        <v>22743000</v>
      </c>
      <c r="F52" s="818">
        <v>611490</v>
      </c>
      <c r="G52" s="611">
        <v>2014</v>
      </c>
      <c r="H52" s="430" t="str">
        <f>VLOOKUP(D52,Source!F:F,1,FALSE)</f>
        <v>Framingham State University</v>
      </c>
    </row>
    <row r="53" spans="1:8" s="430" customFormat="1" ht="16" x14ac:dyDescent="0.2">
      <c r="A53" s="435" t="str">
        <f t="shared" si="0"/>
        <v>Framingham State University2015</v>
      </c>
      <c r="B53" s="611">
        <v>2015</v>
      </c>
      <c r="C53" s="464" t="s">
        <v>575</v>
      </c>
      <c r="D53" s="464" t="s">
        <v>130</v>
      </c>
      <c r="E53" s="612">
        <v>21532500</v>
      </c>
      <c r="F53" s="818">
        <v>692391</v>
      </c>
      <c r="G53" s="611">
        <v>2015</v>
      </c>
      <c r="H53" s="430" t="str">
        <f>VLOOKUP(D53,Source!F:F,1,FALSE)</f>
        <v>Framingham State University</v>
      </c>
    </row>
    <row r="54" spans="1:8" s="430" customFormat="1" ht="16" x14ac:dyDescent="0.2">
      <c r="A54" s="435" t="str">
        <f t="shared" si="0"/>
        <v>Framingham State University2016</v>
      </c>
      <c r="B54" s="611">
        <v>2016</v>
      </c>
      <c r="C54" s="464" t="s">
        <v>575</v>
      </c>
      <c r="D54" s="464" t="s">
        <v>130</v>
      </c>
      <c r="E54" s="612">
        <v>23590500</v>
      </c>
      <c r="F54" s="818">
        <v>712214.86</v>
      </c>
      <c r="G54" s="611">
        <v>2016</v>
      </c>
      <c r="H54" s="430" t="str">
        <f>VLOOKUP(D54,Source!F:F,1,FALSE)</f>
        <v>Framingham State University</v>
      </c>
    </row>
    <row r="55" spans="1:8" s="430" customFormat="1" ht="16" x14ac:dyDescent="0.2">
      <c r="A55" s="435" t="str">
        <f t="shared" si="0"/>
        <v>Framingham State University2017</v>
      </c>
      <c r="B55" s="611">
        <v>2017</v>
      </c>
      <c r="C55" s="464" t="s">
        <v>575</v>
      </c>
      <c r="D55" s="464" t="s">
        <v>130</v>
      </c>
      <c r="E55" s="612">
        <v>24900750</v>
      </c>
      <c r="F55" s="818">
        <v>779792</v>
      </c>
      <c r="G55" s="611">
        <v>2017</v>
      </c>
      <c r="H55" s="430" t="str">
        <f>VLOOKUP(D55,Source!F:F,1,FALSE)</f>
        <v>Framingham State University</v>
      </c>
    </row>
    <row r="56" spans="1:8" s="430" customFormat="1" ht="16" x14ac:dyDescent="0.2">
      <c r="A56" s="435" t="str">
        <f t="shared" si="0"/>
        <v>Framingham State University2018</v>
      </c>
      <c r="B56" s="611">
        <v>2018</v>
      </c>
      <c r="C56" s="464" t="s">
        <v>575</v>
      </c>
      <c r="D56" s="464" t="s">
        <v>130</v>
      </c>
      <c r="E56" s="612">
        <v>23178000</v>
      </c>
      <c r="F56" s="818">
        <v>712214.86</v>
      </c>
      <c r="G56" s="611">
        <v>2018</v>
      </c>
      <c r="H56" s="430" t="str">
        <f>VLOOKUP(D56,Source!F:F,1,FALSE)</f>
        <v>Framingham State University</v>
      </c>
    </row>
    <row r="57" spans="1:8" s="430" customFormat="1" ht="16" x14ac:dyDescent="0.2">
      <c r="A57" s="435" t="str">
        <f t="shared" ref="A57" si="14">D57&amp;G57</f>
        <v>Framingham State University2019</v>
      </c>
      <c r="B57" s="611">
        <v>2019</v>
      </c>
      <c r="C57" s="464" t="s">
        <v>575</v>
      </c>
      <c r="D57" s="464" t="s">
        <v>130</v>
      </c>
      <c r="E57" s="612">
        <v>21995250</v>
      </c>
      <c r="F57" s="818">
        <v>747452</v>
      </c>
      <c r="G57" s="611">
        <v>2019</v>
      </c>
      <c r="H57" s="430" t="str">
        <f>VLOOKUP(D57,Source!F:F,1,FALSE)</f>
        <v>Framingham State University</v>
      </c>
    </row>
    <row r="58" spans="1:8" s="430" customFormat="1" ht="16" x14ac:dyDescent="0.2">
      <c r="A58" s="435" t="str">
        <f t="shared" ref="A58" si="15">D58&amp;G58</f>
        <v>Framingham State University2020</v>
      </c>
      <c r="B58" s="611">
        <v>2020</v>
      </c>
      <c r="C58" s="464" t="s">
        <v>575</v>
      </c>
      <c r="D58" s="464" t="s">
        <v>130</v>
      </c>
      <c r="E58" s="612">
        <v>19051102</v>
      </c>
      <c r="F58" s="818">
        <v>649361.09</v>
      </c>
      <c r="G58" s="613">
        <v>2020</v>
      </c>
      <c r="H58" s="430" t="str">
        <f>VLOOKUP(D58,Source!F:F,1,FALSE)</f>
        <v>Framingham State University</v>
      </c>
    </row>
    <row r="59" spans="1:8" s="430" customFormat="1" ht="16" x14ac:dyDescent="0.2">
      <c r="A59" s="435" t="str">
        <f t="shared" ref="A59:A108" si="16">D59&amp;G59</f>
        <v>Greenfield Comm. College2013</v>
      </c>
      <c r="B59" s="611">
        <v>2013</v>
      </c>
      <c r="C59" s="464" t="s">
        <v>575</v>
      </c>
      <c r="D59" s="464" t="s">
        <v>143</v>
      </c>
      <c r="E59" s="612">
        <v>1836000</v>
      </c>
      <c r="F59" s="818">
        <v>6462.72</v>
      </c>
      <c r="G59" s="611">
        <v>2013</v>
      </c>
      <c r="H59" s="430" t="str">
        <f>VLOOKUP(D59,Source!F:F,1,FALSE)</f>
        <v>Greenfield Comm. College</v>
      </c>
    </row>
    <row r="60" spans="1:8" s="430" customFormat="1" ht="16" x14ac:dyDescent="0.2">
      <c r="A60" s="435" t="str">
        <f t="shared" si="16"/>
        <v>Greenfield Comm. College2014</v>
      </c>
      <c r="B60" s="611">
        <v>2014</v>
      </c>
      <c r="C60" s="464" t="s">
        <v>575</v>
      </c>
      <c r="D60" s="464" t="s">
        <v>143</v>
      </c>
      <c r="E60" s="612">
        <v>2143500</v>
      </c>
      <c r="F60" s="818">
        <v>7630.86</v>
      </c>
      <c r="G60" s="611">
        <v>2014</v>
      </c>
      <c r="H60" s="430" t="str">
        <f>VLOOKUP(D60,Source!F:F,1,FALSE)</f>
        <v>Greenfield Comm. College</v>
      </c>
    </row>
    <row r="61" spans="1:8" s="430" customFormat="1" ht="16" x14ac:dyDescent="0.2">
      <c r="A61" s="435" t="str">
        <f t="shared" si="16"/>
        <v>Greenfield Comm. College2015</v>
      </c>
      <c r="B61" s="611">
        <v>2015</v>
      </c>
      <c r="C61" s="464" t="s">
        <v>575</v>
      </c>
      <c r="D61" s="464" t="s">
        <v>143</v>
      </c>
      <c r="E61" s="612">
        <v>1504500</v>
      </c>
      <c r="F61" s="821">
        <v>5356.02</v>
      </c>
      <c r="G61" s="611">
        <v>2015</v>
      </c>
      <c r="H61" s="430" t="str">
        <f>VLOOKUP(D61,Source!F:F,1,FALSE)</f>
        <v>Greenfield Comm. College</v>
      </c>
    </row>
    <row r="62" spans="1:8" s="430" customFormat="1" ht="16" x14ac:dyDescent="0.2">
      <c r="A62" s="435" t="str">
        <f t="shared" si="16"/>
        <v>Greenfield Comm. College2016</v>
      </c>
      <c r="B62" s="611">
        <v>2016</v>
      </c>
      <c r="C62" s="464" t="s">
        <v>575</v>
      </c>
      <c r="D62" s="464" t="s">
        <v>143</v>
      </c>
      <c r="E62" s="616">
        <v>2187152</v>
      </c>
      <c r="F62" s="821">
        <v>7807.08</v>
      </c>
      <c r="G62" s="611">
        <v>2016</v>
      </c>
      <c r="H62" s="430" t="str">
        <f>VLOOKUP(D62,Source!F:F,1,FALSE)</f>
        <v>Greenfield Comm. College</v>
      </c>
    </row>
    <row r="63" spans="1:8" s="430" customFormat="1" ht="16" x14ac:dyDescent="0.2">
      <c r="A63" s="435" t="str">
        <f t="shared" si="16"/>
        <v>Greenfield Comm. College2017</v>
      </c>
      <c r="B63" s="611">
        <v>2017</v>
      </c>
      <c r="C63" s="464" t="s">
        <v>575</v>
      </c>
      <c r="D63" s="464" t="s">
        <v>143</v>
      </c>
      <c r="E63" s="612">
        <v>2109567</v>
      </c>
      <c r="F63" s="818">
        <v>7510.05</v>
      </c>
      <c r="G63" s="611">
        <v>2017</v>
      </c>
      <c r="H63" s="430" t="str">
        <f>VLOOKUP(D63,Source!F:F,1,FALSE)</f>
        <v>Greenfield Comm. College</v>
      </c>
    </row>
    <row r="64" spans="1:8" s="430" customFormat="1" ht="16" x14ac:dyDescent="0.2">
      <c r="A64" s="435" t="str">
        <f t="shared" si="16"/>
        <v>Greenfield Comm. College2018</v>
      </c>
      <c r="B64" s="611">
        <v>2018</v>
      </c>
      <c r="C64" s="464" t="s">
        <v>575</v>
      </c>
      <c r="D64" s="464" t="s">
        <v>143</v>
      </c>
      <c r="E64" s="612">
        <v>2146740</v>
      </c>
      <c r="F64" s="818">
        <v>7648.1</v>
      </c>
      <c r="G64" s="611">
        <v>2018</v>
      </c>
      <c r="H64" s="430" t="str">
        <f>VLOOKUP(D64,Source!F:F,1,FALSE)</f>
        <v>Greenfield Comm. College</v>
      </c>
    </row>
    <row r="65" spans="1:8" s="430" customFormat="1" ht="16" x14ac:dyDescent="0.2">
      <c r="A65" s="435" t="str">
        <f t="shared" ref="A65" si="17">D65&amp;G65</f>
        <v>Greenfield Comm. College2019</v>
      </c>
      <c r="B65" s="611">
        <v>2019</v>
      </c>
      <c r="C65" s="464" t="s">
        <v>575</v>
      </c>
      <c r="D65" s="464" t="s">
        <v>143</v>
      </c>
      <c r="E65" s="612">
        <v>2147819</v>
      </c>
      <c r="F65" s="818">
        <v>7646</v>
      </c>
      <c r="G65" s="611">
        <v>2019</v>
      </c>
      <c r="H65" s="430" t="str">
        <f>VLOOKUP(D65,Source!F:F,1,FALSE)</f>
        <v>Greenfield Comm. College</v>
      </c>
    </row>
    <row r="66" spans="1:8" s="430" customFormat="1" ht="16" x14ac:dyDescent="0.2">
      <c r="A66" s="435" t="str">
        <f t="shared" ref="A66" si="18">D66&amp;G66</f>
        <v>Greenfield Comm. College2020</v>
      </c>
      <c r="B66" s="611">
        <v>2020</v>
      </c>
      <c r="C66" s="464" t="s">
        <v>575</v>
      </c>
      <c r="D66" s="464" t="s">
        <v>143</v>
      </c>
      <c r="E66" s="612" t="s">
        <v>1629</v>
      </c>
      <c r="F66" s="818" t="s">
        <v>1629</v>
      </c>
      <c r="G66" s="613">
        <v>2020</v>
      </c>
      <c r="H66" s="430" t="str">
        <f>VLOOKUP(D66,Source!F:F,1,FALSE)</f>
        <v>Greenfield Comm. College</v>
      </c>
    </row>
    <row r="67" spans="1:8" ht="16" x14ac:dyDescent="0.2">
      <c r="A67" s="124" t="str">
        <f t="shared" si="16"/>
        <v>Holyoke Comm. College2014</v>
      </c>
      <c r="B67" s="613">
        <v>2014</v>
      </c>
      <c r="C67" s="614" t="s">
        <v>575</v>
      </c>
      <c r="D67" s="614" t="s">
        <v>150</v>
      </c>
      <c r="E67" s="615">
        <v>10280000</v>
      </c>
      <c r="F67" s="819">
        <v>44204</v>
      </c>
      <c r="G67" s="613">
        <v>2014</v>
      </c>
      <c r="H67" s="430" t="str">
        <f>VLOOKUP(D67,Source!F:F,1,FALSE)</f>
        <v>Holyoke Comm. College</v>
      </c>
    </row>
    <row r="68" spans="1:8" ht="16" x14ac:dyDescent="0.2">
      <c r="A68" s="124" t="str">
        <f t="shared" si="16"/>
        <v>Holyoke Comm. College2015</v>
      </c>
      <c r="B68" s="613">
        <v>2015</v>
      </c>
      <c r="C68" s="614" t="s">
        <v>575</v>
      </c>
      <c r="D68" s="614" t="s">
        <v>150</v>
      </c>
      <c r="E68" s="615">
        <v>10456066</v>
      </c>
      <c r="F68" s="819">
        <v>44961</v>
      </c>
      <c r="G68" s="613">
        <v>2015</v>
      </c>
      <c r="H68" s="430" t="str">
        <f>VLOOKUP(D68,Source!F:F,1,FALSE)</f>
        <v>Holyoke Comm. College</v>
      </c>
    </row>
    <row r="69" spans="1:8" ht="16" x14ac:dyDescent="0.2">
      <c r="A69" s="124" t="str">
        <f t="shared" si="16"/>
        <v>Holyoke Comm. College2016</v>
      </c>
      <c r="B69" s="613">
        <v>2016</v>
      </c>
      <c r="C69" s="614" t="s">
        <v>575</v>
      </c>
      <c r="D69" s="614" t="s">
        <v>150</v>
      </c>
      <c r="E69" s="615">
        <v>19122500</v>
      </c>
      <c r="F69" s="819">
        <v>82227</v>
      </c>
      <c r="G69" s="613">
        <v>2016</v>
      </c>
      <c r="H69" s="430" t="str">
        <f>VLOOKUP(D69,Source!F:F,1,FALSE)</f>
        <v>Holyoke Comm. College</v>
      </c>
    </row>
    <row r="70" spans="1:8" ht="16" x14ac:dyDescent="0.2">
      <c r="A70" s="124" t="str">
        <f t="shared" si="16"/>
        <v>Holyoke Comm. College2017</v>
      </c>
      <c r="B70" s="613">
        <v>2017</v>
      </c>
      <c r="C70" s="614" t="s">
        <v>575</v>
      </c>
      <c r="D70" s="614" t="s">
        <v>150</v>
      </c>
      <c r="E70" s="615">
        <v>12260110</v>
      </c>
      <c r="F70" s="819">
        <v>52718.47</v>
      </c>
      <c r="G70" s="613">
        <v>2017</v>
      </c>
      <c r="H70" s="430" t="str">
        <f>VLOOKUP(D70,Source!F:F,1,FALSE)</f>
        <v>Holyoke Comm. College</v>
      </c>
    </row>
    <row r="71" spans="1:8" s="85" customFormat="1" ht="16" x14ac:dyDescent="0.2">
      <c r="A71" s="124" t="str">
        <f t="shared" si="16"/>
        <v>Holyoke Comm. College2018</v>
      </c>
      <c r="B71" s="613">
        <v>2018</v>
      </c>
      <c r="C71" s="614" t="s">
        <v>575</v>
      </c>
      <c r="D71" s="614" t="s">
        <v>150</v>
      </c>
      <c r="E71" s="615">
        <v>13418050</v>
      </c>
      <c r="F71" s="819">
        <v>57697</v>
      </c>
      <c r="G71" s="613">
        <v>2018</v>
      </c>
      <c r="H71" s="430" t="str">
        <f>VLOOKUP(D71,Source!F:F,1,FALSE)</f>
        <v>Holyoke Comm. College</v>
      </c>
    </row>
    <row r="72" spans="1:8" s="85" customFormat="1" ht="16" x14ac:dyDescent="0.2">
      <c r="A72" s="124" t="str">
        <f t="shared" ref="A72" si="19">D72&amp;G72</f>
        <v>Holyoke Comm. College2019</v>
      </c>
      <c r="B72" s="613">
        <v>2019</v>
      </c>
      <c r="C72" s="614" t="s">
        <v>575</v>
      </c>
      <c r="D72" s="614" t="s">
        <v>150</v>
      </c>
      <c r="E72" s="615">
        <v>12396440</v>
      </c>
      <c r="F72" s="819">
        <v>58263.27</v>
      </c>
      <c r="G72" s="613">
        <v>2019</v>
      </c>
      <c r="H72" s="430" t="str">
        <f>VLOOKUP(D72,Source!F:F,1,FALSE)</f>
        <v>Holyoke Comm. College</v>
      </c>
    </row>
    <row r="73" spans="1:8" s="85" customFormat="1" ht="16" x14ac:dyDescent="0.2">
      <c r="A73" s="124" t="str">
        <f t="shared" ref="A73" si="20">D73&amp;G73</f>
        <v>Holyoke Comm. College2020</v>
      </c>
      <c r="B73" s="613">
        <v>2020</v>
      </c>
      <c r="C73" s="614" t="s">
        <v>575</v>
      </c>
      <c r="D73" s="614" t="s">
        <v>150</v>
      </c>
      <c r="E73" s="612" t="s">
        <v>1629</v>
      </c>
      <c r="F73" s="818" t="s">
        <v>1629</v>
      </c>
      <c r="G73" s="613">
        <v>2020</v>
      </c>
      <c r="H73" s="430" t="str">
        <f>VLOOKUP(D73,Source!F:F,1,FALSE)</f>
        <v>Holyoke Comm. College</v>
      </c>
    </row>
    <row r="74" spans="1:8" ht="16" x14ac:dyDescent="0.2">
      <c r="A74" s="124" t="str">
        <f t="shared" si="16"/>
        <v>Holyoke Soldier's Home2013</v>
      </c>
      <c r="B74" s="613">
        <v>2013</v>
      </c>
      <c r="C74" s="614" t="s">
        <v>623</v>
      </c>
      <c r="D74" s="614" t="s">
        <v>154</v>
      </c>
      <c r="E74" s="615">
        <v>5103200</v>
      </c>
      <c r="F74" s="819">
        <v>2198969</v>
      </c>
      <c r="G74" s="613">
        <v>2013</v>
      </c>
      <c r="H74" s="430" t="str">
        <f>VLOOKUP(D74,Source!F:F,1,FALSE)</f>
        <v>Holyoke Soldier's Home</v>
      </c>
    </row>
    <row r="75" spans="1:8" ht="16" x14ac:dyDescent="0.2">
      <c r="A75" s="124" t="str">
        <f t="shared" si="16"/>
        <v>Holyoke Soldier's Home2014</v>
      </c>
      <c r="B75" s="613">
        <v>2014</v>
      </c>
      <c r="C75" s="614" t="s">
        <v>623</v>
      </c>
      <c r="D75" s="614" t="s">
        <v>154</v>
      </c>
      <c r="E75" s="615">
        <v>6917800</v>
      </c>
      <c r="F75" s="819">
        <v>2980880</v>
      </c>
      <c r="G75" s="613">
        <v>2014</v>
      </c>
      <c r="H75" s="430" t="str">
        <f>VLOOKUP(D75,Source!F:F,1,FALSE)</f>
        <v>Holyoke Soldier's Home</v>
      </c>
    </row>
    <row r="76" spans="1:8" ht="16" x14ac:dyDescent="0.2">
      <c r="A76" s="124" t="str">
        <f t="shared" si="16"/>
        <v>Holyoke Soldier's Home2015</v>
      </c>
      <c r="B76" s="613">
        <v>2015</v>
      </c>
      <c r="C76" s="614" t="s">
        <v>623</v>
      </c>
      <c r="D76" s="614" t="s">
        <v>154</v>
      </c>
      <c r="E76" s="615" t="s">
        <v>1629</v>
      </c>
      <c r="F76" s="819" t="s">
        <v>1629</v>
      </c>
      <c r="G76" s="613">
        <v>2015</v>
      </c>
      <c r="H76" s="430" t="str">
        <f>VLOOKUP(D76,Source!F:F,1,FALSE)</f>
        <v>Holyoke Soldier's Home</v>
      </c>
    </row>
    <row r="77" spans="1:8" ht="16" x14ac:dyDescent="0.2">
      <c r="A77" s="124" t="str">
        <f t="shared" si="16"/>
        <v>Holyoke Soldier's Home2016</v>
      </c>
      <c r="B77" s="613">
        <v>2016</v>
      </c>
      <c r="C77" s="614" t="s">
        <v>623</v>
      </c>
      <c r="D77" s="614" t="s">
        <v>154</v>
      </c>
      <c r="E77" s="615" t="s">
        <v>1629</v>
      </c>
      <c r="F77" s="819" t="s">
        <v>1629</v>
      </c>
      <c r="G77" s="613">
        <v>2016</v>
      </c>
      <c r="H77" s="430" t="str">
        <f>VLOOKUP(D77,Source!F:F,1,FALSE)</f>
        <v>Holyoke Soldier's Home</v>
      </c>
    </row>
    <row r="78" spans="1:8" ht="16" x14ac:dyDescent="0.2">
      <c r="A78" s="124" t="str">
        <f t="shared" si="16"/>
        <v>Holyoke Soldier's Home2017</v>
      </c>
      <c r="B78" s="613">
        <v>2017</v>
      </c>
      <c r="C78" s="614" t="s">
        <v>623</v>
      </c>
      <c r="D78" s="614" t="s">
        <v>154</v>
      </c>
      <c r="E78" s="615">
        <v>4595800</v>
      </c>
      <c r="F78" s="819">
        <v>20708.939999999999</v>
      </c>
      <c r="G78" s="613">
        <v>2017</v>
      </c>
      <c r="H78" s="430" t="str">
        <f>VLOOKUP(D78,Source!F:F,1,FALSE)</f>
        <v>Holyoke Soldier's Home</v>
      </c>
    </row>
    <row r="79" spans="1:8" s="85" customFormat="1" ht="16" x14ac:dyDescent="0.2">
      <c r="A79" s="124" t="str">
        <f t="shared" ref="A79:A80" si="21">D79&amp;G79</f>
        <v>Holyoke Soldier's Home2018</v>
      </c>
      <c r="B79" s="613">
        <v>2018</v>
      </c>
      <c r="C79" s="614" t="s">
        <v>623</v>
      </c>
      <c r="D79" s="614" t="s">
        <v>154</v>
      </c>
      <c r="E79" s="615" t="s">
        <v>1629</v>
      </c>
      <c r="F79" s="819" t="s">
        <v>1629</v>
      </c>
      <c r="G79" s="613">
        <v>2018</v>
      </c>
      <c r="H79" s="430" t="str">
        <f>VLOOKUP(D79,Source!F:F,1,FALSE)</f>
        <v>Holyoke Soldier's Home</v>
      </c>
    </row>
    <row r="80" spans="1:8" s="85" customFormat="1" ht="16" x14ac:dyDescent="0.2">
      <c r="A80" s="124" t="str">
        <f t="shared" si="21"/>
        <v>Holyoke Soldier's Home2019</v>
      </c>
      <c r="B80" s="613">
        <v>2019</v>
      </c>
      <c r="C80" s="614" t="s">
        <v>623</v>
      </c>
      <c r="D80" s="614" t="s">
        <v>154</v>
      </c>
      <c r="E80" s="615" t="s">
        <v>1629</v>
      </c>
      <c r="F80" s="819" t="s">
        <v>1629</v>
      </c>
      <c r="G80" s="613">
        <v>2019</v>
      </c>
      <c r="H80" s="430" t="str">
        <f>VLOOKUP(D80,Source!F:F,1,FALSE)</f>
        <v>Holyoke Soldier's Home</v>
      </c>
    </row>
    <row r="81" spans="1:8" s="85" customFormat="1" ht="16" x14ac:dyDescent="0.2">
      <c r="A81" s="124" t="str">
        <f t="shared" ref="A81" si="22">D81&amp;G81</f>
        <v>Holyoke Soldier's Home2020</v>
      </c>
      <c r="B81" s="613">
        <v>2020</v>
      </c>
      <c r="C81" s="614" t="s">
        <v>623</v>
      </c>
      <c r="D81" s="614" t="s">
        <v>154</v>
      </c>
      <c r="E81" s="612" t="s">
        <v>1629</v>
      </c>
      <c r="F81" s="818" t="s">
        <v>1629</v>
      </c>
      <c r="G81" s="613">
        <v>2020</v>
      </c>
      <c r="H81" s="430" t="str">
        <f>VLOOKUP(D81,Source!F:F,1,FALSE)</f>
        <v>Holyoke Soldier's Home</v>
      </c>
    </row>
    <row r="82" spans="1:8" ht="16" x14ac:dyDescent="0.2">
      <c r="A82" s="124" t="str">
        <f t="shared" si="16"/>
        <v>Mass. Bay Comm. College2013</v>
      </c>
      <c r="B82" s="613">
        <v>2013</v>
      </c>
      <c r="C82" s="614" t="s">
        <v>575</v>
      </c>
      <c r="D82" s="614" t="s">
        <v>164</v>
      </c>
      <c r="E82" s="615">
        <v>3183709</v>
      </c>
      <c r="F82" s="819">
        <v>23551</v>
      </c>
      <c r="G82" s="613">
        <v>2013</v>
      </c>
      <c r="H82" s="430" t="str">
        <f>VLOOKUP(D82,Source!F:F,1,FALSE)</f>
        <v>Mass. Bay Comm. College</v>
      </c>
    </row>
    <row r="83" spans="1:8" ht="16" x14ac:dyDescent="0.2">
      <c r="A83" s="124" t="str">
        <f t="shared" si="16"/>
        <v>Mass. Bay Comm. College2014</v>
      </c>
      <c r="B83" s="613">
        <v>2014</v>
      </c>
      <c r="C83" s="614" t="s">
        <v>575</v>
      </c>
      <c r="D83" s="614" t="s">
        <v>164</v>
      </c>
      <c r="E83" s="615">
        <v>3723803</v>
      </c>
      <c r="F83" s="819">
        <v>38436</v>
      </c>
      <c r="G83" s="613">
        <v>2014</v>
      </c>
      <c r="H83" s="430" t="str">
        <f>VLOOKUP(D83,Source!F:F,1,FALSE)</f>
        <v>Mass. Bay Comm. College</v>
      </c>
    </row>
    <row r="84" spans="1:8" ht="16" x14ac:dyDescent="0.2">
      <c r="A84" s="124" t="str">
        <f t="shared" si="16"/>
        <v>Mass. Bay Comm. College2015</v>
      </c>
      <c r="B84" s="613">
        <v>2015</v>
      </c>
      <c r="C84" s="614" t="s">
        <v>575</v>
      </c>
      <c r="D84" s="614" t="s">
        <v>164</v>
      </c>
      <c r="E84" s="615">
        <v>3218119</v>
      </c>
      <c r="F84" s="819">
        <v>23655</v>
      </c>
      <c r="G84" s="613">
        <v>2015</v>
      </c>
      <c r="H84" s="430" t="str">
        <f>VLOOKUP(D84,Source!F:F,1,FALSE)</f>
        <v>Mass. Bay Comm. College</v>
      </c>
    </row>
    <row r="85" spans="1:8" ht="16" x14ac:dyDescent="0.2">
      <c r="A85" s="124" t="str">
        <f t="shared" si="16"/>
        <v>Mass. Bay Comm. College2016</v>
      </c>
      <c r="B85" s="613">
        <v>2016</v>
      </c>
      <c r="C85" s="614" t="s">
        <v>575</v>
      </c>
      <c r="D85" s="614" t="s">
        <v>164</v>
      </c>
      <c r="E85" s="615">
        <v>3758213</v>
      </c>
      <c r="F85" s="819">
        <v>71332</v>
      </c>
      <c r="G85" s="613">
        <v>2016</v>
      </c>
      <c r="H85" s="430" t="str">
        <f>VLOOKUP(D85,Source!F:F,1,FALSE)</f>
        <v>Mass. Bay Comm. College</v>
      </c>
    </row>
    <row r="86" spans="1:8" ht="16" x14ac:dyDescent="0.2">
      <c r="A86" s="124" t="str">
        <f t="shared" si="16"/>
        <v>Mass. Bay Comm. College2017</v>
      </c>
      <c r="B86" s="613">
        <v>2017</v>
      </c>
      <c r="C86" s="614" t="s">
        <v>575</v>
      </c>
      <c r="D86" s="614" t="s">
        <v>164</v>
      </c>
      <c r="E86" s="615">
        <v>3165756</v>
      </c>
      <c r="F86" s="819">
        <v>63502</v>
      </c>
      <c r="G86" s="613">
        <v>2017</v>
      </c>
      <c r="H86" s="430" t="str">
        <f>VLOOKUP(D86,Source!F:F,1,FALSE)</f>
        <v>Mass. Bay Comm. College</v>
      </c>
    </row>
    <row r="87" spans="1:8" s="85" customFormat="1" ht="16" x14ac:dyDescent="0.2">
      <c r="A87" s="124" t="str">
        <f t="shared" ref="A87:A88" si="23">D87&amp;G87</f>
        <v>Mass. Bay Comm. College2018</v>
      </c>
      <c r="B87" s="613">
        <v>2018</v>
      </c>
      <c r="C87" s="614" t="s">
        <v>575</v>
      </c>
      <c r="D87" s="614" t="s">
        <v>164</v>
      </c>
      <c r="E87" s="615">
        <v>4309527</v>
      </c>
      <c r="F87" s="819">
        <v>76334</v>
      </c>
      <c r="G87" s="613">
        <v>2018</v>
      </c>
      <c r="H87" s="430" t="str">
        <f>VLOOKUP(D87,Source!F:F,1,FALSE)</f>
        <v>Mass. Bay Comm. College</v>
      </c>
    </row>
    <row r="88" spans="1:8" s="85" customFormat="1" ht="16" x14ac:dyDescent="0.2">
      <c r="A88" s="124" t="str">
        <f t="shared" si="23"/>
        <v>Mass. Bay Comm. College2019</v>
      </c>
      <c r="B88" s="613">
        <v>2019</v>
      </c>
      <c r="C88" s="614" t="s">
        <v>575</v>
      </c>
      <c r="D88" s="614" t="s">
        <v>164</v>
      </c>
      <c r="E88" s="615">
        <v>3003429</v>
      </c>
      <c r="F88" s="819">
        <v>63370</v>
      </c>
      <c r="G88" s="613">
        <v>2019</v>
      </c>
      <c r="H88" s="430" t="str">
        <f>VLOOKUP(D88,Source!F:F,1,FALSE)</f>
        <v>Mass. Bay Comm. College</v>
      </c>
    </row>
    <row r="89" spans="1:8" s="85" customFormat="1" ht="16" x14ac:dyDescent="0.2">
      <c r="A89" s="124" t="str">
        <f t="shared" ref="A89" si="24">D89&amp;G89</f>
        <v>Mass. Bay Comm. College2020</v>
      </c>
      <c r="B89" s="613">
        <v>2020</v>
      </c>
      <c r="C89" s="614" t="s">
        <v>575</v>
      </c>
      <c r="D89" s="614" t="s">
        <v>164</v>
      </c>
      <c r="E89" s="612" t="s">
        <v>1629</v>
      </c>
      <c r="F89" s="818" t="s">
        <v>1629</v>
      </c>
      <c r="G89" s="613">
        <v>2020</v>
      </c>
      <c r="H89" s="430" t="str">
        <f>VLOOKUP(D89,Source!F:F,1,FALSE)</f>
        <v>Mass. Bay Comm. College</v>
      </c>
    </row>
    <row r="90" spans="1:8" s="430" customFormat="1" ht="16" x14ac:dyDescent="0.2">
      <c r="A90" s="435" t="str">
        <f t="shared" si="16"/>
        <v>Mass. College of Art &amp; Design2013</v>
      </c>
      <c r="B90" s="611">
        <v>2013</v>
      </c>
      <c r="C90" s="464" t="s">
        <v>575</v>
      </c>
      <c r="D90" s="464" t="s">
        <v>168</v>
      </c>
      <c r="E90" s="612">
        <v>5749936</v>
      </c>
      <c r="F90" s="818">
        <v>89109</v>
      </c>
      <c r="G90" s="611">
        <v>2013</v>
      </c>
      <c r="H90" s="430" t="str">
        <f>VLOOKUP(D90,Source!F:F,1,FALSE)</f>
        <v>Mass. College of Art &amp; Design</v>
      </c>
    </row>
    <row r="91" spans="1:8" s="430" customFormat="1" ht="16" x14ac:dyDescent="0.2">
      <c r="A91" s="435" t="str">
        <f t="shared" si="16"/>
        <v>Mass. College of Art &amp; Design2014</v>
      </c>
      <c r="B91" s="611">
        <v>2014</v>
      </c>
      <c r="C91" s="464" t="s">
        <v>575</v>
      </c>
      <c r="D91" s="464" t="s">
        <v>168</v>
      </c>
      <c r="E91" s="612">
        <v>5935819</v>
      </c>
      <c r="F91" s="818">
        <v>96988</v>
      </c>
      <c r="G91" s="611">
        <v>2014</v>
      </c>
      <c r="H91" s="430" t="str">
        <f>VLOOKUP(D91,Source!F:F,1,FALSE)</f>
        <v>Mass. College of Art &amp; Design</v>
      </c>
    </row>
    <row r="92" spans="1:8" s="430" customFormat="1" ht="16" x14ac:dyDescent="0.2">
      <c r="A92" s="435" t="str">
        <f t="shared" si="16"/>
        <v>Mass. College of Art &amp; Design2015</v>
      </c>
      <c r="B92" s="611">
        <v>2015</v>
      </c>
      <c r="C92" s="464" t="s">
        <v>575</v>
      </c>
      <c r="D92" s="464" t="s">
        <v>168</v>
      </c>
      <c r="E92" s="612">
        <v>5719692</v>
      </c>
      <c r="F92" s="818">
        <v>95854</v>
      </c>
      <c r="G92" s="611">
        <v>2015</v>
      </c>
      <c r="H92" s="430" t="str">
        <f>VLOOKUP(D92,Source!F:F,1,FALSE)</f>
        <v>Mass. College of Art &amp; Design</v>
      </c>
    </row>
    <row r="93" spans="1:8" s="430" customFormat="1" ht="16" x14ac:dyDescent="0.2">
      <c r="A93" s="435" t="str">
        <f t="shared" si="16"/>
        <v>Mass. College of Art &amp; Design2016</v>
      </c>
      <c r="B93" s="611">
        <v>2016</v>
      </c>
      <c r="C93" s="464" t="s">
        <v>575</v>
      </c>
      <c r="D93" s="464" t="s">
        <v>168</v>
      </c>
      <c r="E93" s="612">
        <v>19552293.640000001</v>
      </c>
      <c r="F93" s="818">
        <v>353456.87</v>
      </c>
      <c r="G93" s="611">
        <v>2016</v>
      </c>
      <c r="H93" s="430" t="str">
        <f>VLOOKUP(D93,Source!F:F,1,FALSE)</f>
        <v>Mass. College of Art &amp; Design</v>
      </c>
    </row>
    <row r="94" spans="1:8" s="430" customFormat="1" ht="16" x14ac:dyDescent="0.2">
      <c r="A94" s="435" t="str">
        <f t="shared" si="16"/>
        <v>Mass. College of Art &amp; Design2017</v>
      </c>
      <c r="B94" s="611">
        <v>2017</v>
      </c>
      <c r="C94" s="464" t="s">
        <v>575</v>
      </c>
      <c r="D94" s="464" t="s">
        <v>168</v>
      </c>
      <c r="E94" s="612">
        <v>6063811</v>
      </c>
      <c r="F94" s="818">
        <v>113737.04</v>
      </c>
      <c r="G94" s="611">
        <v>2017</v>
      </c>
      <c r="H94" s="430" t="str">
        <f>VLOOKUP(D94,Source!F:F,1,FALSE)</f>
        <v>Mass. College of Art &amp; Design</v>
      </c>
    </row>
    <row r="95" spans="1:8" s="430" customFormat="1" ht="16" x14ac:dyDescent="0.2">
      <c r="A95" s="435" t="str">
        <f t="shared" si="16"/>
        <v>Mass. College of Art &amp; Design2018</v>
      </c>
      <c r="B95" s="611">
        <v>2018</v>
      </c>
      <c r="C95" s="464" t="s">
        <v>575</v>
      </c>
      <c r="D95" s="464" t="s">
        <v>168</v>
      </c>
      <c r="E95" s="612">
        <v>6868950</v>
      </c>
      <c r="F95" s="818">
        <v>126550.53</v>
      </c>
      <c r="G95" s="611">
        <v>2018</v>
      </c>
      <c r="H95" s="430" t="str">
        <f>VLOOKUP(D95,Source!F:F,1,FALSE)</f>
        <v>Mass. College of Art &amp; Design</v>
      </c>
    </row>
    <row r="96" spans="1:8" s="430" customFormat="1" ht="16" x14ac:dyDescent="0.2">
      <c r="A96" s="435" t="str">
        <f t="shared" ref="A96" si="25">D96&amp;G96</f>
        <v>Mass. College of Art &amp; Design2019</v>
      </c>
      <c r="B96" s="611">
        <v>2019</v>
      </c>
      <c r="C96" s="464" t="s">
        <v>575</v>
      </c>
      <c r="D96" s="464" t="s">
        <v>168</v>
      </c>
      <c r="E96" s="612">
        <v>7065842</v>
      </c>
      <c r="F96" s="818">
        <v>135033</v>
      </c>
      <c r="G96" s="611">
        <v>2019</v>
      </c>
      <c r="H96" s="430" t="str">
        <f>VLOOKUP(D96,Source!F:F,1,FALSE)</f>
        <v>Mass. College of Art &amp; Design</v>
      </c>
    </row>
    <row r="97" spans="1:8" s="430" customFormat="1" ht="16" x14ac:dyDescent="0.2">
      <c r="A97" s="435" t="str">
        <f t="shared" ref="A97" si="26">D97&amp;G97</f>
        <v>Mass. College of Art &amp; Design2020</v>
      </c>
      <c r="B97" s="611">
        <v>2020</v>
      </c>
      <c r="C97" s="464" t="s">
        <v>575</v>
      </c>
      <c r="D97" s="464" t="s">
        <v>168</v>
      </c>
      <c r="E97" s="612" t="s">
        <v>1629</v>
      </c>
      <c r="F97" s="818" t="s">
        <v>1629</v>
      </c>
      <c r="G97" s="613">
        <v>2020</v>
      </c>
      <c r="H97" s="430" t="str">
        <f>VLOOKUP(D97,Source!F:F,1,FALSE)</f>
        <v>Mass. College of Art &amp; Design</v>
      </c>
    </row>
    <row r="98" spans="1:8" ht="16" x14ac:dyDescent="0.2">
      <c r="A98" s="124" t="str">
        <f t="shared" si="16"/>
        <v>Mass. College of Liberal Arts2013</v>
      </c>
      <c r="B98" s="613">
        <v>2013</v>
      </c>
      <c r="C98" s="614" t="s">
        <v>575</v>
      </c>
      <c r="D98" s="614" t="s">
        <v>173</v>
      </c>
      <c r="E98" s="615">
        <v>9668596</v>
      </c>
      <c r="F98" s="819">
        <v>68986</v>
      </c>
      <c r="G98" s="613">
        <v>2013</v>
      </c>
      <c r="H98" s="430" t="str">
        <f>VLOOKUP(D98,Source!F:F,1,FALSE)</f>
        <v>Mass. College of Liberal Arts</v>
      </c>
    </row>
    <row r="99" spans="1:8" ht="16" x14ac:dyDescent="0.2">
      <c r="A99" s="124" t="str">
        <f t="shared" si="16"/>
        <v>Mass. College of Liberal Arts2014</v>
      </c>
      <c r="B99" s="613">
        <v>2014</v>
      </c>
      <c r="C99" s="614" t="s">
        <v>575</v>
      </c>
      <c r="D99" s="614" t="s">
        <v>173</v>
      </c>
      <c r="E99" s="615">
        <v>9209188</v>
      </c>
      <c r="F99" s="819">
        <v>81460</v>
      </c>
      <c r="G99" s="613">
        <v>2014</v>
      </c>
      <c r="H99" s="430" t="str">
        <f>VLOOKUP(D99,Source!F:F,1,FALSE)</f>
        <v>Mass. College of Liberal Arts</v>
      </c>
    </row>
    <row r="100" spans="1:8" ht="16" x14ac:dyDescent="0.2">
      <c r="A100" s="124" t="str">
        <f t="shared" si="16"/>
        <v>Mass. College of Liberal Arts2015</v>
      </c>
      <c r="B100" s="613">
        <v>2015</v>
      </c>
      <c r="C100" s="614" t="s">
        <v>575</v>
      </c>
      <c r="D100" s="614" t="s">
        <v>173</v>
      </c>
      <c r="E100" s="615">
        <v>9973536</v>
      </c>
      <c r="F100" s="819">
        <v>94136</v>
      </c>
      <c r="G100" s="613">
        <v>2015</v>
      </c>
      <c r="H100" s="430" t="str">
        <f>VLOOKUP(D100,Source!F:F,1,FALSE)</f>
        <v>Mass. College of Liberal Arts</v>
      </c>
    </row>
    <row r="101" spans="1:8" ht="16" x14ac:dyDescent="0.2">
      <c r="A101" s="124" t="str">
        <f t="shared" si="16"/>
        <v>Mass. College of Liberal Arts2016</v>
      </c>
      <c r="B101" s="613">
        <v>2016</v>
      </c>
      <c r="C101" s="614" t="s">
        <v>575</v>
      </c>
      <c r="D101" s="614" t="s">
        <v>173</v>
      </c>
      <c r="E101" s="615">
        <v>9149022</v>
      </c>
      <c r="F101" s="819">
        <v>88626</v>
      </c>
      <c r="G101" s="613">
        <v>2016</v>
      </c>
      <c r="H101" s="430" t="str">
        <f>VLOOKUP(D101,Source!F:F,1,FALSE)</f>
        <v>Mass. College of Liberal Arts</v>
      </c>
    </row>
    <row r="102" spans="1:8" ht="16" x14ac:dyDescent="0.2">
      <c r="A102" s="124" t="str">
        <f t="shared" si="16"/>
        <v>Mass. College of Liberal Arts2017</v>
      </c>
      <c r="B102" s="613">
        <v>2017</v>
      </c>
      <c r="C102" s="614" t="s">
        <v>575</v>
      </c>
      <c r="D102" s="614" t="s">
        <v>173</v>
      </c>
      <c r="E102" s="615">
        <v>9296623</v>
      </c>
      <c r="F102" s="819">
        <v>86819</v>
      </c>
      <c r="G102" s="613">
        <v>2017</v>
      </c>
      <c r="H102" s="430" t="str">
        <f>VLOOKUP(D102,Source!F:F,1,FALSE)</f>
        <v>Mass. College of Liberal Arts</v>
      </c>
    </row>
    <row r="103" spans="1:8" s="85" customFormat="1" ht="16" x14ac:dyDescent="0.2">
      <c r="A103" s="124" t="str">
        <f t="shared" ref="A103:A104" si="27">D103&amp;G103</f>
        <v>Mass. College of Liberal Arts2018</v>
      </c>
      <c r="B103" s="613">
        <v>2018</v>
      </c>
      <c r="C103" s="614" t="s">
        <v>575</v>
      </c>
      <c r="D103" s="614" t="s">
        <v>173</v>
      </c>
      <c r="E103" s="615">
        <v>8503579</v>
      </c>
      <c r="F103" s="819">
        <v>76684</v>
      </c>
      <c r="G103" s="613">
        <v>2018</v>
      </c>
      <c r="H103" s="430" t="str">
        <f>VLOOKUP(D103,Source!F:F,1,FALSE)</f>
        <v>Mass. College of Liberal Arts</v>
      </c>
    </row>
    <row r="104" spans="1:8" s="85" customFormat="1" ht="16" x14ac:dyDescent="0.2">
      <c r="A104" s="124" t="str">
        <f t="shared" si="27"/>
        <v>Mass. College of Liberal Arts2019</v>
      </c>
      <c r="B104" s="613">
        <v>2019</v>
      </c>
      <c r="C104" s="614" t="s">
        <v>575</v>
      </c>
      <c r="D104" s="614" t="s">
        <v>173</v>
      </c>
      <c r="E104" s="615">
        <v>8298394</v>
      </c>
      <c r="F104" s="819">
        <v>76683.73</v>
      </c>
      <c r="G104" s="613">
        <v>2019</v>
      </c>
      <c r="H104" s="430" t="str">
        <f>VLOOKUP(D104,Source!F:F,1,FALSE)</f>
        <v>Mass. College of Liberal Arts</v>
      </c>
    </row>
    <row r="105" spans="1:8" s="85" customFormat="1" ht="16" x14ac:dyDescent="0.2">
      <c r="A105" s="124" t="str">
        <f t="shared" ref="A105" si="28">D105&amp;G105</f>
        <v>Mass. College of Liberal Arts2020</v>
      </c>
      <c r="B105" s="613">
        <v>2020</v>
      </c>
      <c r="C105" s="614" t="s">
        <v>575</v>
      </c>
      <c r="D105" s="614" t="s">
        <v>173</v>
      </c>
      <c r="E105" s="615">
        <v>6434101</v>
      </c>
      <c r="F105" s="819">
        <v>66387.16</v>
      </c>
      <c r="G105" s="613">
        <v>2020</v>
      </c>
      <c r="H105" s="430" t="str">
        <f>VLOOKUP(D105,Source!F:F,1,FALSE)</f>
        <v>Mass. College of Liberal Arts</v>
      </c>
    </row>
    <row r="106" spans="1:8" ht="16" x14ac:dyDescent="0.2">
      <c r="A106" s="124" t="str">
        <f t="shared" si="16"/>
        <v>Mass. Maritime Academy2014</v>
      </c>
      <c r="B106" s="613">
        <v>2014</v>
      </c>
      <c r="C106" s="614" t="s">
        <v>575</v>
      </c>
      <c r="D106" s="614" t="s">
        <v>182</v>
      </c>
      <c r="E106" s="615">
        <v>12938000</v>
      </c>
      <c r="F106" s="819">
        <v>64880</v>
      </c>
      <c r="G106" s="613">
        <v>2014</v>
      </c>
      <c r="H106" s="430" t="str">
        <f>VLOOKUP(D106,Source!F:F,1,FALSE)</f>
        <v>Mass. Maritime Academy</v>
      </c>
    </row>
    <row r="107" spans="1:8" ht="16" x14ac:dyDescent="0.2">
      <c r="A107" s="124" t="str">
        <f t="shared" si="16"/>
        <v>Mass. Maritime Academy2015</v>
      </c>
      <c r="B107" s="613">
        <v>2015</v>
      </c>
      <c r="C107" s="614" t="s">
        <v>575</v>
      </c>
      <c r="D107" s="614" t="s">
        <v>182</v>
      </c>
      <c r="E107" s="615">
        <v>11327100</v>
      </c>
      <c r="F107" s="819">
        <v>63713</v>
      </c>
      <c r="G107" s="613">
        <v>2015</v>
      </c>
      <c r="H107" s="430" t="str">
        <f>VLOOKUP(D107,Source!F:F,1,FALSE)</f>
        <v>Mass. Maritime Academy</v>
      </c>
    </row>
    <row r="108" spans="1:8" ht="16" x14ac:dyDescent="0.2">
      <c r="A108" s="124" t="str">
        <f t="shared" si="16"/>
        <v>Mass. Maritime Academy2016</v>
      </c>
      <c r="B108" s="613">
        <v>2016</v>
      </c>
      <c r="C108" s="614" t="s">
        <v>575</v>
      </c>
      <c r="D108" s="614" t="s">
        <v>182</v>
      </c>
      <c r="E108" s="615">
        <v>11967000</v>
      </c>
      <c r="F108" s="819">
        <v>63094</v>
      </c>
      <c r="G108" s="613">
        <v>2016</v>
      </c>
      <c r="H108" s="430" t="str">
        <f>VLOOKUP(D108,Source!F:F,1,FALSE)</f>
        <v>Mass. Maritime Academy</v>
      </c>
    </row>
    <row r="109" spans="1:8" ht="16" x14ac:dyDescent="0.2">
      <c r="A109" s="124" t="str">
        <f t="shared" ref="A109:A166" si="29">D109&amp;G109</f>
        <v>Mass. Maritime Academy2017</v>
      </c>
      <c r="B109" s="613">
        <v>2017</v>
      </c>
      <c r="C109" s="614" t="s">
        <v>575</v>
      </c>
      <c r="D109" s="614" t="s">
        <v>182</v>
      </c>
      <c r="E109" s="615">
        <v>13105500</v>
      </c>
      <c r="F109" s="819">
        <v>65445</v>
      </c>
      <c r="G109" s="613">
        <v>2017</v>
      </c>
      <c r="H109" s="430" t="str">
        <f>VLOOKUP(D109,Source!F:F,1,FALSE)</f>
        <v>Mass. Maritime Academy</v>
      </c>
    </row>
    <row r="110" spans="1:8" s="85" customFormat="1" ht="16" x14ac:dyDescent="0.2">
      <c r="A110" s="124" t="str">
        <f t="shared" ref="A110:A111" si="30">D110&amp;G110</f>
        <v>Mass. Maritime Academy2018</v>
      </c>
      <c r="B110" s="613">
        <v>2018</v>
      </c>
      <c r="C110" s="614" t="s">
        <v>575</v>
      </c>
      <c r="D110" s="614" t="s">
        <v>182</v>
      </c>
      <c r="E110" s="615">
        <v>12430000</v>
      </c>
      <c r="F110" s="819">
        <v>86947</v>
      </c>
      <c r="G110" s="613">
        <v>2018</v>
      </c>
      <c r="H110" s="430" t="str">
        <f>VLOOKUP(D110,Source!F:F,1,FALSE)</f>
        <v>Mass. Maritime Academy</v>
      </c>
    </row>
    <row r="111" spans="1:8" s="85" customFormat="1" ht="16" x14ac:dyDescent="0.2">
      <c r="A111" s="124" t="str">
        <f t="shared" si="30"/>
        <v>Mass. Maritime Academy2019</v>
      </c>
      <c r="B111" s="613">
        <v>2019</v>
      </c>
      <c r="C111" s="614" t="s">
        <v>575</v>
      </c>
      <c r="D111" s="614" t="s">
        <v>182</v>
      </c>
      <c r="E111" s="615">
        <v>13696000</v>
      </c>
      <c r="F111" s="819">
        <v>95529</v>
      </c>
      <c r="G111" s="613">
        <v>2019</v>
      </c>
      <c r="H111" s="430" t="str">
        <f>VLOOKUP(D111,Source!F:F,1,FALSE)</f>
        <v>Mass. Maritime Academy</v>
      </c>
    </row>
    <row r="112" spans="1:8" s="85" customFormat="1" ht="16" x14ac:dyDescent="0.2">
      <c r="A112" s="124" t="str">
        <f t="shared" ref="A112" si="31">D112&amp;G112</f>
        <v>Mass. Maritime Academy2020</v>
      </c>
      <c r="B112" s="613">
        <v>2020</v>
      </c>
      <c r="C112" s="614" t="s">
        <v>575</v>
      </c>
      <c r="D112" s="614" t="s">
        <v>182</v>
      </c>
      <c r="E112" s="615" t="s">
        <v>1613</v>
      </c>
      <c r="F112" s="819">
        <v>79241</v>
      </c>
      <c r="G112" s="613">
        <v>2020</v>
      </c>
      <c r="H112" s="430" t="str">
        <f>VLOOKUP(D112,Source!F:F,1,FALSE)</f>
        <v>Mass. Maritime Academy</v>
      </c>
    </row>
    <row r="113" spans="1:8" ht="16" x14ac:dyDescent="0.2">
      <c r="A113" s="124" t="str">
        <f t="shared" si="29"/>
        <v>Mass. Water Resources Authority2013</v>
      </c>
      <c r="B113" s="613">
        <v>2013</v>
      </c>
      <c r="C113" s="614" t="s">
        <v>743</v>
      </c>
      <c r="D113" s="614" t="s">
        <v>191</v>
      </c>
      <c r="E113" s="615">
        <v>499006969</v>
      </c>
      <c r="F113" s="819">
        <v>1931429</v>
      </c>
      <c r="G113" s="613">
        <v>2013</v>
      </c>
      <c r="H113" s="430" t="str">
        <f>VLOOKUP(D113,Source!F:F,1,FALSE)</f>
        <v>Mass. Water Resources Authority</v>
      </c>
    </row>
    <row r="114" spans="1:8" ht="16" x14ac:dyDescent="0.2">
      <c r="A114" s="124" t="str">
        <f t="shared" si="29"/>
        <v>Mass. Water Resources Authority2014</v>
      </c>
      <c r="B114" s="613">
        <v>2014</v>
      </c>
      <c r="C114" s="614" t="s">
        <v>743</v>
      </c>
      <c r="D114" s="614" t="s">
        <v>191</v>
      </c>
      <c r="E114" s="615">
        <v>477633597</v>
      </c>
      <c r="F114" s="819">
        <v>1862076</v>
      </c>
      <c r="G114" s="613">
        <v>2014</v>
      </c>
      <c r="H114" s="430" t="str">
        <f>VLOOKUP(D114,Source!F:F,1,FALSE)</f>
        <v>Mass. Water Resources Authority</v>
      </c>
    </row>
    <row r="115" spans="1:8" ht="16" x14ac:dyDescent="0.2">
      <c r="A115" s="124" t="str">
        <f t="shared" si="29"/>
        <v>Mass. Water Resources Authority2015</v>
      </c>
      <c r="B115" s="613">
        <v>2015</v>
      </c>
      <c r="C115" s="614" t="s">
        <v>743</v>
      </c>
      <c r="D115" s="614" t="s">
        <v>191</v>
      </c>
      <c r="E115" s="615">
        <v>489937402</v>
      </c>
      <c r="F115" s="819">
        <v>1942747</v>
      </c>
      <c r="G115" s="613">
        <v>2015</v>
      </c>
      <c r="H115" s="430" t="str">
        <f>VLOOKUP(D115,Source!F:F,1,FALSE)</f>
        <v>Mass. Water Resources Authority</v>
      </c>
    </row>
    <row r="116" spans="1:8" ht="16" x14ac:dyDescent="0.2">
      <c r="A116" s="124" t="str">
        <f t="shared" si="29"/>
        <v>Mass. Water Resources Authority2016</v>
      </c>
      <c r="B116" s="613">
        <v>2016</v>
      </c>
      <c r="C116" s="614" t="s">
        <v>743</v>
      </c>
      <c r="D116" s="614" t="s">
        <v>191</v>
      </c>
      <c r="E116" s="615">
        <v>565803853</v>
      </c>
      <c r="F116" s="819">
        <v>2297576</v>
      </c>
      <c r="G116" s="613">
        <v>2016</v>
      </c>
      <c r="H116" s="430" t="str">
        <f>VLOOKUP(D116,Source!F:F,1,FALSE)</f>
        <v>Mass. Water Resources Authority</v>
      </c>
    </row>
    <row r="117" spans="1:8" ht="16" x14ac:dyDescent="0.2">
      <c r="A117" s="124" t="str">
        <f t="shared" si="29"/>
        <v>Mass. Water Resources Authority2017</v>
      </c>
      <c r="B117" s="613">
        <v>2017</v>
      </c>
      <c r="C117" s="614" t="s">
        <v>743</v>
      </c>
      <c r="D117" s="614" t="s">
        <v>191</v>
      </c>
      <c r="E117" s="615">
        <v>536567702</v>
      </c>
      <c r="F117" s="819">
        <v>2169171</v>
      </c>
      <c r="G117" s="613">
        <v>2017</v>
      </c>
      <c r="H117" s="430" t="str">
        <f>VLOOKUP(D117,Source!F:F,1,FALSE)</f>
        <v>Mass. Water Resources Authority</v>
      </c>
    </row>
    <row r="118" spans="1:8" s="85" customFormat="1" ht="16" x14ac:dyDescent="0.2">
      <c r="A118" s="124" t="str">
        <f t="shared" ref="A118:A119" si="32">D118&amp;G118</f>
        <v>Mass. Water Resources Authority2018</v>
      </c>
      <c r="B118" s="613">
        <v>2018</v>
      </c>
      <c r="C118" s="614" t="s">
        <v>743</v>
      </c>
      <c r="D118" s="614" t="s">
        <v>191</v>
      </c>
      <c r="E118" s="615">
        <v>567699772</v>
      </c>
      <c r="F118" s="819">
        <v>2033497</v>
      </c>
      <c r="G118" s="613">
        <v>2018</v>
      </c>
      <c r="H118" s="430" t="str">
        <f>VLOOKUP(D118,Source!F:F,1,FALSE)</f>
        <v>Mass. Water Resources Authority</v>
      </c>
    </row>
    <row r="119" spans="1:8" s="85" customFormat="1" ht="16" x14ac:dyDescent="0.2">
      <c r="A119" s="124" t="str">
        <f t="shared" si="32"/>
        <v>Mass. Water Resources Authority2019</v>
      </c>
      <c r="B119" s="613">
        <v>2019</v>
      </c>
      <c r="C119" s="614" t="s">
        <v>743</v>
      </c>
      <c r="D119" s="614" t="s">
        <v>191</v>
      </c>
      <c r="E119" s="615">
        <v>517102421</v>
      </c>
      <c r="F119" s="819">
        <v>2329277</v>
      </c>
      <c r="G119" s="613">
        <v>2019</v>
      </c>
      <c r="H119" s="430" t="str">
        <f>VLOOKUP(D119,Source!F:F,1,FALSE)</f>
        <v>Mass. Water Resources Authority</v>
      </c>
    </row>
    <row r="120" spans="1:8" s="85" customFormat="1" ht="16" x14ac:dyDescent="0.2">
      <c r="A120" s="124" t="str">
        <f t="shared" ref="A120" si="33">D120&amp;G120</f>
        <v>Mass. Water Resources Authority2020</v>
      </c>
      <c r="B120" s="613">
        <v>2020</v>
      </c>
      <c r="C120" s="614" t="s">
        <v>743</v>
      </c>
      <c r="D120" s="614" t="s">
        <v>191</v>
      </c>
      <c r="E120" s="615">
        <v>489630562</v>
      </c>
      <c r="F120" s="819">
        <v>2284403</v>
      </c>
      <c r="G120" s="613">
        <v>2020</v>
      </c>
      <c r="H120" s="430" t="str">
        <f>VLOOKUP(D120,Source!F:F,1,FALSE)</f>
        <v>Mass. Water Resources Authority</v>
      </c>
    </row>
    <row r="121" spans="1:8" s="430" customFormat="1" ht="16" x14ac:dyDescent="0.2">
      <c r="A121" s="435" t="str">
        <f t="shared" si="29"/>
        <v>Massasoit Comm. College2013</v>
      </c>
      <c r="B121" s="611">
        <v>2013</v>
      </c>
      <c r="C121" s="464" t="s">
        <v>575</v>
      </c>
      <c r="D121" s="464" t="s">
        <v>200</v>
      </c>
      <c r="E121" s="612">
        <v>2846602</v>
      </c>
      <c r="F121" s="818">
        <v>22677.38</v>
      </c>
      <c r="G121" s="611">
        <v>2013</v>
      </c>
      <c r="H121" s="430" t="str">
        <f>VLOOKUP(D121,Source!F:F,1,FALSE)</f>
        <v>Massasoit Comm. College</v>
      </c>
    </row>
    <row r="122" spans="1:8" s="430" customFormat="1" ht="16" x14ac:dyDescent="0.2">
      <c r="A122" s="435" t="str">
        <f t="shared" si="29"/>
        <v>Massasoit Comm. College2014</v>
      </c>
      <c r="B122" s="611">
        <v>2014</v>
      </c>
      <c r="C122" s="464" t="s">
        <v>575</v>
      </c>
      <c r="D122" s="464" t="s">
        <v>200</v>
      </c>
      <c r="E122" s="612">
        <v>2674650</v>
      </c>
      <c r="F122" s="818">
        <v>23150.33</v>
      </c>
      <c r="G122" s="611">
        <v>2014</v>
      </c>
      <c r="H122" s="430" t="str">
        <f>VLOOKUP(D122,Source!F:F,1,FALSE)</f>
        <v>Massasoit Comm. College</v>
      </c>
    </row>
    <row r="123" spans="1:8" s="430" customFormat="1" ht="16" x14ac:dyDescent="0.2">
      <c r="A123" s="435" t="str">
        <f t="shared" si="29"/>
        <v>Massasoit Comm. College2015</v>
      </c>
      <c r="B123" s="611">
        <v>2015</v>
      </c>
      <c r="C123" s="464" t="s">
        <v>575</v>
      </c>
      <c r="D123" s="464" t="s">
        <v>200</v>
      </c>
      <c r="E123" s="612">
        <v>2841690</v>
      </c>
      <c r="F123" s="818">
        <v>23684.02</v>
      </c>
      <c r="G123" s="611">
        <v>2015</v>
      </c>
      <c r="H123" s="430" t="str">
        <f>VLOOKUP(D123,Source!F:F,1,FALSE)</f>
        <v>Massasoit Comm. College</v>
      </c>
    </row>
    <row r="124" spans="1:8" s="430" customFormat="1" ht="16" x14ac:dyDescent="0.2">
      <c r="A124" s="435" t="str">
        <f t="shared" si="29"/>
        <v>Massasoit Comm. College2016</v>
      </c>
      <c r="B124" s="611">
        <v>2016</v>
      </c>
      <c r="C124" s="464" t="s">
        <v>575</v>
      </c>
      <c r="D124" s="464" t="s">
        <v>200</v>
      </c>
      <c r="E124" s="612">
        <v>2990332</v>
      </c>
      <c r="F124" s="818">
        <v>23740.89</v>
      </c>
      <c r="G124" s="611">
        <v>2016</v>
      </c>
      <c r="H124" s="430" t="str">
        <f>VLOOKUP(D124,Source!F:F,1,FALSE)</f>
        <v>Massasoit Comm. College</v>
      </c>
    </row>
    <row r="125" spans="1:8" s="430" customFormat="1" ht="16" x14ac:dyDescent="0.2">
      <c r="A125" s="435" t="str">
        <f t="shared" si="29"/>
        <v>Massasoit Comm. College2017</v>
      </c>
      <c r="B125" s="611">
        <v>2017</v>
      </c>
      <c r="C125" s="464" t="s">
        <v>575</v>
      </c>
      <c r="D125" s="464" t="s">
        <v>200</v>
      </c>
      <c r="E125" s="612">
        <v>2863486</v>
      </c>
      <c r="F125" s="818">
        <v>32008.67</v>
      </c>
      <c r="G125" s="611">
        <v>2017</v>
      </c>
      <c r="H125" s="430" t="str">
        <f>VLOOKUP(D125,Source!F:F,1,FALSE)</f>
        <v>Massasoit Comm. College</v>
      </c>
    </row>
    <row r="126" spans="1:8" s="430" customFormat="1" ht="16" x14ac:dyDescent="0.2">
      <c r="A126" s="435" t="str">
        <f t="shared" si="29"/>
        <v>Massasoit Comm. College2018</v>
      </c>
      <c r="B126" s="611">
        <v>2018</v>
      </c>
      <c r="C126" s="464" t="s">
        <v>575</v>
      </c>
      <c r="D126" s="464" t="s">
        <v>200</v>
      </c>
      <c r="E126" s="612">
        <v>2661593</v>
      </c>
      <c r="F126" s="818">
        <v>30044.55</v>
      </c>
      <c r="G126" s="611">
        <v>2018</v>
      </c>
      <c r="H126" s="430" t="str">
        <f>VLOOKUP(D126,Source!F:F,1,FALSE)</f>
        <v>Massasoit Comm. College</v>
      </c>
    </row>
    <row r="127" spans="1:8" s="430" customFormat="1" ht="16" x14ac:dyDescent="0.2">
      <c r="A127" s="435" t="str">
        <f t="shared" ref="A127" si="34">D127&amp;G127</f>
        <v>Massasoit Comm. College2019</v>
      </c>
      <c r="B127" s="611">
        <v>2019</v>
      </c>
      <c r="C127" s="464" t="s">
        <v>575</v>
      </c>
      <c r="D127" s="464" t="s">
        <v>200</v>
      </c>
      <c r="E127" s="615" t="s">
        <v>1629</v>
      </c>
      <c r="F127" s="819" t="s">
        <v>1629</v>
      </c>
      <c r="G127" s="611">
        <v>2019</v>
      </c>
      <c r="H127" s="430" t="str">
        <f>VLOOKUP(D127,Source!F:F,1,FALSE)</f>
        <v>Massasoit Comm. College</v>
      </c>
    </row>
    <row r="128" spans="1:8" s="430" customFormat="1" ht="16" x14ac:dyDescent="0.2">
      <c r="A128" s="435" t="str">
        <f t="shared" ref="A128" si="35">D128&amp;G128</f>
        <v>Massasoit Comm. College2020</v>
      </c>
      <c r="B128" s="611">
        <v>2020</v>
      </c>
      <c r="C128" s="464" t="s">
        <v>575</v>
      </c>
      <c r="D128" s="464" t="s">
        <v>200</v>
      </c>
      <c r="E128" s="612" t="s">
        <v>1629</v>
      </c>
      <c r="F128" s="818" t="s">
        <v>1629</v>
      </c>
      <c r="G128" s="613">
        <v>2020</v>
      </c>
      <c r="H128" s="430" t="str">
        <f>VLOOKUP(D128,Source!F:F,1,FALSE)</f>
        <v>Massasoit Comm. College</v>
      </c>
    </row>
    <row r="129" spans="1:8" ht="16" x14ac:dyDescent="0.2">
      <c r="A129" s="124" t="str">
        <f t="shared" si="29"/>
        <v>MassPort Authority2013</v>
      </c>
      <c r="B129" s="613">
        <v>2013</v>
      </c>
      <c r="C129" s="614" t="s">
        <v>743</v>
      </c>
      <c r="D129" s="614" t="s">
        <v>216</v>
      </c>
      <c r="E129" s="615">
        <v>379052208</v>
      </c>
      <c r="F129" s="819">
        <v>5528976</v>
      </c>
      <c r="G129" s="613">
        <v>2013</v>
      </c>
      <c r="H129" s="430" t="str">
        <f>VLOOKUP(D129,Source!F:F,1,FALSE)</f>
        <v>MassPort Authority</v>
      </c>
    </row>
    <row r="130" spans="1:8" ht="16" x14ac:dyDescent="0.2">
      <c r="A130" s="124" t="str">
        <f t="shared" si="29"/>
        <v>MassPort Authority2014</v>
      </c>
      <c r="B130" s="613">
        <v>2014</v>
      </c>
      <c r="C130" s="614" t="s">
        <v>743</v>
      </c>
      <c r="D130" s="614" t="s">
        <v>216</v>
      </c>
      <c r="E130" s="615">
        <v>394782432</v>
      </c>
      <c r="F130" s="819">
        <v>4909920</v>
      </c>
      <c r="G130" s="613">
        <v>2014</v>
      </c>
      <c r="H130" s="430" t="str">
        <f>VLOOKUP(D130,Source!F:F,1,FALSE)</f>
        <v>MassPort Authority</v>
      </c>
    </row>
    <row r="131" spans="1:8" ht="16" x14ac:dyDescent="0.2">
      <c r="A131" s="124" t="str">
        <f t="shared" si="29"/>
        <v>MassPort Authority2015</v>
      </c>
      <c r="B131" s="613">
        <v>2015</v>
      </c>
      <c r="C131" s="614" t="s">
        <v>743</v>
      </c>
      <c r="D131" s="614" t="s">
        <v>216</v>
      </c>
      <c r="E131" s="615">
        <v>351313788</v>
      </c>
      <c r="F131" s="819">
        <v>5669664</v>
      </c>
      <c r="G131" s="613">
        <v>2015</v>
      </c>
      <c r="H131" s="430" t="str">
        <f>VLOOKUP(D131,Source!F:F,1,FALSE)</f>
        <v>MassPort Authority</v>
      </c>
    </row>
    <row r="132" spans="1:8" ht="16" x14ac:dyDescent="0.2">
      <c r="A132" s="124" t="str">
        <f t="shared" si="29"/>
        <v>MassPort Authority2016</v>
      </c>
      <c r="B132" s="613">
        <v>2016</v>
      </c>
      <c r="C132" s="614" t="s">
        <v>743</v>
      </c>
      <c r="D132" s="614" t="s">
        <v>216</v>
      </c>
      <c r="E132" s="615">
        <v>365704400</v>
      </c>
      <c r="F132" s="819">
        <v>6204414</v>
      </c>
      <c r="G132" s="613">
        <v>2016</v>
      </c>
      <c r="H132" s="430" t="str">
        <f>VLOOKUP(D132,Source!F:F,1,FALSE)</f>
        <v>MassPort Authority</v>
      </c>
    </row>
    <row r="133" spans="1:8" ht="16" x14ac:dyDescent="0.2">
      <c r="A133" s="124" t="str">
        <f t="shared" si="29"/>
        <v>MassPort Authority2017</v>
      </c>
      <c r="B133" s="613">
        <v>2017</v>
      </c>
      <c r="C133" s="614" t="s">
        <v>743</v>
      </c>
      <c r="D133" s="614" t="s">
        <v>216</v>
      </c>
      <c r="E133" s="615">
        <v>496254228</v>
      </c>
      <c r="F133" s="819">
        <v>6841739</v>
      </c>
      <c r="G133" s="613">
        <v>2017</v>
      </c>
      <c r="H133" s="430" t="str">
        <f>VLOOKUP(D133,Source!F:F,1,FALSE)</f>
        <v>MassPort Authority</v>
      </c>
    </row>
    <row r="134" spans="1:8" s="85" customFormat="1" ht="16" x14ac:dyDescent="0.2">
      <c r="A134" s="124" t="str">
        <f t="shared" ref="A134:A135" si="36">D134&amp;G134</f>
        <v>MassPort Authority2018</v>
      </c>
      <c r="B134" s="613">
        <v>2018</v>
      </c>
      <c r="C134" s="614" t="s">
        <v>743</v>
      </c>
      <c r="D134" s="614" t="s">
        <v>216</v>
      </c>
      <c r="E134" s="615">
        <v>404424139</v>
      </c>
      <c r="F134" s="819" t="s">
        <v>50</v>
      </c>
      <c r="G134" s="613">
        <v>2018</v>
      </c>
      <c r="H134" s="430" t="str">
        <f>VLOOKUP(D134,Source!F:F,1,FALSE)</f>
        <v>MassPort Authority</v>
      </c>
    </row>
    <row r="135" spans="1:8" s="85" customFormat="1" ht="16" x14ac:dyDescent="0.2">
      <c r="A135" s="124" t="str">
        <f t="shared" si="36"/>
        <v>MassPort Authority2019</v>
      </c>
      <c r="B135" s="613">
        <v>2019</v>
      </c>
      <c r="C135" s="614" t="s">
        <v>743</v>
      </c>
      <c r="D135" s="614" t="s">
        <v>216</v>
      </c>
      <c r="E135" s="615">
        <v>409581607</v>
      </c>
      <c r="F135" s="819">
        <v>3107823</v>
      </c>
      <c r="G135" s="613">
        <v>2019</v>
      </c>
      <c r="H135" s="430" t="str">
        <f>VLOOKUP(D135,Source!F:F,1,FALSE)</f>
        <v>MassPort Authority</v>
      </c>
    </row>
    <row r="136" spans="1:8" s="85" customFormat="1" ht="16" x14ac:dyDescent="0.2">
      <c r="A136" s="124" t="str">
        <f t="shared" ref="A136" si="37">D136&amp;G136</f>
        <v>MassPort Authority2020</v>
      </c>
      <c r="B136" s="613">
        <v>2020</v>
      </c>
      <c r="C136" s="614" t="s">
        <v>743</v>
      </c>
      <c r="D136" s="614" t="s">
        <v>216</v>
      </c>
      <c r="E136" s="615">
        <v>387888794</v>
      </c>
      <c r="F136" s="819" t="s">
        <v>50</v>
      </c>
      <c r="G136" s="613">
        <v>2020</v>
      </c>
      <c r="H136" s="430" t="str">
        <f>VLOOKUP(D136,Source!F:F,1,FALSE)</f>
        <v>MassPort Authority</v>
      </c>
    </row>
    <row r="137" spans="1:8" ht="17" customHeight="1" x14ac:dyDescent="0.2">
      <c r="A137" s="124" t="str">
        <f t="shared" si="29"/>
        <v>Mount Wachusett Comm. College2013</v>
      </c>
      <c r="B137" s="613">
        <v>2013</v>
      </c>
      <c r="C137" s="614" t="s">
        <v>575</v>
      </c>
      <c r="D137" s="614" t="s">
        <v>231</v>
      </c>
      <c r="E137" s="615">
        <v>421742</v>
      </c>
      <c r="F137" s="819">
        <v>0</v>
      </c>
      <c r="G137" s="613">
        <v>2013</v>
      </c>
      <c r="H137" s="430" t="str">
        <f>VLOOKUP(D137,Source!F:F,1,FALSE)</f>
        <v>Mount Wachusett Comm. College</v>
      </c>
    </row>
    <row r="138" spans="1:8" ht="16" x14ac:dyDescent="0.2">
      <c r="A138" s="124" t="str">
        <f t="shared" si="29"/>
        <v>Mount Wachusett Comm. College2014</v>
      </c>
      <c r="B138" s="613">
        <v>2014</v>
      </c>
      <c r="C138" s="614" t="s">
        <v>575</v>
      </c>
      <c r="D138" s="614" t="s">
        <v>231</v>
      </c>
      <c r="E138" s="615">
        <v>413020</v>
      </c>
      <c r="F138" s="819">
        <v>0</v>
      </c>
      <c r="G138" s="613">
        <v>2014</v>
      </c>
      <c r="H138" s="430" t="str">
        <f>VLOOKUP(D138,Source!F:F,1,FALSE)</f>
        <v>Mount Wachusett Comm. College</v>
      </c>
    </row>
    <row r="139" spans="1:8" ht="16" x14ac:dyDescent="0.2">
      <c r="A139" s="124" t="str">
        <f t="shared" si="29"/>
        <v>Mount Wachusett Comm. College2015</v>
      </c>
      <c r="B139" s="613">
        <v>2015</v>
      </c>
      <c r="C139" s="614" t="s">
        <v>575</v>
      </c>
      <c r="D139" s="614" t="s">
        <v>231</v>
      </c>
      <c r="E139" s="615">
        <v>417170</v>
      </c>
      <c r="F139" s="819">
        <v>0</v>
      </c>
      <c r="G139" s="613">
        <v>2015</v>
      </c>
      <c r="H139" s="430" t="str">
        <f>VLOOKUP(D139,Source!F:F,1,FALSE)</f>
        <v>Mount Wachusett Comm. College</v>
      </c>
    </row>
    <row r="140" spans="1:8" ht="16" x14ac:dyDescent="0.2">
      <c r="A140" s="124" t="str">
        <f t="shared" si="29"/>
        <v>Mount Wachusett Comm. College2016</v>
      </c>
      <c r="B140" s="613">
        <v>2016</v>
      </c>
      <c r="C140" s="614" t="s">
        <v>575</v>
      </c>
      <c r="D140" s="614" t="s">
        <v>231</v>
      </c>
      <c r="E140" s="615">
        <v>474000</v>
      </c>
      <c r="F140" s="819">
        <v>21269</v>
      </c>
      <c r="G140" s="613">
        <v>2016</v>
      </c>
      <c r="H140" s="430" t="str">
        <f>VLOOKUP(D140,Source!F:F,1,FALSE)</f>
        <v>Mount Wachusett Comm. College</v>
      </c>
    </row>
    <row r="141" spans="1:8" ht="16" x14ac:dyDescent="0.2">
      <c r="A141" s="124" t="str">
        <f t="shared" si="29"/>
        <v>Mount Wachusett Comm. College2017</v>
      </c>
      <c r="B141" s="613">
        <v>2017</v>
      </c>
      <c r="C141" s="614" t="s">
        <v>575</v>
      </c>
      <c r="D141" s="614" t="s">
        <v>231</v>
      </c>
      <c r="E141" s="615">
        <v>446500</v>
      </c>
      <c r="F141" s="819">
        <v>0</v>
      </c>
      <c r="G141" s="613">
        <v>2017</v>
      </c>
      <c r="H141" s="430" t="str">
        <f>VLOOKUP(D141,Source!F:F,1,FALSE)</f>
        <v>Mount Wachusett Comm. College</v>
      </c>
    </row>
    <row r="142" spans="1:8" s="85" customFormat="1" ht="16" x14ac:dyDescent="0.2">
      <c r="A142" s="124" t="str">
        <f t="shared" ref="A142:A143" si="38">D142&amp;G142</f>
        <v>Mount Wachusett Comm. College2018</v>
      </c>
      <c r="B142" s="613">
        <v>2018</v>
      </c>
      <c r="C142" s="614" t="s">
        <v>575</v>
      </c>
      <c r="D142" s="614" t="s">
        <v>231</v>
      </c>
      <c r="E142" s="615" t="s">
        <v>1629</v>
      </c>
      <c r="F142" s="819" t="s">
        <v>1629</v>
      </c>
      <c r="G142" s="613">
        <v>2018</v>
      </c>
      <c r="H142" s="430" t="str">
        <f>VLOOKUP(D142,Source!F:F,1,FALSE)</f>
        <v>Mount Wachusett Comm. College</v>
      </c>
    </row>
    <row r="143" spans="1:8" s="85" customFormat="1" ht="16" x14ac:dyDescent="0.2">
      <c r="A143" s="124" t="str">
        <f t="shared" si="38"/>
        <v>Mount Wachusett Comm. College2019</v>
      </c>
      <c r="B143" s="613">
        <v>2019</v>
      </c>
      <c r="C143" s="614" t="s">
        <v>575</v>
      </c>
      <c r="D143" s="614" t="s">
        <v>231</v>
      </c>
      <c r="E143" s="615" t="s">
        <v>1629</v>
      </c>
      <c r="F143" s="819" t="s">
        <v>1629</v>
      </c>
      <c r="G143" s="613">
        <v>2019</v>
      </c>
      <c r="H143" s="430" t="str">
        <f>VLOOKUP(D143,Source!F:F,1,FALSE)</f>
        <v>Mount Wachusett Comm. College</v>
      </c>
    </row>
    <row r="144" spans="1:8" s="85" customFormat="1" ht="16" x14ac:dyDescent="0.2">
      <c r="A144" s="124" t="str">
        <f t="shared" ref="A144" si="39">D144&amp;G144</f>
        <v>Mount Wachusett Comm. College2020</v>
      </c>
      <c r="B144" s="613">
        <v>2020</v>
      </c>
      <c r="C144" s="614" t="s">
        <v>575</v>
      </c>
      <c r="D144" s="614" t="s">
        <v>231</v>
      </c>
      <c r="E144" s="612" t="s">
        <v>1629</v>
      </c>
      <c r="F144" s="818" t="s">
        <v>1629</v>
      </c>
      <c r="G144" s="613">
        <v>2020</v>
      </c>
      <c r="H144" s="430" t="str">
        <f>VLOOKUP(D144,Source!F:F,1,FALSE)</f>
        <v>Mount Wachusett Comm. College</v>
      </c>
    </row>
    <row r="145" spans="1:8" ht="16" x14ac:dyDescent="0.2">
      <c r="A145" s="124" t="str">
        <f t="shared" si="29"/>
        <v>North Shore Comm. College2013</v>
      </c>
      <c r="B145" s="613">
        <v>2013</v>
      </c>
      <c r="C145" s="614" t="s">
        <v>575</v>
      </c>
      <c r="D145" s="614" t="s">
        <v>240</v>
      </c>
      <c r="E145" s="615">
        <v>7981479</v>
      </c>
      <c r="F145" s="819">
        <v>58583.37</v>
      </c>
      <c r="G145" s="613">
        <v>2013</v>
      </c>
      <c r="H145" s="430" t="str">
        <f>VLOOKUP(D145,Source!F:F,1,FALSE)</f>
        <v>North Shore Comm. College</v>
      </c>
    </row>
    <row r="146" spans="1:8" ht="16" x14ac:dyDescent="0.2">
      <c r="A146" s="124" t="str">
        <f t="shared" si="29"/>
        <v>North Shore Comm. College2014</v>
      </c>
      <c r="B146" s="613">
        <v>2014</v>
      </c>
      <c r="C146" s="614" t="s">
        <v>575</v>
      </c>
      <c r="D146" s="614" t="s">
        <v>240</v>
      </c>
      <c r="E146" s="615">
        <v>11095819</v>
      </c>
      <c r="F146" s="819">
        <v>66570</v>
      </c>
      <c r="G146" s="613">
        <v>2014</v>
      </c>
      <c r="H146" s="430" t="str">
        <f>VLOOKUP(D146,Source!F:F,1,FALSE)</f>
        <v>North Shore Comm. College</v>
      </c>
    </row>
    <row r="147" spans="1:8" ht="16" x14ac:dyDescent="0.2">
      <c r="A147" s="124" t="str">
        <f t="shared" si="29"/>
        <v>North Shore Comm. College2015</v>
      </c>
      <c r="B147" s="613">
        <v>2015</v>
      </c>
      <c r="C147" s="614" t="s">
        <v>575</v>
      </c>
      <c r="D147" s="614" t="s">
        <v>240</v>
      </c>
      <c r="E147" s="615">
        <v>7429381</v>
      </c>
      <c r="F147" s="819">
        <v>74880</v>
      </c>
      <c r="G147" s="613">
        <v>2015</v>
      </c>
      <c r="H147" s="430" t="str">
        <f>VLOOKUP(D147,Source!F:F,1,FALSE)</f>
        <v>North Shore Comm. College</v>
      </c>
    </row>
    <row r="148" spans="1:8" ht="16" x14ac:dyDescent="0.2">
      <c r="A148" s="124" t="str">
        <f t="shared" si="29"/>
        <v>North Shore Comm. College2016</v>
      </c>
      <c r="B148" s="613">
        <v>2016</v>
      </c>
      <c r="C148" s="614" t="s">
        <v>575</v>
      </c>
      <c r="D148" s="614" t="s">
        <v>240</v>
      </c>
      <c r="E148" s="615">
        <v>8526782.9299999997</v>
      </c>
      <c r="F148" s="819">
        <v>68412.820000000007</v>
      </c>
      <c r="G148" s="613">
        <v>2016</v>
      </c>
      <c r="H148" s="430" t="str">
        <f>VLOOKUP(D148,Source!F:F,1,FALSE)</f>
        <v>North Shore Comm. College</v>
      </c>
    </row>
    <row r="149" spans="1:8" ht="16" x14ac:dyDescent="0.2">
      <c r="A149" s="124" t="str">
        <f t="shared" si="29"/>
        <v>North Shore Comm. College2017</v>
      </c>
      <c r="B149" s="613">
        <v>2017</v>
      </c>
      <c r="C149" s="614" t="s">
        <v>575</v>
      </c>
      <c r="D149" s="614" t="s">
        <v>240</v>
      </c>
      <c r="E149" s="615">
        <v>6314306</v>
      </c>
      <c r="F149" s="819">
        <v>67190.36</v>
      </c>
      <c r="G149" s="613">
        <v>2017</v>
      </c>
      <c r="H149" s="430" t="str">
        <f>VLOOKUP(D149,Source!F:F,1,FALSE)</f>
        <v>North Shore Comm. College</v>
      </c>
    </row>
    <row r="150" spans="1:8" s="85" customFormat="1" ht="16" x14ac:dyDescent="0.2">
      <c r="A150" s="124" t="str">
        <f t="shared" ref="A150:A151" si="40">D150&amp;G150</f>
        <v>North Shore Comm. College2018</v>
      </c>
      <c r="B150" s="613">
        <v>2018</v>
      </c>
      <c r="C150" s="614" t="s">
        <v>575</v>
      </c>
      <c r="D150" s="614" t="s">
        <v>240</v>
      </c>
      <c r="E150" s="615">
        <v>6541260</v>
      </c>
      <c r="F150" s="819">
        <v>69109</v>
      </c>
      <c r="G150" s="613">
        <v>2018</v>
      </c>
      <c r="H150" s="430" t="str">
        <f>VLOOKUP(D150,Source!F:F,1,FALSE)</f>
        <v>North Shore Comm. College</v>
      </c>
    </row>
    <row r="151" spans="1:8" s="85" customFormat="1" ht="16" x14ac:dyDescent="0.2">
      <c r="A151" s="124" t="str">
        <f t="shared" si="40"/>
        <v>North Shore Comm. College2019</v>
      </c>
      <c r="B151" s="613">
        <v>2019</v>
      </c>
      <c r="C151" s="614" t="s">
        <v>575</v>
      </c>
      <c r="D151" s="614" t="s">
        <v>240</v>
      </c>
      <c r="E151" s="615">
        <v>6541260</v>
      </c>
      <c r="F151" s="819">
        <v>69109.22</v>
      </c>
      <c r="G151" s="613">
        <v>2019</v>
      </c>
      <c r="H151" s="430" t="str">
        <f>VLOOKUP(D151,Source!F:F,1,FALSE)</f>
        <v>North Shore Comm. College</v>
      </c>
    </row>
    <row r="152" spans="1:8" s="85" customFormat="1" ht="16" x14ac:dyDescent="0.2">
      <c r="A152" s="124" t="str">
        <f t="shared" ref="A152" si="41">D152&amp;G152</f>
        <v>North Shore Comm. College2020</v>
      </c>
      <c r="B152" s="613">
        <v>2020</v>
      </c>
      <c r="C152" s="614" t="s">
        <v>575</v>
      </c>
      <c r="D152" s="614" t="s">
        <v>240</v>
      </c>
      <c r="E152" s="615">
        <v>3749902</v>
      </c>
      <c r="F152" s="819">
        <v>52014.01</v>
      </c>
      <c r="G152" s="613">
        <v>2020</v>
      </c>
      <c r="H152" s="430" t="str">
        <f>VLOOKUP(D152,Source!F:F,1,FALSE)</f>
        <v>North Shore Comm. College</v>
      </c>
    </row>
    <row r="153" spans="1:8" ht="16" x14ac:dyDescent="0.2">
      <c r="A153" s="124" t="str">
        <f t="shared" si="29"/>
        <v>Quinsigamond Comm. College2014</v>
      </c>
      <c r="B153" s="613">
        <v>2014</v>
      </c>
      <c r="C153" s="614" t="s">
        <v>575</v>
      </c>
      <c r="D153" s="614" t="s">
        <v>256</v>
      </c>
      <c r="E153" s="615">
        <v>26339</v>
      </c>
      <c r="F153" s="819">
        <v>12358</v>
      </c>
      <c r="G153" s="613">
        <v>2014</v>
      </c>
      <c r="H153" s="430" t="str">
        <f>VLOOKUP(D153,Source!F:F,1,FALSE)</f>
        <v>Quinsigamond Comm. College</v>
      </c>
    </row>
    <row r="154" spans="1:8" ht="16" x14ac:dyDescent="0.2">
      <c r="A154" s="124" t="str">
        <f t="shared" si="29"/>
        <v>Quinsigamond Comm. College2015</v>
      </c>
      <c r="B154" s="613">
        <v>2015</v>
      </c>
      <c r="C154" s="614" t="s">
        <v>575</v>
      </c>
      <c r="D154" s="614" t="s">
        <v>256</v>
      </c>
      <c r="E154" s="615">
        <v>25598</v>
      </c>
      <c r="F154" s="819">
        <v>12114</v>
      </c>
      <c r="G154" s="613">
        <v>2015</v>
      </c>
      <c r="H154" s="430" t="str">
        <f>VLOOKUP(D154,Source!F:F,1,FALSE)</f>
        <v>Quinsigamond Comm. College</v>
      </c>
    </row>
    <row r="155" spans="1:8" ht="16" x14ac:dyDescent="0.2">
      <c r="A155" s="124" t="str">
        <f t="shared" si="29"/>
        <v>Quinsigamond Comm. College2016</v>
      </c>
      <c r="B155" s="613">
        <v>2016</v>
      </c>
      <c r="C155" s="614" t="s">
        <v>575</v>
      </c>
      <c r="D155" s="614" t="s">
        <v>256</v>
      </c>
      <c r="E155" s="615">
        <v>24887.69</v>
      </c>
      <c r="F155" s="819">
        <v>11977</v>
      </c>
      <c r="G155" s="613">
        <v>2016</v>
      </c>
      <c r="H155" s="430" t="str">
        <f>VLOOKUP(D155,Source!F:F,1,FALSE)</f>
        <v>Quinsigamond Comm. College</v>
      </c>
    </row>
    <row r="156" spans="1:8" s="85" customFormat="1" ht="16" x14ac:dyDescent="0.2">
      <c r="A156" s="124" t="str">
        <f t="shared" ref="A156:A158" si="42">D156&amp;G156</f>
        <v>Quinsigamond Comm. College2017</v>
      </c>
      <c r="B156" s="613">
        <v>2017</v>
      </c>
      <c r="C156" s="614" t="s">
        <v>575</v>
      </c>
      <c r="D156" s="614" t="s">
        <v>256</v>
      </c>
      <c r="E156" s="615" t="s">
        <v>1629</v>
      </c>
      <c r="F156" s="819" t="s">
        <v>1629</v>
      </c>
      <c r="G156" s="613">
        <v>2017</v>
      </c>
      <c r="H156" s="430" t="str">
        <f>VLOOKUP(D156,Source!F:F,1,FALSE)</f>
        <v>Quinsigamond Comm. College</v>
      </c>
    </row>
    <row r="157" spans="1:8" s="85" customFormat="1" ht="16" x14ac:dyDescent="0.2">
      <c r="A157" s="124" t="str">
        <f t="shared" si="42"/>
        <v>Quinsigamond Comm. College2018</v>
      </c>
      <c r="B157" s="613">
        <v>2018</v>
      </c>
      <c r="C157" s="614" t="s">
        <v>575</v>
      </c>
      <c r="D157" s="614" t="s">
        <v>256</v>
      </c>
      <c r="E157" s="615" t="s">
        <v>1629</v>
      </c>
      <c r="F157" s="819">
        <v>15050</v>
      </c>
      <c r="G157" s="613">
        <v>2018</v>
      </c>
      <c r="H157" s="430" t="str">
        <f>VLOOKUP(D157,Source!F:F,1,FALSE)</f>
        <v>Quinsigamond Comm. College</v>
      </c>
    </row>
    <row r="158" spans="1:8" s="85" customFormat="1" ht="16" x14ac:dyDescent="0.2">
      <c r="A158" s="124" t="str">
        <f t="shared" si="42"/>
        <v>Quinsigamond Comm. College2019</v>
      </c>
      <c r="B158" s="613">
        <v>2019</v>
      </c>
      <c r="C158" s="614" t="s">
        <v>575</v>
      </c>
      <c r="D158" s="614" t="s">
        <v>256</v>
      </c>
      <c r="E158" s="615">
        <v>47366</v>
      </c>
      <c r="F158" s="819">
        <v>18010</v>
      </c>
      <c r="G158" s="613">
        <v>2019</v>
      </c>
      <c r="H158" s="430" t="str">
        <f>VLOOKUP(D158,Source!F:F,1,FALSE)</f>
        <v>Quinsigamond Comm. College</v>
      </c>
    </row>
    <row r="159" spans="1:8" s="85" customFormat="1" ht="16" x14ac:dyDescent="0.2">
      <c r="A159" s="124" t="str">
        <f t="shared" ref="A159" si="43">D159&amp;G159</f>
        <v>Quinsigamond Comm. College2020</v>
      </c>
      <c r="B159" s="613">
        <v>2020</v>
      </c>
      <c r="C159" s="614" t="s">
        <v>575</v>
      </c>
      <c r="D159" s="614" t="s">
        <v>256</v>
      </c>
      <c r="E159" s="615" t="s">
        <v>1629</v>
      </c>
      <c r="F159" s="819">
        <v>15568</v>
      </c>
      <c r="G159" s="613">
        <v>2020</v>
      </c>
      <c r="H159" s="430" t="str">
        <f>VLOOKUP(D159,Source!F:F,1,FALSE)</f>
        <v>Quinsigamond Comm. College</v>
      </c>
    </row>
    <row r="160" spans="1:8" ht="16" x14ac:dyDescent="0.2">
      <c r="A160" s="124" t="str">
        <f t="shared" si="29"/>
        <v>Roxbury Comm. College2016</v>
      </c>
      <c r="B160" s="613">
        <v>2016</v>
      </c>
      <c r="C160" s="614" t="s">
        <v>575</v>
      </c>
      <c r="D160" s="614" t="s">
        <v>261</v>
      </c>
      <c r="E160" s="615">
        <v>466300</v>
      </c>
      <c r="F160" s="819">
        <v>24685.34</v>
      </c>
      <c r="G160" s="613">
        <v>2016</v>
      </c>
      <c r="H160" s="430" t="str">
        <f>VLOOKUP(D160,Source!F:F,1,FALSE)</f>
        <v>Roxbury Comm. College</v>
      </c>
    </row>
    <row r="161" spans="1:8" s="85" customFormat="1" ht="16" x14ac:dyDescent="0.2">
      <c r="A161" s="124" t="str">
        <f t="shared" ref="A161:A163" si="44">D161&amp;G161</f>
        <v>Roxbury Comm. College2017</v>
      </c>
      <c r="B161" s="613">
        <v>2017</v>
      </c>
      <c r="C161" s="614" t="s">
        <v>575</v>
      </c>
      <c r="D161" s="614" t="s">
        <v>261</v>
      </c>
      <c r="E161" s="615" t="s">
        <v>1629</v>
      </c>
      <c r="F161" s="819" t="s">
        <v>1629</v>
      </c>
      <c r="G161" s="613">
        <v>2017</v>
      </c>
      <c r="H161" s="430" t="str">
        <f>VLOOKUP(D161,Source!F:F,1,FALSE)</f>
        <v>Roxbury Comm. College</v>
      </c>
    </row>
    <row r="162" spans="1:8" s="85" customFormat="1" ht="16" x14ac:dyDescent="0.2">
      <c r="A162" s="124" t="str">
        <f t="shared" si="44"/>
        <v>Roxbury Comm. College2018</v>
      </c>
      <c r="B162" s="613">
        <v>2018</v>
      </c>
      <c r="C162" s="614" t="s">
        <v>575</v>
      </c>
      <c r="D162" s="614" t="s">
        <v>261</v>
      </c>
      <c r="E162" s="615" t="s">
        <v>1629</v>
      </c>
      <c r="F162" s="819" t="s">
        <v>1629</v>
      </c>
      <c r="G162" s="613">
        <v>2018</v>
      </c>
      <c r="H162" s="430" t="str">
        <f>VLOOKUP(D162,Source!F:F,1,FALSE)</f>
        <v>Roxbury Comm. College</v>
      </c>
    </row>
    <row r="163" spans="1:8" s="85" customFormat="1" ht="16" x14ac:dyDescent="0.2">
      <c r="A163" s="124" t="str">
        <f t="shared" si="44"/>
        <v>Roxbury Comm. College2019</v>
      </c>
      <c r="B163" s="613">
        <v>2019</v>
      </c>
      <c r="C163" s="614" t="s">
        <v>575</v>
      </c>
      <c r="D163" s="614" t="s">
        <v>261</v>
      </c>
      <c r="E163" s="615" t="s">
        <v>1629</v>
      </c>
      <c r="F163" s="819" t="s">
        <v>1629</v>
      </c>
      <c r="G163" s="613">
        <v>2019</v>
      </c>
      <c r="H163" s="430" t="str">
        <f>VLOOKUP(D163,Source!F:F,1,FALSE)</f>
        <v>Roxbury Comm. College</v>
      </c>
    </row>
    <row r="164" spans="1:8" s="85" customFormat="1" ht="16" x14ac:dyDescent="0.2">
      <c r="A164" s="124" t="str">
        <f t="shared" ref="A164" si="45">D164&amp;G164</f>
        <v>Roxbury Comm. College2020</v>
      </c>
      <c r="B164" s="613">
        <v>2020</v>
      </c>
      <c r="C164" s="614" t="s">
        <v>575</v>
      </c>
      <c r="D164" s="614" t="s">
        <v>261</v>
      </c>
      <c r="E164" s="612" t="s">
        <v>1629</v>
      </c>
      <c r="F164" s="818" t="s">
        <v>1629</v>
      </c>
      <c r="G164" s="613">
        <v>2020</v>
      </c>
      <c r="H164" s="430" t="str">
        <f>VLOOKUP(D164,Source!F:F,1,FALSE)</f>
        <v>Roxbury Comm. College</v>
      </c>
    </row>
    <row r="165" spans="1:8" ht="16" x14ac:dyDescent="0.2">
      <c r="A165" s="124" t="str">
        <f t="shared" si="29"/>
        <v>Salem State University2014</v>
      </c>
      <c r="B165" s="613">
        <v>2014</v>
      </c>
      <c r="C165" s="614" t="s">
        <v>575</v>
      </c>
      <c r="D165" s="614" t="s">
        <v>272</v>
      </c>
      <c r="E165" s="615">
        <v>29071781</v>
      </c>
      <c r="F165" s="819">
        <v>449576.31</v>
      </c>
      <c r="G165" s="613">
        <v>2014</v>
      </c>
      <c r="H165" s="430" t="str">
        <f>VLOOKUP(D165,Source!F:F,1,FALSE)</f>
        <v>Salem State University</v>
      </c>
    </row>
    <row r="166" spans="1:8" ht="16" x14ac:dyDescent="0.2">
      <c r="A166" s="124" t="str">
        <f t="shared" si="29"/>
        <v>Salem State University2015</v>
      </c>
      <c r="B166" s="613">
        <v>2015</v>
      </c>
      <c r="C166" s="614" t="s">
        <v>575</v>
      </c>
      <c r="D166" s="614" t="s">
        <v>272</v>
      </c>
      <c r="E166" s="615">
        <v>27696925</v>
      </c>
      <c r="F166" s="819">
        <v>433166.06</v>
      </c>
      <c r="G166" s="613">
        <v>2015</v>
      </c>
      <c r="H166" s="430" t="str">
        <f>VLOOKUP(D166,Source!F:F,1,FALSE)</f>
        <v>Salem State University</v>
      </c>
    </row>
    <row r="167" spans="1:8" ht="16" x14ac:dyDescent="0.2">
      <c r="A167" s="124" t="str">
        <f t="shared" ref="A167:A217" si="46">D167&amp;G167</f>
        <v>Salem State University2016</v>
      </c>
      <c r="B167" s="613">
        <v>2016</v>
      </c>
      <c r="C167" s="614" t="s">
        <v>575</v>
      </c>
      <c r="D167" s="614" t="s">
        <v>272</v>
      </c>
      <c r="E167" s="615">
        <v>26144983</v>
      </c>
      <c r="F167" s="819">
        <v>428080.98</v>
      </c>
      <c r="G167" s="613">
        <v>2016</v>
      </c>
      <c r="H167" s="430" t="str">
        <f>VLOOKUP(D167,Source!F:F,1,FALSE)</f>
        <v>Salem State University</v>
      </c>
    </row>
    <row r="168" spans="1:8" ht="16" x14ac:dyDescent="0.2">
      <c r="A168" s="124" t="str">
        <f t="shared" si="46"/>
        <v>Salem State University2017</v>
      </c>
      <c r="B168" s="613">
        <v>2017</v>
      </c>
      <c r="C168" s="614" t="s">
        <v>575</v>
      </c>
      <c r="D168" s="614" t="s">
        <v>272</v>
      </c>
      <c r="E168" s="615">
        <v>22736866</v>
      </c>
      <c r="F168" s="819">
        <v>387943</v>
      </c>
      <c r="G168" s="613">
        <v>2017</v>
      </c>
      <c r="H168" s="430" t="str">
        <f>VLOOKUP(D168,Source!F:F,1,FALSE)</f>
        <v>Salem State University</v>
      </c>
    </row>
    <row r="169" spans="1:8" s="85" customFormat="1" ht="16" x14ac:dyDescent="0.2">
      <c r="A169" s="124" t="str">
        <f t="shared" ref="A169:A170" si="47">D169&amp;G169</f>
        <v>Salem State University2018</v>
      </c>
      <c r="B169" s="613">
        <v>2018</v>
      </c>
      <c r="C169" s="614" t="s">
        <v>575</v>
      </c>
      <c r="D169" s="614" t="s">
        <v>272</v>
      </c>
      <c r="E169" s="615">
        <v>22754663</v>
      </c>
      <c r="F169" s="819">
        <v>383001</v>
      </c>
      <c r="G169" s="613">
        <v>2018</v>
      </c>
      <c r="H169" s="430" t="str">
        <f>VLOOKUP(D169,Source!F:F,1,FALSE)</f>
        <v>Salem State University</v>
      </c>
    </row>
    <row r="170" spans="1:8" s="85" customFormat="1" ht="16" x14ac:dyDescent="0.2">
      <c r="A170" s="124" t="str">
        <f t="shared" si="47"/>
        <v>Salem State University2019</v>
      </c>
      <c r="B170" s="613">
        <v>2019</v>
      </c>
      <c r="C170" s="614" t="s">
        <v>575</v>
      </c>
      <c r="D170" s="614" t="s">
        <v>272</v>
      </c>
      <c r="E170" s="615">
        <v>25912445</v>
      </c>
      <c r="F170" s="819">
        <v>476465</v>
      </c>
      <c r="G170" s="613">
        <v>2019</v>
      </c>
      <c r="H170" s="430" t="str">
        <f>VLOOKUP(D170,Source!F:F,1,FALSE)</f>
        <v>Salem State University</v>
      </c>
    </row>
    <row r="171" spans="1:8" s="85" customFormat="1" ht="16" x14ac:dyDescent="0.2">
      <c r="A171" s="124" t="str">
        <f t="shared" ref="A171" si="48">D171&amp;G171</f>
        <v>Salem State University2020</v>
      </c>
      <c r="B171" s="613">
        <v>2020</v>
      </c>
      <c r="C171" s="614" t="s">
        <v>575</v>
      </c>
      <c r="D171" s="614" t="s">
        <v>272</v>
      </c>
      <c r="E171" s="615">
        <v>19373423</v>
      </c>
      <c r="F171" s="819">
        <v>391026</v>
      </c>
      <c r="G171" s="613">
        <v>2020</v>
      </c>
      <c r="H171" s="430" t="str">
        <f>VLOOKUP(D171,Source!F:F,1,FALSE)</f>
        <v>Salem State University</v>
      </c>
    </row>
    <row r="172" spans="1:8" ht="16" x14ac:dyDescent="0.2">
      <c r="A172" s="124" t="str">
        <f t="shared" si="46"/>
        <v>Springfield Technical Comm. College2013</v>
      </c>
      <c r="B172" s="613">
        <v>2013</v>
      </c>
      <c r="C172" s="614" t="s">
        <v>575</v>
      </c>
      <c r="D172" s="614" t="s">
        <v>282</v>
      </c>
      <c r="E172" s="615">
        <v>1807000</v>
      </c>
      <c r="F172" s="819">
        <v>43380.36</v>
      </c>
      <c r="G172" s="613">
        <v>2013</v>
      </c>
      <c r="H172" s="430" t="str">
        <f>VLOOKUP(D172,Source!F:F,1,FALSE)</f>
        <v>Springfield Technical Comm. College</v>
      </c>
    </row>
    <row r="173" spans="1:8" ht="16" x14ac:dyDescent="0.2">
      <c r="A173" s="124" t="str">
        <f t="shared" si="46"/>
        <v>Springfield Technical Comm. College2014</v>
      </c>
      <c r="B173" s="613">
        <v>2014</v>
      </c>
      <c r="C173" s="614" t="s">
        <v>575</v>
      </c>
      <c r="D173" s="614" t="s">
        <v>282</v>
      </c>
      <c r="E173" s="615">
        <v>1688100</v>
      </c>
      <c r="F173" s="819">
        <v>42214.27</v>
      </c>
      <c r="G173" s="613">
        <v>2014</v>
      </c>
      <c r="H173" s="430" t="str">
        <f>VLOOKUP(D173,Source!F:F,1,FALSE)</f>
        <v>Springfield Technical Comm. College</v>
      </c>
    </row>
    <row r="174" spans="1:8" ht="16" x14ac:dyDescent="0.2">
      <c r="A174" s="124" t="str">
        <f t="shared" si="46"/>
        <v>Springfield Technical Comm. College2015</v>
      </c>
      <c r="B174" s="613">
        <v>2015</v>
      </c>
      <c r="C174" s="614" t="s">
        <v>575</v>
      </c>
      <c r="D174" s="614" t="s">
        <v>282</v>
      </c>
      <c r="E174" s="615">
        <v>1343500</v>
      </c>
      <c r="F174" s="819">
        <v>37508.47</v>
      </c>
      <c r="G174" s="613">
        <v>2015</v>
      </c>
      <c r="H174" s="430" t="str">
        <f>VLOOKUP(D174,Source!F:F,1,FALSE)</f>
        <v>Springfield Technical Comm. College</v>
      </c>
    </row>
    <row r="175" spans="1:8" ht="16" x14ac:dyDescent="0.2">
      <c r="A175" s="124" t="str">
        <f t="shared" si="46"/>
        <v>Springfield Technical Comm. College2016</v>
      </c>
      <c r="B175" s="613">
        <v>2016</v>
      </c>
      <c r="C175" s="614" t="s">
        <v>575</v>
      </c>
      <c r="D175" s="614" t="s">
        <v>282</v>
      </c>
      <c r="E175" s="615">
        <v>1768700</v>
      </c>
      <c r="F175" s="819">
        <v>48974.55</v>
      </c>
      <c r="G175" s="613">
        <v>2016</v>
      </c>
      <c r="H175" s="430" t="str">
        <f>VLOOKUP(D175,Source!F:F,1,FALSE)</f>
        <v>Springfield Technical Comm. College</v>
      </c>
    </row>
    <row r="176" spans="1:8" ht="16" x14ac:dyDescent="0.2">
      <c r="A176" s="124" t="str">
        <f t="shared" si="46"/>
        <v>Springfield Technical Comm. College2017</v>
      </c>
      <c r="B176" s="613">
        <v>2017</v>
      </c>
      <c r="C176" s="614" t="s">
        <v>575</v>
      </c>
      <c r="D176" s="614" t="s">
        <v>282</v>
      </c>
      <c r="E176" s="615">
        <v>6274972</v>
      </c>
      <c r="F176" s="819">
        <v>48663</v>
      </c>
      <c r="G176" s="613">
        <v>2017</v>
      </c>
      <c r="H176" s="430" t="str">
        <f>VLOOKUP(D176,Source!F:F,1,FALSE)</f>
        <v>Springfield Technical Comm. College</v>
      </c>
    </row>
    <row r="177" spans="1:8" s="85" customFormat="1" ht="16" x14ac:dyDescent="0.2">
      <c r="A177" s="124" t="str">
        <f t="shared" ref="A177:A178" si="49">D177&amp;G177</f>
        <v>Springfield Technical Comm. College2018</v>
      </c>
      <c r="B177" s="613">
        <v>2018</v>
      </c>
      <c r="C177" s="614" t="s">
        <v>575</v>
      </c>
      <c r="D177" s="614" t="s">
        <v>282</v>
      </c>
      <c r="E177" s="615">
        <v>8157688</v>
      </c>
      <c r="F177" s="819">
        <v>97318</v>
      </c>
      <c r="G177" s="613">
        <v>2018</v>
      </c>
      <c r="H177" s="430" t="str">
        <f>VLOOKUP(D177,Source!F:F,1,FALSE)</f>
        <v>Springfield Technical Comm. College</v>
      </c>
    </row>
    <row r="178" spans="1:8" s="85" customFormat="1" ht="16" x14ac:dyDescent="0.2">
      <c r="A178" s="124" t="str">
        <f t="shared" si="49"/>
        <v>Springfield Technical Comm. College2019</v>
      </c>
      <c r="B178" s="613">
        <v>2019</v>
      </c>
      <c r="C178" s="614" t="s">
        <v>575</v>
      </c>
      <c r="D178" s="614" t="s">
        <v>282</v>
      </c>
      <c r="E178" s="615">
        <v>17008024</v>
      </c>
      <c r="F178" s="819">
        <v>211174</v>
      </c>
      <c r="G178" s="613">
        <v>2019</v>
      </c>
      <c r="H178" s="430" t="str">
        <f>VLOOKUP(D178,Source!F:F,1,FALSE)</f>
        <v>Springfield Technical Comm. College</v>
      </c>
    </row>
    <row r="179" spans="1:8" s="85" customFormat="1" ht="16" x14ac:dyDescent="0.2">
      <c r="A179" s="124" t="str">
        <f t="shared" ref="A179" si="50">D179&amp;G179</f>
        <v>Springfield Technical Comm. College2020</v>
      </c>
      <c r="B179" s="613">
        <v>2020</v>
      </c>
      <c r="C179" s="614" t="s">
        <v>575</v>
      </c>
      <c r="D179" s="614" t="s">
        <v>282</v>
      </c>
      <c r="E179" s="612" t="s">
        <v>1629</v>
      </c>
      <c r="F179" s="818" t="s">
        <v>1629</v>
      </c>
      <c r="G179" s="613">
        <v>2020</v>
      </c>
      <c r="H179" s="430" t="str">
        <f>VLOOKUP(D179,Source!F:F,1,FALSE)</f>
        <v>Springfield Technical Comm. College</v>
      </c>
    </row>
    <row r="180" spans="1:8" ht="16" x14ac:dyDescent="0.2">
      <c r="A180" s="124" t="str">
        <f t="shared" si="46"/>
        <v>Trial Court2013</v>
      </c>
      <c r="B180" s="613">
        <v>2013</v>
      </c>
      <c r="C180" s="614" t="s">
        <v>1239</v>
      </c>
      <c r="D180" s="614" t="s">
        <v>291</v>
      </c>
      <c r="E180" s="615">
        <v>44404157</v>
      </c>
      <c r="F180" s="819">
        <v>592788.72</v>
      </c>
      <c r="G180" s="613">
        <v>2013</v>
      </c>
      <c r="H180" s="430" t="str">
        <f>VLOOKUP(D180,Source!F:F,1,FALSE)</f>
        <v>Trial Court</v>
      </c>
    </row>
    <row r="181" spans="1:8" ht="16" x14ac:dyDescent="0.2">
      <c r="A181" s="124" t="str">
        <f t="shared" si="46"/>
        <v>Trial Court2014</v>
      </c>
      <c r="B181" s="613">
        <v>2014</v>
      </c>
      <c r="C181" s="614" t="s">
        <v>1239</v>
      </c>
      <c r="D181" s="614" t="s">
        <v>291</v>
      </c>
      <c r="E181" s="615">
        <v>41786837</v>
      </c>
      <c r="F181" s="819">
        <v>580383.47</v>
      </c>
      <c r="G181" s="613">
        <v>2014</v>
      </c>
      <c r="H181" s="430" t="str">
        <f>VLOOKUP(D181,Source!F:F,1,FALSE)</f>
        <v>Trial Court</v>
      </c>
    </row>
    <row r="182" spans="1:8" ht="16" x14ac:dyDescent="0.2">
      <c r="A182" s="124" t="str">
        <f t="shared" si="46"/>
        <v>Trial Court2015</v>
      </c>
      <c r="B182" s="613">
        <v>2015</v>
      </c>
      <c r="C182" s="614" t="s">
        <v>1239</v>
      </c>
      <c r="D182" s="614" t="s">
        <v>291</v>
      </c>
      <c r="E182" s="615">
        <v>40647499</v>
      </c>
      <c r="F182" s="819">
        <v>586951.03</v>
      </c>
      <c r="G182" s="613">
        <v>2015</v>
      </c>
      <c r="H182" s="430" t="str">
        <f>VLOOKUP(D182,Source!F:F,1,FALSE)</f>
        <v>Trial Court</v>
      </c>
    </row>
    <row r="183" spans="1:8" ht="16" x14ac:dyDescent="0.2">
      <c r="A183" s="124" t="str">
        <f t="shared" si="46"/>
        <v>Trial Court2016</v>
      </c>
      <c r="B183" s="613">
        <v>2016</v>
      </c>
      <c r="C183" s="614" t="s">
        <v>1239</v>
      </c>
      <c r="D183" s="614" t="s">
        <v>291</v>
      </c>
      <c r="E183" s="615">
        <v>39058065</v>
      </c>
      <c r="F183" s="819">
        <v>579321.72</v>
      </c>
      <c r="G183" s="613">
        <v>2016</v>
      </c>
      <c r="H183" s="430" t="str">
        <f>VLOOKUP(D183,Source!F:F,1,FALSE)</f>
        <v>Trial Court</v>
      </c>
    </row>
    <row r="184" spans="1:8" ht="16" x14ac:dyDescent="0.2">
      <c r="A184" s="124" t="str">
        <f t="shared" si="46"/>
        <v>Trial Court2017</v>
      </c>
      <c r="B184" s="613">
        <v>2017</v>
      </c>
      <c r="C184" s="614" t="s">
        <v>1239</v>
      </c>
      <c r="D184" s="614" t="s">
        <v>291</v>
      </c>
      <c r="E184" s="615">
        <v>38425708</v>
      </c>
      <c r="F184" s="819">
        <v>610332.71</v>
      </c>
      <c r="G184" s="613">
        <v>2017</v>
      </c>
      <c r="H184" s="430" t="str">
        <f>VLOOKUP(D184,Source!F:F,1,FALSE)</f>
        <v>Trial Court</v>
      </c>
    </row>
    <row r="185" spans="1:8" s="85" customFormat="1" ht="16" x14ac:dyDescent="0.2">
      <c r="A185" s="124" t="str">
        <f t="shared" ref="A185:A186" si="51">D185&amp;G185</f>
        <v>Trial Court2018</v>
      </c>
      <c r="B185" s="613">
        <v>2018</v>
      </c>
      <c r="C185" s="614" t="s">
        <v>1239</v>
      </c>
      <c r="D185" s="614" t="s">
        <v>291</v>
      </c>
      <c r="E185" s="615" t="s">
        <v>1629</v>
      </c>
      <c r="F185" s="819" t="s">
        <v>1629</v>
      </c>
      <c r="G185" s="613">
        <v>2018</v>
      </c>
      <c r="H185" s="430" t="str">
        <f>VLOOKUP(D185,Source!F:F,1,FALSE)</f>
        <v>Trial Court</v>
      </c>
    </row>
    <row r="186" spans="1:8" s="85" customFormat="1" ht="16" x14ac:dyDescent="0.2">
      <c r="A186" s="124" t="str">
        <f t="shared" si="51"/>
        <v>Trial Court2019</v>
      </c>
      <c r="B186" s="613">
        <v>2019</v>
      </c>
      <c r="C186" s="614" t="s">
        <v>1239</v>
      </c>
      <c r="D186" s="614" t="s">
        <v>291</v>
      </c>
      <c r="E186" s="615" t="s">
        <v>1629</v>
      </c>
      <c r="F186" s="819" t="s">
        <v>1629</v>
      </c>
      <c r="G186" s="613">
        <v>2019</v>
      </c>
      <c r="H186" s="430" t="str">
        <f>VLOOKUP(D186,Source!F:F,1,FALSE)</f>
        <v>Trial Court</v>
      </c>
    </row>
    <row r="187" spans="1:8" s="85" customFormat="1" ht="16" x14ac:dyDescent="0.2">
      <c r="A187" s="124" t="str">
        <f t="shared" ref="A187" si="52">D187&amp;G187</f>
        <v>Trial Court2020</v>
      </c>
      <c r="B187" s="613">
        <v>2020</v>
      </c>
      <c r="C187" s="614" t="s">
        <v>1239</v>
      </c>
      <c r="D187" s="614" t="s">
        <v>291</v>
      </c>
      <c r="E187" s="612" t="s">
        <v>1629</v>
      </c>
      <c r="F187" s="818" t="s">
        <v>1629</v>
      </c>
      <c r="G187" s="613">
        <v>2020</v>
      </c>
      <c r="H187" s="430" t="str">
        <f>VLOOKUP(D187,Source!F:F,1,FALSE)</f>
        <v>Trial Court</v>
      </c>
    </row>
    <row r="188" spans="1:8" ht="16" x14ac:dyDescent="0.2">
      <c r="A188" s="124" t="str">
        <f t="shared" si="46"/>
        <v>UMass Amherst2013</v>
      </c>
      <c r="B188" s="613">
        <v>2013</v>
      </c>
      <c r="C188" s="614" t="s">
        <v>865</v>
      </c>
      <c r="D188" s="614" t="s">
        <v>299</v>
      </c>
      <c r="E188" s="615">
        <v>210872100</v>
      </c>
      <c r="F188" s="819">
        <v>0</v>
      </c>
      <c r="G188" s="613">
        <v>2013</v>
      </c>
      <c r="H188" s="430" t="str">
        <f>VLOOKUP(D188,Source!F:F,1,FALSE)</f>
        <v>UMass Amherst</v>
      </c>
    </row>
    <row r="189" spans="1:8" ht="16" x14ac:dyDescent="0.2">
      <c r="A189" s="124" t="str">
        <f t="shared" si="46"/>
        <v>UMass Amherst2014</v>
      </c>
      <c r="B189" s="613">
        <v>2014</v>
      </c>
      <c r="C189" s="614" t="s">
        <v>865</v>
      </c>
      <c r="D189" s="614" t="s">
        <v>299</v>
      </c>
      <c r="E189" s="615">
        <v>298649801</v>
      </c>
      <c r="F189" s="819">
        <v>0</v>
      </c>
      <c r="G189" s="613">
        <v>2014</v>
      </c>
      <c r="H189" s="430" t="str">
        <f>VLOOKUP(D189,Source!F:F,1,FALSE)</f>
        <v>UMass Amherst</v>
      </c>
    </row>
    <row r="190" spans="1:8" x14ac:dyDescent="0.2">
      <c r="A190" s="124" t="str">
        <f t="shared" si="46"/>
        <v>UMass Amherst2015</v>
      </c>
      <c r="B190" s="86">
        <v>2015</v>
      </c>
      <c r="C190" s="86" t="s">
        <v>865</v>
      </c>
      <c r="D190" s="86" t="s">
        <v>299</v>
      </c>
      <c r="E190" s="125">
        <v>358777400</v>
      </c>
      <c r="F190" s="822">
        <v>0</v>
      </c>
      <c r="G190" s="86">
        <v>2015</v>
      </c>
      <c r="H190" s="430" t="str">
        <f>VLOOKUP(D190,Source!F:F,1,FALSE)</f>
        <v>UMass Amherst</v>
      </c>
    </row>
    <row r="191" spans="1:8" x14ac:dyDescent="0.2">
      <c r="A191" s="124" t="str">
        <f t="shared" si="46"/>
        <v>UMass Amherst2016</v>
      </c>
      <c r="B191" s="86">
        <v>2016</v>
      </c>
      <c r="C191" s="86" t="s">
        <v>865</v>
      </c>
      <c r="D191" s="86" t="s">
        <v>299</v>
      </c>
      <c r="E191" s="125">
        <v>278825067</v>
      </c>
      <c r="F191" s="822">
        <v>0</v>
      </c>
      <c r="G191" s="86">
        <v>2016</v>
      </c>
      <c r="H191" s="430" t="str">
        <f>VLOOKUP(D191,Source!F:F,1,FALSE)</f>
        <v>UMass Amherst</v>
      </c>
    </row>
    <row r="192" spans="1:8" x14ac:dyDescent="0.2">
      <c r="A192" s="124" t="str">
        <f t="shared" si="46"/>
        <v>UMass Amherst2017</v>
      </c>
      <c r="B192" s="86">
        <v>2017</v>
      </c>
      <c r="C192" s="86" t="s">
        <v>865</v>
      </c>
      <c r="D192" s="86" t="s">
        <v>299</v>
      </c>
      <c r="E192" s="125">
        <v>261328215</v>
      </c>
      <c r="F192" s="822">
        <v>0</v>
      </c>
      <c r="G192" s="86">
        <v>2017</v>
      </c>
      <c r="H192" s="430" t="str">
        <f>VLOOKUP(D192,Source!F:F,1,FALSE)</f>
        <v>UMass Amherst</v>
      </c>
    </row>
    <row r="193" spans="1:8" s="85" customFormat="1" x14ac:dyDescent="0.2">
      <c r="A193" s="124" t="str">
        <f t="shared" ref="A193:A194" si="53">D193&amp;G193</f>
        <v>UMass Amherst2018</v>
      </c>
      <c r="B193" s="86">
        <v>2018</v>
      </c>
      <c r="C193" s="86" t="s">
        <v>865</v>
      </c>
      <c r="D193" s="86" t="s">
        <v>299</v>
      </c>
      <c r="E193" s="125">
        <v>306251354</v>
      </c>
      <c r="F193" s="822">
        <v>0</v>
      </c>
      <c r="G193" s="86">
        <v>2018</v>
      </c>
      <c r="H193" s="430" t="str">
        <f>VLOOKUP(D193,Source!F:F,1,FALSE)</f>
        <v>UMass Amherst</v>
      </c>
    </row>
    <row r="194" spans="1:8" s="85" customFormat="1" x14ac:dyDescent="0.2">
      <c r="A194" s="124" t="str">
        <f t="shared" si="53"/>
        <v>UMass Amherst2019</v>
      </c>
      <c r="B194" s="86">
        <v>2019</v>
      </c>
      <c r="C194" s="86" t="s">
        <v>865</v>
      </c>
      <c r="D194" s="86" t="s">
        <v>299</v>
      </c>
      <c r="E194" s="125">
        <v>271223760</v>
      </c>
      <c r="F194" s="822">
        <v>2734937</v>
      </c>
      <c r="G194" s="86">
        <v>2019</v>
      </c>
      <c r="H194" s="430" t="str">
        <f>VLOOKUP(D194,Source!F:F,1,FALSE)</f>
        <v>UMass Amherst</v>
      </c>
    </row>
    <row r="195" spans="1:8" s="85" customFormat="1" x14ac:dyDescent="0.2">
      <c r="A195" s="124" t="str">
        <f t="shared" ref="A195" si="54">D195&amp;G195</f>
        <v>UMass Amherst2020</v>
      </c>
      <c r="B195" s="86">
        <v>2020</v>
      </c>
      <c r="C195" s="86" t="s">
        <v>865</v>
      </c>
      <c r="D195" s="86" t="s">
        <v>299</v>
      </c>
      <c r="E195" s="125">
        <v>210076600</v>
      </c>
      <c r="F195" s="822">
        <v>2262537</v>
      </c>
      <c r="G195" s="613">
        <v>2020</v>
      </c>
      <c r="H195" s="430" t="str">
        <f>VLOOKUP(D195,Source!F:F,1,FALSE)</f>
        <v>UMass Amherst</v>
      </c>
    </row>
    <row r="196" spans="1:8" x14ac:dyDescent="0.2">
      <c r="A196" s="124" t="str">
        <f t="shared" si="46"/>
        <v>UMass Boston2013</v>
      </c>
      <c r="B196" s="86">
        <v>2013</v>
      </c>
      <c r="C196" s="86" t="s">
        <v>865</v>
      </c>
      <c r="D196" s="86" t="s">
        <v>304</v>
      </c>
      <c r="E196" s="125">
        <v>10026940</v>
      </c>
      <c r="F196" s="822">
        <v>176525</v>
      </c>
      <c r="G196" s="86">
        <v>2013</v>
      </c>
      <c r="H196" s="430" t="str">
        <f>VLOOKUP(D196,Source!F:F,1,FALSE)</f>
        <v>UMass Boston</v>
      </c>
    </row>
    <row r="197" spans="1:8" x14ac:dyDescent="0.2">
      <c r="A197" s="124" t="str">
        <f t="shared" si="46"/>
        <v>UMass Boston2014</v>
      </c>
      <c r="B197" s="86">
        <v>2014</v>
      </c>
      <c r="C197" s="86" t="s">
        <v>865</v>
      </c>
      <c r="D197" s="86" t="s">
        <v>304</v>
      </c>
      <c r="E197" s="125">
        <v>18161440</v>
      </c>
      <c r="F197" s="822">
        <v>355473</v>
      </c>
      <c r="G197" s="86">
        <v>2014</v>
      </c>
      <c r="H197" s="430" t="str">
        <f>VLOOKUP(D197,Source!F:F,1,FALSE)</f>
        <v>UMass Boston</v>
      </c>
    </row>
    <row r="198" spans="1:8" x14ac:dyDescent="0.2">
      <c r="A198" s="124" t="str">
        <f t="shared" si="46"/>
        <v>UMass Boston2015</v>
      </c>
      <c r="B198" s="86">
        <v>2015</v>
      </c>
      <c r="C198" s="86" t="s">
        <v>865</v>
      </c>
      <c r="D198" s="86" t="s">
        <v>304</v>
      </c>
      <c r="E198" s="125">
        <v>23197012</v>
      </c>
      <c r="F198" s="822">
        <v>532640</v>
      </c>
      <c r="G198" s="86">
        <v>2015</v>
      </c>
      <c r="H198" s="430" t="str">
        <f>VLOOKUP(D198,Source!F:F,1,FALSE)</f>
        <v>UMass Boston</v>
      </c>
    </row>
    <row r="199" spans="1:8" x14ac:dyDescent="0.2">
      <c r="A199" s="124" t="str">
        <f t="shared" si="46"/>
        <v>UMass Boston2016</v>
      </c>
      <c r="B199" s="86">
        <v>2016</v>
      </c>
      <c r="C199" s="86" t="s">
        <v>865</v>
      </c>
      <c r="D199" s="86" t="s">
        <v>304</v>
      </c>
      <c r="E199" s="125">
        <v>30840519</v>
      </c>
      <c r="F199" s="822">
        <v>575671</v>
      </c>
      <c r="G199" s="86">
        <v>2016</v>
      </c>
      <c r="H199" s="430" t="str">
        <f>VLOOKUP(D199,Source!F:F,1,FALSE)</f>
        <v>UMass Boston</v>
      </c>
    </row>
    <row r="200" spans="1:8" x14ac:dyDescent="0.2">
      <c r="A200" s="124" t="str">
        <f t="shared" si="46"/>
        <v>UMass Boston2017</v>
      </c>
      <c r="B200" s="86">
        <v>2017</v>
      </c>
      <c r="C200" s="86" t="s">
        <v>865</v>
      </c>
      <c r="D200" s="86" t="s">
        <v>304</v>
      </c>
      <c r="E200" s="125">
        <v>16071154</v>
      </c>
      <c r="F200" s="822">
        <v>641600</v>
      </c>
      <c r="G200" s="86">
        <v>2017</v>
      </c>
      <c r="H200" s="430" t="str">
        <f>VLOOKUP(D200,Source!F:F,1,FALSE)</f>
        <v>UMass Boston</v>
      </c>
    </row>
    <row r="201" spans="1:8" s="85" customFormat="1" x14ac:dyDescent="0.2">
      <c r="A201" s="124" t="str">
        <f t="shared" ref="A201:A202" si="55">D201&amp;G201</f>
        <v>UMass Boston2018</v>
      </c>
      <c r="B201" s="86">
        <v>2018</v>
      </c>
      <c r="C201" s="86" t="s">
        <v>865</v>
      </c>
      <c r="D201" s="86" t="s">
        <v>304</v>
      </c>
      <c r="E201" s="125">
        <v>34774146</v>
      </c>
      <c r="F201" s="822">
        <v>700464</v>
      </c>
      <c r="G201" s="86">
        <v>2018</v>
      </c>
      <c r="H201" s="430" t="str">
        <f>VLOOKUP(D201,Source!F:F,1,FALSE)</f>
        <v>UMass Boston</v>
      </c>
    </row>
    <row r="202" spans="1:8" s="85" customFormat="1" x14ac:dyDescent="0.2">
      <c r="A202" s="124" t="str">
        <f t="shared" si="55"/>
        <v>UMass Boston2019</v>
      </c>
      <c r="B202" s="86">
        <v>2019</v>
      </c>
      <c r="C202" s="86" t="s">
        <v>865</v>
      </c>
      <c r="D202" s="86" t="s">
        <v>304</v>
      </c>
      <c r="E202" s="125">
        <v>36844984</v>
      </c>
      <c r="F202" s="822">
        <v>781357</v>
      </c>
      <c r="G202" s="86">
        <v>2019</v>
      </c>
      <c r="H202" s="430" t="str">
        <f>VLOOKUP(D202,Source!F:F,1,FALSE)</f>
        <v>UMass Boston</v>
      </c>
    </row>
    <row r="203" spans="1:8" s="85" customFormat="1" x14ac:dyDescent="0.2">
      <c r="A203" s="124" t="str">
        <f t="shared" ref="A203" si="56">D203&amp;G203</f>
        <v>UMass Boston2020</v>
      </c>
      <c r="B203" s="86">
        <v>2020</v>
      </c>
      <c r="C203" s="86" t="s">
        <v>865</v>
      </c>
      <c r="D203" s="86" t="s">
        <v>304</v>
      </c>
      <c r="E203" s="125">
        <v>30981351</v>
      </c>
      <c r="F203" s="822">
        <v>691182.44</v>
      </c>
      <c r="G203" s="613">
        <v>2020</v>
      </c>
      <c r="H203" s="430" t="str">
        <f>VLOOKUP(D203,Source!F:F,1,FALSE)</f>
        <v>UMass Boston</v>
      </c>
    </row>
    <row r="204" spans="1:8" x14ac:dyDescent="0.2">
      <c r="A204" s="124" t="str">
        <f t="shared" si="46"/>
        <v>UMass Dartmouth2013</v>
      </c>
      <c r="B204" s="86">
        <v>2013</v>
      </c>
      <c r="C204" s="86" t="s">
        <v>865</v>
      </c>
      <c r="D204" s="86" t="s">
        <v>313</v>
      </c>
      <c r="E204" s="125">
        <v>2045350</v>
      </c>
      <c r="F204" s="822">
        <v>377670.17</v>
      </c>
      <c r="G204" s="86">
        <v>2013</v>
      </c>
      <c r="H204" s="430" t="str">
        <f>VLOOKUP(D204,Source!F:F,1,FALSE)</f>
        <v>UMass Dartmouth</v>
      </c>
    </row>
    <row r="205" spans="1:8" x14ac:dyDescent="0.2">
      <c r="A205" s="124" t="str">
        <f t="shared" si="46"/>
        <v>UMass Dartmouth2014</v>
      </c>
      <c r="B205" s="86">
        <v>2014</v>
      </c>
      <c r="C205" s="86" t="s">
        <v>865</v>
      </c>
      <c r="D205" s="86" t="s">
        <v>313</v>
      </c>
      <c r="E205" s="125">
        <v>2709527</v>
      </c>
      <c r="F205" s="822">
        <v>522212.34</v>
      </c>
      <c r="G205" s="86">
        <v>2014</v>
      </c>
      <c r="H205" s="430" t="str">
        <f>VLOOKUP(D205,Source!F:F,1,FALSE)</f>
        <v>UMass Dartmouth</v>
      </c>
    </row>
    <row r="206" spans="1:8" x14ac:dyDescent="0.2">
      <c r="A206" s="124" t="str">
        <f t="shared" si="46"/>
        <v>UMass Dartmouth2015</v>
      </c>
      <c r="B206" s="86">
        <v>2015</v>
      </c>
      <c r="C206" s="86" t="s">
        <v>865</v>
      </c>
      <c r="D206" s="86" t="s">
        <v>313</v>
      </c>
      <c r="E206" s="125">
        <v>1800413</v>
      </c>
      <c r="F206" s="822">
        <v>390964.88</v>
      </c>
      <c r="G206" s="86">
        <v>2015</v>
      </c>
      <c r="H206" s="430" t="str">
        <f>VLOOKUP(D206,Source!F:F,1,FALSE)</f>
        <v>UMass Dartmouth</v>
      </c>
    </row>
    <row r="207" spans="1:8" x14ac:dyDescent="0.2">
      <c r="A207" s="124" t="str">
        <f t="shared" si="46"/>
        <v>UMass Dartmouth2016</v>
      </c>
      <c r="B207" s="86">
        <v>2016</v>
      </c>
      <c r="C207" s="86" t="s">
        <v>865</v>
      </c>
      <c r="D207" s="86" t="s">
        <v>313</v>
      </c>
      <c r="E207" s="125">
        <v>1875594</v>
      </c>
      <c r="F207" s="822">
        <v>374797</v>
      </c>
      <c r="G207" s="86">
        <v>2016</v>
      </c>
      <c r="H207" s="430" t="str">
        <f>VLOOKUP(D207,Source!F:F,1,FALSE)</f>
        <v>UMass Dartmouth</v>
      </c>
    </row>
    <row r="208" spans="1:8" x14ac:dyDescent="0.2">
      <c r="A208" s="124" t="str">
        <f t="shared" si="46"/>
        <v>UMass Dartmouth2017</v>
      </c>
      <c r="B208" s="86">
        <v>2017</v>
      </c>
      <c r="C208" s="86" t="s">
        <v>865</v>
      </c>
      <c r="D208" s="86" t="s">
        <v>313</v>
      </c>
      <c r="E208" s="125">
        <v>279251534</v>
      </c>
      <c r="F208" s="822">
        <v>1880524</v>
      </c>
      <c r="G208" s="86">
        <v>2017</v>
      </c>
      <c r="H208" s="430" t="str">
        <f>VLOOKUP(D208,Source!F:F,1,FALSE)</f>
        <v>UMass Dartmouth</v>
      </c>
    </row>
    <row r="209" spans="1:8" s="85" customFormat="1" x14ac:dyDescent="0.2">
      <c r="A209" s="124" t="str">
        <f t="shared" ref="A209:A210" si="57">D209&amp;G209</f>
        <v>UMass Dartmouth2018</v>
      </c>
      <c r="B209" s="86">
        <v>2018</v>
      </c>
      <c r="C209" s="86" t="s">
        <v>865</v>
      </c>
      <c r="D209" s="86" t="s">
        <v>313</v>
      </c>
      <c r="E209" s="125">
        <v>263507284</v>
      </c>
      <c r="F209" s="822">
        <v>1902137</v>
      </c>
      <c r="G209" s="86">
        <v>2018</v>
      </c>
      <c r="H209" s="430" t="str">
        <f>VLOOKUP(D209,Source!F:F,1,FALSE)</f>
        <v>UMass Dartmouth</v>
      </c>
    </row>
    <row r="210" spans="1:8" s="85" customFormat="1" x14ac:dyDescent="0.2">
      <c r="A210" s="124" t="str">
        <f t="shared" si="57"/>
        <v>UMass Dartmouth2019</v>
      </c>
      <c r="B210" s="86">
        <v>2019</v>
      </c>
      <c r="C210" s="86" t="s">
        <v>865</v>
      </c>
      <c r="D210" s="86" t="s">
        <v>313</v>
      </c>
      <c r="E210" s="125">
        <v>269633056</v>
      </c>
      <c r="F210" s="822">
        <v>1998881</v>
      </c>
      <c r="G210" s="86">
        <v>2019</v>
      </c>
      <c r="H210" s="430" t="str">
        <f>VLOOKUP(D210,Source!F:F,1,FALSE)</f>
        <v>UMass Dartmouth</v>
      </c>
    </row>
    <row r="211" spans="1:8" s="85" customFormat="1" ht="16" x14ac:dyDescent="0.2">
      <c r="A211" s="124" t="str">
        <f t="shared" ref="A211" si="58">D211&amp;G211</f>
        <v>UMass Dartmouth2020</v>
      </c>
      <c r="B211" s="86">
        <v>2020</v>
      </c>
      <c r="C211" s="86" t="s">
        <v>865</v>
      </c>
      <c r="D211" s="86" t="s">
        <v>313</v>
      </c>
      <c r="E211" s="612" t="s">
        <v>1629</v>
      </c>
      <c r="F211" s="818" t="s">
        <v>1629</v>
      </c>
      <c r="G211" s="613">
        <v>2020</v>
      </c>
      <c r="H211" s="430" t="str">
        <f>VLOOKUP(D211,Source!F:F,1,FALSE)</f>
        <v>UMass Dartmouth</v>
      </c>
    </row>
    <row r="212" spans="1:8" x14ac:dyDescent="0.2">
      <c r="A212" s="124" t="str">
        <f t="shared" si="46"/>
        <v>UMass Lowell2013</v>
      </c>
      <c r="B212" s="86">
        <v>2013</v>
      </c>
      <c r="C212" s="86" t="s">
        <v>865</v>
      </c>
      <c r="D212" s="86" t="s">
        <v>326</v>
      </c>
      <c r="E212" s="125">
        <v>69981384</v>
      </c>
      <c r="F212" s="822">
        <v>504153.25</v>
      </c>
      <c r="G212" s="86">
        <v>2013</v>
      </c>
      <c r="H212" s="430" t="str">
        <f>VLOOKUP(D212,Source!F:F,1,FALSE)</f>
        <v>UMass Lowell</v>
      </c>
    </row>
    <row r="213" spans="1:8" x14ac:dyDescent="0.2">
      <c r="A213" s="124" t="str">
        <f t="shared" si="46"/>
        <v>UMass Lowell2014</v>
      </c>
      <c r="B213" s="86">
        <v>2014</v>
      </c>
      <c r="C213" s="86" t="s">
        <v>865</v>
      </c>
      <c r="D213" s="86" t="s">
        <v>326</v>
      </c>
      <c r="E213" s="125">
        <v>78903528</v>
      </c>
      <c r="F213" s="822">
        <v>882405.6</v>
      </c>
      <c r="G213" s="86">
        <v>2014</v>
      </c>
      <c r="H213" s="430" t="str">
        <f>VLOOKUP(D213,Source!F:F,1,FALSE)</f>
        <v>UMass Lowell</v>
      </c>
    </row>
    <row r="214" spans="1:8" x14ac:dyDescent="0.2">
      <c r="A214" s="124" t="str">
        <f t="shared" si="46"/>
        <v>UMass Lowell2015</v>
      </c>
      <c r="B214" s="86">
        <v>2015</v>
      </c>
      <c r="C214" s="86" t="s">
        <v>865</v>
      </c>
      <c r="D214" s="86" t="s">
        <v>326</v>
      </c>
      <c r="E214" s="125">
        <v>52534284</v>
      </c>
      <c r="F214" s="822">
        <v>438569.83</v>
      </c>
      <c r="G214" s="86">
        <v>2015</v>
      </c>
      <c r="H214" s="430" t="str">
        <f>VLOOKUP(D214,Source!F:F,1,FALSE)</f>
        <v>UMass Lowell</v>
      </c>
    </row>
    <row r="215" spans="1:8" x14ac:dyDescent="0.2">
      <c r="A215" s="124" t="str">
        <f t="shared" si="46"/>
        <v>UMass Lowell2016</v>
      </c>
      <c r="B215" s="86">
        <v>2016</v>
      </c>
      <c r="C215" s="86" t="s">
        <v>865</v>
      </c>
      <c r="D215" s="86" t="s">
        <v>326</v>
      </c>
      <c r="E215" s="125">
        <v>69245672.719999999</v>
      </c>
      <c r="F215" s="822">
        <v>662076.42000000004</v>
      </c>
      <c r="G215" s="86">
        <v>2016</v>
      </c>
      <c r="H215" s="430" t="str">
        <f>VLOOKUP(D215,Source!F:F,1,FALSE)</f>
        <v>UMass Lowell</v>
      </c>
    </row>
    <row r="216" spans="1:8" x14ac:dyDescent="0.2">
      <c r="A216" s="124" t="str">
        <f t="shared" si="46"/>
        <v>UMass Lowell2017</v>
      </c>
      <c r="B216" s="86">
        <v>2017</v>
      </c>
      <c r="C216" s="86" t="s">
        <v>865</v>
      </c>
      <c r="D216" s="86" t="s">
        <v>326</v>
      </c>
      <c r="E216" s="125">
        <v>51747855</v>
      </c>
      <c r="F216" s="822">
        <v>476768.53</v>
      </c>
      <c r="G216" s="86">
        <v>2017</v>
      </c>
      <c r="H216" s="430" t="str">
        <f>VLOOKUP(D216,Source!F:F,1,FALSE)</f>
        <v>UMass Lowell</v>
      </c>
    </row>
    <row r="217" spans="1:8" s="85" customFormat="1" x14ac:dyDescent="0.2">
      <c r="A217" s="124" t="str">
        <f t="shared" si="46"/>
        <v>UMass Lowell2018</v>
      </c>
      <c r="B217" s="86">
        <v>2018</v>
      </c>
      <c r="C217" s="86" t="s">
        <v>865</v>
      </c>
      <c r="D217" s="86" t="s">
        <v>326</v>
      </c>
      <c r="E217" s="125">
        <v>79436104</v>
      </c>
      <c r="F217" s="822">
        <v>800890</v>
      </c>
      <c r="G217" s="86">
        <v>2018</v>
      </c>
      <c r="H217" s="430" t="str">
        <f>VLOOKUP(D217,Source!F:F,1,FALSE)</f>
        <v>UMass Lowell</v>
      </c>
    </row>
    <row r="218" spans="1:8" s="85" customFormat="1" x14ac:dyDescent="0.2">
      <c r="A218" s="124" t="str">
        <f t="shared" ref="A218" si="59">D218&amp;G218</f>
        <v>UMass Lowell2019</v>
      </c>
      <c r="B218" s="86">
        <v>2019</v>
      </c>
      <c r="C218" s="86" t="s">
        <v>865</v>
      </c>
      <c r="D218" s="86" t="s">
        <v>326</v>
      </c>
      <c r="E218" s="125">
        <v>86452344</v>
      </c>
      <c r="F218" s="822">
        <v>848084</v>
      </c>
      <c r="G218" s="86">
        <v>2019</v>
      </c>
      <c r="H218" s="430" t="str">
        <f>VLOOKUP(D218,Source!F:F,1,FALSE)</f>
        <v>UMass Lowell</v>
      </c>
    </row>
    <row r="219" spans="1:8" s="85" customFormat="1" x14ac:dyDescent="0.2">
      <c r="A219" s="124" t="str">
        <f t="shared" ref="A219" si="60">D219&amp;G219</f>
        <v>UMass Lowell2020</v>
      </c>
      <c r="B219" s="86">
        <v>2020</v>
      </c>
      <c r="C219" s="86" t="s">
        <v>865</v>
      </c>
      <c r="D219" s="86" t="s">
        <v>326</v>
      </c>
      <c r="E219" s="125">
        <v>74312304</v>
      </c>
      <c r="F219" s="822">
        <v>817716.56</v>
      </c>
      <c r="G219" s="613">
        <v>2020</v>
      </c>
      <c r="H219" s="430" t="str">
        <f>VLOOKUP(D219,Source!F:F,1,FALSE)</f>
        <v>UMass Lowell</v>
      </c>
    </row>
    <row r="220" spans="1:8" x14ac:dyDescent="0.2">
      <c r="A220" s="124" t="str">
        <f t="shared" ref="A220:A236" si="61">D220&amp;G220</f>
        <v>UMass Medical2013</v>
      </c>
      <c r="B220" s="86">
        <v>2013</v>
      </c>
      <c r="C220" s="86" t="s">
        <v>865</v>
      </c>
      <c r="D220" s="86" t="s">
        <v>335</v>
      </c>
      <c r="E220" s="125">
        <v>205086592</v>
      </c>
      <c r="F220" s="822">
        <v>922889.66399999999</v>
      </c>
      <c r="G220" s="86">
        <v>2013</v>
      </c>
      <c r="H220" s="430" t="str">
        <f>VLOOKUP(D220,Source!F:F,1,FALSE)</f>
        <v>UMass Medical</v>
      </c>
    </row>
    <row r="221" spans="1:8" x14ac:dyDescent="0.2">
      <c r="A221" s="124" t="str">
        <f t="shared" si="61"/>
        <v>UMass Medical2014</v>
      </c>
      <c r="B221" s="86">
        <v>2014</v>
      </c>
      <c r="C221" s="86" t="s">
        <v>865</v>
      </c>
      <c r="D221" s="86" t="s">
        <v>335</v>
      </c>
      <c r="E221" s="125">
        <v>208071144</v>
      </c>
      <c r="F221" s="822">
        <v>728249.00399999996</v>
      </c>
      <c r="G221" s="86">
        <v>2014</v>
      </c>
      <c r="H221" s="430" t="str">
        <f>VLOOKUP(D221,Source!F:F,1,FALSE)</f>
        <v>UMass Medical</v>
      </c>
    </row>
    <row r="222" spans="1:8" x14ac:dyDescent="0.2">
      <c r="A222" s="124" t="str">
        <f t="shared" si="61"/>
        <v>UMass Medical2015</v>
      </c>
      <c r="B222" s="86">
        <v>2015</v>
      </c>
      <c r="C222" s="86" t="s">
        <v>865</v>
      </c>
      <c r="D222" s="86" t="s">
        <v>335</v>
      </c>
      <c r="E222" s="125">
        <v>191263351</v>
      </c>
      <c r="F222" s="822">
        <v>726800.73380000005</v>
      </c>
      <c r="G222" s="86">
        <v>2015</v>
      </c>
      <c r="H222" s="430" t="str">
        <f>VLOOKUP(D222,Source!F:F,1,FALSE)</f>
        <v>UMass Medical</v>
      </c>
    </row>
    <row r="223" spans="1:8" x14ac:dyDescent="0.2">
      <c r="A223" s="124" t="str">
        <f t="shared" si="61"/>
        <v>UMass Medical2016</v>
      </c>
      <c r="B223" s="86">
        <v>2016</v>
      </c>
      <c r="C223" s="86" t="s">
        <v>865</v>
      </c>
      <c r="D223" s="86" t="s">
        <v>335</v>
      </c>
      <c r="E223" s="125">
        <v>197875920</v>
      </c>
      <c r="F223" s="822">
        <v>952344</v>
      </c>
      <c r="G223" s="86">
        <v>2016</v>
      </c>
      <c r="H223" s="430" t="str">
        <f>VLOOKUP(D223,Source!F:F,1,FALSE)</f>
        <v>UMass Medical</v>
      </c>
    </row>
    <row r="224" spans="1:8" x14ac:dyDescent="0.2">
      <c r="A224" s="124" t="str">
        <f t="shared" si="61"/>
        <v>UMass Medical2017</v>
      </c>
      <c r="B224" s="86">
        <v>2017</v>
      </c>
      <c r="C224" s="86" t="s">
        <v>865</v>
      </c>
      <c r="D224" s="86" t="s">
        <v>335</v>
      </c>
      <c r="E224" s="125">
        <v>203732760</v>
      </c>
      <c r="F224" s="822">
        <v>980532</v>
      </c>
      <c r="G224" s="86">
        <v>2017</v>
      </c>
      <c r="H224" s="430" t="str">
        <f>VLOOKUP(D224,Source!F:F,1,FALSE)</f>
        <v>UMass Medical</v>
      </c>
    </row>
    <row r="225" spans="1:8" s="85" customFormat="1" x14ac:dyDescent="0.2">
      <c r="A225" s="124" t="str">
        <f t="shared" ref="A225:A226" si="62">D225&amp;G225</f>
        <v>UMass Medical2018</v>
      </c>
      <c r="B225" s="86">
        <v>2018</v>
      </c>
      <c r="C225" s="86" t="s">
        <v>865</v>
      </c>
      <c r="D225" s="86" t="s">
        <v>335</v>
      </c>
      <c r="E225" s="125">
        <v>195699240</v>
      </c>
      <c r="F225" s="822">
        <v>2220341</v>
      </c>
      <c r="G225" s="86">
        <v>2018</v>
      </c>
      <c r="H225" s="430" t="str">
        <f>VLOOKUP(D225,Source!F:F,1,FALSE)</f>
        <v>UMass Medical</v>
      </c>
    </row>
    <row r="226" spans="1:8" s="85" customFormat="1" x14ac:dyDescent="0.2">
      <c r="A226" s="124" t="str">
        <f t="shared" si="62"/>
        <v>UMass Medical2019</v>
      </c>
      <c r="B226" s="86">
        <v>2019</v>
      </c>
      <c r="C226" s="86" t="s">
        <v>865</v>
      </c>
      <c r="D226" s="86" t="s">
        <v>335</v>
      </c>
      <c r="E226" s="125">
        <v>203014680</v>
      </c>
      <c r="F226" s="822">
        <v>996075</v>
      </c>
      <c r="G226" s="86">
        <v>2019</v>
      </c>
      <c r="H226" s="430" t="str">
        <f>VLOOKUP(D226,Source!F:F,1,FALSE)</f>
        <v>UMass Medical</v>
      </c>
    </row>
    <row r="227" spans="1:8" s="85" customFormat="1" x14ac:dyDescent="0.2">
      <c r="A227" s="124" t="str">
        <f t="shared" ref="A227" si="63">D227&amp;G227</f>
        <v>UMass Medical2020</v>
      </c>
      <c r="B227" s="86">
        <v>2020</v>
      </c>
      <c r="C227" s="86" t="s">
        <v>865</v>
      </c>
      <c r="D227" s="86" t="s">
        <v>335</v>
      </c>
      <c r="E227" s="125">
        <v>197367280</v>
      </c>
      <c r="F227" s="822">
        <v>968366.2</v>
      </c>
      <c r="G227" s="613">
        <v>2020</v>
      </c>
      <c r="H227" s="430" t="str">
        <f>VLOOKUP(D227,Source!F:F,1,FALSE)</f>
        <v>UMass Medical</v>
      </c>
    </row>
    <row r="228" spans="1:8" x14ac:dyDescent="0.2">
      <c r="A228" s="124" t="str">
        <f t="shared" si="61"/>
        <v>Westfield State University2016</v>
      </c>
      <c r="B228" s="86">
        <v>2016</v>
      </c>
      <c r="C228" s="86" t="s">
        <v>575</v>
      </c>
      <c r="D228" s="86" t="s">
        <v>343</v>
      </c>
      <c r="E228" s="125">
        <v>41118700</v>
      </c>
      <c r="F228" s="822">
        <v>296465</v>
      </c>
      <c r="G228" s="86">
        <v>2016</v>
      </c>
      <c r="H228" s="430" t="str">
        <f>VLOOKUP(D228,Source!F:F,1,FALSE)</f>
        <v>Westfield State University</v>
      </c>
    </row>
    <row r="229" spans="1:8" s="85" customFormat="1" x14ac:dyDescent="0.2">
      <c r="A229" s="124" t="str">
        <f t="shared" ref="A229:A231" si="64">D229&amp;G229</f>
        <v>Westfield State University2017</v>
      </c>
      <c r="B229" s="86">
        <v>2017</v>
      </c>
      <c r="C229" s="86" t="s">
        <v>575</v>
      </c>
      <c r="D229" s="86" t="s">
        <v>343</v>
      </c>
      <c r="E229" s="125">
        <v>39617030</v>
      </c>
      <c r="F229" s="822">
        <v>326673</v>
      </c>
      <c r="G229" s="86">
        <v>2017</v>
      </c>
      <c r="H229" s="430" t="str">
        <f>VLOOKUP(D229,Source!F:F,1,FALSE)</f>
        <v>Westfield State University</v>
      </c>
    </row>
    <row r="230" spans="1:8" s="85" customFormat="1" x14ac:dyDescent="0.2">
      <c r="A230" s="124" t="str">
        <f t="shared" si="64"/>
        <v>Westfield State University2018</v>
      </c>
      <c r="B230" s="86">
        <v>2018</v>
      </c>
      <c r="C230" s="86" t="s">
        <v>575</v>
      </c>
      <c r="D230" s="86" t="s">
        <v>343</v>
      </c>
      <c r="E230" s="125">
        <v>32617400</v>
      </c>
      <c r="F230" s="822">
        <v>283769</v>
      </c>
      <c r="G230" s="86">
        <v>2018</v>
      </c>
      <c r="H230" s="430" t="str">
        <f>VLOOKUP(D230,Source!F:F,1,FALSE)</f>
        <v>Westfield State University</v>
      </c>
    </row>
    <row r="231" spans="1:8" s="85" customFormat="1" x14ac:dyDescent="0.2">
      <c r="A231" s="124" t="str">
        <f t="shared" si="64"/>
        <v>Westfield State University2019</v>
      </c>
      <c r="B231" s="86">
        <v>2019</v>
      </c>
      <c r="C231" s="86" t="s">
        <v>575</v>
      </c>
      <c r="D231" s="86" t="s">
        <v>343</v>
      </c>
      <c r="E231" s="125">
        <v>27889130</v>
      </c>
      <c r="F231" s="822">
        <v>266599</v>
      </c>
      <c r="G231" s="86">
        <v>2019</v>
      </c>
      <c r="H231" s="430" t="str">
        <f>VLOOKUP(D231,Source!F:F,1,FALSE)</f>
        <v>Westfield State University</v>
      </c>
    </row>
    <row r="232" spans="1:8" s="85" customFormat="1" ht="16" x14ac:dyDescent="0.2">
      <c r="A232" s="124" t="str">
        <f t="shared" ref="A232" si="65">D232&amp;G232</f>
        <v>Westfield State University2020</v>
      </c>
      <c r="B232" s="86">
        <v>2020</v>
      </c>
      <c r="C232" s="86" t="s">
        <v>575</v>
      </c>
      <c r="D232" s="86" t="s">
        <v>343</v>
      </c>
      <c r="E232" s="612" t="s">
        <v>1629</v>
      </c>
      <c r="F232" s="818" t="s">
        <v>1629</v>
      </c>
      <c r="G232" s="613">
        <v>2020</v>
      </c>
      <c r="H232" s="430" t="str">
        <f>VLOOKUP(D232,Source!F:F,1,FALSE)</f>
        <v>Westfield State University</v>
      </c>
    </row>
    <row r="233" spans="1:8" x14ac:dyDescent="0.2">
      <c r="A233" s="124" t="str">
        <f t="shared" si="61"/>
        <v>Worcester State University2014</v>
      </c>
      <c r="B233" s="86">
        <v>2014</v>
      </c>
      <c r="C233" s="86" t="s">
        <v>575</v>
      </c>
      <c r="D233" s="86" t="s">
        <v>352</v>
      </c>
      <c r="E233" s="125">
        <v>13423792</v>
      </c>
      <c r="F233" s="822">
        <v>63164</v>
      </c>
      <c r="G233" s="86">
        <v>2014</v>
      </c>
      <c r="H233" s="430" t="str">
        <f>VLOOKUP(D233,Source!F:F,1,FALSE)</f>
        <v>Worcester State University</v>
      </c>
    </row>
    <row r="234" spans="1:8" x14ac:dyDescent="0.2">
      <c r="A234" s="124" t="str">
        <f t="shared" si="61"/>
        <v>Worcester State University2015</v>
      </c>
      <c r="B234" s="86">
        <v>2015</v>
      </c>
      <c r="C234" s="86" t="s">
        <v>575</v>
      </c>
      <c r="D234" s="86" t="s">
        <v>352</v>
      </c>
      <c r="E234" s="125">
        <v>17101963</v>
      </c>
      <c r="F234" s="822">
        <v>81038.28</v>
      </c>
      <c r="G234" s="86">
        <v>2015</v>
      </c>
      <c r="H234" s="430" t="str">
        <f>VLOOKUP(D234,Source!F:F,1,FALSE)</f>
        <v>Worcester State University</v>
      </c>
    </row>
    <row r="235" spans="1:8" x14ac:dyDescent="0.2">
      <c r="A235" s="124" t="str">
        <f t="shared" si="61"/>
        <v>Worcester State University2016</v>
      </c>
      <c r="B235" s="86">
        <v>2016</v>
      </c>
      <c r="C235" s="86" t="s">
        <v>575</v>
      </c>
      <c r="D235" s="86" t="s">
        <v>352</v>
      </c>
      <c r="E235" s="125">
        <v>19789115</v>
      </c>
      <c r="F235" s="822">
        <v>95254.2</v>
      </c>
      <c r="G235" s="86">
        <v>2016</v>
      </c>
      <c r="H235" s="430" t="str">
        <f>VLOOKUP(D235,Source!F:F,1,FALSE)</f>
        <v>Worcester State University</v>
      </c>
    </row>
    <row r="236" spans="1:8" x14ac:dyDescent="0.2">
      <c r="A236" s="124" t="str">
        <f t="shared" si="61"/>
        <v>Worcester State University2017</v>
      </c>
      <c r="B236" s="86">
        <v>2017</v>
      </c>
      <c r="C236" s="86" t="s">
        <v>575</v>
      </c>
      <c r="D236" s="86" t="s">
        <v>352</v>
      </c>
      <c r="E236" s="125">
        <v>17646068</v>
      </c>
      <c r="F236" s="822">
        <v>84891.6</v>
      </c>
      <c r="G236" s="86">
        <v>2017</v>
      </c>
      <c r="H236" s="430" t="str">
        <f>VLOOKUP(D236,Source!F:F,1,FALSE)</f>
        <v>Worcester State University</v>
      </c>
    </row>
    <row r="237" spans="1:8" x14ac:dyDescent="0.2">
      <c r="A237" s="124" t="str">
        <f t="shared" ref="A237:A238" si="66">D237&amp;G237</f>
        <v>Worcester State University2018</v>
      </c>
      <c r="B237" s="86">
        <v>2018</v>
      </c>
      <c r="C237" s="86" t="s">
        <v>575</v>
      </c>
      <c r="D237" s="86" t="s">
        <v>352</v>
      </c>
      <c r="E237" s="125">
        <v>17791928</v>
      </c>
      <c r="F237" s="822">
        <v>86444.55</v>
      </c>
      <c r="G237" s="86">
        <v>2018</v>
      </c>
      <c r="H237" s="430" t="str">
        <f>VLOOKUP(D237,Source!F:F,1,FALSE)</f>
        <v>Worcester State University</v>
      </c>
    </row>
    <row r="238" spans="1:8" x14ac:dyDescent="0.2">
      <c r="A238" s="124" t="str">
        <f t="shared" si="66"/>
        <v>Worcester State University2019</v>
      </c>
      <c r="B238" s="86">
        <v>2019</v>
      </c>
      <c r="C238" s="86" t="s">
        <v>575</v>
      </c>
      <c r="D238" s="86" t="s">
        <v>352</v>
      </c>
      <c r="E238" s="125">
        <v>16556635</v>
      </c>
      <c r="F238" s="822">
        <v>80793.52</v>
      </c>
      <c r="G238" s="86">
        <v>2019</v>
      </c>
      <c r="H238" s="430" t="str">
        <f>VLOOKUP(D238,Source!F:F,1,FALSE)</f>
        <v>Worcester State University</v>
      </c>
    </row>
    <row r="239" spans="1:8" x14ac:dyDescent="0.2">
      <c r="A239" s="124" t="str">
        <f t="shared" ref="A239" si="67">D239&amp;G239</f>
        <v>Worcester State University2020</v>
      </c>
      <c r="B239" s="86">
        <v>2020</v>
      </c>
      <c r="C239" s="86" t="s">
        <v>575</v>
      </c>
      <c r="D239" s="86" t="s">
        <v>352</v>
      </c>
      <c r="E239" s="123">
        <v>13481377</v>
      </c>
      <c r="F239" s="823">
        <v>66212.61</v>
      </c>
      <c r="G239" s="613">
        <v>2020</v>
      </c>
      <c r="H239" s="430" t="str">
        <f>VLOOKUP(D239,Source!F:F,1,FALSE)</f>
        <v>Worcester State University</v>
      </c>
    </row>
  </sheetData>
  <autoFilter ref="A1:H239" xr:uid="{00000000-0009-0000-0000-000015000000}">
    <sortState xmlns:xlrd2="http://schemas.microsoft.com/office/spreadsheetml/2017/richdata2" ref="A2:H236">
      <sortCondition ref="A1:A236"/>
    </sortState>
  </autoFilter>
  <sortState xmlns:xlrd2="http://schemas.microsoft.com/office/spreadsheetml/2017/richdata2" ref="A2:H236">
    <sortCondition ref="A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A1:Q32"/>
  <sheetViews>
    <sheetView zoomScaleNormal="100" workbookViewId="0">
      <selection activeCell="D23" sqref="D23:I23"/>
    </sheetView>
  </sheetViews>
  <sheetFormatPr baseColWidth="10" defaultColWidth="0" defaultRowHeight="15" customHeight="1" zeroHeight="1" x14ac:dyDescent="0.2"/>
  <cols>
    <col min="1" max="1" width="4.5" style="85" customWidth="1"/>
    <col min="2" max="2" width="9.1640625" style="85" customWidth="1"/>
    <col min="3" max="3" width="14" style="85" customWidth="1"/>
    <col min="4" max="4" width="12.5" style="85" customWidth="1"/>
    <col min="5" max="8" width="9.1640625" style="85" customWidth="1"/>
    <col min="9" max="9" width="10.5" style="85" customWidth="1"/>
    <col min="10" max="10" width="9.1640625" style="85" customWidth="1"/>
    <col min="11" max="11" width="13" style="85" customWidth="1"/>
    <col min="12" max="13" width="9.1640625" style="85" customWidth="1"/>
    <col min="14" max="14" width="15.6640625" style="85" customWidth="1"/>
    <col min="15" max="15" width="26.5" style="85" customWidth="1"/>
    <col min="16" max="16" width="10.83203125" style="85" customWidth="1"/>
    <col min="17" max="17" width="0" style="85" hidden="1" customWidth="1"/>
    <col min="18" max="16384" width="9.1640625" style="85" hidden="1"/>
  </cols>
  <sheetData>
    <row r="1" spans="1:16" ht="16" thickBot="1" x14ac:dyDescent="0.25">
      <c r="A1" s="72"/>
      <c r="B1" s="881" t="s">
        <v>23</v>
      </c>
      <c r="C1" s="882"/>
      <c r="D1" s="882"/>
      <c r="E1" s="882"/>
      <c r="F1" s="882"/>
      <c r="G1" s="882"/>
      <c r="H1" s="882"/>
      <c r="I1" s="882"/>
      <c r="J1" s="882"/>
      <c r="K1" s="882"/>
      <c r="L1" s="882"/>
      <c r="M1" s="882"/>
      <c r="N1" s="882"/>
      <c r="O1" s="883"/>
      <c r="P1" s="72"/>
    </row>
    <row r="2" spans="1:16" ht="26.25" customHeight="1" x14ac:dyDescent="0.2">
      <c r="A2" s="72"/>
      <c r="B2" s="886" t="s">
        <v>6</v>
      </c>
      <c r="C2" s="872" t="s">
        <v>24</v>
      </c>
      <c r="D2" s="873"/>
      <c r="E2" s="873"/>
      <c r="F2" s="873"/>
      <c r="G2" s="873"/>
      <c r="H2" s="873"/>
      <c r="I2" s="873"/>
      <c r="J2" s="873"/>
      <c r="K2" s="873"/>
      <c r="L2" s="873"/>
      <c r="M2" s="873"/>
      <c r="N2" s="873"/>
      <c r="O2" s="874"/>
      <c r="P2" s="72"/>
    </row>
    <row r="3" spans="1:16" ht="9.75" customHeight="1" x14ac:dyDescent="0.2">
      <c r="A3" s="72"/>
      <c r="B3" s="887"/>
      <c r="C3" s="875"/>
      <c r="D3" s="876"/>
      <c r="E3" s="876"/>
      <c r="F3" s="876"/>
      <c r="G3" s="876"/>
      <c r="H3" s="876"/>
      <c r="I3" s="876"/>
      <c r="J3" s="876"/>
      <c r="K3" s="876"/>
      <c r="L3" s="876"/>
      <c r="M3" s="876"/>
      <c r="N3" s="876"/>
      <c r="O3" s="877"/>
      <c r="P3" s="72"/>
    </row>
    <row r="4" spans="1:16" ht="21.75" customHeight="1" thickBot="1" x14ac:dyDescent="0.25">
      <c r="A4" s="72"/>
      <c r="B4" s="887"/>
      <c r="C4" s="878" t="s">
        <v>25</v>
      </c>
      <c r="D4" s="879"/>
      <c r="E4" s="879"/>
      <c r="F4" s="879"/>
      <c r="G4" s="879"/>
      <c r="H4" s="879"/>
      <c r="I4" s="879"/>
      <c r="J4" s="879"/>
      <c r="K4" s="879"/>
      <c r="L4" s="879"/>
      <c r="M4" s="879"/>
      <c r="N4" s="879"/>
      <c r="O4" s="880"/>
      <c r="P4" s="72"/>
    </row>
    <row r="5" spans="1:16" ht="16.5" customHeight="1" thickBot="1" x14ac:dyDescent="0.25">
      <c r="A5" s="72"/>
      <c r="B5" s="888"/>
      <c r="C5" s="889" t="s">
        <v>26</v>
      </c>
      <c r="D5" s="890"/>
      <c r="E5" s="890"/>
      <c r="F5" s="890"/>
      <c r="G5" s="890"/>
      <c r="H5" s="890"/>
      <c r="I5" s="890"/>
      <c r="J5" s="890"/>
      <c r="K5" s="890"/>
      <c r="L5" s="890"/>
      <c r="M5" s="890"/>
      <c r="N5" s="890"/>
      <c r="O5" s="891"/>
      <c r="P5" s="72"/>
    </row>
    <row r="6" spans="1:16" ht="16" thickBot="1" x14ac:dyDescent="0.25">
      <c r="A6" s="72"/>
      <c r="B6" s="72"/>
      <c r="C6" s="72"/>
      <c r="D6" s="72"/>
      <c r="E6" s="72"/>
      <c r="F6" s="72"/>
      <c r="G6" s="72"/>
      <c r="H6" s="72"/>
      <c r="I6" s="72"/>
      <c r="J6" s="72"/>
      <c r="K6" s="72"/>
      <c r="L6" s="72"/>
      <c r="M6" s="72"/>
      <c r="N6" s="72"/>
      <c r="O6" s="72"/>
      <c r="P6" s="72"/>
    </row>
    <row r="7" spans="1:16" ht="22" thickBot="1" x14ac:dyDescent="0.25">
      <c r="A7" s="72"/>
      <c r="B7" s="892" t="s">
        <v>27</v>
      </c>
      <c r="C7" s="893"/>
      <c r="D7" s="893"/>
      <c r="E7" s="893"/>
      <c r="F7" s="893"/>
      <c r="G7" s="893"/>
      <c r="H7" s="893"/>
      <c r="I7" s="893"/>
      <c r="J7" s="893"/>
      <c r="K7" s="893"/>
      <c r="L7" s="893"/>
      <c r="M7" s="893"/>
      <c r="N7" s="893"/>
      <c r="O7" s="894"/>
      <c r="P7" s="72"/>
    </row>
    <row r="8" spans="1:16" s="126" customFormat="1" ht="16" x14ac:dyDescent="0.2">
      <c r="A8" s="130"/>
      <c r="J8" s="131"/>
      <c r="K8" s="132"/>
      <c r="L8" s="132"/>
      <c r="M8" s="132"/>
      <c r="N8" s="130"/>
      <c r="O8" s="130"/>
      <c r="P8" s="130"/>
    </row>
    <row r="9" spans="1:16" s="134" customFormat="1" ht="31.5" customHeight="1" x14ac:dyDescent="0.2">
      <c r="A9" s="132"/>
      <c r="D9" s="897" t="s">
        <v>28</v>
      </c>
      <c r="E9" s="897"/>
      <c r="F9" s="897"/>
      <c r="G9" s="897"/>
      <c r="H9" s="897"/>
      <c r="I9" s="898"/>
      <c r="J9" s="895" t="s">
        <v>69</v>
      </c>
      <c r="K9" s="896"/>
      <c r="L9" s="896"/>
      <c r="M9" s="896"/>
      <c r="N9" s="896"/>
      <c r="O9" s="132"/>
      <c r="P9" s="132"/>
    </row>
    <row r="10" spans="1:16" s="134" customFormat="1" ht="16" x14ac:dyDescent="0.2">
      <c r="A10" s="132"/>
      <c r="B10" s="133"/>
      <c r="C10" s="133"/>
      <c r="D10" s="133"/>
      <c r="E10" s="131"/>
      <c r="F10" s="131"/>
      <c r="G10" s="131"/>
      <c r="H10" s="131"/>
      <c r="I10" s="131"/>
      <c r="J10" s="131"/>
      <c r="K10" s="132"/>
      <c r="L10" s="132"/>
      <c r="M10" s="132"/>
      <c r="N10" s="132"/>
      <c r="O10" s="132"/>
      <c r="P10" s="132"/>
    </row>
    <row r="11" spans="1:16" s="127" customFormat="1" ht="18.75" customHeight="1" thickBot="1" x14ac:dyDescent="0.25">
      <c r="A11" s="130"/>
      <c r="B11" s="866" t="s">
        <v>30</v>
      </c>
      <c r="C11" s="866"/>
      <c r="D11" s="885" t="str">
        <f>IFERROR(VLOOKUP($J$9,'Contacts Source'!$A$1:$M$53,2,FALSE),"")</f>
        <v xml:space="preserve">Mark Carmody </v>
      </c>
      <c r="E11" s="885"/>
      <c r="F11" s="885"/>
      <c r="G11" s="885"/>
      <c r="H11" s="885"/>
      <c r="I11" s="885"/>
      <c r="J11" s="866" t="s">
        <v>31</v>
      </c>
      <c r="K11" s="866"/>
      <c r="L11" s="885" t="str">
        <f>IFERROR(VLOOKUP($J$9,'Contacts Source'!$A$1:$M$53,4,FALSE),"")</f>
        <v>mark.carmody@bristolcc.edu</v>
      </c>
      <c r="M11" s="885"/>
      <c r="N11" s="885"/>
      <c r="O11" s="885"/>
      <c r="P11" s="130"/>
    </row>
    <row r="12" spans="1:16" s="127" customFormat="1" ht="18.75" customHeight="1" x14ac:dyDescent="0.2">
      <c r="A12" s="130"/>
      <c r="B12" s="869" t="s">
        <v>32</v>
      </c>
      <c r="C12" s="869"/>
      <c r="D12" s="884" t="str">
        <f>IFERROR(VLOOKUP($J$9,'Contacts Source'!$A$1:$M$53,3,FALSE),"")</f>
        <v>Asst. VP of Administration &amp; Finance</v>
      </c>
      <c r="E12" s="884"/>
      <c r="F12" s="884"/>
      <c r="G12" s="884"/>
      <c r="H12" s="884"/>
      <c r="I12" s="884"/>
      <c r="J12" s="869" t="s">
        <v>33</v>
      </c>
      <c r="K12" s="869"/>
      <c r="L12" s="884" t="str">
        <f>IFERROR(VLOOKUP($J$9,'Contacts Source'!$A$1:$M$53,5,FALSE),"")</f>
        <v>508-678-2811 x3058</v>
      </c>
      <c r="M12" s="884"/>
      <c r="N12" s="884"/>
      <c r="O12" s="884"/>
      <c r="P12" s="130"/>
    </row>
    <row r="13" spans="1:16" s="127" customFormat="1" ht="18.75" customHeight="1" x14ac:dyDescent="0.2">
      <c r="A13" s="130"/>
      <c r="B13" s="156"/>
      <c r="C13" s="156"/>
      <c r="D13" s="156"/>
      <c r="E13" s="157"/>
      <c r="F13" s="157"/>
      <c r="G13" s="157"/>
      <c r="H13" s="157"/>
      <c r="I13" s="157"/>
      <c r="J13" s="156"/>
      <c r="K13" s="156"/>
      <c r="L13" s="157"/>
      <c r="M13" s="157"/>
      <c r="N13" s="157"/>
      <c r="O13" s="157"/>
      <c r="P13" s="130"/>
    </row>
    <row r="14" spans="1:16" s="127" customFormat="1" ht="18.75" customHeight="1" thickBot="1" x14ac:dyDescent="0.25">
      <c r="A14" s="130"/>
      <c r="B14" s="866" t="s">
        <v>34</v>
      </c>
      <c r="C14" s="866"/>
      <c r="D14" s="885" t="str">
        <f>IFERROR(VLOOKUP($J$9,'Contacts Source'!$A$1:$M$53,6,FALSE),"")</f>
        <v>Barbara Cadima</v>
      </c>
      <c r="E14" s="885"/>
      <c r="F14" s="885"/>
      <c r="G14" s="885"/>
      <c r="H14" s="885"/>
      <c r="I14" s="885"/>
      <c r="J14" s="866" t="s">
        <v>31</v>
      </c>
      <c r="K14" s="866"/>
      <c r="L14" s="885" t="str">
        <f>IFERROR(VLOOKUP($J$9,'Contacts Source'!$A$1:$M$53,8,FALSE),"")</f>
        <v>Barbara.Cadima@bristolcc.edu</v>
      </c>
      <c r="M14" s="885"/>
      <c r="N14" s="885"/>
      <c r="O14" s="885"/>
      <c r="P14" s="130"/>
    </row>
    <row r="15" spans="1:16" s="127" customFormat="1" ht="18.75" customHeight="1" x14ac:dyDescent="0.2">
      <c r="A15" s="130"/>
      <c r="B15" s="869" t="s">
        <v>32</v>
      </c>
      <c r="C15" s="869"/>
      <c r="D15" s="884" t="str">
        <f>IFERROR(VLOOKUP($J$9,'Contacts Source'!$A$1:$M$53,7,FALSE),"")</f>
        <v>Facilities</v>
      </c>
      <c r="E15" s="884"/>
      <c r="F15" s="884"/>
      <c r="G15" s="884"/>
      <c r="H15" s="884"/>
      <c r="I15" s="884"/>
      <c r="J15" s="869" t="s">
        <v>33</v>
      </c>
      <c r="K15" s="869"/>
      <c r="L15" s="884" t="str">
        <f>IFERROR(VLOOKUP($J$9,'Contacts Source'!$A$1:$M$53,9,FALSE),"")</f>
        <v>774-357-2533</v>
      </c>
      <c r="M15" s="884"/>
      <c r="N15" s="884"/>
      <c r="O15" s="884"/>
      <c r="P15" s="130"/>
    </row>
    <row r="16" spans="1:16" s="126" customFormat="1" ht="18.75" customHeight="1" x14ac:dyDescent="0.2">
      <c r="A16" s="130"/>
      <c r="B16" s="156"/>
      <c r="C16" s="156"/>
      <c r="D16" s="156"/>
      <c r="E16" s="157"/>
      <c r="F16" s="157"/>
      <c r="G16" s="157"/>
      <c r="H16" s="157"/>
      <c r="I16" s="157"/>
      <c r="J16" s="156"/>
      <c r="K16" s="156"/>
      <c r="L16" s="157"/>
      <c r="M16" s="157"/>
      <c r="N16" s="157"/>
      <c r="O16" s="157"/>
      <c r="P16" s="130"/>
    </row>
    <row r="17" spans="1:16" s="126" customFormat="1" ht="18.75" customHeight="1" thickBot="1" x14ac:dyDescent="0.25">
      <c r="A17" s="130"/>
      <c r="B17" s="866" t="s">
        <v>35</v>
      </c>
      <c r="C17" s="866"/>
      <c r="D17" s="885" t="str">
        <f>IFERROR(VLOOKUP($J$9,'Contacts Source'!$A$1:$M$53,10,FALSE),"")</f>
        <v>-</v>
      </c>
      <c r="E17" s="885"/>
      <c r="F17" s="885"/>
      <c r="G17" s="885"/>
      <c r="H17" s="885"/>
      <c r="I17" s="885"/>
      <c r="J17" s="866" t="s">
        <v>31</v>
      </c>
      <c r="K17" s="866"/>
      <c r="L17" s="885" t="str">
        <f>IFERROR(VLOOKUP($J$9,'Contacts Source'!$A$1:$M$53,12,FALSE),"")</f>
        <v>-</v>
      </c>
      <c r="M17" s="885"/>
      <c r="N17" s="885"/>
      <c r="O17" s="885"/>
      <c r="P17" s="130"/>
    </row>
    <row r="18" spans="1:16" s="126" customFormat="1" ht="18.75" customHeight="1" x14ac:dyDescent="0.2">
      <c r="A18" s="130"/>
      <c r="B18" s="869" t="s">
        <v>32</v>
      </c>
      <c r="C18" s="869"/>
      <c r="D18" s="884" t="str">
        <f>IFERROR(VLOOKUP($J$9,'Contacts Source'!$A$1:$M$53,11,FALSE),"")</f>
        <v>-</v>
      </c>
      <c r="E18" s="884"/>
      <c r="F18" s="884"/>
      <c r="G18" s="884"/>
      <c r="H18" s="884"/>
      <c r="I18" s="884"/>
      <c r="J18" s="869" t="s">
        <v>33</v>
      </c>
      <c r="K18" s="869"/>
      <c r="L18" s="884" t="str">
        <f>IFERROR(VLOOKUP($J$9,'Contacts Source'!$A$1:$M$53,13,FALSE),"")</f>
        <v>-</v>
      </c>
      <c r="M18" s="884"/>
      <c r="N18" s="884"/>
      <c r="O18" s="884"/>
      <c r="P18" s="130"/>
    </row>
    <row r="19" spans="1:16" s="126" customFormat="1" ht="18.75" customHeight="1" x14ac:dyDescent="0.2">
      <c r="A19" s="130"/>
      <c r="B19" s="156"/>
      <c r="C19" s="156"/>
      <c r="D19" s="156"/>
      <c r="E19" s="157"/>
      <c r="F19" s="157"/>
      <c r="G19" s="157"/>
      <c r="H19" s="157"/>
      <c r="I19" s="157"/>
      <c r="J19" s="156"/>
      <c r="K19" s="156"/>
      <c r="L19" s="157"/>
      <c r="M19" s="157"/>
      <c r="N19" s="157"/>
      <c r="O19" s="157"/>
      <c r="P19" s="130"/>
    </row>
    <row r="20" spans="1:16" s="126" customFormat="1" ht="18.75" customHeight="1" thickBot="1" x14ac:dyDescent="0.25">
      <c r="B20" s="866" t="s">
        <v>36</v>
      </c>
      <c r="C20" s="866"/>
      <c r="D20" s="867"/>
      <c r="E20" s="867"/>
      <c r="F20" s="867"/>
      <c r="G20" s="867"/>
      <c r="H20" s="867"/>
      <c r="I20" s="867"/>
      <c r="J20" s="866" t="s">
        <v>31</v>
      </c>
      <c r="K20" s="866"/>
      <c r="L20" s="868"/>
      <c r="M20" s="868"/>
      <c r="N20" s="868"/>
      <c r="O20" s="868"/>
    </row>
    <row r="21" spans="1:16" s="126" customFormat="1" ht="18.75" customHeight="1" x14ac:dyDescent="0.2">
      <c r="B21" s="869" t="s">
        <v>32</v>
      </c>
      <c r="C21" s="869"/>
      <c r="D21" s="870"/>
      <c r="E21" s="870"/>
      <c r="F21" s="870"/>
      <c r="G21" s="870"/>
      <c r="H21" s="870"/>
      <c r="I21" s="870"/>
      <c r="J21" s="869" t="s">
        <v>33</v>
      </c>
      <c r="K21" s="869"/>
      <c r="L21" s="871"/>
      <c r="M21" s="871"/>
      <c r="N21" s="871"/>
      <c r="O21" s="871"/>
    </row>
    <row r="22" spans="1:16" s="70" customFormat="1" x14ac:dyDescent="0.2">
      <c r="B22" s="71"/>
      <c r="C22" s="71"/>
      <c r="D22" s="71"/>
      <c r="E22" s="71"/>
      <c r="F22" s="71"/>
      <c r="G22" s="71"/>
      <c r="H22" s="71"/>
      <c r="I22" s="71"/>
      <c r="J22" s="71"/>
      <c r="K22" s="71"/>
      <c r="L22" s="71"/>
      <c r="M22" s="71"/>
      <c r="N22" s="71"/>
      <c r="O22" s="71"/>
    </row>
    <row r="23" spans="1:16" s="70" customFormat="1" ht="17" thickBot="1" x14ac:dyDescent="0.25">
      <c r="B23" s="866" t="s">
        <v>36</v>
      </c>
      <c r="C23" s="866"/>
      <c r="D23" s="867"/>
      <c r="E23" s="867"/>
      <c r="F23" s="867"/>
      <c r="G23" s="867"/>
      <c r="H23" s="867"/>
      <c r="I23" s="867"/>
      <c r="J23" s="866" t="s">
        <v>31</v>
      </c>
      <c r="K23" s="866"/>
      <c r="L23" s="868"/>
      <c r="M23" s="868"/>
      <c r="N23" s="868"/>
      <c r="O23" s="868"/>
    </row>
    <row r="24" spans="1:16" s="70" customFormat="1" ht="16" x14ac:dyDescent="0.2">
      <c r="B24" s="869" t="s">
        <v>32</v>
      </c>
      <c r="C24" s="869"/>
      <c r="D24" s="870"/>
      <c r="E24" s="870"/>
      <c r="F24" s="870"/>
      <c r="G24" s="870"/>
      <c r="H24" s="870"/>
      <c r="I24" s="870"/>
      <c r="J24" s="869" t="s">
        <v>33</v>
      </c>
      <c r="K24" s="869"/>
      <c r="L24" s="871"/>
      <c r="M24" s="871"/>
      <c r="N24" s="871"/>
      <c r="O24" s="871"/>
    </row>
    <row r="25" spans="1:16" s="70" customFormat="1" x14ac:dyDescent="0.2">
      <c r="B25" s="71"/>
      <c r="C25" s="71"/>
      <c r="D25" s="71"/>
      <c r="E25" s="71"/>
      <c r="F25" s="71"/>
      <c r="G25" s="71"/>
      <c r="H25" s="71"/>
      <c r="I25" s="71"/>
      <c r="J25" s="71"/>
      <c r="K25" s="71"/>
      <c r="L25" s="71"/>
      <c r="M25" s="71"/>
      <c r="N25" s="71"/>
      <c r="O25" s="71"/>
    </row>
    <row r="26" spans="1:16" s="70" customFormat="1" hidden="1" x14ac:dyDescent="0.2"/>
    <row r="27" spans="1:16" s="70" customFormat="1" hidden="1" x14ac:dyDescent="0.2"/>
    <row r="28" spans="1:16" s="70" customFormat="1" hidden="1" x14ac:dyDescent="0.2"/>
    <row r="29" spans="1:16" s="70" customFormat="1" hidden="1" x14ac:dyDescent="0.2"/>
    <row r="30" spans="1:16" s="70" customFormat="1" hidden="1" x14ac:dyDescent="0.2"/>
    <row r="32" spans="1:16" s="70" customFormat="1" hidden="1" x14ac:dyDescent="0.2"/>
  </sheetData>
  <sheetProtection selectLockedCells="1"/>
  <mergeCells count="48">
    <mergeCell ref="L20:O20"/>
    <mergeCell ref="J21:K21"/>
    <mergeCell ref="L21:O21"/>
    <mergeCell ref="B20:C20"/>
    <mergeCell ref="D20:I20"/>
    <mergeCell ref="B21:C21"/>
    <mergeCell ref="D21:I21"/>
    <mergeCell ref="J20:K20"/>
    <mergeCell ref="J18:K18"/>
    <mergeCell ref="L17:O17"/>
    <mergeCell ref="L18:O18"/>
    <mergeCell ref="L14:O14"/>
    <mergeCell ref="B15:C15"/>
    <mergeCell ref="D15:I15"/>
    <mergeCell ref="B17:C17"/>
    <mergeCell ref="D17:I17"/>
    <mergeCell ref="B18:C18"/>
    <mergeCell ref="D18:I18"/>
    <mergeCell ref="C5:O5"/>
    <mergeCell ref="B7:O7"/>
    <mergeCell ref="J9:N9"/>
    <mergeCell ref="B11:C11"/>
    <mergeCell ref="J17:K17"/>
    <mergeCell ref="D9:I9"/>
    <mergeCell ref="C2:O3"/>
    <mergeCell ref="C4:O4"/>
    <mergeCell ref="B1:O1"/>
    <mergeCell ref="L15:O15"/>
    <mergeCell ref="J15:K15"/>
    <mergeCell ref="J12:K12"/>
    <mergeCell ref="J14:K14"/>
    <mergeCell ref="L11:O11"/>
    <mergeCell ref="L12:O12"/>
    <mergeCell ref="B12:C12"/>
    <mergeCell ref="D11:I11"/>
    <mergeCell ref="D12:I12"/>
    <mergeCell ref="B14:C14"/>
    <mergeCell ref="D14:I14"/>
    <mergeCell ref="B2:B5"/>
    <mergeCell ref="J11:K11"/>
    <mergeCell ref="B23:C23"/>
    <mergeCell ref="D23:I23"/>
    <mergeCell ref="J23:K23"/>
    <mergeCell ref="L23:O23"/>
    <mergeCell ref="B24:C24"/>
    <mergeCell ref="D24:I24"/>
    <mergeCell ref="J24:K24"/>
    <mergeCell ref="L24:O24"/>
  </mergeCells>
  <conditionalFormatting sqref="J9">
    <cfRule type="containsText" dxfId="60" priority="1" operator="containsText" text="please">
      <formula>NOT(ISERROR(SEARCH("please",J9)))</formula>
    </cfRule>
  </conditionalFormatting>
  <dataValidations count="1">
    <dataValidation type="list" errorStyle="warning" allowBlank="1" showInputMessage="1" showErrorMessage="1" errorTitle="Invalid Selection" error="Please select your agency from the dropdown menu, as all subsequent tabs will use this information for autpopulated fields." sqref="J9:N9" xr:uid="{B1170EBE-CF76-9D41-9169-90E59EBEF098}">
      <formula1>AgencyCampus</formula1>
    </dataValidation>
  </dataValidation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O99"/>
  <sheetViews>
    <sheetView topLeftCell="A21" zoomScale="110" zoomScaleNormal="110" workbookViewId="0">
      <selection activeCell="K17" sqref="K17"/>
    </sheetView>
  </sheetViews>
  <sheetFormatPr baseColWidth="10" defaultColWidth="0" defaultRowHeight="15" x14ac:dyDescent="0.2"/>
  <cols>
    <col min="1" max="1" width="3.1640625" style="370" customWidth="1"/>
    <col min="2" max="2" width="3.6640625" style="301" customWidth="1"/>
    <col min="3" max="3" width="9.1640625" style="301" bestFit="1" customWidth="1"/>
    <col min="4" max="4" width="12" style="301" customWidth="1"/>
    <col min="5" max="5" width="14.1640625" style="301" customWidth="1"/>
    <col min="6" max="6" width="12.33203125" style="301" customWidth="1"/>
    <col min="7" max="7" width="11.1640625" style="301" customWidth="1"/>
    <col min="8" max="8" width="11.6640625" style="301" customWidth="1"/>
    <col min="9" max="9" width="15" style="301" customWidth="1"/>
    <col min="10" max="10" width="48.1640625" style="301" customWidth="1"/>
    <col min="11" max="11" width="39.5" style="301" customWidth="1"/>
    <col min="12" max="12" width="9.1640625" style="301" customWidth="1"/>
    <col min="13" max="16384" width="9.1640625" style="301" hidden="1"/>
  </cols>
  <sheetData>
    <row r="1" spans="1:11" ht="16" thickBot="1" x14ac:dyDescent="0.25">
      <c r="B1" s="972" t="s">
        <v>23</v>
      </c>
      <c r="C1" s="972"/>
      <c r="D1" s="972"/>
      <c r="E1" s="972"/>
      <c r="F1" s="972"/>
      <c r="G1" s="972"/>
      <c r="H1" s="972"/>
      <c r="I1" s="972"/>
      <c r="J1" s="972"/>
      <c r="K1" s="972"/>
    </row>
    <row r="2" spans="1:11" ht="15" customHeight="1" x14ac:dyDescent="0.2">
      <c r="B2" s="1157" t="s">
        <v>1240</v>
      </c>
      <c r="C2" s="920"/>
      <c r="D2" s="1205" t="s">
        <v>1471</v>
      </c>
      <c r="E2" s="1206"/>
      <c r="F2" s="1206"/>
      <c r="G2" s="1206"/>
      <c r="H2" s="1206"/>
      <c r="I2" s="1206"/>
      <c r="J2" s="1206"/>
      <c r="K2" s="1206"/>
    </row>
    <row r="3" spans="1:11" x14ac:dyDescent="0.2">
      <c r="B3" s="1157"/>
      <c r="C3" s="920"/>
      <c r="D3" s="1207"/>
      <c r="E3" s="1208"/>
      <c r="F3" s="1208"/>
      <c r="G3" s="1208"/>
      <c r="H3" s="1208"/>
      <c r="I3" s="1208"/>
      <c r="J3" s="1208"/>
      <c r="K3" s="1208"/>
    </row>
    <row r="4" spans="1:11" ht="16" thickBot="1" x14ac:dyDescent="0.25">
      <c r="B4" s="1157"/>
      <c r="C4" s="920"/>
      <c r="D4" s="1209"/>
      <c r="E4" s="1210"/>
      <c r="F4" s="1210"/>
      <c r="G4" s="1210"/>
      <c r="H4" s="1210"/>
      <c r="I4" s="1210"/>
      <c r="J4" s="1210"/>
      <c r="K4" s="1210"/>
    </row>
    <row r="5" spans="1:11" ht="15" customHeight="1" x14ac:dyDescent="0.2">
      <c r="B5" s="1157"/>
      <c r="C5" s="920"/>
      <c r="D5" s="1211" t="s">
        <v>1241</v>
      </c>
      <c r="E5" s="1212"/>
      <c r="F5" s="1212"/>
      <c r="G5" s="1212"/>
      <c r="H5" s="1212"/>
      <c r="I5" s="1212"/>
      <c r="J5" s="1212"/>
      <c r="K5" s="1212"/>
    </row>
    <row r="6" spans="1:11" ht="16" thickBot="1" x14ac:dyDescent="0.25">
      <c r="B6" s="137"/>
      <c r="C6" s="137"/>
      <c r="D6" s="137"/>
      <c r="E6" s="137"/>
      <c r="F6" s="137"/>
      <c r="G6" s="137"/>
      <c r="H6" s="137"/>
      <c r="I6" s="137"/>
      <c r="J6" s="137"/>
      <c r="K6" s="137"/>
    </row>
    <row r="7" spans="1:11" ht="19" customHeight="1" thickBot="1" x14ac:dyDescent="0.25">
      <c r="B7" s="1227" t="s">
        <v>454</v>
      </c>
      <c r="C7" s="1227"/>
      <c r="D7" s="1225" t="s">
        <v>1500</v>
      </c>
      <c r="E7" s="1225"/>
      <c r="F7" s="1225"/>
      <c r="G7" s="1225"/>
      <c r="H7" s="1225"/>
      <c r="I7" s="1225"/>
      <c r="J7" s="1225"/>
      <c r="K7" s="1225"/>
    </row>
    <row r="8" spans="1:11" ht="19" customHeight="1" thickBot="1" x14ac:dyDescent="0.25">
      <c r="B8" s="1226" t="s">
        <v>390</v>
      </c>
      <c r="C8" s="1226"/>
      <c r="D8" s="1225" t="s">
        <v>1502</v>
      </c>
      <c r="E8" s="1225"/>
      <c r="F8" s="1225"/>
      <c r="G8" s="1225"/>
      <c r="H8" s="1225"/>
      <c r="I8" s="1225"/>
      <c r="J8" s="1225"/>
      <c r="K8" s="1225"/>
    </row>
    <row r="9" spans="1:11" ht="19" customHeight="1" thickBot="1" x14ac:dyDescent="0.25">
      <c r="B9" s="1226" t="s">
        <v>407</v>
      </c>
      <c r="C9" s="1226"/>
      <c r="D9" s="1225" t="s">
        <v>1503</v>
      </c>
      <c r="E9" s="1225"/>
      <c r="F9" s="1225"/>
      <c r="G9" s="1225"/>
      <c r="H9" s="1225"/>
      <c r="I9" s="1225"/>
      <c r="J9" s="1225"/>
      <c r="K9" s="1225"/>
    </row>
    <row r="10" spans="1:11" ht="19" customHeight="1" thickBot="1" x14ac:dyDescent="0.25">
      <c r="B10" s="1226" t="s">
        <v>412</v>
      </c>
      <c r="C10" s="1226"/>
      <c r="D10" s="1225" t="s">
        <v>1473</v>
      </c>
      <c r="E10" s="1225"/>
      <c r="F10" s="1225"/>
      <c r="G10" s="1225"/>
      <c r="H10" s="1225"/>
      <c r="I10" s="1225"/>
      <c r="J10" s="1225"/>
      <c r="K10" s="1225"/>
    </row>
    <row r="11" spans="1:11" x14ac:dyDescent="0.2">
      <c r="B11" s="137"/>
      <c r="C11" s="137"/>
      <c r="D11" s="137"/>
      <c r="E11" s="137"/>
      <c r="F11" s="137"/>
      <c r="G11" s="137"/>
      <c r="H11" s="137"/>
      <c r="I11" s="137"/>
      <c r="J11" s="137"/>
      <c r="K11" s="137"/>
    </row>
    <row r="12" spans="1:11" x14ac:dyDescent="0.2">
      <c r="B12" s="137"/>
      <c r="C12" s="137"/>
      <c r="D12" s="137"/>
      <c r="E12" s="137"/>
      <c r="F12" s="137"/>
      <c r="G12" s="137"/>
      <c r="H12" s="137"/>
      <c r="I12" s="137"/>
      <c r="J12" s="137"/>
      <c r="K12" s="137"/>
    </row>
    <row r="13" spans="1:11" ht="40" customHeight="1" x14ac:dyDescent="0.2">
      <c r="B13" s="1204" t="s">
        <v>1501</v>
      </c>
      <c r="C13" s="1204"/>
      <c r="D13" s="1204"/>
      <c r="E13" s="1204"/>
      <c r="F13" s="1204"/>
      <c r="G13" s="1204"/>
      <c r="H13" s="1204"/>
      <c r="I13" s="1204"/>
      <c r="J13" s="1204"/>
      <c r="K13" s="1204"/>
    </row>
    <row r="14" spans="1:11" s="327" customFormat="1" ht="11.25" customHeight="1" x14ac:dyDescent="0.2">
      <c r="A14" s="371"/>
      <c r="B14" s="372"/>
      <c r="C14" s="372"/>
      <c r="D14" s="372"/>
      <c r="E14" s="372"/>
      <c r="F14" s="372"/>
      <c r="G14" s="372"/>
      <c r="H14" s="372"/>
      <c r="I14" s="372"/>
      <c r="J14" s="372"/>
      <c r="K14" s="372"/>
    </row>
    <row r="15" spans="1:11" s="134" customFormat="1" ht="31.5" hidden="1" customHeight="1" x14ac:dyDescent="0.2">
      <c r="A15" s="132"/>
      <c r="D15" s="897" t="s">
        <v>28</v>
      </c>
      <c r="E15" s="897"/>
      <c r="F15" s="897"/>
      <c r="G15" s="897"/>
      <c r="H15" s="897"/>
      <c r="I15" s="898"/>
      <c r="J15" s="927" t="str">
        <f>'Contact Information '!J9</f>
        <v>Please select your answer from the dropdown</v>
      </c>
      <c r="K15" s="928"/>
    </row>
    <row r="16" spans="1:11" ht="3" customHeight="1" thickBot="1" x14ac:dyDescent="0.25">
      <c r="B16" s="1198"/>
      <c r="C16" s="1198"/>
      <c r="D16" s="1198"/>
      <c r="E16" s="1198"/>
      <c r="F16" s="1198"/>
      <c r="G16" s="1198"/>
      <c r="H16" s="1198"/>
      <c r="I16" s="1198"/>
      <c r="J16" s="1198"/>
      <c r="K16" s="1198"/>
    </row>
    <row r="17" spans="1:15" s="327" customFormat="1" ht="21" customHeight="1" thickBot="1" x14ac:dyDescent="0.25">
      <c r="A17" s="373"/>
      <c r="B17" s="731">
        <v>1</v>
      </c>
      <c r="C17" s="1213" t="s">
        <v>1242</v>
      </c>
      <c r="D17" s="1214"/>
      <c r="E17" s="1214"/>
      <c r="F17" s="1214"/>
      <c r="G17" s="1214"/>
      <c r="H17" s="1214"/>
      <c r="I17" s="1214"/>
      <c r="J17" s="1215"/>
      <c r="K17" s="726"/>
    </row>
    <row r="18" spans="1:15" ht="30.5" customHeight="1" thickBot="1" x14ac:dyDescent="0.25">
      <c r="B18" s="727">
        <v>2</v>
      </c>
      <c r="C18" s="1216" t="s">
        <v>1243</v>
      </c>
      <c r="D18" s="1217"/>
      <c r="E18" s="1217"/>
      <c r="F18" s="1217"/>
      <c r="G18" s="1217"/>
      <c r="H18" s="1217"/>
      <c r="I18" s="1217"/>
      <c r="J18" s="1218"/>
      <c r="K18" s="726"/>
    </row>
    <row r="19" spans="1:15" s="369" customFormat="1" ht="17.25" customHeight="1" x14ac:dyDescent="0.2">
      <c r="A19" s="374"/>
      <c r="B19" s="368"/>
      <c r="C19" s="365"/>
      <c r="D19" s="365"/>
      <c r="E19" s="365"/>
      <c r="F19" s="367"/>
      <c r="G19" s="366"/>
      <c r="H19" s="730" t="s">
        <v>1244</v>
      </c>
      <c r="I19" s="730"/>
      <c r="J19" s="730"/>
      <c r="K19" s="732" t="str">
        <f>IFERROR(K17/(K17+K18),"")</f>
        <v/>
      </c>
    </row>
    <row r="21" spans="1:15" ht="20" customHeight="1" thickBot="1" x14ac:dyDescent="0.25">
      <c r="B21" s="678">
        <v>3</v>
      </c>
      <c r="C21" s="1199" t="s">
        <v>1245</v>
      </c>
      <c r="D21" s="1156"/>
      <c r="E21" s="1156"/>
      <c r="F21" s="1156"/>
      <c r="G21" s="1156"/>
      <c r="H21" s="1156"/>
      <c r="I21" s="1156"/>
      <c r="J21" s="1156"/>
      <c r="K21" s="1156"/>
    </row>
    <row r="22" spans="1:15" ht="15" customHeight="1" x14ac:dyDescent="0.2">
      <c r="B22" s="1200"/>
      <c r="C22" s="1200"/>
      <c r="D22" s="1200"/>
      <c r="E22" s="1200"/>
      <c r="F22" s="1200"/>
      <c r="G22" s="1200"/>
      <c r="H22" s="1200"/>
      <c r="I22" s="1200"/>
      <c r="J22" s="1200"/>
      <c r="K22" s="1200"/>
    </row>
    <row r="23" spans="1:15" ht="3.75" customHeight="1" x14ac:dyDescent="0.2">
      <c r="B23" s="1201"/>
      <c r="C23" s="1201"/>
      <c r="D23" s="1201"/>
      <c r="E23" s="1201"/>
      <c r="F23" s="1201"/>
      <c r="G23" s="1201"/>
      <c r="H23" s="1201"/>
      <c r="I23" s="1201"/>
      <c r="J23" s="1201"/>
      <c r="K23" s="1201"/>
    </row>
    <row r="24" spans="1:15" s="729" customFormat="1" ht="15" customHeight="1" x14ac:dyDescent="0.2">
      <c r="A24" s="682"/>
      <c r="B24" s="1201"/>
      <c r="C24" s="1201"/>
      <c r="D24" s="1201"/>
      <c r="E24" s="1201"/>
      <c r="F24" s="1201"/>
      <c r="G24" s="1201"/>
      <c r="H24" s="1201"/>
      <c r="I24" s="1201"/>
      <c r="J24" s="1201"/>
      <c r="K24" s="1201"/>
    </row>
    <row r="25" spans="1:15" x14ac:dyDescent="0.2">
      <c r="B25" s="1201"/>
      <c r="C25" s="1201"/>
      <c r="D25" s="1201"/>
      <c r="E25" s="1201"/>
      <c r="F25" s="1201"/>
      <c r="G25" s="1201"/>
      <c r="H25" s="1201"/>
      <c r="I25" s="1201"/>
      <c r="J25" s="1201"/>
      <c r="K25" s="1201"/>
      <c r="L25" s="375"/>
      <c r="M25" s="375"/>
      <c r="N25" s="375"/>
      <c r="O25" s="375"/>
    </row>
    <row r="26" spans="1:15" x14ac:dyDescent="0.2">
      <c r="I26" s="327"/>
    </row>
    <row r="27" spans="1:15" ht="29" customHeight="1" x14ac:dyDescent="0.2">
      <c r="B27" s="1204" t="s">
        <v>1499</v>
      </c>
      <c r="C27" s="1204"/>
      <c r="D27" s="1204"/>
      <c r="E27" s="1204"/>
      <c r="F27" s="1204"/>
      <c r="G27" s="1204"/>
      <c r="H27" s="1204"/>
      <c r="I27" s="1204"/>
      <c r="J27" s="1204"/>
      <c r="K27" s="1204"/>
    </row>
    <row r="28" spans="1:15" x14ac:dyDescent="0.2">
      <c r="I28" s="327"/>
    </row>
    <row r="29" spans="1:15" ht="16" thickBot="1" x14ac:dyDescent="0.25">
      <c r="B29" s="1202">
        <v>4</v>
      </c>
      <c r="C29" s="733" t="s">
        <v>1232</v>
      </c>
      <c r="D29" s="1219" t="s">
        <v>1233</v>
      </c>
      <c r="E29" s="1219"/>
      <c r="F29" s="1219" t="s">
        <v>1234</v>
      </c>
      <c r="G29" s="1219"/>
      <c r="H29" s="1219" t="s">
        <v>520</v>
      </c>
      <c r="I29" s="1219"/>
      <c r="J29" s="1219"/>
      <c r="K29" s="1219"/>
    </row>
    <row r="30" spans="1:15" ht="15" customHeight="1" thickBot="1" x14ac:dyDescent="0.25">
      <c r="B30" s="1202"/>
      <c r="C30" s="724">
        <v>2019</v>
      </c>
      <c r="D30" s="1191" t="str">
        <f>IFERROR(VLOOKUP($J$15&amp;$C30,'Source Water'!A:H,5,FALSE),"")</f>
        <v/>
      </c>
      <c r="E30" s="1192"/>
      <c r="F30" s="1221" t="str">
        <f>IFERROR(VLOOKUP($J$15&amp;$C30,'Source Water'!A:J,6,FALSE),"")</f>
        <v/>
      </c>
      <c r="G30" s="1222"/>
      <c r="H30" s="1188"/>
      <c r="I30" s="1189"/>
      <c r="J30" s="1189"/>
      <c r="K30" s="1190"/>
    </row>
    <row r="31" spans="1:15" ht="16" thickBot="1" x14ac:dyDescent="0.25">
      <c r="B31" s="1202"/>
      <c r="C31" s="724">
        <v>2020</v>
      </c>
      <c r="D31" s="1191" t="str">
        <f>IFERROR(VLOOKUP($J$15&amp;$C31,'Source Water'!A:H,5,FALSE),"")</f>
        <v/>
      </c>
      <c r="E31" s="1192"/>
      <c r="F31" s="1221" t="str">
        <f>IFERROR(VLOOKUP($J$15&amp;$C31,'Source Water'!A:J,6,FALSE),"")</f>
        <v/>
      </c>
      <c r="G31" s="1222"/>
      <c r="H31" s="1193"/>
      <c r="I31" s="1194"/>
      <c r="J31" s="1194"/>
      <c r="K31" s="1195"/>
    </row>
    <row r="32" spans="1:15" ht="16" thickBot="1" x14ac:dyDescent="0.25">
      <c r="B32" s="1203"/>
      <c r="C32" s="725">
        <v>2021</v>
      </c>
      <c r="D32" s="1220"/>
      <c r="E32" s="1220"/>
      <c r="F32" s="1228"/>
      <c r="G32" s="1229"/>
      <c r="H32" s="1223"/>
      <c r="I32" s="1224"/>
      <c r="J32" s="1224"/>
      <c r="K32" s="1224"/>
    </row>
    <row r="34" spans="2:11" ht="18" customHeight="1" thickBot="1" x14ac:dyDescent="0.25">
      <c r="B34" s="727">
        <v>5</v>
      </c>
      <c r="C34" s="1199" t="s">
        <v>1470</v>
      </c>
      <c r="D34" s="1156"/>
      <c r="E34" s="1156"/>
      <c r="F34" s="1156"/>
      <c r="G34" s="1156"/>
      <c r="H34" s="1156"/>
      <c r="I34" s="1156"/>
      <c r="J34" s="1156"/>
      <c r="K34" s="1156"/>
    </row>
    <row r="35" spans="2:11" x14ac:dyDescent="0.2">
      <c r="B35" s="1200"/>
      <c r="C35" s="1200"/>
      <c r="D35" s="1200"/>
      <c r="E35" s="1200"/>
      <c r="F35" s="1200"/>
      <c r="G35" s="1200"/>
      <c r="H35" s="1200"/>
      <c r="I35" s="1200"/>
      <c r="J35" s="1200"/>
      <c r="K35" s="1200"/>
    </row>
    <row r="36" spans="2:11" x14ac:dyDescent="0.2">
      <c r="B36" s="1201"/>
      <c r="C36" s="1201"/>
      <c r="D36" s="1201"/>
      <c r="E36" s="1201"/>
      <c r="F36" s="1201"/>
      <c r="G36" s="1201"/>
      <c r="H36" s="1201"/>
      <c r="I36" s="1201"/>
      <c r="J36" s="1201"/>
      <c r="K36" s="1201"/>
    </row>
    <row r="37" spans="2:11" x14ac:dyDescent="0.2">
      <c r="B37" s="1201"/>
      <c r="C37" s="1201"/>
      <c r="D37" s="1201"/>
      <c r="E37" s="1201"/>
      <c r="F37" s="1201"/>
      <c r="G37" s="1201"/>
      <c r="H37" s="1201"/>
      <c r="I37" s="1201"/>
      <c r="J37" s="1201"/>
      <c r="K37" s="1201"/>
    </row>
    <row r="39" spans="2:11" ht="32" customHeight="1" x14ac:dyDescent="0.2">
      <c r="B39" s="1204" t="s">
        <v>1504</v>
      </c>
      <c r="C39" s="1204"/>
      <c r="D39" s="1204"/>
      <c r="E39" s="1204"/>
      <c r="F39" s="1204"/>
      <c r="G39" s="1204"/>
      <c r="H39" s="1204"/>
      <c r="I39" s="1204"/>
      <c r="J39" s="1204"/>
      <c r="K39" s="1204"/>
    </row>
    <row r="40" spans="2:11" ht="18" customHeight="1" x14ac:dyDescent="0.2"/>
    <row r="41" spans="2:11" ht="18" customHeight="1" x14ac:dyDescent="0.2">
      <c r="B41" s="1177" t="s">
        <v>1247</v>
      </c>
      <c r="C41" s="1178"/>
      <c r="D41" s="1178"/>
      <c r="E41" s="1178"/>
      <c r="F41" s="1178"/>
      <c r="G41" s="1178"/>
      <c r="H41" s="1178"/>
      <c r="I41" s="1178"/>
      <c r="J41" s="1178"/>
      <c r="K41" s="1178"/>
    </row>
    <row r="42" spans="2:11" ht="29" customHeight="1" thickBot="1" x14ac:dyDescent="0.25">
      <c r="B42" s="1179" t="s">
        <v>1249</v>
      </c>
      <c r="C42" s="1179"/>
      <c r="D42" s="1179"/>
      <c r="E42" s="1179"/>
      <c r="F42" s="1179"/>
      <c r="G42" s="1179"/>
      <c r="H42" s="1179"/>
      <c r="I42" s="1179"/>
      <c r="J42" s="1179"/>
      <c r="K42" s="1179"/>
    </row>
    <row r="43" spans="2:11" ht="18" customHeight="1" x14ac:dyDescent="0.2">
      <c r="B43" s="1180" t="s">
        <v>1224</v>
      </c>
      <c r="C43" s="1180"/>
      <c r="D43" s="1180"/>
      <c r="E43" s="1180"/>
      <c r="F43" s="1180" t="s">
        <v>1251</v>
      </c>
      <c r="G43" s="1180"/>
      <c r="H43" s="1196" t="s">
        <v>1252</v>
      </c>
      <c r="I43" s="1196" t="s">
        <v>1253</v>
      </c>
      <c r="J43" s="1196" t="s">
        <v>1254</v>
      </c>
      <c r="K43" s="1196" t="s">
        <v>427</v>
      </c>
    </row>
    <row r="44" spans="2:11" ht="18" customHeight="1" thickBot="1" x14ac:dyDescent="0.25">
      <c r="B44" s="1181"/>
      <c r="C44" s="1181"/>
      <c r="D44" s="1181"/>
      <c r="E44" s="1181"/>
      <c r="F44" s="1181"/>
      <c r="G44" s="1181"/>
      <c r="H44" s="1197"/>
      <c r="I44" s="1197"/>
      <c r="J44" s="1197"/>
      <c r="K44" s="1197"/>
    </row>
    <row r="45" spans="2:11" ht="18" customHeight="1" thickBot="1" x14ac:dyDescent="0.25">
      <c r="B45" s="728">
        <v>1</v>
      </c>
      <c r="C45" s="1187" t="str">
        <f>IFERROR(VLOOKUP($J$15&amp;$B45,'Landscaping Source'!$A:$P,2,FALSE)," ")</f>
        <v xml:space="preserve"> </v>
      </c>
      <c r="D45" s="1187"/>
      <c r="E45" s="1187"/>
      <c r="F45" s="1182" t="str">
        <f>IFERROR(VLOOKUP($J$15&amp;$B45,'Landscaping Source'!$A:$P,3,FALSE)," ")</f>
        <v xml:space="preserve"> </v>
      </c>
      <c r="G45" s="1183"/>
      <c r="H45" s="774" t="str">
        <f>IFERROR(VLOOKUP($J$15&amp;$B45,'Landscaping Source'!$A:$P,4,FALSE)," ")</f>
        <v xml:space="preserve"> </v>
      </c>
      <c r="I45" s="775" t="str">
        <f>IFERROR(VLOOKUP($J$15&amp;$B45,'Landscaping Source'!$A:$P,5,FALSE)," ")</f>
        <v xml:space="preserve"> </v>
      </c>
      <c r="J45" s="775" t="str">
        <f>IFERROR(VLOOKUP($J$15&amp;$B45,'Landscaping Source'!$A:$P,6,FALSE)," ")</f>
        <v xml:space="preserve"> </v>
      </c>
      <c r="K45" s="826"/>
    </row>
    <row r="46" spans="2:11" ht="18" customHeight="1" thickBot="1" x14ac:dyDescent="0.25">
      <c r="B46" s="728">
        <v>2</v>
      </c>
      <c r="C46" s="1187" t="str">
        <f>IFERROR(VLOOKUP($J$15&amp;$B46,'Landscaping Source'!$A:$P,2,FALSE)," ")</f>
        <v xml:space="preserve"> </v>
      </c>
      <c r="D46" s="1187"/>
      <c r="E46" s="1187"/>
      <c r="F46" s="1182" t="str">
        <f>IFERROR(VLOOKUP($J$15&amp;$B46,'Landscaping Source'!$A:$P,3,FALSE)," ")</f>
        <v xml:space="preserve"> </v>
      </c>
      <c r="G46" s="1183"/>
      <c r="H46" s="774" t="str">
        <f>IFERROR(VLOOKUP($J$15&amp;$B46,'Landscaping Source'!$A:$P,4,FALSE)," ")</f>
        <v xml:space="preserve"> </v>
      </c>
      <c r="I46" s="775" t="str">
        <f>IFERROR(VLOOKUP($J$15&amp;$B46,'Landscaping Source'!$A:$P,5,FALSE)," ")</f>
        <v xml:space="preserve"> </v>
      </c>
      <c r="J46" s="775" t="str">
        <f>IFERROR(VLOOKUP($J$15&amp;$B46,'Landscaping Source'!$A:$P,6,FALSE)," ")</f>
        <v xml:space="preserve"> </v>
      </c>
      <c r="K46" s="826"/>
    </row>
    <row r="47" spans="2:11" ht="18" customHeight="1" thickBot="1" x14ac:dyDescent="0.25">
      <c r="B47" s="728">
        <v>3</v>
      </c>
      <c r="C47" s="1187" t="str">
        <f>IFERROR(VLOOKUP($J$15&amp;$B47,'Landscaping Source'!$A:$P,2,FALSE)," ")</f>
        <v xml:space="preserve"> </v>
      </c>
      <c r="D47" s="1187"/>
      <c r="E47" s="1187"/>
      <c r="F47" s="1182" t="str">
        <f>IFERROR(VLOOKUP($J$15&amp;$B47,'Landscaping Source'!$A:$P,3,FALSE)," ")</f>
        <v xml:space="preserve"> </v>
      </c>
      <c r="G47" s="1183"/>
      <c r="H47" s="774" t="str">
        <f>IFERROR(VLOOKUP($J$15&amp;$B47,'Landscaping Source'!$A:$P,4,FALSE)," ")</f>
        <v xml:space="preserve"> </v>
      </c>
      <c r="I47" s="775" t="str">
        <f>IFERROR(VLOOKUP($J$15&amp;$B47,'Landscaping Source'!$A:$P,5,FALSE)," ")</f>
        <v xml:space="preserve"> </v>
      </c>
      <c r="J47" s="775" t="str">
        <f>IFERROR(VLOOKUP($J$15&amp;$B47,'Landscaping Source'!$A:$P,6,FALSE)," ")</f>
        <v xml:space="preserve"> </v>
      </c>
      <c r="K47" s="826"/>
    </row>
    <row r="48" spans="2:11" ht="18" customHeight="1" thickBot="1" x14ac:dyDescent="0.25">
      <c r="B48" s="728">
        <v>4</v>
      </c>
      <c r="C48" s="1187" t="str">
        <f>IFERROR(VLOOKUP($J$15&amp;$B48,'Landscaping Source'!$A:$P,2,FALSE)," ")</f>
        <v xml:space="preserve"> </v>
      </c>
      <c r="D48" s="1187"/>
      <c r="E48" s="1187"/>
      <c r="F48" s="1182" t="str">
        <f>IFERROR(VLOOKUP($J$15&amp;$B48,'Landscaping Source'!$A:$P,3,FALSE)," ")</f>
        <v xml:space="preserve"> </v>
      </c>
      <c r="G48" s="1183"/>
      <c r="H48" s="774" t="str">
        <f>IFERROR(VLOOKUP($J$15&amp;$B48,'Landscaping Source'!$A:$P,4,FALSE)," ")</f>
        <v xml:space="preserve"> </v>
      </c>
      <c r="I48" s="775" t="str">
        <f>IFERROR(VLOOKUP($J$15&amp;$B48,'Landscaping Source'!$A:$P,5,FALSE)," ")</f>
        <v xml:space="preserve"> </v>
      </c>
      <c r="J48" s="775" t="str">
        <f>IFERROR(VLOOKUP($J$15&amp;$B48,'Landscaping Source'!$A:$P,6,FALSE)," ")</f>
        <v xml:space="preserve"> </v>
      </c>
      <c r="K48" s="826"/>
    </row>
    <row r="49" spans="2:11" ht="18" customHeight="1" thickBot="1" x14ac:dyDescent="0.25">
      <c r="B49" s="728">
        <v>5</v>
      </c>
      <c r="C49" s="1187" t="str">
        <f>IFERROR(VLOOKUP($J$15&amp;$B49,'Landscaping Source'!$A:$P,2,FALSE)," ")</f>
        <v xml:space="preserve"> </v>
      </c>
      <c r="D49" s="1187"/>
      <c r="E49" s="1187"/>
      <c r="F49" s="1182" t="str">
        <f>IFERROR(VLOOKUP($J$15&amp;$B49,'Landscaping Source'!$A:$P,3,FALSE)," ")</f>
        <v xml:space="preserve"> </v>
      </c>
      <c r="G49" s="1183"/>
      <c r="H49" s="774" t="str">
        <f>IFERROR(VLOOKUP($J$15&amp;$B49,'Landscaping Source'!$A:$P,4,FALSE)," ")</f>
        <v xml:space="preserve"> </v>
      </c>
      <c r="I49" s="775" t="str">
        <f>IFERROR(VLOOKUP($J$15&amp;$B49,'Landscaping Source'!$A:$P,5,FALSE)," ")</f>
        <v xml:space="preserve"> </v>
      </c>
      <c r="J49" s="775" t="str">
        <f>IFERROR(VLOOKUP($J$15&amp;$B49,'Landscaping Source'!$A:$P,6,FALSE)," ")</f>
        <v xml:space="preserve"> </v>
      </c>
      <c r="K49" s="826"/>
    </row>
    <row r="50" spans="2:11" ht="18" customHeight="1" thickBot="1" x14ac:dyDescent="0.25">
      <c r="B50" s="728">
        <v>6</v>
      </c>
      <c r="C50" s="1187" t="str">
        <f>IFERROR(VLOOKUP($J$15&amp;$B50,'Landscaping Source'!$A:$P,2,FALSE)," ")</f>
        <v xml:space="preserve"> </v>
      </c>
      <c r="D50" s="1187"/>
      <c r="E50" s="1187"/>
      <c r="F50" s="1182" t="str">
        <f>IFERROR(VLOOKUP($J$15&amp;$B50,'Landscaping Source'!$A:$P,3,FALSE)," ")</f>
        <v xml:space="preserve"> </v>
      </c>
      <c r="G50" s="1183"/>
      <c r="H50" s="774" t="str">
        <f>IFERROR(VLOOKUP($J$15&amp;$B50,'Landscaping Source'!$A:$P,4,FALSE)," ")</f>
        <v xml:space="preserve"> </v>
      </c>
      <c r="I50" s="775" t="str">
        <f>IFERROR(VLOOKUP($J$15&amp;$B50,'Landscaping Source'!$A:$P,5,FALSE)," ")</f>
        <v xml:space="preserve"> </v>
      </c>
      <c r="J50" s="775" t="str">
        <f>IFERROR(VLOOKUP($J$15&amp;$B50,'Landscaping Source'!$A:$P,6,FALSE)," ")</f>
        <v xml:space="preserve"> </v>
      </c>
      <c r="K50" s="826"/>
    </row>
    <row r="51" spans="2:11" ht="18" customHeight="1" thickBot="1" x14ac:dyDescent="0.25">
      <c r="B51" s="728">
        <v>7</v>
      </c>
      <c r="C51" s="1187" t="str">
        <f>IFERROR(VLOOKUP($J$15&amp;$B51,'Landscaping Source'!$A:$P,2,FALSE)," ")</f>
        <v xml:space="preserve"> </v>
      </c>
      <c r="D51" s="1187"/>
      <c r="E51" s="1187"/>
      <c r="F51" s="1182" t="str">
        <f>IFERROR(VLOOKUP($J$15&amp;$B51,'Landscaping Source'!$A:$P,3,FALSE)," ")</f>
        <v xml:space="preserve"> </v>
      </c>
      <c r="G51" s="1183"/>
      <c r="H51" s="774" t="str">
        <f>IFERROR(VLOOKUP($J$15&amp;$B51,'Landscaping Source'!$A:$P,4,FALSE)," ")</f>
        <v xml:space="preserve"> </v>
      </c>
      <c r="I51" s="775" t="str">
        <f>IFERROR(VLOOKUP($J$15&amp;$B51,'Landscaping Source'!$A:$P,5,FALSE)," ")</f>
        <v xml:space="preserve"> </v>
      </c>
      <c r="J51" s="775" t="str">
        <f>IFERROR(VLOOKUP($J$15&amp;$B51,'Landscaping Source'!$A:$P,6,FALSE)," ")</f>
        <v xml:space="preserve"> </v>
      </c>
      <c r="K51" s="826"/>
    </row>
    <row r="52" spans="2:11" ht="18" customHeight="1" thickBot="1" x14ac:dyDescent="0.25">
      <c r="B52" s="728">
        <v>8</v>
      </c>
      <c r="C52" s="1187" t="str">
        <f>IFERROR(VLOOKUP($J$15&amp;$B52,'Landscaping Source'!$A:$P,2,FALSE)," ")</f>
        <v xml:space="preserve"> </v>
      </c>
      <c r="D52" s="1187"/>
      <c r="E52" s="1187"/>
      <c r="F52" s="1182" t="str">
        <f>IFERROR(VLOOKUP($J$15&amp;$B52,'Landscaping Source'!$A:$P,3,FALSE)," ")</f>
        <v xml:space="preserve"> </v>
      </c>
      <c r="G52" s="1183"/>
      <c r="H52" s="774" t="str">
        <f>IFERROR(VLOOKUP($J$15&amp;$B52,'Landscaping Source'!$A:$P,4,FALSE)," ")</f>
        <v xml:space="preserve"> </v>
      </c>
      <c r="I52" s="775" t="str">
        <f>IFERROR(VLOOKUP($J$15&amp;$B52,'Landscaping Source'!$A:$P,5,FALSE)," ")</f>
        <v xml:space="preserve"> </v>
      </c>
      <c r="J52" s="775" t="str">
        <f>IFERROR(VLOOKUP($J$15&amp;$B52,'Landscaping Source'!$A:$P,6,FALSE)," ")</f>
        <v xml:space="preserve"> </v>
      </c>
      <c r="K52" s="826"/>
    </row>
    <row r="53" spans="2:11" ht="18" customHeight="1" thickBot="1" x14ac:dyDescent="0.25">
      <c r="B53" s="728">
        <v>9</v>
      </c>
      <c r="C53" s="1187" t="str">
        <f>IFERROR(VLOOKUP($J$15&amp;$B53,'Landscaping Source'!$A:$P,2,FALSE)," ")</f>
        <v xml:space="preserve"> </v>
      </c>
      <c r="D53" s="1187"/>
      <c r="E53" s="1187"/>
      <c r="F53" s="1182" t="str">
        <f>IFERROR(VLOOKUP($J$15&amp;$B53,'Landscaping Source'!$A:$P,3,FALSE)," ")</f>
        <v xml:space="preserve"> </v>
      </c>
      <c r="G53" s="1183"/>
      <c r="H53" s="774" t="str">
        <f>IFERROR(VLOOKUP($J$15&amp;$B53,'Landscaping Source'!$A:$P,4,FALSE)," ")</f>
        <v xml:space="preserve"> </v>
      </c>
      <c r="I53" s="775" t="str">
        <f>IFERROR(VLOOKUP($J$15&amp;$B53,'Landscaping Source'!$A:$P,5,FALSE)," ")</f>
        <v xml:space="preserve"> </v>
      </c>
      <c r="J53" s="775" t="str">
        <f>IFERROR(VLOOKUP($J$15&amp;$B53,'Landscaping Source'!$A:$P,6,FALSE)," ")</f>
        <v xml:space="preserve"> </v>
      </c>
      <c r="K53" s="826"/>
    </row>
    <row r="54" spans="2:11" ht="18" customHeight="1" thickBot="1" x14ac:dyDescent="0.25">
      <c r="B54" s="728">
        <v>10</v>
      </c>
      <c r="C54" s="1187" t="str">
        <f>IFERROR(VLOOKUP($J$15&amp;$B54,'Landscaping Source'!$A:$P,2,FALSE)," ")</f>
        <v xml:space="preserve"> </v>
      </c>
      <c r="D54" s="1187"/>
      <c r="E54" s="1187"/>
      <c r="F54" s="1182" t="str">
        <f>IFERROR(VLOOKUP($J$15&amp;$B54,'Landscaping Source'!$A:$P,3,FALSE)," ")</f>
        <v xml:space="preserve"> </v>
      </c>
      <c r="G54" s="1183"/>
      <c r="H54" s="774" t="str">
        <f>IFERROR(VLOOKUP($J$15&amp;$B54,'Landscaping Source'!$A:$P,4,FALSE)," ")</f>
        <v xml:space="preserve"> </v>
      </c>
      <c r="I54" s="775" t="str">
        <f>IFERROR(VLOOKUP($J$15&amp;$B54,'Landscaping Source'!$A:$P,5,FALSE)," ")</f>
        <v xml:space="preserve"> </v>
      </c>
      <c r="J54" s="775" t="str">
        <f>IFERROR(VLOOKUP($J$15&amp;$B54,'Landscaping Source'!$A:$P,6,FALSE)," ")</f>
        <v xml:space="preserve"> </v>
      </c>
      <c r="K54" s="826"/>
    </row>
    <row r="55" spans="2:11" ht="18" customHeight="1" thickBot="1" x14ac:dyDescent="0.25">
      <c r="B55" s="728">
        <v>11</v>
      </c>
      <c r="C55" s="1187" t="str">
        <f>IFERROR(VLOOKUP($J$15&amp;$B55,'Landscaping Source'!$A:$P,2,FALSE)," ")</f>
        <v xml:space="preserve"> </v>
      </c>
      <c r="D55" s="1187"/>
      <c r="E55" s="1187"/>
      <c r="F55" s="1182" t="str">
        <f>IFERROR(VLOOKUP($J$15&amp;$B55,'Landscaping Source'!$A:$P,3,FALSE)," ")</f>
        <v xml:space="preserve"> </v>
      </c>
      <c r="G55" s="1183"/>
      <c r="H55" s="774" t="str">
        <f>IFERROR(VLOOKUP($J$15&amp;$B55,'Landscaping Source'!$A:$P,4,FALSE)," ")</f>
        <v xml:space="preserve"> </v>
      </c>
      <c r="I55" s="775" t="str">
        <f>IFERROR(VLOOKUP($J$15&amp;$B55,'Landscaping Source'!$A:$P,5,FALSE)," ")</f>
        <v xml:space="preserve"> </v>
      </c>
      <c r="J55" s="775" t="str">
        <f>IFERROR(VLOOKUP($J$15&amp;$B55,'Landscaping Source'!$A:$P,6,FALSE)," ")</f>
        <v xml:space="preserve"> </v>
      </c>
      <c r="K55" s="826"/>
    </row>
    <row r="56" spans="2:11" ht="18" customHeight="1" thickBot="1" x14ac:dyDescent="0.25">
      <c r="B56" s="728">
        <v>12</v>
      </c>
      <c r="C56" s="1187" t="str">
        <f>IFERROR(VLOOKUP($J$15&amp;$B56,'Landscaping Source'!$A:$P,2,FALSE)," ")</f>
        <v xml:space="preserve"> </v>
      </c>
      <c r="D56" s="1187"/>
      <c r="E56" s="1187"/>
      <c r="F56" s="1182" t="str">
        <f>IFERROR(VLOOKUP($J$15&amp;$B56,'Landscaping Source'!$A:$P,3,FALSE)," ")</f>
        <v xml:space="preserve"> </v>
      </c>
      <c r="G56" s="1183"/>
      <c r="H56" s="774" t="str">
        <f>IFERROR(VLOOKUP($J$15&amp;$B56,'Landscaping Source'!$A:$P,4,FALSE)," ")</f>
        <v xml:space="preserve"> </v>
      </c>
      <c r="I56" s="775" t="str">
        <f>IFERROR(VLOOKUP($J$15&amp;$B56,'Landscaping Source'!$A:$P,5,FALSE)," ")</f>
        <v xml:space="preserve"> </v>
      </c>
      <c r="J56" s="775" t="str">
        <f>IFERROR(VLOOKUP($J$15&amp;$B56,'Landscaping Source'!$A:$P,6,FALSE)," ")</f>
        <v xml:space="preserve"> </v>
      </c>
      <c r="K56" s="826"/>
    </row>
    <row r="57" spans="2:11" ht="18" customHeight="1" thickBot="1" x14ac:dyDescent="0.25">
      <c r="B57" s="728">
        <v>13</v>
      </c>
      <c r="C57" s="1187" t="str">
        <f>IFERROR(VLOOKUP($J$15&amp;$B57,'Landscaping Source'!$A:$P,2,FALSE)," ")</f>
        <v xml:space="preserve"> </v>
      </c>
      <c r="D57" s="1187"/>
      <c r="E57" s="1187"/>
      <c r="F57" s="1182" t="str">
        <f>IFERROR(VLOOKUP($J$15&amp;$B57,'Landscaping Source'!$A:$P,3,FALSE)," ")</f>
        <v xml:space="preserve"> </v>
      </c>
      <c r="G57" s="1183"/>
      <c r="H57" s="774" t="str">
        <f>IFERROR(VLOOKUP($J$15&amp;$B57,'Landscaping Source'!$A:$P,4,FALSE)," ")</f>
        <v xml:space="preserve"> </v>
      </c>
      <c r="I57" s="775" t="str">
        <f>IFERROR(VLOOKUP($J$15&amp;$B57,'Landscaping Source'!$A:$P,5,FALSE)," ")</f>
        <v xml:space="preserve"> </v>
      </c>
      <c r="J57" s="775" t="str">
        <f>IFERROR(VLOOKUP($J$15&amp;$B57,'Landscaping Source'!$A:$P,6,FALSE)," ")</f>
        <v xml:space="preserve"> </v>
      </c>
      <c r="K57" s="826"/>
    </row>
    <row r="58" spans="2:11" ht="18" customHeight="1" thickBot="1" x14ac:dyDescent="0.25">
      <c r="B58" s="728">
        <v>14</v>
      </c>
      <c r="C58" s="1187" t="str">
        <f>IFERROR(VLOOKUP($J$15&amp;$B58,'Landscaping Source'!$A:$P,2,FALSE)," ")</f>
        <v xml:space="preserve"> </v>
      </c>
      <c r="D58" s="1187"/>
      <c r="E58" s="1187"/>
      <c r="F58" s="1182" t="str">
        <f>IFERROR(VLOOKUP($J$15&amp;$B58,'Landscaping Source'!$A:$P,3,FALSE)," ")</f>
        <v xml:space="preserve"> </v>
      </c>
      <c r="G58" s="1183"/>
      <c r="H58" s="774" t="str">
        <f>IFERROR(VLOOKUP($J$15&amp;$B58,'Landscaping Source'!$A:$P,4,FALSE)," ")</f>
        <v xml:space="preserve"> </v>
      </c>
      <c r="I58" s="775" t="str">
        <f>IFERROR(VLOOKUP($J$15&amp;$B58,'Landscaping Source'!$A:$P,5,FALSE)," ")</f>
        <v xml:space="preserve"> </v>
      </c>
      <c r="J58" s="775" t="str">
        <f>IFERROR(VLOOKUP($J$15&amp;$B58,'Landscaping Source'!$A:$P,6,FALSE)," ")</f>
        <v xml:space="preserve"> </v>
      </c>
      <c r="K58" s="826"/>
    </row>
    <row r="59" spans="2:11" ht="18" customHeight="1" thickBot="1" x14ac:dyDescent="0.25">
      <c r="B59" s="728">
        <v>15</v>
      </c>
      <c r="C59" s="1187" t="str">
        <f>IFERROR(VLOOKUP($J$15&amp;$B59,'Landscaping Source'!$A:$P,2,FALSE)," ")</f>
        <v xml:space="preserve"> </v>
      </c>
      <c r="D59" s="1187"/>
      <c r="E59" s="1187"/>
      <c r="F59" s="1182" t="str">
        <f>IFERROR(VLOOKUP($J$15&amp;$B59,'Landscaping Source'!$A:$P,3,FALSE)," ")</f>
        <v xml:space="preserve"> </v>
      </c>
      <c r="G59" s="1183"/>
      <c r="H59" s="774" t="str">
        <f>IFERROR(VLOOKUP($J$15&amp;$B59,'Landscaping Source'!$A:$P,4,FALSE)," ")</f>
        <v xml:space="preserve"> </v>
      </c>
      <c r="I59" s="775" t="str">
        <f>IFERROR(VLOOKUP($J$15&amp;$B59,'Landscaping Source'!$A:$P,5,FALSE)," ")</f>
        <v xml:space="preserve"> </v>
      </c>
      <c r="J59" s="775" t="str">
        <f>IFERROR(VLOOKUP($J$15&amp;$B59,'Landscaping Source'!$A:$P,6,FALSE)," ")</f>
        <v xml:space="preserve"> </v>
      </c>
      <c r="K59" s="826"/>
    </row>
    <row r="60" spans="2:11" ht="18" customHeight="1" thickBot="1" x14ac:dyDescent="0.25">
      <c r="B60" s="1184" t="s">
        <v>1264</v>
      </c>
      <c r="C60" s="1184"/>
      <c r="D60" s="1184"/>
      <c r="E60" s="1184"/>
      <c r="F60" s="1184"/>
      <c r="G60" s="1184"/>
      <c r="H60" s="1184"/>
      <c r="I60" s="1184"/>
      <c r="J60" s="1184"/>
      <c r="K60" s="1184"/>
    </row>
    <row r="61" spans="2:11" ht="18" customHeight="1" x14ac:dyDescent="0.2">
      <c r="B61" s="1185" t="s">
        <v>1224</v>
      </c>
      <c r="C61" s="1185"/>
      <c r="D61" s="1185"/>
      <c r="E61" s="1185"/>
      <c r="F61" s="1185" t="s">
        <v>1251</v>
      </c>
      <c r="G61" s="1185"/>
      <c r="H61" s="1185"/>
      <c r="I61" s="1175" t="s">
        <v>1252</v>
      </c>
      <c r="J61" s="1175" t="s">
        <v>1253</v>
      </c>
      <c r="K61" s="1175" t="s">
        <v>1254</v>
      </c>
    </row>
    <row r="62" spans="2:11" ht="18" customHeight="1" thickBot="1" x14ac:dyDescent="0.25">
      <c r="B62" s="1186"/>
      <c r="C62" s="1186"/>
      <c r="D62" s="1186"/>
      <c r="E62" s="1186"/>
      <c r="F62" s="1186"/>
      <c r="G62" s="1186"/>
      <c r="H62" s="1186"/>
      <c r="I62" s="1176"/>
      <c r="J62" s="1176"/>
      <c r="K62" s="1176"/>
    </row>
    <row r="63" spans="2:11" ht="18" customHeight="1" thickBot="1" x14ac:dyDescent="0.25">
      <c r="B63" s="1174"/>
      <c r="C63" s="1174"/>
      <c r="D63" s="1174"/>
      <c r="E63" s="1174"/>
      <c r="F63" s="1174"/>
      <c r="G63" s="1174"/>
      <c r="H63" s="1174"/>
      <c r="I63" s="594"/>
      <c r="J63" s="594"/>
      <c r="K63" s="803" t="s">
        <v>364</v>
      </c>
    </row>
    <row r="64" spans="2:11" ht="18" customHeight="1" thickBot="1" x14ac:dyDescent="0.25">
      <c r="B64" s="1174"/>
      <c r="C64" s="1174"/>
      <c r="D64" s="1174"/>
      <c r="E64" s="1174"/>
      <c r="F64" s="1174"/>
      <c r="G64" s="1174"/>
      <c r="H64" s="1174"/>
      <c r="I64" s="594"/>
      <c r="J64" s="594"/>
      <c r="K64" s="803" t="s">
        <v>364</v>
      </c>
    </row>
    <row r="65" spans="2:11" ht="18" customHeight="1" thickBot="1" x14ac:dyDescent="0.25">
      <c r="B65" s="1174"/>
      <c r="C65" s="1174"/>
      <c r="D65" s="1174"/>
      <c r="E65" s="1174"/>
      <c r="F65" s="1174"/>
      <c r="G65" s="1174"/>
      <c r="H65" s="1174"/>
      <c r="I65" s="594"/>
      <c r="J65" s="594"/>
      <c r="K65" s="803" t="s">
        <v>364</v>
      </c>
    </row>
    <row r="66" spans="2:11" ht="18" customHeight="1" thickBot="1" x14ac:dyDescent="0.25">
      <c r="B66" s="1174"/>
      <c r="C66" s="1174"/>
      <c r="D66" s="1174"/>
      <c r="E66" s="1174"/>
      <c r="F66" s="1174"/>
      <c r="G66" s="1174"/>
      <c r="H66" s="1174"/>
      <c r="I66" s="594"/>
      <c r="J66" s="594"/>
      <c r="K66" s="803" t="s">
        <v>364</v>
      </c>
    </row>
    <row r="67" spans="2:11" ht="21" customHeight="1" thickBot="1" x14ac:dyDescent="0.25">
      <c r="B67" s="1174"/>
      <c r="C67" s="1174"/>
      <c r="D67" s="1174"/>
      <c r="E67" s="1174"/>
      <c r="F67" s="1174"/>
      <c r="G67" s="1174"/>
      <c r="H67" s="1174"/>
      <c r="I67" s="594"/>
      <c r="J67" s="594"/>
      <c r="K67" s="803" t="s">
        <v>364</v>
      </c>
    </row>
    <row r="68" spans="2:11" ht="16" customHeight="1" x14ac:dyDescent="0.2"/>
    <row r="69" spans="2:11" ht="16" thickBot="1" x14ac:dyDescent="0.25"/>
    <row r="70" spans="2:11" x14ac:dyDescent="0.2">
      <c r="B70" s="1168" t="s">
        <v>1259</v>
      </c>
      <c r="C70" s="1168"/>
      <c r="D70" s="1168"/>
      <c r="E70" s="1168"/>
      <c r="F70" s="1168"/>
      <c r="G70" s="1168"/>
      <c r="H70" s="1168"/>
      <c r="I70" s="1168"/>
      <c r="J70" s="1168"/>
      <c r="K70" s="1170" t="s">
        <v>364</v>
      </c>
    </row>
    <row r="71" spans="2:11" ht="16" thickBot="1" x14ac:dyDescent="0.25">
      <c r="B71" s="1169"/>
      <c r="C71" s="1169"/>
      <c r="D71" s="1169"/>
      <c r="E71" s="1169"/>
      <c r="F71" s="1169"/>
      <c r="G71" s="1169"/>
      <c r="H71" s="1169"/>
      <c r="I71" s="1169"/>
      <c r="J71" s="1169"/>
      <c r="K71" s="1171"/>
    </row>
    <row r="72" spans="2:11" x14ac:dyDescent="0.2">
      <c r="B72" s="1172" t="str">
        <f>IF(K70="yes","Please describe strategies below, if any","")</f>
        <v/>
      </c>
      <c r="C72" s="1172"/>
      <c r="D72" s="1172"/>
      <c r="E72" s="1172"/>
      <c r="F72" s="1172"/>
      <c r="G72" s="1172"/>
      <c r="H72" s="1172"/>
      <c r="I72" s="1172"/>
      <c r="J72" s="1172"/>
      <c r="K72" s="1172"/>
    </row>
    <row r="73" spans="2:11" x14ac:dyDescent="0.2">
      <c r="B73" s="1173"/>
      <c r="C73" s="1173"/>
      <c r="D73" s="1173"/>
      <c r="E73" s="1173"/>
      <c r="F73" s="1173"/>
      <c r="G73" s="1173"/>
      <c r="H73" s="1173"/>
      <c r="I73" s="1173"/>
      <c r="J73" s="1173"/>
      <c r="K73" s="1173"/>
    </row>
    <row r="74" spans="2:11" x14ac:dyDescent="0.2">
      <c r="B74" s="1173"/>
      <c r="C74" s="1173"/>
      <c r="D74" s="1173"/>
      <c r="E74" s="1173"/>
      <c r="F74" s="1173"/>
      <c r="G74" s="1173"/>
      <c r="H74" s="1173"/>
      <c r="I74" s="1173"/>
      <c r="J74" s="1173"/>
      <c r="K74" s="1173"/>
    </row>
    <row r="75" spans="2:11" x14ac:dyDescent="0.2">
      <c r="B75" s="1173"/>
      <c r="C75" s="1173"/>
      <c r="D75" s="1173"/>
      <c r="E75" s="1173"/>
      <c r="F75" s="1173"/>
      <c r="G75" s="1173"/>
      <c r="H75" s="1173"/>
      <c r="I75" s="1173"/>
      <c r="J75" s="1173"/>
      <c r="K75" s="1173"/>
    </row>
    <row r="76" spans="2:11" ht="16" thickBot="1" x14ac:dyDescent="0.25"/>
    <row r="77" spans="2:11" x14ac:dyDescent="0.2">
      <c r="B77" s="1166" t="s">
        <v>1263</v>
      </c>
      <c r="C77" s="1166"/>
      <c r="D77" s="1166"/>
      <c r="E77" s="1166"/>
      <c r="F77" s="1166"/>
      <c r="G77" s="1166"/>
      <c r="H77" s="1166"/>
      <c r="I77" s="1166"/>
      <c r="J77" s="1166"/>
      <c r="K77" s="1170" t="s">
        <v>364</v>
      </c>
    </row>
    <row r="78" spans="2:11" ht="16" thickBot="1" x14ac:dyDescent="0.25">
      <c r="B78" s="1167"/>
      <c r="C78" s="1167"/>
      <c r="D78" s="1167"/>
      <c r="E78" s="1167"/>
      <c r="F78" s="1167"/>
      <c r="G78" s="1167"/>
      <c r="H78" s="1167"/>
      <c r="I78" s="1167"/>
      <c r="J78" s="1167"/>
      <c r="K78" s="1171"/>
    </row>
    <row r="79" spans="2:11" x14ac:dyDescent="0.2">
      <c r="B79" s="1172" t="str">
        <f>IF(K77="yes","Please describe reduction strategies underway, if any","")</f>
        <v/>
      </c>
      <c r="C79" s="1172"/>
      <c r="D79" s="1172"/>
      <c r="E79" s="1172"/>
      <c r="F79" s="1172"/>
      <c r="G79" s="1172"/>
      <c r="H79" s="1172"/>
      <c r="I79" s="1172"/>
      <c r="J79" s="1172"/>
      <c r="K79" s="1172"/>
    </row>
    <row r="80" spans="2:11" x14ac:dyDescent="0.2">
      <c r="B80" s="1173"/>
      <c r="C80" s="1173"/>
      <c r="D80" s="1173"/>
      <c r="E80" s="1173"/>
      <c r="F80" s="1173"/>
      <c r="G80" s="1173"/>
      <c r="H80" s="1173"/>
      <c r="I80" s="1173"/>
      <c r="J80" s="1173"/>
      <c r="K80" s="1173"/>
    </row>
    <row r="81" spans="2:11" x14ac:dyDescent="0.2">
      <c r="B81" s="1173"/>
      <c r="C81" s="1173"/>
      <c r="D81" s="1173"/>
      <c r="E81" s="1173"/>
      <c r="F81" s="1173"/>
      <c r="G81" s="1173"/>
      <c r="H81" s="1173"/>
      <c r="I81" s="1173"/>
      <c r="J81" s="1173"/>
      <c r="K81" s="1173"/>
    </row>
    <row r="82" spans="2:11" x14ac:dyDescent="0.2">
      <c r="B82" s="1173"/>
      <c r="C82" s="1173"/>
      <c r="D82" s="1173"/>
      <c r="E82" s="1173"/>
      <c r="F82" s="1173"/>
      <c r="G82" s="1173"/>
      <c r="H82" s="1173"/>
      <c r="I82" s="1173"/>
      <c r="J82" s="1173"/>
      <c r="K82" s="1173"/>
    </row>
    <row r="84" spans="2:11" ht="28" customHeight="1" x14ac:dyDescent="0.2">
      <c r="B84" s="1204" t="s">
        <v>1527</v>
      </c>
      <c r="C84" s="1204"/>
      <c r="D84" s="1204"/>
      <c r="E84" s="1204"/>
      <c r="F84" s="1204"/>
      <c r="G84" s="1204"/>
      <c r="H84" s="1204"/>
      <c r="I84" s="1204"/>
      <c r="J84" s="1204"/>
      <c r="K84" s="1204"/>
    </row>
    <row r="86" spans="2:11" ht="16" thickBot="1" x14ac:dyDescent="0.25">
      <c r="B86" s="727">
        <v>6</v>
      </c>
      <c r="C86" s="1199" t="s">
        <v>1472</v>
      </c>
      <c r="D86" s="1156"/>
      <c r="E86" s="1156"/>
      <c r="F86" s="1156"/>
      <c r="G86" s="1156"/>
      <c r="H86" s="1156"/>
      <c r="I86" s="1156"/>
      <c r="J86" s="1156"/>
      <c r="K86" s="1156"/>
    </row>
    <row r="87" spans="2:11" x14ac:dyDescent="0.2">
      <c r="B87" s="1200"/>
      <c r="C87" s="1200"/>
      <c r="D87" s="1200"/>
      <c r="E87" s="1200"/>
      <c r="F87" s="1200"/>
      <c r="G87" s="1200"/>
      <c r="H87" s="1200"/>
      <c r="I87" s="1200"/>
      <c r="J87" s="1200"/>
      <c r="K87" s="1200"/>
    </row>
    <row r="88" spans="2:11" x14ac:dyDescent="0.2">
      <c r="B88" s="1201"/>
      <c r="C88" s="1201"/>
      <c r="D88" s="1201"/>
      <c r="E88" s="1201"/>
      <c r="F88" s="1201"/>
      <c r="G88" s="1201"/>
      <c r="H88" s="1201"/>
      <c r="I88" s="1201"/>
      <c r="J88" s="1201"/>
      <c r="K88" s="1201"/>
    </row>
    <row r="89" spans="2:11" x14ac:dyDescent="0.2">
      <c r="B89" s="1201"/>
      <c r="C89" s="1201"/>
      <c r="D89" s="1201"/>
      <c r="E89" s="1201"/>
      <c r="F89" s="1201"/>
      <c r="G89" s="1201"/>
      <c r="H89" s="1201"/>
      <c r="I89" s="1201"/>
      <c r="J89" s="1201"/>
      <c r="K89" s="1201"/>
    </row>
    <row r="90" spans="2:11" x14ac:dyDescent="0.2">
      <c r="B90" s="1201"/>
      <c r="C90" s="1201"/>
      <c r="D90" s="1201"/>
      <c r="E90" s="1201"/>
      <c r="F90" s="1201"/>
      <c r="G90" s="1201"/>
      <c r="H90" s="1201"/>
      <c r="I90" s="1201"/>
      <c r="J90" s="1201"/>
      <c r="K90" s="1201"/>
    </row>
    <row r="91" spans="2:11" x14ac:dyDescent="0.2">
      <c r="B91" s="1201"/>
      <c r="C91" s="1201"/>
      <c r="D91" s="1201"/>
      <c r="E91" s="1201"/>
      <c r="F91" s="1201"/>
      <c r="G91" s="1201"/>
      <c r="H91" s="1201"/>
      <c r="I91" s="1201"/>
      <c r="J91" s="1201"/>
      <c r="K91" s="1201"/>
    </row>
    <row r="92" spans="2:11" x14ac:dyDescent="0.2">
      <c r="B92" s="1201"/>
      <c r="C92" s="1201"/>
      <c r="D92" s="1201"/>
      <c r="E92" s="1201"/>
      <c r="F92" s="1201"/>
      <c r="G92" s="1201"/>
      <c r="H92" s="1201"/>
      <c r="I92" s="1201"/>
      <c r="J92" s="1201"/>
      <c r="K92" s="1201"/>
    </row>
    <row r="93" spans="2:11" x14ac:dyDescent="0.2">
      <c r="B93" s="1201"/>
      <c r="C93" s="1201"/>
      <c r="D93" s="1201"/>
      <c r="E93" s="1201"/>
      <c r="F93" s="1201"/>
      <c r="G93" s="1201"/>
      <c r="H93" s="1201"/>
      <c r="I93" s="1201"/>
      <c r="J93" s="1201"/>
      <c r="K93" s="1201"/>
    </row>
    <row r="94" spans="2:11" x14ac:dyDescent="0.2">
      <c r="B94" s="1201"/>
      <c r="C94" s="1201"/>
      <c r="D94" s="1201"/>
      <c r="E94" s="1201"/>
      <c r="F94" s="1201"/>
      <c r="G94" s="1201"/>
      <c r="H94" s="1201"/>
      <c r="I94" s="1201"/>
      <c r="J94" s="1201"/>
      <c r="K94" s="1201"/>
    </row>
    <row r="95" spans="2:11" x14ac:dyDescent="0.2">
      <c r="B95" s="1201"/>
      <c r="C95" s="1201"/>
      <c r="D95" s="1201"/>
      <c r="E95" s="1201"/>
      <c r="F95" s="1201"/>
      <c r="G95" s="1201"/>
      <c r="H95" s="1201"/>
      <c r="I95" s="1201"/>
      <c r="J95" s="1201"/>
      <c r="K95" s="1201"/>
    </row>
    <row r="96" spans="2:11" x14ac:dyDescent="0.2">
      <c r="B96" s="1201"/>
      <c r="C96" s="1201"/>
      <c r="D96" s="1201"/>
      <c r="E96" s="1201"/>
      <c r="F96" s="1201"/>
      <c r="G96" s="1201"/>
      <c r="H96" s="1201"/>
      <c r="I96" s="1201"/>
      <c r="J96" s="1201"/>
      <c r="K96" s="1201"/>
    </row>
    <row r="97" spans="2:11" x14ac:dyDescent="0.2">
      <c r="B97" s="1201"/>
      <c r="C97" s="1201"/>
      <c r="D97" s="1201"/>
      <c r="E97" s="1201"/>
      <c r="F97" s="1201"/>
      <c r="G97" s="1201"/>
      <c r="H97" s="1201"/>
      <c r="I97" s="1201"/>
      <c r="J97" s="1201"/>
      <c r="K97" s="1201"/>
    </row>
    <row r="99" spans="2:11" x14ac:dyDescent="0.2">
      <c r="B99" s="764"/>
    </row>
  </sheetData>
  <sheetProtection algorithmName="SHA-512" hashValue="WK1PznacRkaVfGGLnGn2sBJdMsoqUQaLE2bggBESsqSMSfy5IdKwF7zGK5Gz3l5UMblDiUacM5BMRvS0yxnQiA==" saltValue="WKc0VTEuK6E89JoJjAjHxA==" spinCount="100000" sheet="1" selectLockedCells="1"/>
  <mergeCells count="102">
    <mergeCell ref="B87:K97"/>
    <mergeCell ref="B79:K79"/>
    <mergeCell ref="B80:K82"/>
    <mergeCell ref="C46:E46"/>
    <mergeCell ref="C48:E48"/>
    <mergeCell ref="C50:E50"/>
    <mergeCell ref="B7:C7"/>
    <mergeCell ref="B8:C8"/>
    <mergeCell ref="B9:C9"/>
    <mergeCell ref="D9:K9"/>
    <mergeCell ref="D7:K7"/>
    <mergeCell ref="D8:K8"/>
    <mergeCell ref="B39:K39"/>
    <mergeCell ref="B84:K84"/>
    <mergeCell ref="C86:K86"/>
    <mergeCell ref="C47:E47"/>
    <mergeCell ref="C45:E45"/>
    <mergeCell ref="I43:I44"/>
    <mergeCell ref="H43:H44"/>
    <mergeCell ref="J43:J44"/>
    <mergeCell ref="F32:G32"/>
    <mergeCell ref="F29:G29"/>
    <mergeCell ref="F30:G30"/>
    <mergeCell ref="K77:K78"/>
    <mergeCell ref="B1:K1"/>
    <mergeCell ref="B2:C5"/>
    <mergeCell ref="D15:I15"/>
    <mergeCell ref="J15:K15"/>
    <mergeCell ref="B16:K16"/>
    <mergeCell ref="C34:K34"/>
    <mergeCell ref="B35:K37"/>
    <mergeCell ref="B29:B32"/>
    <mergeCell ref="B27:K27"/>
    <mergeCell ref="D2:K4"/>
    <mergeCell ref="D5:K5"/>
    <mergeCell ref="B13:K13"/>
    <mergeCell ref="C17:J17"/>
    <mergeCell ref="C18:J18"/>
    <mergeCell ref="C21:K21"/>
    <mergeCell ref="B22:K25"/>
    <mergeCell ref="D29:E29"/>
    <mergeCell ref="D32:E32"/>
    <mergeCell ref="F31:G31"/>
    <mergeCell ref="H29:K29"/>
    <mergeCell ref="H32:K32"/>
    <mergeCell ref="D10:K10"/>
    <mergeCell ref="B10:C10"/>
    <mergeCell ref="D30:E30"/>
    <mergeCell ref="H30:K30"/>
    <mergeCell ref="D31:E31"/>
    <mergeCell ref="H31:K31"/>
    <mergeCell ref="C58:E58"/>
    <mergeCell ref="C57:E57"/>
    <mergeCell ref="C56:E56"/>
    <mergeCell ref="C55:E55"/>
    <mergeCell ref="C54:E54"/>
    <mergeCell ref="C53:E53"/>
    <mergeCell ref="C52:E52"/>
    <mergeCell ref="C51:E51"/>
    <mergeCell ref="C49:E49"/>
    <mergeCell ref="K43:K44"/>
    <mergeCell ref="F43:G44"/>
    <mergeCell ref="F45:G45"/>
    <mergeCell ref="F46:G46"/>
    <mergeCell ref="F47:G47"/>
    <mergeCell ref="F48:G48"/>
    <mergeCell ref="F49:G49"/>
    <mergeCell ref="F50:G50"/>
    <mergeCell ref="F51:G51"/>
    <mergeCell ref="B65:E65"/>
    <mergeCell ref="F65:H65"/>
    <mergeCell ref="B64:E64"/>
    <mergeCell ref="F64:H64"/>
    <mergeCell ref="B63:E63"/>
    <mergeCell ref="F63:H63"/>
    <mergeCell ref="K61:K62"/>
    <mergeCell ref="B41:K41"/>
    <mergeCell ref="B42:K42"/>
    <mergeCell ref="B43:E44"/>
    <mergeCell ref="F52:G52"/>
    <mergeCell ref="F53:G53"/>
    <mergeCell ref="F54:G54"/>
    <mergeCell ref="F55:G55"/>
    <mergeCell ref="F56:G56"/>
    <mergeCell ref="F57:G57"/>
    <mergeCell ref="F58:G58"/>
    <mergeCell ref="B60:K60"/>
    <mergeCell ref="B61:E62"/>
    <mergeCell ref="F61:H62"/>
    <mergeCell ref="I61:I62"/>
    <mergeCell ref="J61:J62"/>
    <mergeCell ref="C59:E59"/>
    <mergeCell ref="F59:G59"/>
    <mergeCell ref="B77:J78"/>
    <mergeCell ref="B70:J71"/>
    <mergeCell ref="K70:K71"/>
    <mergeCell ref="B72:K72"/>
    <mergeCell ref="B73:K75"/>
    <mergeCell ref="B67:E67"/>
    <mergeCell ref="F67:H67"/>
    <mergeCell ref="B66:E66"/>
    <mergeCell ref="F66:H66"/>
  </mergeCells>
  <conditionalFormatting sqref="J15:K15">
    <cfRule type="containsText" dxfId="21" priority="16" operator="containsText" text="please">
      <formula>NOT(ISERROR(SEARCH("please",J15)))</formula>
    </cfRule>
  </conditionalFormatting>
  <conditionalFormatting sqref="B79:B80">
    <cfRule type="containsText" dxfId="20" priority="4" operator="containsText" text="Please describe reduction strategies underway, if any">
      <formula>NOT(ISERROR(SEARCH("Please describe reduction strategies underway, if any",B79)))</formula>
    </cfRule>
  </conditionalFormatting>
  <conditionalFormatting sqref="B72:B73">
    <cfRule type="containsText" dxfId="19" priority="2" operator="containsText" text="Please describe reduction strategies underway, if any">
      <formula>NOT(ISERROR(SEARCH("Please describe reduction strategies underway, if any",B72)))</formula>
    </cfRule>
  </conditionalFormatting>
  <conditionalFormatting sqref="B79:B80 B72:B73">
    <cfRule type="expression" dxfId="18" priority="92">
      <formula>#REF!="yes"</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A9181B76-18F5-8246-93CB-6A5EA83663B2}">
          <x14:formula1>
            <xm:f>Source!$T$1:$T$4</xm:f>
          </x14:formula1>
          <xm:sqref>K77:K78 K70</xm:sqref>
        </x14:dataValidation>
        <x14:dataValidation type="list" allowBlank="1" showInputMessage="1" showErrorMessage="1" xr:uid="{E111BB2B-B38A-B74D-8AED-12CF31B0E736}">
          <x14:formula1>
            <xm:f>Source!$AV$1:$AV$5</xm:f>
          </x14:formula1>
          <xm:sqref>K63:K67</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XFB209"/>
  <sheetViews>
    <sheetView topLeftCell="A12" zoomScaleNormal="100" workbookViewId="0">
      <selection activeCell="D4" sqref="D4:AD4"/>
    </sheetView>
  </sheetViews>
  <sheetFormatPr baseColWidth="10" defaultColWidth="0" defaultRowHeight="15" zeroHeight="1" x14ac:dyDescent="0.2"/>
  <cols>
    <col min="1" max="1" width="1.6640625" style="376" customWidth="1"/>
    <col min="2" max="2" width="6.83203125" style="376" customWidth="1"/>
    <col min="3" max="3" width="5.5" style="376" customWidth="1"/>
    <col min="4" max="4" width="18" style="376" customWidth="1"/>
    <col min="5" max="5" width="9.1640625" style="376" customWidth="1"/>
    <col min="6" max="6" width="8.33203125" style="376" customWidth="1"/>
    <col min="7" max="7" width="5" style="376" customWidth="1"/>
    <col min="8" max="8" width="13.33203125" style="376" customWidth="1"/>
    <col min="9" max="9" width="1.33203125" style="376" hidden="1" customWidth="1"/>
    <col min="10" max="10" width="5.1640625" style="376" customWidth="1"/>
    <col min="11" max="12" width="6.5" style="376" customWidth="1"/>
    <col min="13" max="13" width="5.83203125" style="376" customWidth="1"/>
    <col min="14" max="14" width="17.1640625" style="376" customWidth="1"/>
    <col min="15" max="15" width="1.83203125" style="376" customWidth="1"/>
    <col min="16" max="16" width="3.6640625" style="376" customWidth="1"/>
    <col min="17" max="17" width="5.5" style="376" customWidth="1"/>
    <col min="18" max="18" width="19" style="376" customWidth="1"/>
    <col min="19" max="19" width="6.5" style="376" customWidth="1"/>
    <col min="20" max="20" width="6.6640625" style="376" customWidth="1"/>
    <col min="21" max="21" width="6.5" style="376" customWidth="1"/>
    <col min="22" max="22" width="7.33203125" style="376" customWidth="1"/>
    <col min="23" max="23" width="1.33203125" style="376" hidden="1" customWidth="1"/>
    <col min="24" max="25" width="4.33203125" style="376" customWidth="1"/>
    <col min="26" max="26" width="5.6640625" style="376" customWidth="1"/>
    <col min="27" max="27" width="4.33203125" style="376" customWidth="1"/>
    <col min="28" max="29" width="7.33203125" style="376" customWidth="1"/>
    <col min="30" max="30" width="27.33203125" style="376" customWidth="1"/>
    <col min="31" max="31" width="9.1640625" style="302" customWidth="1"/>
    <col min="32" max="32" width="9.1640625" style="302" hidden="1" customWidth="1"/>
    <col min="33" max="16382" width="9.1640625" style="302" hidden="1"/>
    <col min="16383" max="16384" width="2.5" style="302" hidden="1" customWidth="1"/>
  </cols>
  <sheetData>
    <row r="1" spans="1:30" s="149" customFormat="1" ht="16" thickBot="1" x14ac:dyDescent="0.25">
      <c r="A1" s="301"/>
      <c r="B1" s="972" t="s">
        <v>23</v>
      </c>
      <c r="C1" s="972"/>
      <c r="D1" s="972"/>
      <c r="E1" s="972"/>
      <c r="F1" s="972"/>
      <c r="G1" s="972"/>
      <c r="H1" s="972"/>
      <c r="I1" s="972"/>
      <c r="J1" s="972"/>
      <c r="K1" s="972"/>
      <c r="L1" s="972"/>
      <c r="M1" s="972"/>
      <c r="N1" s="972"/>
      <c r="O1" s="972"/>
      <c r="P1" s="972"/>
      <c r="Q1" s="972"/>
      <c r="R1" s="972"/>
      <c r="S1" s="972"/>
      <c r="T1" s="972"/>
      <c r="U1" s="972"/>
      <c r="V1" s="972"/>
      <c r="W1" s="972"/>
      <c r="X1" s="972"/>
      <c r="Y1" s="972"/>
      <c r="Z1" s="972"/>
      <c r="AA1" s="972"/>
      <c r="AB1" s="972"/>
      <c r="AC1" s="972"/>
      <c r="AD1" s="972"/>
    </row>
    <row r="2" spans="1:30" s="149" customFormat="1" ht="20.25" customHeight="1" x14ac:dyDescent="0.2">
      <c r="A2" s="301"/>
      <c r="B2" s="1249" t="s">
        <v>21</v>
      </c>
      <c r="C2" s="1250"/>
      <c r="D2" s="1243" t="s">
        <v>1246</v>
      </c>
      <c r="E2" s="1244"/>
      <c r="F2" s="1244"/>
      <c r="G2" s="1244"/>
      <c r="H2" s="1244"/>
      <c r="I2" s="1244"/>
      <c r="J2" s="1244"/>
      <c r="K2" s="1244"/>
      <c r="L2" s="1244"/>
      <c r="M2" s="1244"/>
      <c r="N2" s="1244"/>
      <c r="O2" s="1244"/>
      <c r="P2" s="1244"/>
      <c r="Q2" s="1244"/>
      <c r="R2" s="1244"/>
      <c r="S2" s="1244"/>
      <c r="T2" s="1244"/>
      <c r="U2" s="1244"/>
      <c r="V2" s="1244"/>
      <c r="W2" s="1244"/>
      <c r="X2" s="1244"/>
      <c r="Y2" s="1244"/>
      <c r="Z2" s="1244"/>
      <c r="AA2" s="1244"/>
      <c r="AB2" s="1244"/>
      <c r="AC2" s="1244"/>
      <c r="AD2" s="320"/>
    </row>
    <row r="3" spans="1:30" s="149" customFormat="1" ht="20.25" customHeight="1" x14ac:dyDescent="0.2">
      <c r="A3" s="301"/>
      <c r="B3" s="1249"/>
      <c r="C3" s="1250"/>
      <c r="D3" s="1245"/>
      <c r="E3" s="1246"/>
      <c r="F3" s="1246"/>
      <c r="G3" s="1246"/>
      <c r="H3" s="1246"/>
      <c r="I3" s="1246"/>
      <c r="J3" s="1246"/>
      <c r="K3" s="1246"/>
      <c r="L3" s="1246"/>
      <c r="M3" s="1246"/>
      <c r="N3" s="1246"/>
      <c r="O3" s="1246"/>
      <c r="P3" s="1246"/>
      <c r="Q3" s="1246"/>
      <c r="R3" s="1246"/>
      <c r="S3" s="1246"/>
      <c r="T3" s="1246"/>
      <c r="U3" s="1246"/>
      <c r="V3" s="1246"/>
      <c r="W3" s="1246"/>
      <c r="X3" s="1246"/>
      <c r="Y3" s="1246"/>
      <c r="Z3" s="1246"/>
      <c r="AA3" s="1246"/>
      <c r="AB3" s="1246"/>
      <c r="AC3" s="1246"/>
      <c r="AD3" s="320"/>
    </row>
    <row r="4" spans="1:30" s="149" customFormat="1" ht="20.25" customHeight="1" x14ac:dyDescent="0.2">
      <c r="A4" s="301"/>
      <c r="B4" s="1249"/>
      <c r="C4" s="1250"/>
      <c r="D4" s="1251" t="s">
        <v>505</v>
      </c>
      <c r="E4" s="1080"/>
      <c r="F4" s="1080"/>
      <c r="G4" s="1080"/>
      <c r="H4" s="1080"/>
      <c r="I4" s="1080"/>
      <c r="J4" s="1080"/>
      <c r="K4" s="1080"/>
      <c r="L4" s="1080"/>
      <c r="M4" s="1080"/>
      <c r="N4" s="1080"/>
      <c r="O4" s="1080"/>
      <c r="P4" s="1080"/>
      <c r="Q4" s="1080"/>
      <c r="R4" s="1080"/>
      <c r="S4" s="1080"/>
      <c r="T4" s="1080"/>
      <c r="U4" s="1080"/>
      <c r="V4" s="1080"/>
      <c r="W4" s="1080"/>
      <c r="X4" s="1080"/>
      <c r="Y4" s="1080"/>
      <c r="Z4" s="1080"/>
      <c r="AA4" s="1080"/>
      <c r="AB4" s="1080"/>
      <c r="AC4" s="1080"/>
      <c r="AD4" s="1080"/>
    </row>
    <row r="5" spans="1:30" s="149" customFormat="1" ht="21" customHeight="1" x14ac:dyDescent="0.2">
      <c r="A5" s="301"/>
      <c r="B5" s="137"/>
      <c r="C5" s="137"/>
      <c r="D5" s="137"/>
      <c r="E5" s="137"/>
      <c r="F5" s="137"/>
      <c r="G5" s="137"/>
      <c r="H5" s="137"/>
      <c r="I5" s="137"/>
      <c r="J5" s="137"/>
      <c r="K5" s="137"/>
      <c r="L5" s="137"/>
      <c r="M5" s="137"/>
      <c r="N5" s="137"/>
      <c r="O5" s="301"/>
      <c r="P5" s="137"/>
      <c r="Q5" s="137"/>
      <c r="R5" s="137"/>
      <c r="S5" s="137"/>
      <c r="T5" s="137"/>
      <c r="U5" s="137"/>
      <c r="V5" s="137"/>
      <c r="W5" s="137"/>
      <c r="X5" s="137"/>
      <c r="Y5" s="137"/>
      <c r="Z5" s="137"/>
      <c r="AA5" s="137"/>
      <c r="AB5" s="137"/>
      <c r="AC5" s="137"/>
      <c r="AD5" s="137"/>
    </row>
    <row r="6" spans="1:30" s="487" customFormat="1" ht="15" hidden="1" customHeight="1" x14ac:dyDescent="0.2">
      <c r="A6" s="693"/>
      <c r="B6" s="693"/>
      <c r="C6" s="693"/>
      <c r="D6" s="693"/>
      <c r="E6" s="693"/>
      <c r="F6" s="693"/>
      <c r="G6" s="693"/>
      <c r="H6" s="693"/>
      <c r="I6" s="673"/>
      <c r="J6" s="693"/>
      <c r="K6" s="379"/>
      <c r="L6" s="866" t="s">
        <v>28</v>
      </c>
      <c r="M6" s="866"/>
      <c r="N6" s="1067"/>
      <c r="O6" s="1065" t="str">
        <f>'Contact Information'!J9</f>
        <v>Bristol Comm. College</v>
      </c>
      <c r="P6" s="1066"/>
      <c r="Q6" s="693"/>
      <c r="R6" s="693"/>
      <c r="S6" s="693"/>
      <c r="T6" s="693"/>
      <c r="U6" s="693"/>
      <c r="V6" s="693"/>
      <c r="W6" s="693"/>
      <c r="X6" s="693"/>
      <c r="Y6" s="693"/>
      <c r="Z6" s="693"/>
      <c r="AA6" s="693"/>
      <c r="AB6" s="693"/>
      <c r="AC6" s="693"/>
      <c r="AD6" s="693"/>
    </row>
    <row r="7" spans="1:30" s="487" customFormat="1" ht="15" hidden="1" customHeight="1" thickBot="1" x14ac:dyDescent="0.25">
      <c r="A7" s="694"/>
      <c r="B7" s="694"/>
      <c r="C7" s="694"/>
      <c r="D7" s="133"/>
      <c r="E7" s="133"/>
      <c r="F7" s="133"/>
      <c r="G7" s="571"/>
      <c r="H7" s="133"/>
      <c r="I7" s="133"/>
      <c r="J7" s="694"/>
      <c r="K7" s="379"/>
      <c r="L7" s="694"/>
      <c r="M7" s="694"/>
      <c r="N7" s="694"/>
      <c r="O7" s="694"/>
      <c r="P7" s="694"/>
      <c r="Q7" s="694"/>
      <c r="R7" s="694"/>
      <c r="S7" s="694"/>
      <c r="T7" s="694"/>
      <c r="U7" s="694"/>
      <c r="V7" s="694"/>
      <c r="W7" s="694"/>
      <c r="X7" s="694"/>
      <c r="Y7" s="694"/>
      <c r="Z7" s="694"/>
      <c r="AA7" s="694"/>
      <c r="AB7" s="694"/>
      <c r="AC7" s="694"/>
      <c r="AD7" s="694"/>
    </row>
    <row r="8" spans="1:30" s="149" customFormat="1" ht="15" customHeight="1" x14ac:dyDescent="0.2">
      <c r="A8" s="301"/>
      <c r="B8" s="301"/>
      <c r="C8" s="320"/>
      <c r="D8" s="1249" t="s">
        <v>1468</v>
      </c>
      <c r="E8" s="1249"/>
      <c r="F8" s="1249"/>
      <c r="G8" s="1249"/>
      <c r="H8" s="1249"/>
      <c r="I8" s="1249"/>
      <c r="J8" s="1249"/>
      <c r="K8" s="1249"/>
      <c r="L8" s="1249"/>
      <c r="M8" s="1249"/>
      <c r="N8" s="1249"/>
      <c r="O8" s="1249"/>
      <c r="P8" s="1249"/>
      <c r="Q8" s="1249"/>
      <c r="R8" s="1249"/>
      <c r="S8" s="1249"/>
      <c r="T8" s="1249"/>
      <c r="U8" s="1249"/>
      <c r="V8" s="1250"/>
      <c r="W8" s="320"/>
      <c r="X8" s="1247" t="s">
        <v>364</v>
      </c>
      <c r="Y8" s="1248"/>
      <c r="Z8" s="1248"/>
      <c r="AA8" s="1248"/>
      <c r="AB8" s="1248"/>
      <c r="AC8" s="506"/>
      <c r="AD8" s="506"/>
    </row>
    <row r="9" spans="1:30" s="149" customFormat="1" ht="20.25" customHeight="1" x14ac:dyDescent="0.2">
      <c r="A9" s="301"/>
      <c r="B9" s="301"/>
      <c r="C9" s="320"/>
      <c r="D9" s="1249"/>
      <c r="E9" s="1249"/>
      <c r="F9" s="1249"/>
      <c r="G9" s="1249"/>
      <c r="H9" s="1249"/>
      <c r="I9" s="1249"/>
      <c r="J9" s="1249"/>
      <c r="K9" s="1249"/>
      <c r="L9" s="1249"/>
      <c r="M9" s="1249"/>
      <c r="N9" s="1249"/>
      <c r="O9" s="1249"/>
      <c r="P9" s="1249"/>
      <c r="Q9" s="1249"/>
      <c r="R9" s="1249"/>
      <c r="S9" s="1249"/>
      <c r="T9" s="1249"/>
      <c r="U9" s="1249"/>
      <c r="V9" s="1250"/>
      <c r="W9" s="320"/>
      <c r="X9" s="1247"/>
      <c r="Y9" s="1248"/>
      <c r="Z9" s="1248"/>
      <c r="AA9" s="1248"/>
      <c r="AB9" s="1248"/>
      <c r="AC9" s="506"/>
      <c r="AD9" s="506"/>
    </row>
    <row r="10" spans="1:30" s="149" customFormat="1" ht="15" customHeight="1" x14ac:dyDescent="0.2">
      <c r="A10" s="1252"/>
      <c r="B10" s="1252"/>
      <c r="C10" s="1252"/>
      <c r="D10" s="1252"/>
      <c r="E10" s="1252"/>
      <c r="F10" s="1252"/>
      <c r="G10" s="1252"/>
      <c r="H10" s="1252"/>
      <c r="I10" s="1252"/>
      <c r="J10" s="1252"/>
      <c r="K10" s="1252"/>
      <c r="L10" s="1252"/>
      <c r="M10" s="1252"/>
      <c r="N10" s="1252"/>
      <c r="O10" s="1252"/>
      <c r="P10" s="1252"/>
      <c r="Q10" s="1252"/>
      <c r="R10" s="1252"/>
      <c r="S10" s="1252"/>
      <c r="T10" s="1252"/>
      <c r="U10" s="1252"/>
      <c r="V10" s="1252"/>
      <c r="W10" s="1252"/>
      <c r="X10" s="1252"/>
      <c r="Y10" s="1252"/>
      <c r="Z10" s="1252"/>
      <c r="AA10" s="1252"/>
      <c r="AB10" s="1252"/>
      <c r="AC10" s="1252"/>
      <c r="AD10" s="301"/>
    </row>
    <row r="11" spans="1:30" s="149" customFormat="1" ht="21" customHeight="1" x14ac:dyDescent="0.2">
      <c r="A11" s="301"/>
      <c r="B11" s="1238" t="s">
        <v>21</v>
      </c>
      <c r="C11" s="1238"/>
      <c r="D11" s="1238"/>
      <c r="E11" s="1238"/>
      <c r="F11" s="1238"/>
      <c r="G11" s="1238"/>
      <c r="H11" s="1238"/>
      <c r="I11" s="1238"/>
      <c r="J11" s="1238"/>
      <c r="K11" s="1238"/>
      <c r="L11" s="1238"/>
      <c r="M11" s="1238"/>
      <c r="N11" s="1238"/>
      <c r="O11" s="301"/>
      <c r="P11" s="1238" t="s">
        <v>1247</v>
      </c>
      <c r="Q11" s="1045"/>
      <c r="R11" s="1045"/>
      <c r="S11" s="1045"/>
      <c r="T11" s="1045"/>
      <c r="U11" s="1045"/>
      <c r="V11" s="1045"/>
      <c r="W11" s="1045"/>
      <c r="X11" s="1045"/>
      <c r="Y11" s="1045"/>
      <c r="Z11" s="1045"/>
      <c r="AA11" s="1045"/>
      <c r="AB11" s="1045"/>
      <c r="AC11" s="1045"/>
      <c r="AD11" s="1045"/>
    </row>
    <row r="12" spans="1:30" s="149" customFormat="1" ht="33" customHeight="1" thickBot="1" x14ac:dyDescent="0.25">
      <c r="A12" s="301"/>
      <c r="B12" s="1239" t="s">
        <v>1248</v>
      </c>
      <c r="C12" s="1239"/>
      <c r="D12" s="1239"/>
      <c r="E12" s="1239"/>
      <c r="F12" s="1239"/>
      <c r="G12" s="1239"/>
      <c r="H12" s="1239"/>
      <c r="I12" s="1239"/>
      <c r="J12" s="1239"/>
      <c r="K12" s="1239"/>
      <c r="L12" s="1239"/>
      <c r="M12" s="1239"/>
      <c r="N12" s="1239"/>
      <c r="O12" s="301"/>
      <c r="P12" s="1239" t="s">
        <v>1249</v>
      </c>
      <c r="Q12" s="1239"/>
      <c r="R12" s="1239"/>
      <c r="S12" s="1239"/>
      <c r="T12" s="1239"/>
      <c r="U12" s="1239"/>
      <c r="V12" s="1239"/>
      <c r="W12" s="1239"/>
      <c r="X12" s="1239"/>
      <c r="Y12" s="1239"/>
      <c r="Z12" s="1239"/>
      <c r="AA12" s="1239"/>
      <c r="AB12" s="1239"/>
      <c r="AC12" s="1239"/>
      <c r="AD12" s="1239"/>
    </row>
    <row r="13" spans="1:30" s="149" customFormat="1" ht="15" customHeight="1" x14ac:dyDescent="0.2">
      <c r="A13" s="301"/>
      <c r="B13" s="1231" t="s">
        <v>1250</v>
      </c>
      <c r="C13" s="1231"/>
      <c r="D13" s="1231"/>
      <c r="E13" s="1231"/>
      <c r="F13" s="1231"/>
      <c r="G13" s="1231"/>
      <c r="H13" s="1231"/>
      <c r="I13" s="1231"/>
      <c r="J13" s="1231"/>
      <c r="K13" s="1231"/>
      <c r="L13" s="1231"/>
      <c r="M13" s="676"/>
      <c r="N13" s="1232" t="s">
        <v>364</v>
      </c>
      <c r="O13" s="301"/>
      <c r="P13" s="1236" t="s">
        <v>1224</v>
      </c>
      <c r="Q13" s="1236"/>
      <c r="R13" s="1236"/>
      <c r="S13" s="1236"/>
      <c r="T13" s="1236" t="s">
        <v>1251</v>
      </c>
      <c r="U13" s="1236"/>
      <c r="V13" s="1236"/>
      <c r="W13" s="326"/>
      <c r="X13" s="1240" t="s">
        <v>1252</v>
      </c>
      <c r="Y13" s="1236"/>
      <c r="Z13" s="1240" t="s">
        <v>1253</v>
      </c>
      <c r="AA13" s="1240"/>
      <c r="AB13" s="1240" t="s">
        <v>1254</v>
      </c>
      <c r="AC13" s="1240"/>
      <c r="AD13" s="1236" t="s">
        <v>427</v>
      </c>
    </row>
    <row r="14" spans="1:30" s="149" customFormat="1" ht="21.75" customHeight="1" thickBot="1" x14ac:dyDescent="0.25">
      <c r="A14" s="301"/>
      <c r="B14" s="1167"/>
      <c r="C14" s="1167"/>
      <c r="D14" s="1167"/>
      <c r="E14" s="1167"/>
      <c r="F14" s="1167"/>
      <c r="G14" s="1167"/>
      <c r="H14" s="1167"/>
      <c r="I14" s="1167"/>
      <c r="J14" s="1167"/>
      <c r="K14" s="1167"/>
      <c r="L14" s="1167"/>
      <c r="M14" s="680"/>
      <c r="N14" s="1171"/>
      <c r="O14" s="301"/>
      <c r="P14" s="1237"/>
      <c r="Q14" s="1237"/>
      <c r="R14" s="1237"/>
      <c r="S14" s="1237"/>
      <c r="T14" s="1237"/>
      <c r="U14" s="1237"/>
      <c r="V14" s="1237"/>
      <c r="W14" s="322"/>
      <c r="X14" s="1237"/>
      <c r="Y14" s="1237"/>
      <c r="Z14" s="1241"/>
      <c r="AA14" s="1241"/>
      <c r="AB14" s="1241"/>
      <c r="AC14" s="1241"/>
      <c r="AD14" s="1237"/>
    </row>
    <row r="15" spans="1:30" s="572" customFormat="1" ht="20.25" customHeight="1" thickBot="1" x14ac:dyDescent="0.25">
      <c r="A15" s="377"/>
      <c r="B15" s="1233" t="str">
        <f>IF(N13="yes","Which of the following equipment do you operate?","")</f>
        <v/>
      </c>
      <c r="C15" s="1233"/>
      <c r="D15" s="1233"/>
      <c r="E15" s="1233"/>
      <c r="F15" s="1233"/>
      <c r="G15" s="1233"/>
      <c r="H15" s="1233"/>
      <c r="I15" s="1233"/>
      <c r="J15" s="1233"/>
      <c r="K15" s="1233"/>
      <c r="L15" s="1233"/>
      <c r="M15" s="1233"/>
      <c r="N15" s="1233"/>
      <c r="O15" s="369"/>
      <c r="P15" s="679">
        <v>1</v>
      </c>
      <c r="Q15" s="1242" t="str">
        <f>IFERROR(VLOOKUP($O$6&amp;$P15,'Landscaping Source'!$A:$P,2,FALSE)," ")</f>
        <v>Bristol Community College</v>
      </c>
      <c r="R15" s="1242"/>
      <c r="S15" s="1242"/>
      <c r="T15" s="1230" t="str">
        <f>IFERROR(VLOOKUP($O$6&amp;$P15,'Landscaping Source'!$A:$P,3,FALSE)," ")</f>
        <v>Managed Wildflower Meadow</v>
      </c>
      <c r="U15" s="1230"/>
      <c r="V15" s="1230"/>
      <c r="W15" s="681"/>
      <c r="X15" s="1230">
        <f>IFERROR(VLOOKUP($O$6&amp;$P15,'Landscaping Source'!$A:$P,4,FALSE)," ")</f>
        <v>5.7000000000000002E-2</v>
      </c>
      <c r="Y15" s="1230"/>
      <c r="Z15" s="1230">
        <f>IFERROR(VLOOKUP($O$6&amp;$P15,'Landscaping Source'!$A:$P,5,FALSE)," ")</f>
        <v>2019</v>
      </c>
      <c r="AA15" s="1230"/>
      <c r="AB15" s="1230" t="str">
        <f>IFERROR(VLOOKUP($O$6&amp;$P15,'Landscaping Source'!$A:$P,6,FALSE)," ")</f>
        <v>In Progress</v>
      </c>
      <c r="AC15" s="1230"/>
      <c r="AD15" s="593"/>
    </row>
    <row r="16" spans="1:30" s="149" customFormat="1" ht="20.25" customHeight="1" thickBot="1" x14ac:dyDescent="0.25">
      <c r="A16" s="376"/>
      <c r="B16" s="378" t="s">
        <v>1255</v>
      </c>
      <c r="C16" s="656" t="s">
        <v>1256</v>
      </c>
      <c r="D16" s="656"/>
      <c r="E16" s="657" t="s">
        <v>364</v>
      </c>
      <c r="F16" s="657"/>
      <c r="G16" s="658" t="str">
        <f>IF(E16="yes","       Please provide details here, if available (e.g. # of mowers, fuel type, etc.)","")</f>
        <v/>
      </c>
      <c r="H16" s="658"/>
      <c r="I16" s="658"/>
      <c r="J16" s="658"/>
      <c r="K16" s="658"/>
      <c r="L16" s="658"/>
      <c r="M16" s="658"/>
      <c r="N16" s="658"/>
      <c r="O16" s="301"/>
      <c r="P16" s="679">
        <v>2</v>
      </c>
      <c r="Q16" s="1230" t="str">
        <f>IFERROR(VLOOKUP($O$6&amp;$P16,'Landscaping Source'!$A:$P,2,FALSE)," ")</f>
        <v>Bristol Community College</v>
      </c>
      <c r="R16" s="1230"/>
      <c r="S16" s="1230"/>
      <c r="T16" s="1230" t="str">
        <f>IFERROR(VLOOKUP($O$6&amp;$P16,'Landscaping Source'!$A:$P,3,FALSE)," ")</f>
        <v>Limited Mow Zone</v>
      </c>
      <c r="U16" s="1230"/>
      <c r="V16" s="1230"/>
      <c r="W16" s="681"/>
      <c r="X16" s="1230" t="str">
        <f>IFERROR(VLOOKUP($O$6&amp;$P16,'Landscaping Source'!$A:$P,4,FALSE)," ")</f>
        <v>-</v>
      </c>
      <c r="Y16" s="1230"/>
      <c r="Z16" s="1230" t="str">
        <f>IFERROR(VLOOKUP($O$6&amp;$P16,'Landscaping Source'!$A:$P,5,FALSE)," ")</f>
        <v>-</v>
      </c>
      <c r="AA16" s="1230"/>
      <c r="AB16" s="1230" t="str">
        <f>IFERROR(VLOOKUP($O$6&amp;$P16,'Landscaping Source'!$A:$P,6,FALSE)," ")</f>
        <v>Implemented</v>
      </c>
      <c r="AC16" s="1230"/>
      <c r="AD16" s="593"/>
    </row>
    <row r="17" spans="1:30" s="149" customFormat="1" ht="20.25" customHeight="1" thickBot="1" x14ac:dyDescent="0.25">
      <c r="A17" s="376"/>
      <c r="B17" s="378" t="s">
        <v>1255</v>
      </c>
      <c r="C17" s="656" t="s">
        <v>1257</v>
      </c>
      <c r="D17" s="656"/>
      <c r="E17" s="657" t="s">
        <v>364</v>
      </c>
      <c r="F17" s="657"/>
      <c r="G17" s="658" t="str">
        <f t="shared" ref="G17:G19" si="0">IF(E17="yes","       Please provide details here, if available (e.g. # of mowers, fuel type, etc.)","")</f>
        <v/>
      </c>
      <c r="H17" s="658"/>
      <c r="I17" s="658"/>
      <c r="J17" s="658"/>
      <c r="K17" s="658"/>
      <c r="L17" s="658"/>
      <c r="M17" s="658"/>
      <c r="N17" s="658"/>
      <c r="O17" s="301"/>
      <c r="P17" s="679">
        <v>3</v>
      </c>
      <c r="Q17" s="1235" t="str">
        <f>IFERROR(VLOOKUP($O$6&amp;$P17,'Landscaping Source'!$A:$P,2,FALSE)," ")</f>
        <v>Sbrega Health and Science Building</v>
      </c>
      <c r="R17" s="1235"/>
      <c r="S17" s="1235"/>
      <c r="T17" s="1230" t="str">
        <f>IFERROR(VLOOKUP($O$6&amp;$P17,'Landscaping Source'!$A:$P,3,FALSE)," ")</f>
        <v>Green Roof</v>
      </c>
      <c r="U17" s="1230"/>
      <c r="V17" s="1230"/>
      <c r="W17" s="681"/>
      <c r="X17" s="1230" t="str">
        <f>IFERROR(VLOOKUP($O$6&amp;$P17,'Landscaping Source'!$A:$P,4,FALSE)," ")</f>
        <v>-</v>
      </c>
      <c r="Y17" s="1230"/>
      <c r="Z17" s="1230">
        <f>IFERROR(VLOOKUP($O$6&amp;$P17,'Landscaping Source'!$A:$P,5,FALSE)," ")</f>
        <v>2016</v>
      </c>
      <c r="AA17" s="1230"/>
      <c r="AB17" s="1230" t="str">
        <f>IFERROR(VLOOKUP($O$6&amp;$P17,'Landscaping Source'!$A:$P,6,FALSE)," ")</f>
        <v>Implemented</v>
      </c>
      <c r="AC17" s="1230"/>
      <c r="AD17" s="593"/>
    </row>
    <row r="18" spans="1:30" s="149" customFormat="1" ht="20.25" customHeight="1" thickBot="1" x14ac:dyDescent="0.25">
      <c r="A18" s="376"/>
      <c r="B18" s="378" t="s">
        <v>1255</v>
      </c>
      <c r="C18" s="656" t="s">
        <v>1258</v>
      </c>
      <c r="D18" s="656"/>
      <c r="E18" s="657" t="s">
        <v>364</v>
      </c>
      <c r="F18" s="657"/>
      <c r="G18" s="658" t="str">
        <f t="shared" si="0"/>
        <v/>
      </c>
      <c r="H18" s="658"/>
      <c r="I18" s="658"/>
      <c r="J18" s="658"/>
      <c r="K18" s="658"/>
      <c r="L18" s="658"/>
      <c r="M18" s="658"/>
      <c r="N18" s="658"/>
      <c r="O18" s="301"/>
      <c r="P18" s="679">
        <v>4</v>
      </c>
      <c r="Q18" s="1235" t="str">
        <f>IFERROR(VLOOKUP($O$6&amp;$P18,'Landscaping Source'!$A:$P,2,FALSE)," ")</f>
        <v xml:space="preserve"> </v>
      </c>
      <c r="R18" s="1235"/>
      <c r="S18" s="1235"/>
      <c r="T18" s="1230" t="str">
        <f>IFERROR(VLOOKUP($O$6&amp;$P18,'Landscaping Source'!$A:$P,3,FALSE)," ")</f>
        <v xml:space="preserve"> </v>
      </c>
      <c r="U18" s="1230"/>
      <c r="V18" s="1230"/>
      <c r="W18" s="681"/>
      <c r="X18" s="1230" t="str">
        <f>IFERROR(VLOOKUP($O$6&amp;$P18,'Landscaping Source'!$A:$P,4,FALSE)," ")</f>
        <v xml:space="preserve"> </v>
      </c>
      <c r="Y18" s="1230"/>
      <c r="Z18" s="1230" t="str">
        <f>IFERROR(VLOOKUP($O$6&amp;$P18,'Landscaping Source'!$A:$P,5,FALSE)," ")</f>
        <v xml:space="preserve"> </v>
      </c>
      <c r="AA18" s="1230"/>
      <c r="AB18" s="1230" t="str">
        <f>IFERROR(VLOOKUP($O$6&amp;$P18,'Landscaping Source'!$A:$P,6,FALSE)," ")</f>
        <v xml:space="preserve"> </v>
      </c>
      <c r="AC18" s="1230"/>
      <c r="AD18" s="593"/>
    </row>
    <row r="19" spans="1:30" s="149" customFormat="1" ht="20.25" customHeight="1" thickBot="1" x14ac:dyDescent="0.25">
      <c r="A19" s="376"/>
      <c r="B19" s="378" t="s">
        <v>1255</v>
      </c>
      <c r="C19" s="656" t="s">
        <v>497</v>
      </c>
      <c r="D19" s="656"/>
      <c r="E19" s="657" t="s">
        <v>364</v>
      </c>
      <c r="F19" s="657"/>
      <c r="G19" s="658" t="str">
        <f t="shared" si="0"/>
        <v/>
      </c>
      <c r="H19" s="658"/>
      <c r="I19" s="658"/>
      <c r="J19" s="658"/>
      <c r="K19" s="658"/>
      <c r="L19" s="658"/>
      <c r="M19" s="658"/>
      <c r="N19" s="658"/>
      <c r="O19" s="301"/>
      <c r="P19" s="679">
        <v>5</v>
      </c>
      <c r="Q19" s="1235" t="str">
        <f>IFERROR(VLOOKUP($O$6&amp;$P19,'Landscaping Source'!$A:$P,2,FALSE)," ")</f>
        <v xml:space="preserve"> </v>
      </c>
      <c r="R19" s="1235"/>
      <c r="S19" s="1235"/>
      <c r="T19" s="1230" t="str">
        <f>IFERROR(VLOOKUP($O$6&amp;$P19,'Landscaping Source'!$A:$P,3,FALSE)," ")</f>
        <v xml:space="preserve"> </v>
      </c>
      <c r="U19" s="1230"/>
      <c r="V19" s="1230"/>
      <c r="W19" s="681"/>
      <c r="X19" s="1230" t="str">
        <f>IFERROR(VLOOKUP($O$6&amp;$P19,'Landscaping Source'!$A:$P,4,FALSE)," ")</f>
        <v xml:space="preserve"> </v>
      </c>
      <c r="Y19" s="1230"/>
      <c r="Z19" s="1230" t="str">
        <f>IFERROR(VLOOKUP($O$6&amp;$P19,'Landscaping Source'!$A:$P,5,FALSE)," ")</f>
        <v xml:space="preserve"> </v>
      </c>
      <c r="AA19" s="1230"/>
      <c r="AB19" s="1230" t="str">
        <f>IFERROR(VLOOKUP($O$6&amp;$P19,'Landscaping Source'!$A:$P,6,FALSE)," ")</f>
        <v xml:space="preserve"> </v>
      </c>
      <c r="AC19" s="1230"/>
      <c r="AD19" s="593"/>
    </row>
    <row r="20" spans="1:30" s="149" customFormat="1" ht="18.75" customHeight="1" thickBot="1" x14ac:dyDescent="0.25">
      <c r="A20" s="376"/>
      <c r="B20" s="230"/>
      <c r="C20" s="230"/>
      <c r="D20" s="230"/>
      <c r="E20" s="230"/>
      <c r="F20" s="230"/>
      <c r="G20" s="230"/>
      <c r="H20" s="230"/>
      <c r="I20" s="230"/>
      <c r="J20" s="230"/>
      <c r="K20" s="230"/>
      <c r="L20" s="230"/>
      <c r="M20" s="230"/>
      <c r="N20" s="230"/>
      <c r="O20" s="301"/>
      <c r="P20" s="679">
        <v>6</v>
      </c>
      <c r="Q20" s="1235" t="str">
        <f>IFERROR(VLOOKUP($O$6&amp;$P20,'Landscaping Source'!$A:$P,2,FALSE)," ")</f>
        <v xml:space="preserve"> </v>
      </c>
      <c r="R20" s="1235"/>
      <c r="S20" s="1235"/>
      <c r="T20" s="1230" t="str">
        <f>IFERROR(VLOOKUP($O$6&amp;$P20,'Landscaping Source'!$A:$P,3,FALSE)," ")</f>
        <v xml:space="preserve"> </v>
      </c>
      <c r="U20" s="1230"/>
      <c r="V20" s="1230"/>
      <c r="W20" s="681"/>
      <c r="X20" s="1230" t="str">
        <f>IFERROR(VLOOKUP($O$6&amp;$P20,'Landscaping Source'!$A:$P,4,FALSE)," ")</f>
        <v xml:space="preserve"> </v>
      </c>
      <c r="Y20" s="1230"/>
      <c r="Z20" s="1230" t="str">
        <f>IFERROR(VLOOKUP($O$6&amp;$P20,'Landscaping Source'!$A:$P,5,FALSE)," ")</f>
        <v xml:space="preserve"> </v>
      </c>
      <c r="AA20" s="1230"/>
      <c r="AB20" s="1230" t="str">
        <f>IFERROR(VLOOKUP($O$6&amp;$P20,'Landscaping Source'!$A:$P,6,FALSE)," ")</f>
        <v xml:space="preserve"> </v>
      </c>
      <c r="AC20" s="1230"/>
      <c r="AD20" s="593"/>
    </row>
    <row r="21" spans="1:30" s="149" customFormat="1" ht="23.25" customHeight="1" thickBot="1" x14ac:dyDescent="0.25">
      <c r="A21" s="376"/>
      <c r="B21" s="1254" t="s">
        <v>1259</v>
      </c>
      <c r="C21" s="1168"/>
      <c r="D21" s="1168"/>
      <c r="E21" s="1168"/>
      <c r="F21" s="1168"/>
      <c r="G21" s="1168"/>
      <c r="H21" s="1168"/>
      <c r="I21" s="1168"/>
      <c r="J21" s="1168"/>
      <c r="K21" s="1168"/>
      <c r="L21" s="1168"/>
      <c r="M21" s="684"/>
      <c r="N21" s="1170" t="s">
        <v>364</v>
      </c>
      <c r="O21" s="301"/>
      <c r="P21" s="679">
        <v>7</v>
      </c>
      <c r="Q21" s="1235" t="str">
        <f>IFERROR(VLOOKUP($O$6&amp;$P21,'Landscaping Source'!$A:$P,2,FALSE)," ")</f>
        <v xml:space="preserve"> </v>
      </c>
      <c r="R21" s="1235"/>
      <c r="S21" s="1235"/>
      <c r="T21" s="1230" t="str">
        <f>IFERROR(VLOOKUP($O$6&amp;$P21,'Landscaping Source'!$A:$P,3,FALSE)," ")</f>
        <v xml:space="preserve"> </v>
      </c>
      <c r="U21" s="1230"/>
      <c r="V21" s="1230"/>
      <c r="W21" s="681"/>
      <c r="X21" s="1230" t="str">
        <f>IFERROR(VLOOKUP($O$6&amp;$P21,'Landscaping Source'!$A:$P,4,FALSE)," ")</f>
        <v xml:space="preserve"> </v>
      </c>
      <c r="Y21" s="1230"/>
      <c r="Z21" s="1230" t="str">
        <f>IFERROR(VLOOKUP($O$6&amp;$P21,'Landscaping Source'!$A:$P,5,FALSE)," ")</f>
        <v xml:space="preserve"> </v>
      </c>
      <c r="AA21" s="1230"/>
      <c r="AB21" s="1230" t="str">
        <f>IFERROR(VLOOKUP($O$6&amp;$P21,'Landscaping Source'!$A:$P,6,FALSE)," ")</f>
        <v xml:space="preserve"> </v>
      </c>
      <c r="AC21" s="1230"/>
      <c r="AD21" s="593"/>
    </row>
    <row r="22" spans="1:30" s="149" customFormat="1" ht="21.75" customHeight="1" thickBot="1" x14ac:dyDescent="0.25">
      <c r="A22" s="376"/>
      <c r="B22" s="1255"/>
      <c r="C22" s="1169"/>
      <c r="D22" s="1169"/>
      <c r="E22" s="1169"/>
      <c r="F22" s="1169"/>
      <c r="G22" s="1169"/>
      <c r="H22" s="1169"/>
      <c r="I22" s="1169"/>
      <c r="J22" s="1169"/>
      <c r="K22" s="1169"/>
      <c r="L22" s="1169"/>
      <c r="M22" s="685"/>
      <c r="N22" s="1171"/>
      <c r="O22" s="301"/>
      <c r="P22" s="679">
        <v>8</v>
      </c>
      <c r="Q22" s="1235" t="str">
        <f>IFERROR(VLOOKUP($O$6&amp;$P22,'Landscaping Source'!$A:$P,2,FALSE)," ")</f>
        <v xml:space="preserve"> </v>
      </c>
      <c r="R22" s="1235"/>
      <c r="S22" s="1235"/>
      <c r="T22" s="1230" t="str">
        <f>IFERROR(VLOOKUP($O$6&amp;$P22,'Landscaping Source'!$A:$P,3,FALSE)," ")</f>
        <v xml:space="preserve"> </v>
      </c>
      <c r="U22" s="1230"/>
      <c r="V22" s="1230"/>
      <c r="W22" s="681"/>
      <c r="X22" s="1230" t="str">
        <f>IFERROR(VLOOKUP($O$6&amp;$P22,'Landscaping Source'!$A:$P,4,FALSE)," ")</f>
        <v xml:space="preserve"> </v>
      </c>
      <c r="Y22" s="1230"/>
      <c r="Z22" s="1230" t="str">
        <f>IFERROR(VLOOKUP($O$6&amp;$P22,'Landscaping Source'!$A:$P,5,FALSE)," ")</f>
        <v xml:space="preserve"> </v>
      </c>
      <c r="AA22" s="1230"/>
      <c r="AB22" s="1230" t="str">
        <f>IFERROR(VLOOKUP($O$6&amp;$P22,'Landscaping Source'!$A:$P,6,FALSE)," ")</f>
        <v xml:space="preserve"> </v>
      </c>
      <c r="AC22" s="1230"/>
      <c r="AD22" s="593"/>
    </row>
    <row r="23" spans="1:30" s="149" customFormat="1" ht="20.25" customHeight="1" thickBot="1" x14ac:dyDescent="0.25">
      <c r="A23" s="376"/>
      <c r="B23" s="1257" t="str">
        <f>IF(N21="yes","Please select any below that apply","")</f>
        <v/>
      </c>
      <c r="C23" s="1257"/>
      <c r="D23" s="1257"/>
      <c r="E23" s="1257"/>
      <c r="F23" s="1257"/>
      <c r="G23" s="1257"/>
      <c r="H23" s="1257"/>
      <c r="I23" s="1257"/>
      <c r="J23" s="1257"/>
      <c r="K23" s="1257"/>
      <c r="L23" s="1257"/>
      <c r="M23" s="1257"/>
      <c r="N23" s="1257"/>
      <c r="O23" s="301"/>
      <c r="P23" s="679">
        <v>9</v>
      </c>
      <c r="Q23" s="1235" t="str">
        <f>IFERROR(VLOOKUP($O$6&amp;$P23,'Landscaping Source'!$A:$P,2,FALSE)," ")</f>
        <v xml:space="preserve"> </v>
      </c>
      <c r="R23" s="1235"/>
      <c r="S23" s="1235"/>
      <c r="T23" s="1230" t="str">
        <f>IFERROR(VLOOKUP($O$6&amp;$P23,'Landscaping Source'!$A:$P,3,FALSE)," ")</f>
        <v xml:space="preserve"> </v>
      </c>
      <c r="U23" s="1230"/>
      <c r="V23" s="1230"/>
      <c r="W23" s="681"/>
      <c r="X23" s="1230" t="str">
        <f>IFERROR(VLOOKUP($O$6&amp;$P23,'Landscaping Source'!$A:$P,4,FALSE)," ")</f>
        <v xml:space="preserve"> </v>
      </c>
      <c r="Y23" s="1230"/>
      <c r="Z23" s="1230" t="str">
        <f>IFERROR(VLOOKUP($O$6&amp;$P23,'Landscaping Source'!$A:$P,5,FALSE)," ")</f>
        <v xml:space="preserve"> </v>
      </c>
      <c r="AA23" s="1230"/>
      <c r="AB23" s="1230" t="str">
        <f>IFERROR(VLOOKUP($O$6&amp;$P23,'Landscaping Source'!$A:$P,6,FALSE)," ")</f>
        <v xml:space="preserve"> </v>
      </c>
      <c r="AC23" s="1230"/>
      <c r="AD23" s="593"/>
    </row>
    <row r="24" spans="1:30" s="572" customFormat="1" ht="20.25" customHeight="1" thickBot="1" x14ac:dyDescent="0.25">
      <c r="A24" s="377"/>
      <c r="B24" s="378" t="s">
        <v>1255</v>
      </c>
      <c r="C24" s="1234" t="s">
        <v>1260</v>
      </c>
      <c r="D24" s="1234"/>
      <c r="E24" s="1234"/>
      <c r="F24" s="1234"/>
      <c r="G24" s="1234"/>
      <c r="H24" s="617" t="s">
        <v>364</v>
      </c>
      <c r="I24" s="1256" t="str">
        <f>IF(H24="yes","       Please provide details here, if available","")</f>
        <v/>
      </c>
      <c r="J24" s="1256"/>
      <c r="K24" s="1256"/>
      <c r="L24" s="1256"/>
      <c r="M24" s="1256"/>
      <c r="N24" s="1256"/>
      <c r="O24" s="369"/>
      <c r="P24" s="679">
        <v>10</v>
      </c>
      <c r="Q24" s="1235" t="str">
        <f>IFERROR(VLOOKUP($O$6&amp;$P24,'Landscaping Source'!$A:$P,2,FALSE)," ")</f>
        <v xml:space="preserve"> </v>
      </c>
      <c r="R24" s="1235"/>
      <c r="S24" s="1235"/>
      <c r="T24" s="1230" t="str">
        <f>IFERROR(VLOOKUP($O$6&amp;$P24,'Landscaping Source'!$A:$P,3,FALSE)," ")</f>
        <v xml:space="preserve"> </v>
      </c>
      <c r="U24" s="1230"/>
      <c r="V24" s="1230"/>
      <c r="W24" s="681"/>
      <c r="X24" s="1230" t="str">
        <f>IFERROR(VLOOKUP($O$6&amp;$P24,'Landscaping Source'!$A:$P,4,FALSE)," ")</f>
        <v xml:space="preserve"> </v>
      </c>
      <c r="Y24" s="1230"/>
      <c r="Z24" s="1230" t="str">
        <f>IFERROR(VLOOKUP($O$6&amp;$P24,'Landscaping Source'!$A:$P,5,FALSE)," ")</f>
        <v xml:space="preserve"> </v>
      </c>
      <c r="AA24" s="1230"/>
      <c r="AB24" s="1230" t="str">
        <f>IFERROR(VLOOKUP($O$6&amp;$P24,'Landscaping Source'!$A:$P,6,FALSE)," ")</f>
        <v xml:space="preserve"> </v>
      </c>
      <c r="AC24" s="1230"/>
      <c r="AD24" s="593"/>
    </row>
    <row r="25" spans="1:30" s="572" customFormat="1" ht="20.25" customHeight="1" thickBot="1" x14ac:dyDescent="0.25">
      <c r="A25" s="377"/>
      <c r="B25" s="378" t="s">
        <v>1255</v>
      </c>
      <c r="C25" s="1234" t="s">
        <v>1261</v>
      </c>
      <c r="D25" s="1234"/>
      <c r="E25" s="1234"/>
      <c r="F25" s="1234"/>
      <c r="G25" s="1234"/>
      <c r="H25" s="617" t="s">
        <v>364</v>
      </c>
      <c r="I25" s="1256" t="str">
        <f t="shared" ref="I25:I27" si="1">IF(H25="yes","       Please provide details here, if available","")</f>
        <v/>
      </c>
      <c r="J25" s="1256"/>
      <c r="K25" s="1256"/>
      <c r="L25" s="1256"/>
      <c r="M25" s="1256"/>
      <c r="N25" s="1256"/>
      <c r="O25" s="369"/>
      <c r="P25" s="679">
        <v>11</v>
      </c>
      <c r="Q25" s="1235" t="str">
        <f>IFERROR(VLOOKUP($O$6&amp;$P25,'Landscaping Source'!$A:$P,2,FALSE)," ")</f>
        <v xml:space="preserve"> </v>
      </c>
      <c r="R25" s="1235"/>
      <c r="S25" s="1235"/>
      <c r="T25" s="1230" t="str">
        <f>IFERROR(VLOOKUP($O$6&amp;$P25,'Landscaping Source'!$A:$P,3,FALSE)," ")</f>
        <v xml:space="preserve"> </v>
      </c>
      <c r="U25" s="1230"/>
      <c r="V25" s="1230"/>
      <c r="W25" s="681"/>
      <c r="X25" s="1230" t="str">
        <f>IFERROR(VLOOKUP($O$6&amp;$P25,'Landscaping Source'!$A:$P,4,FALSE)," ")</f>
        <v xml:space="preserve"> </v>
      </c>
      <c r="Y25" s="1230"/>
      <c r="Z25" s="1230" t="str">
        <f>IFERROR(VLOOKUP($O$6&amp;$P25,'Landscaping Source'!$A:$P,5,FALSE)," ")</f>
        <v xml:space="preserve"> </v>
      </c>
      <c r="AA25" s="1230"/>
      <c r="AB25" s="1230" t="str">
        <f>IFERROR(VLOOKUP($O$6&amp;$P25,'Landscaping Source'!$A:$P,6,FALSE)," ")</f>
        <v xml:space="preserve"> </v>
      </c>
      <c r="AC25" s="1230"/>
      <c r="AD25" s="593"/>
    </row>
    <row r="26" spans="1:30" s="572" customFormat="1" ht="20.25" customHeight="1" thickBot="1" x14ac:dyDescent="0.25">
      <c r="A26" s="377"/>
      <c r="B26" s="378" t="s">
        <v>1255</v>
      </c>
      <c r="C26" s="1234" t="s">
        <v>1262</v>
      </c>
      <c r="D26" s="1234"/>
      <c r="E26" s="1234"/>
      <c r="F26" s="1234"/>
      <c r="G26" s="1234"/>
      <c r="H26" s="617" t="s">
        <v>364</v>
      </c>
      <c r="I26" s="1256" t="str">
        <f t="shared" si="1"/>
        <v/>
      </c>
      <c r="J26" s="1256"/>
      <c r="K26" s="1256"/>
      <c r="L26" s="1256"/>
      <c r="M26" s="1256"/>
      <c r="N26" s="1256"/>
      <c r="O26" s="369"/>
      <c r="P26" s="679">
        <v>12</v>
      </c>
      <c r="Q26" s="1235" t="str">
        <f>IFERROR(VLOOKUP($O$6&amp;$P26,'Landscaping Source'!$A:$P,2,FALSE)," ")</f>
        <v xml:space="preserve"> </v>
      </c>
      <c r="R26" s="1235"/>
      <c r="S26" s="1235"/>
      <c r="T26" s="1230" t="str">
        <f>IFERROR(VLOOKUP($O$6&amp;$P26,'Landscaping Source'!$A:$P,3,FALSE)," ")</f>
        <v xml:space="preserve"> </v>
      </c>
      <c r="U26" s="1230"/>
      <c r="V26" s="1230"/>
      <c r="W26" s="681"/>
      <c r="X26" s="1230" t="str">
        <f>IFERROR(VLOOKUP($O$6&amp;$P26,'Landscaping Source'!$A:$P,4,FALSE)," ")</f>
        <v xml:space="preserve"> </v>
      </c>
      <c r="Y26" s="1230"/>
      <c r="Z26" s="1230" t="str">
        <f>IFERROR(VLOOKUP($O$6&amp;$P26,'Landscaping Source'!$A:$P,5,FALSE)," ")</f>
        <v xml:space="preserve"> </v>
      </c>
      <c r="AA26" s="1230"/>
      <c r="AB26" s="1230" t="str">
        <f>IFERROR(VLOOKUP($O$6&amp;$P26,'Landscaping Source'!$A:$P,6,FALSE)," ")</f>
        <v xml:space="preserve"> </v>
      </c>
      <c r="AC26" s="1230"/>
      <c r="AD26" s="593"/>
    </row>
    <row r="27" spans="1:30" s="572" customFormat="1" ht="20.25" customHeight="1" thickBot="1" x14ac:dyDescent="0.25">
      <c r="A27" s="377"/>
      <c r="B27" s="378" t="s">
        <v>1255</v>
      </c>
      <c r="C27" s="1234" t="s">
        <v>497</v>
      </c>
      <c r="D27" s="1234"/>
      <c r="E27" s="1234"/>
      <c r="F27" s="1234"/>
      <c r="G27" s="1234"/>
      <c r="H27" s="617" t="s">
        <v>364</v>
      </c>
      <c r="I27" s="1256" t="str">
        <f t="shared" si="1"/>
        <v/>
      </c>
      <c r="J27" s="1256"/>
      <c r="K27" s="1256"/>
      <c r="L27" s="1256"/>
      <c r="M27" s="1256"/>
      <c r="N27" s="1256"/>
      <c r="O27" s="369"/>
      <c r="P27" s="679">
        <v>13</v>
      </c>
      <c r="Q27" s="1235" t="str">
        <f>IFERROR(VLOOKUP($O$6&amp;$P27,'Landscaping Source'!$A:$P,2,FALSE)," ")</f>
        <v xml:space="preserve"> </v>
      </c>
      <c r="R27" s="1235"/>
      <c r="S27" s="1235"/>
      <c r="T27" s="1230" t="str">
        <f>IFERROR(VLOOKUP($O$6&amp;$P27,'Landscaping Source'!$A:$P,3,FALSE)," ")</f>
        <v xml:space="preserve"> </v>
      </c>
      <c r="U27" s="1230"/>
      <c r="V27" s="1230"/>
      <c r="W27" s="681"/>
      <c r="X27" s="1230" t="str">
        <f>IFERROR(VLOOKUP($O$6&amp;$P27,'Landscaping Source'!$A:$P,4,FALSE)," ")</f>
        <v xml:space="preserve"> </v>
      </c>
      <c r="Y27" s="1230"/>
      <c r="Z27" s="1230" t="str">
        <f>IFERROR(VLOOKUP($O$6&amp;$P27,'Landscaping Source'!$A:$P,5,FALSE)," ")</f>
        <v xml:space="preserve"> </v>
      </c>
      <c r="AA27" s="1230"/>
      <c r="AB27" s="1230" t="str">
        <f>IFERROR(VLOOKUP($O$6&amp;$P27,'Landscaping Source'!$A:$P,6,FALSE)," ")</f>
        <v xml:space="preserve"> </v>
      </c>
      <c r="AC27" s="1230"/>
      <c r="AD27" s="593"/>
    </row>
    <row r="28" spans="1:30" s="149" customFormat="1" ht="20.25" customHeight="1" thickBot="1" x14ac:dyDescent="0.25">
      <c r="A28" s="376"/>
      <c r="B28" s="376"/>
      <c r="C28" s="376"/>
      <c r="D28" s="376"/>
      <c r="E28" s="376"/>
      <c r="F28" s="376"/>
      <c r="G28" s="376"/>
      <c r="H28" s="376"/>
      <c r="I28" s="376"/>
      <c r="J28" s="376"/>
      <c r="K28" s="376"/>
      <c r="L28" s="376"/>
      <c r="M28" s="376"/>
      <c r="N28" s="376"/>
      <c r="O28" s="301"/>
      <c r="P28" s="679">
        <v>14</v>
      </c>
      <c r="Q28" s="1235" t="str">
        <f>IFERROR(VLOOKUP($O$6&amp;$P28,'Landscaping Source'!$A:$P,2,FALSE)," ")</f>
        <v xml:space="preserve"> </v>
      </c>
      <c r="R28" s="1235"/>
      <c r="S28" s="1235"/>
      <c r="T28" s="1230" t="str">
        <f>IFERROR(VLOOKUP($O$6&amp;$P28,'Landscaping Source'!$A:$P,3,FALSE)," ")</f>
        <v xml:space="preserve"> </v>
      </c>
      <c r="U28" s="1230"/>
      <c r="V28" s="1230"/>
      <c r="W28" s="681"/>
      <c r="X28" s="1230" t="str">
        <f>IFERROR(VLOOKUP($O$6&amp;$P28,'Landscaping Source'!$A:$P,4,FALSE)," ")</f>
        <v xml:space="preserve"> </v>
      </c>
      <c r="Y28" s="1230"/>
      <c r="Z28" s="1230" t="str">
        <f>IFERROR(VLOOKUP($O$6&amp;$P28,'Landscaping Source'!$A:$P,5,FALSE)," ")</f>
        <v xml:space="preserve"> </v>
      </c>
      <c r="AA28" s="1230"/>
      <c r="AB28" s="1230" t="str">
        <f>IFERROR(VLOOKUP($O$6&amp;$P28,'Landscaping Source'!$A:$P,6,FALSE)," ")</f>
        <v xml:space="preserve"> </v>
      </c>
      <c r="AC28" s="1230"/>
      <c r="AD28" s="593"/>
    </row>
    <row r="29" spans="1:30" s="149" customFormat="1" ht="20.25" customHeight="1" thickBot="1" x14ac:dyDescent="0.25">
      <c r="A29" s="376"/>
      <c r="B29" s="1166" t="s">
        <v>1263</v>
      </c>
      <c r="C29" s="1166"/>
      <c r="D29" s="1166"/>
      <c r="E29" s="1166"/>
      <c r="F29" s="1166"/>
      <c r="G29" s="1166"/>
      <c r="H29" s="1166"/>
      <c r="I29" s="1166"/>
      <c r="J29" s="1166"/>
      <c r="K29" s="1166"/>
      <c r="L29" s="1166"/>
      <c r="M29" s="683"/>
      <c r="N29" s="1170" t="s">
        <v>364</v>
      </c>
      <c r="O29" s="301"/>
      <c r="P29" s="679">
        <v>15</v>
      </c>
      <c r="Q29" s="1235" t="str">
        <f>IFERROR(VLOOKUP($O$6&amp;$P29,'Landscaping Source'!$A:$P,2,FALSE)," ")</f>
        <v xml:space="preserve"> </v>
      </c>
      <c r="R29" s="1235"/>
      <c r="S29" s="1235"/>
      <c r="T29" s="1230" t="str">
        <f>IFERROR(VLOOKUP($O$6&amp;$P29,'Landscaping Source'!$A:$P,3,FALSE)," ")</f>
        <v xml:space="preserve"> </v>
      </c>
      <c r="U29" s="1230"/>
      <c r="V29" s="1230"/>
      <c r="W29" s="681"/>
      <c r="X29" s="1230" t="str">
        <f>IFERROR(VLOOKUP($O$6&amp;$P29,'Landscaping Source'!$A:$P,4,FALSE)," ")</f>
        <v xml:space="preserve"> </v>
      </c>
      <c r="Y29" s="1230"/>
      <c r="Z29" s="1230" t="str">
        <f>IFERROR(VLOOKUP($O$6&amp;$P29,'Landscaping Source'!$A:$P,5,FALSE)," ")</f>
        <v xml:space="preserve"> </v>
      </c>
      <c r="AA29" s="1230"/>
      <c r="AB29" s="1230" t="str">
        <f>IFERROR(VLOOKUP($O$6&amp;$P29,'Landscaping Source'!$A:$P,6,FALSE)," ")</f>
        <v xml:space="preserve"> </v>
      </c>
      <c r="AC29" s="1230"/>
      <c r="AD29" s="593"/>
    </row>
    <row r="30" spans="1:30" s="149" customFormat="1" ht="21.75" customHeight="1" thickBot="1" x14ac:dyDescent="0.25">
      <c r="A30" s="376"/>
      <c r="B30" s="1167"/>
      <c r="C30" s="1167"/>
      <c r="D30" s="1167"/>
      <c r="E30" s="1167"/>
      <c r="F30" s="1167"/>
      <c r="G30" s="1167"/>
      <c r="H30" s="1167"/>
      <c r="I30" s="1167"/>
      <c r="J30" s="1167"/>
      <c r="K30" s="1167"/>
      <c r="L30" s="1167"/>
      <c r="M30" s="680"/>
      <c r="N30" s="1171"/>
      <c r="O30" s="376"/>
      <c r="P30" s="1184" t="s">
        <v>1264</v>
      </c>
      <c r="Q30" s="1184"/>
      <c r="R30" s="1184"/>
      <c r="S30" s="1184"/>
      <c r="T30" s="1184"/>
      <c r="U30" s="1184"/>
      <c r="V30" s="1184"/>
      <c r="W30" s="1184"/>
      <c r="X30" s="1184"/>
      <c r="Y30" s="1184"/>
      <c r="Z30" s="1184"/>
      <c r="AA30" s="1184"/>
      <c r="AB30" s="1184"/>
      <c r="AC30" s="1184"/>
      <c r="AD30" s="1184"/>
    </row>
    <row r="31" spans="1:30" s="149" customFormat="1" ht="15.75" customHeight="1" x14ac:dyDescent="0.2">
      <c r="A31" s="376"/>
      <c r="B31" s="1253" t="str">
        <f>IF(N29="yes","Please describe reduction strategies underway, if any","")</f>
        <v/>
      </c>
      <c r="C31" s="1253"/>
      <c r="D31" s="1253"/>
      <c r="E31" s="1253"/>
      <c r="F31" s="1253"/>
      <c r="G31" s="1253"/>
      <c r="H31" s="1253"/>
      <c r="I31" s="1253"/>
      <c r="J31" s="1253"/>
      <c r="K31" s="1253"/>
      <c r="L31" s="1253"/>
      <c r="M31" s="1253"/>
      <c r="N31" s="1253"/>
      <c r="O31" s="376"/>
      <c r="P31" s="1258" t="s">
        <v>1224</v>
      </c>
      <c r="Q31" s="1258"/>
      <c r="R31" s="1258"/>
      <c r="S31" s="1258"/>
      <c r="T31" s="1258" t="s">
        <v>1251</v>
      </c>
      <c r="U31" s="1258"/>
      <c r="V31" s="1258"/>
      <c r="W31" s="327"/>
      <c r="X31" s="1259" t="s">
        <v>1252</v>
      </c>
      <c r="Y31" s="1258"/>
      <c r="Z31" s="1259" t="s">
        <v>1253</v>
      </c>
      <c r="AA31" s="1259"/>
      <c r="AB31" s="1259" t="s">
        <v>1254</v>
      </c>
      <c r="AC31" s="1259"/>
      <c r="AD31" s="1258" t="s">
        <v>427</v>
      </c>
    </row>
    <row r="32" spans="1:30" s="149" customFormat="1" ht="20.25" customHeight="1" thickBot="1" x14ac:dyDescent="0.25">
      <c r="A32" s="376"/>
      <c r="B32" s="1173"/>
      <c r="C32" s="1173"/>
      <c r="D32" s="1173"/>
      <c r="E32" s="1173"/>
      <c r="F32" s="1173"/>
      <c r="G32" s="1173"/>
      <c r="H32" s="1173"/>
      <c r="I32" s="1173"/>
      <c r="J32" s="1173"/>
      <c r="K32" s="1173"/>
      <c r="L32" s="1173"/>
      <c r="M32" s="1173"/>
      <c r="N32" s="1173"/>
      <c r="O32" s="376"/>
      <c r="P32" s="1237"/>
      <c r="Q32" s="1237"/>
      <c r="R32" s="1237"/>
      <c r="S32" s="1237"/>
      <c r="T32" s="1237"/>
      <c r="U32" s="1237"/>
      <c r="V32" s="1237"/>
      <c r="W32" s="322"/>
      <c r="X32" s="1237"/>
      <c r="Y32" s="1237"/>
      <c r="Z32" s="1241"/>
      <c r="AA32" s="1241"/>
      <c r="AB32" s="1241"/>
      <c r="AC32" s="1241"/>
      <c r="AD32" s="1237"/>
    </row>
    <row r="33" spans="1:30" s="149" customFormat="1" ht="20.25" customHeight="1" thickBot="1" x14ac:dyDescent="0.25">
      <c r="A33" s="376"/>
      <c r="B33" s="1173"/>
      <c r="C33" s="1173"/>
      <c r="D33" s="1173"/>
      <c r="E33" s="1173"/>
      <c r="F33" s="1173"/>
      <c r="G33" s="1173"/>
      <c r="H33" s="1173"/>
      <c r="I33" s="1173"/>
      <c r="J33" s="1173"/>
      <c r="K33" s="1173"/>
      <c r="L33" s="1173"/>
      <c r="M33" s="1173"/>
      <c r="N33" s="1173"/>
      <c r="O33" s="376"/>
      <c r="P33" s="1174"/>
      <c r="Q33" s="1174"/>
      <c r="R33" s="1174"/>
      <c r="S33" s="1174"/>
      <c r="T33" s="1174"/>
      <c r="U33" s="1174"/>
      <c r="V33" s="1174"/>
      <c r="W33" s="594"/>
      <c r="X33" s="1174"/>
      <c r="Y33" s="1174"/>
      <c r="Z33" s="1174"/>
      <c r="AA33" s="1174"/>
      <c r="AB33" s="1174"/>
      <c r="AC33" s="1174"/>
      <c r="AD33" s="594"/>
    </row>
    <row r="34" spans="1:30" s="149" customFormat="1" ht="20.25" customHeight="1" thickBot="1" x14ac:dyDescent="0.25">
      <c r="A34" s="376"/>
      <c r="B34" s="1173"/>
      <c r="C34" s="1173"/>
      <c r="D34" s="1173"/>
      <c r="E34" s="1173"/>
      <c r="F34" s="1173"/>
      <c r="G34" s="1173"/>
      <c r="H34" s="1173"/>
      <c r="I34" s="1173"/>
      <c r="J34" s="1173"/>
      <c r="K34" s="1173"/>
      <c r="L34" s="1173"/>
      <c r="M34" s="1173"/>
      <c r="N34" s="1173"/>
      <c r="O34" s="376"/>
      <c r="P34" s="1174"/>
      <c r="Q34" s="1174"/>
      <c r="R34" s="1174"/>
      <c r="S34" s="1174"/>
      <c r="T34" s="1174"/>
      <c r="U34" s="1174"/>
      <c r="V34" s="1174"/>
      <c r="W34" s="594"/>
      <c r="X34" s="1174"/>
      <c r="Y34" s="1174"/>
      <c r="Z34" s="1174"/>
      <c r="AA34" s="1174"/>
      <c r="AB34" s="1174"/>
      <c r="AC34" s="1174"/>
      <c r="AD34" s="594"/>
    </row>
    <row r="35" spans="1:30" s="149" customFormat="1" ht="20.25" customHeight="1" thickBot="1" x14ac:dyDescent="0.25">
      <c r="A35" s="376"/>
      <c r="B35" s="376"/>
      <c r="C35" s="376"/>
      <c r="D35" s="376"/>
      <c r="E35" s="376"/>
      <c r="F35" s="376"/>
      <c r="G35" s="376"/>
      <c r="H35" s="376"/>
      <c r="I35" s="376"/>
      <c r="J35" s="376"/>
      <c r="K35" s="376"/>
      <c r="L35" s="376"/>
      <c r="M35" s="376"/>
      <c r="N35" s="376"/>
      <c r="O35" s="376"/>
      <c r="P35" s="1174"/>
      <c r="Q35" s="1174"/>
      <c r="R35" s="1174"/>
      <c r="S35" s="1174"/>
      <c r="T35" s="1174"/>
      <c r="U35" s="1174"/>
      <c r="V35" s="1174"/>
      <c r="W35" s="594"/>
      <c r="X35" s="1174"/>
      <c r="Y35" s="1174"/>
      <c r="Z35" s="1174"/>
      <c r="AA35" s="1174"/>
      <c r="AB35" s="1174"/>
      <c r="AC35" s="1174"/>
      <c r="AD35" s="594"/>
    </row>
    <row r="36" spans="1:30" s="149" customFormat="1" ht="19.5" customHeight="1" thickBot="1" x14ac:dyDescent="0.25">
      <c r="A36" s="376"/>
      <c r="B36" s="376"/>
      <c r="C36" s="376"/>
      <c r="D36" s="376"/>
      <c r="E36" s="376"/>
      <c r="F36" s="376"/>
      <c r="G36" s="376"/>
      <c r="H36" s="376"/>
      <c r="I36" s="376"/>
      <c r="J36" s="376"/>
      <c r="K36" s="376"/>
      <c r="L36" s="376"/>
      <c r="M36" s="376"/>
      <c r="N36" s="376"/>
      <c r="O36" s="376"/>
      <c r="P36" s="1174"/>
      <c r="Q36" s="1174"/>
      <c r="R36" s="1174"/>
      <c r="S36" s="1174"/>
      <c r="T36" s="1174"/>
      <c r="U36" s="1174"/>
      <c r="V36" s="1174"/>
      <c r="W36" s="595"/>
      <c r="X36" s="1174"/>
      <c r="Y36" s="1174"/>
      <c r="Z36" s="1174"/>
      <c r="AA36" s="1174"/>
      <c r="AB36" s="1174"/>
      <c r="AC36" s="1174"/>
      <c r="AD36" s="595"/>
    </row>
    <row r="37" spans="1:30" ht="19.5" customHeight="1" thickBot="1" x14ac:dyDescent="0.25">
      <c r="P37" s="1174"/>
      <c r="Q37" s="1174"/>
      <c r="R37" s="1174"/>
      <c r="S37" s="1174"/>
      <c r="T37" s="1174"/>
      <c r="U37" s="1174"/>
      <c r="V37" s="1174"/>
      <c r="W37" s="595"/>
      <c r="X37" s="1174"/>
      <c r="Y37" s="1174"/>
      <c r="Z37" s="1174"/>
      <c r="AA37" s="1174"/>
      <c r="AB37" s="1174"/>
      <c r="AC37" s="1174"/>
      <c r="AD37" s="595"/>
    </row>
    <row r="209" x14ac:dyDescent="0.2"/>
  </sheetData>
  <sheetProtection selectLockedCells="1"/>
  <mergeCells count="144">
    <mergeCell ref="Z36:AA36"/>
    <mergeCell ref="Z37:AA37"/>
    <mergeCell ref="AB33:AC33"/>
    <mergeCell ref="AB34:AC34"/>
    <mergeCell ref="AB35:AC35"/>
    <mergeCell ref="AB36:AC36"/>
    <mergeCell ref="AB37:AC37"/>
    <mergeCell ref="P36:S36"/>
    <mergeCell ref="P37:S37"/>
    <mergeCell ref="T33:V33"/>
    <mergeCell ref="T34:V34"/>
    <mergeCell ref="T35:V35"/>
    <mergeCell ref="T36:V36"/>
    <mergeCell ref="T37:V37"/>
    <mergeCell ref="X33:Y33"/>
    <mergeCell ref="X34:Y34"/>
    <mergeCell ref="X35:Y35"/>
    <mergeCell ref="X36:Y36"/>
    <mergeCell ref="X37:Y37"/>
    <mergeCell ref="P31:S32"/>
    <mergeCell ref="T31:V32"/>
    <mergeCell ref="X31:Y32"/>
    <mergeCell ref="Z31:AA32"/>
    <mergeCell ref="AB31:AC32"/>
    <mergeCell ref="AD31:AD32"/>
    <mergeCell ref="P33:S33"/>
    <mergeCell ref="P34:S34"/>
    <mergeCell ref="P35:S35"/>
    <mergeCell ref="Z33:AA33"/>
    <mergeCell ref="Z34:AA34"/>
    <mergeCell ref="Z35:AA35"/>
    <mergeCell ref="P30:AD30"/>
    <mergeCell ref="B31:N31"/>
    <mergeCell ref="B32:N34"/>
    <mergeCell ref="B29:L30"/>
    <mergeCell ref="B21:L22"/>
    <mergeCell ref="N21:N22"/>
    <mergeCell ref="C26:G26"/>
    <mergeCell ref="C27:G27"/>
    <mergeCell ref="I24:N24"/>
    <mergeCell ref="I25:N25"/>
    <mergeCell ref="I26:N26"/>
    <mergeCell ref="I27:N27"/>
    <mergeCell ref="N29:N30"/>
    <mergeCell ref="B23:N23"/>
    <mergeCell ref="Q26:S26"/>
    <mergeCell ref="Q27:S27"/>
    <mergeCell ref="T29:V29"/>
    <mergeCell ref="X26:Y26"/>
    <mergeCell ref="X27:Y27"/>
    <mergeCell ref="X28:Y28"/>
    <mergeCell ref="X29:Y29"/>
    <mergeCell ref="Z29:AA29"/>
    <mergeCell ref="AB24:AC24"/>
    <mergeCell ref="AB25:AC25"/>
    <mergeCell ref="B1:AD1"/>
    <mergeCell ref="D2:AC3"/>
    <mergeCell ref="L6:N6"/>
    <mergeCell ref="O6:P6"/>
    <mergeCell ref="X8:AB9"/>
    <mergeCell ref="B12:N12"/>
    <mergeCell ref="B2:C4"/>
    <mergeCell ref="B11:N11"/>
    <mergeCell ref="D4:AD4"/>
    <mergeCell ref="A10:AC10"/>
    <mergeCell ref="D8:V9"/>
    <mergeCell ref="AD13:AD14"/>
    <mergeCell ref="Q23:S23"/>
    <mergeCell ref="Q24:S24"/>
    <mergeCell ref="Q25:S25"/>
    <mergeCell ref="Z23:AA23"/>
    <mergeCell ref="Z21:AA21"/>
    <mergeCell ref="Z22:AA22"/>
    <mergeCell ref="P11:AD11"/>
    <mergeCell ref="P12:AD12"/>
    <mergeCell ref="P13:S14"/>
    <mergeCell ref="T13:V14"/>
    <mergeCell ref="X13:Y14"/>
    <mergeCell ref="Z13:AA14"/>
    <mergeCell ref="AB13:AC14"/>
    <mergeCell ref="Z15:AA15"/>
    <mergeCell ref="Q19:S19"/>
    <mergeCell ref="Q20:S20"/>
    <mergeCell ref="Q21:S21"/>
    <mergeCell ref="Q22:S22"/>
    <mergeCell ref="Q15:S15"/>
    <mergeCell ref="Z19:AA19"/>
    <mergeCell ref="Z20:AA20"/>
    <mergeCell ref="X15:Y15"/>
    <mergeCell ref="X16:Y16"/>
    <mergeCell ref="B13:L14"/>
    <mergeCell ref="N13:N14"/>
    <mergeCell ref="B15:N15"/>
    <mergeCell ref="C24:G24"/>
    <mergeCell ref="C25:G25"/>
    <mergeCell ref="Q28:S28"/>
    <mergeCell ref="Q29:S29"/>
    <mergeCell ref="T15:V15"/>
    <mergeCell ref="T16:V16"/>
    <mergeCell ref="T17:V17"/>
    <mergeCell ref="T18:V18"/>
    <mergeCell ref="T19:V19"/>
    <mergeCell ref="T20:V20"/>
    <mergeCell ref="T21:V21"/>
    <mergeCell ref="T22:V22"/>
    <mergeCell ref="T23:V23"/>
    <mergeCell ref="T24:V24"/>
    <mergeCell ref="T25:V25"/>
    <mergeCell ref="T26:V26"/>
    <mergeCell ref="T27:V27"/>
    <mergeCell ref="T28:V28"/>
    <mergeCell ref="Q16:S16"/>
    <mergeCell ref="Q17:S17"/>
    <mergeCell ref="Q18:S18"/>
    <mergeCell ref="X17:Y17"/>
    <mergeCell ref="X18:Y18"/>
    <mergeCell ref="X19:Y19"/>
    <mergeCell ref="X20:Y20"/>
    <mergeCell ref="X21:Y21"/>
    <mergeCell ref="X22:Y22"/>
    <mergeCell ref="X23:Y23"/>
    <mergeCell ref="X24:Y24"/>
    <mergeCell ref="X25:Y25"/>
    <mergeCell ref="AB15:AC15"/>
    <mergeCell ref="AB16:AC16"/>
    <mergeCell ref="AB17:AC17"/>
    <mergeCell ref="AB18:AC18"/>
    <mergeCell ref="AB19:AC19"/>
    <mergeCell ref="AB20:AC20"/>
    <mergeCell ref="AB21:AC21"/>
    <mergeCell ref="AB22:AC22"/>
    <mergeCell ref="AB23:AC23"/>
    <mergeCell ref="Z16:AA16"/>
    <mergeCell ref="Z17:AA17"/>
    <mergeCell ref="Z18:AA18"/>
    <mergeCell ref="AB26:AC26"/>
    <mergeCell ref="AB27:AC27"/>
    <mergeCell ref="AB28:AC28"/>
    <mergeCell ref="AB29:AC29"/>
    <mergeCell ref="Z24:AA24"/>
    <mergeCell ref="Z25:AA25"/>
    <mergeCell ref="Z26:AA26"/>
    <mergeCell ref="Z27:AA27"/>
    <mergeCell ref="Z28:AA28"/>
  </mergeCells>
  <conditionalFormatting sqref="B31:B32">
    <cfRule type="containsText" dxfId="17" priority="76" operator="containsText" text="Please describe reduction strategies underway, if any">
      <formula>NOT(ISERROR(SEARCH("Please describe reduction strategies underway, if any",B31)))</formula>
    </cfRule>
  </conditionalFormatting>
  <conditionalFormatting sqref="G16:G19">
    <cfRule type="containsText" dxfId="16" priority="71" operator="containsText" text="Please provide details here, if available (e.g. # of mowers, fuel type, etc.)">
      <formula>NOT(ISERROR(SEARCH("Please provide details here, if available (e.g. # of mowers, fuel type, etc.)",G16)))</formula>
    </cfRule>
  </conditionalFormatting>
  <conditionalFormatting sqref="B16:B19">
    <cfRule type="expression" dxfId="15" priority="65">
      <formula>B15=" "</formula>
    </cfRule>
  </conditionalFormatting>
  <conditionalFormatting sqref="C16">
    <cfRule type="containsText" dxfId="14" priority="64" operator="containsText" text="Which of the following equipment do you operate?">
      <formula>NOT(ISERROR(SEARCH("Which of the following equipment do you operate?",C16)))</formula>
    </cfRule>
  </conditionalFormatting>
  <conditionalFormatting sqref="B15">
    <cfRule type="containsText" dxfId="13" priority="63" operator="containsText" text="Which of the following equipment do you operate?">
      <formula>NOT(ISERROR(SEARCH("Which of the following equipment do you operate?",B15)))</formula>
    </cfRule>
  </conditionalFormatting>
  <conditionalFormatting sqref="C18:C19">
    <cfRule type="containsText" dxfId="12" priority="59" operator="containsText" text="Which of the following equipment do you operate?">
      <formula>NOT(ISERROR(SEARCH("Which of the following equipment do you operate?",C18)))</formula>
    </cfRule>
  </conditionalFormatting>
  <conditionalFormatting sqref="C17">
    <cfRule type="containsText" dxfId="11" priority="60" operator="containsText" text="Which of the following equipment do you operate?">
      <formula>NOT(ISERROR(SEARCH("Which of the following equipment do you operate?",C17)))</formula>
    </cfRule>
  </conditionalFormatting>
  <conditionalFormatting sqref="B24:B27">
    <cfRule type="expression" dxfId="10" priority="56">
      <formula>B23=" "</formula>
    </cfRule>
  </conditionalFormatting>
  <conditionalFormatting sqref="C24">
    <cfRule type="containsText" dxfId="9" priority="54" operator="containsText" text="Which of the following equipment do you operate?">
      <formula>NOT(ISERROR(SEARCH("Which of the following equipment do you operate?",C24)))</formula>
    </cfRule>
  </conditionalFormatting>
  <conditionalFormatting sqref="B23:N23">
    <cfRule type="expression" dxfId="8" priority="46">
      <formula>$N$21="yes"</formula>
    </cfRule>
  </conditionalFormatting>
  <conditionalFormatting sqref="C25:C27">
    <cfRule type="containsText" dxfId="7" priority="48" operator="containsText" text="Which of the following equipment do you operate?">
      <formula>NOT(ISERROR(SEARCH("Which of the following equipment do you operate?",C25)))</formula>
    </cfRule>
  </conditionalFormatting>
  <conditionalFormatting sqref="C25:C27">
    <cfRule type="expression" dxfId="6" priority="47">
      <formula>$N$21&lt;&gt;"yes"</formula>
    </cfRule>
  </conditionalFormatting>
  <conditionalFormatting sqref="B23:N27">
    <cfRule type="expression" dxfId="5" priority="45">
      <formula>$N$21&lt;&gt;"yes"</formula>
    </cfRule>
  </conditionalFormatting>
  <conditionalFormatting sqref="I24:M27">
    <cfRule type="expression" dxfId="4" priority="43">
      <formula>H24="yes"</formula>
    </cfRule>
  </conditionalFormatting>
  <conditionalFormatting sqref="B31:B32">
    <cfRule type="expression" dxfId="3" priority="41">
      <formula>$N$29="yes"</formula>
    </cfRule>
  </conditionalFormatting>
  <conditionalFormatting sqref="B24:N27">
    <cfRule type="expression" dxfId="2" priority="27">
      <formula>$N$21="yes"</formula>
    </cfRule>
  </conditionalFormatting>
  <conditionalFormatting sqref="N24:N27">
    <cfRule type="expression" dxfId="1" priority="78">
      <formula>L24="yes"</formula>
    </cfRule>
  </conditionalFormatting>
  <conditionalFormatting sqref="B16:N19 B15">
    <cfRule type="expression" dxfId="0" priority="25">
      <formula>$N$13&lt;&gt;"yes"</formula>
    </cfRule>
  </conditionalFormatting>
  <pageMargins left="0.7" right="0.7" top="0.75" bottom="0.75" header="0.3" footer="0.3"/>
  <pageSetup orientation="portrait" r:id="rId1"/>
  <ignoredErrors>
    <ignoredError sqref="N24 B31 J24:L24 H16:L16 N16 G17:N19 G16 M16" unlockedFormula="1"/>
  </ignoredError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800-000000000000}">
          <x14:formula1>
            <xm:f>Source!$T$1:$T$4</xm:f>
          </x14:formula1>
          <xm:sqref>N21:N22 N29:N30 N13:N14 E16:F19 H24:H27 F25:F27</xm:sqref>
        </x14:dataValidation>
        <x14:dataValidation type="list" allowBlank="1" showInputMessage="1" showErrorMessage="1" xr:uid="{00000000-0002-0000-1800-000001000000}">
          <x14:formula1>
            <xm:f>Source!$AD$1:$AD$4</xm:f>
          </x14:formula1>
          <xm:sqref>X8</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U108"/>
  <sheetViews>
    <sheetView topLeftCell="A51" workbookViewId="0">
      <selection activeCell="N58" sqref="N58:P59"/>
    </sheetView>
  </sheetViews>
  <sheetFormatPr baseColWidth="10" defaultColWidth="9.1640625" defaultRowHeight="15" x14ac:dyDescent="0.2"/>
  <cols>
    <col min="1" max="1" width="44.6640625" bestFit="1" customWidth="1"/>
    <col min="2" max="2" width="47.1640625" style="567" customWidth="1"/>
    <col min="3" max="3" width="35.83203125" style="567" customWidth="1"/>
    <col min="4" max="4" width="23.5" style="567" customWidth="1"/>
    <col min="5" max="7" width="29.5" style="567" customWidth="1"/>
    <col min="8" max="8" width="23.5" style="567" customWidth="1"/>
    <col min="9" max="9" width="89.33203125" style="567" customWidth="1"/>
    <col min="10" max="10" width="20.5" style="127" customWidth="1"/>
    <col min="11" max="11" width="13.5" style="155" customWidth="1"/>
    <col min="12" max="12" width="18.5" style="155" customWidth="1"/>
    <col min="13" max="13" width="85.5" style="155" bestFit="1" customWidth="1"/>
    <col min="14" max="14" width="26.5" style="566" customWidth="1"/>
    <col min="15" max="47" width="9.1640625" style="512"/>
    <col min="48" max="16384" width="9.1640625" style="155"/>
  </cols>
  <sheetData>
    <row r="1" spans="1:47" ht="59.25" customHeight="1" x14ac:dyDescent="0.2">
      <c r="A1" s="581" t="s">
        <v>1235</v>
      </c>
      <c r="B1" s="573" t="s">
        <v>1224</v>
      </c>
      <c r="C1" s="507" t="s">
        <v>1251</v>
      </c>
      <c r="D1" s="507" t="s">
        <v>1265</v>
      </c>
      <c r="E1" s="507" t="s">
        <v>1266</v>
      </c>
      <c r="F1" s="508" t="s">
        <v>1254</v>
      </c>
      <c r="G1" s="508" t="s">
        <v>1267</v>
      </c>
      <c r="H1" s="508" t="s">
        <v>38</v>
      </c>
      <c r="I1" s="507" t="s">
        <v>427</v>
      </c>
      <c r="J1" s="509" t="s">
        <v>1268</v>
      </c>
      <c r="K1" s="510" t="s">
        <v>1269</v>
      </c>
      <c r="L1" s="507" t="s">
        <v>1270</v>
      </c>
      <c r="M1" s="511" t="s">
        <v>1271</v>
      </c>
      <c r="N1" s="507" t="s">
        <v>1272</v>
      </c>
      <c r="O1" s="507" t="s">
        <v>446</v>
      </c>
      <c r="P1" s="507"/>
    </row>
    <row r="2" spans="1:47" s="521" customFormat="1" ht="16" x14ac:dyDescent="0.2">
      <c r="A2" s="519" t="str">
        <f>N2&amp;O2</f>
        <v>Bridgewater State University1</v>
      </c>
      <c r="B2" s="534" t="s">
        <v>1273</v>
      </c>
      <c r="C2" s="514" t="s">
        <v>1274</v>
      </c>
      <c r="D2" s="515">
        <v>0.16</v>
      </c>
      <c r="E2" s="514">
        <v>2012</v>
      </c>
      <c r="F2" s="514" t="s">
        <v>1275</v>
      </c>
      <c r="G2" s="516"/>
      <c r="H2" s="517"/>
      <c r="I2" s="516"/>
      <c r="J2" s="518" t="s">
        <v>1276</v>
      </c>
      <c r="K2" s="518" t="s">
        <v>1277</v>
      </c>
      <c r="L2" s="518" t="s">
        <v>1276</v>
      </c>
      <c r="M2" s="519"/>
      <c r="N2" s="513" t="s">
        <v>56</v>
      </c>
      <c r="O2" s="520">
        <v>1</v>
      </c>
      <c r="P2" s="520" t="str">
        <f>VLOOKUP(N2,Source!F:F,1,FALSE)</f>
        <v>Bridgewater State University</v>
      </c>
      <c r="Q2" s="520"/>
      <c r="R2" s="520"/>
      <c r="S2" s="520"/>
      <c r="T2" s="520"/>
      <c r="U2" s="520"/>
      <c r="V2" s="520"/>
      <c r="W2" s="520"/>
      <c r="X2" s="520"/>
      <c r="Y2" s="520"/>
      <c r="Z2" s="520"/>
      <c r="AA2" s="520"/>
      <c r="AB2" s="520"/>
      <c r="AC2" s="520"/>
      <c r="AD2" s="520"/>
      <c r="AE2" s="520"/>
      <c r="AF2" s="520"/>
      <c r="AG2" s="520"/>
      <c r="AH2" s="520"/>
      <c r="AI2" s="520"/>
      <c r="AJ2" s="520"/>
      <c r="AK2" s="520"/>
      <c r="AL2" s="520"/>
      <c r="AM2" s="520"/>
      <c r="AN2" s="520"/>
      <c r="AO2" s="520"/>
      <c r="AP2" s="520"/>
      <c r="AQ2" s="520"/>
      <c r="AR2" s="520"/>
      <c r="AS2" s="520"/>
      <c r="AT2" s="520"/>
      <c r="AU2" s="520"/>
    </row>
    <row r="3" spans="1:47" s="521" customFormat="1" ht="32" x14ac:dyDescent="0.2">
      <c r="A3" s="519" t="str">
        <f t="shared" ref="A3:A75" si="0">N3&amp;O3</f>
        <v>Bristol Comm. College1</v>
      </c>
      <c r="B3" s="534" t="s">
        <v>1278</v>
      </c>
      <c r="C3" s="514" t="s">
        <v>1279</v>
      </c>
      <c r="D3" s="522">
        <v>5.7000000000000002E-2</v>
      </c>
      <c r="E3" s="514">
        <v>2019</v>
      </c>
      <c r="F3" s="523" t="s">
        <v>1280</v>
      </c>
      <c r="G3" s="514" t="s">
        <v>1276</v>
      </c>
      <c r="H3" s="524" t="s">
        <v>1281</v>
      </c>
      <c r="I3" s="523" t="s">
        <v>1282</v>
      </c>
      <c r="J3" s="518" t="s">
        <v>1276</v>
      </c>
      <c r="K3" s="518" t="s">
        <v>1276</v>
      </c>
      <c r="L3" s="518" t="s">
        <v>1276</v>
      </c>
      <c r="M3" s="519" t="s">
        <v>1283</v>
      </c>
      <c r="N3" s="513" t="s">
        <v>69</v>
      </c>
      <c r="O3" s="520">
        <v>1</v>
      </c>
      <c r="P3" s="520" t="str">
        <f>VLOOKUP(N3,Source!F:F,1,FALSE)</f>
        <v>Bristol Comm. College</v>
      </c>
      <c r="Q3" s="520"/>
      <c r="R3" s="520"/>
      <c r="S3" s="520"/>
      <c r="T3" s="520"/>
      <c r="U3" s="520"/>
      <c r="V3" s="520"/>
      <c r="W3" s="520"/>
      <c r="X3" s="520"/>
      <c r="Y3" s="520"/>
      <c r="Z3" s="520"/>
      <c r="AA3" s="520"/>
      <c r="AB3" s="520"/>
      <c r="AC3" s="520"/>
      <c r="AD3" s="520"/>
      <c r="AE3" s="520"/>
      <c r="AF3" s="520"/>
      <c r="AG3" s="520"/>
      <c r="AH3" s="520"/>
      <c r="AI3" s="520"/>
      <c r="AJ3" s="520"/>
      <c r="AK3" s="520"/>
      <c r="AL3" s="520"/>
      <c r="AM3" s="520"/>
      <c r="AN3" s="520"/>
      <c r="AO3" s="520"/>
      <c r="AP3" s="520"/>
      <c r="AQ3" s="520"/>
      <c r="AR3" s="520"/>
      <c r="AS3" s="520"/>
      <c r="AT3" s="520"/>
      <c r="AU3" s="520"/>
    </row>
    <row r="4" spans="1:47" s="521" customFormat="1" ht="32" x14ac:dyDescent="0.2">
      <c r="A4" s="519" t="str">
        <f t="shared" si="0"/>
        <v>Bristol Comm. College2</v>
      </c>
      <c r="B4" s="534" t="s">
        <v>1278</v>
      </c>
      <c r="C4" s="514" t="s">
        <v>1284</v>
      </c>
      <c r="D4" s="525" t="s">
        <v>50</v>
      </c>
      <c r="E4" s="516" t="s">
        <v>50</v>
      </c>
      <c r="F4" s="514" t="s">
        <v>1275</v>
      </c>
      <c r="G4" s="514" t="s">
        <v>1277</v>
      </c>
      <c r="H4" s="524" t="s">
        <v>1281</v>
      </c>
      <c r="I4" s="516" t="s">
        <v>1285</v>
      </c>
      <c r="J4" s="526" t="s">
        <v>1277</v>
      </c>
      <c r="K4" s="527" t="s">
        <v>1276</v>
      </c>
      <c r="L4" s="518" t="s">
        <v>1276</v>
      </c>
      <c r="M4" s="519"/>
      <c r="N4" s="513" t="s">
        <v>69</v>
      </c>
      <c r="O4" s="520">
        <v>2</v>
      </c>
      <c r="P4" s="520" t="str">
        <f>VLOOKUP(N4,Source!F:F,1,FALSE)</f>
        <v>Bristol Comm. College</v>
      </c>
      <c r="Q4" s="520"/>
      <c r="R4" s="520"/>
      <c r="S4" s="520"/>
      <c r="T4" s="520"/>
      <c r="U4" s="520"/>
      <c r="V4" s="520"/>
      <c r="W4" s="520"/>
      <c r="X4" s="520"/>
      <c r="Y4" s="520"/>
      <c r="Z4" s="520"/>
      <c r="AA4" s="520"/>
      <c r="AB4" s="520"/>
      <c r="AC4" s="520"/>
      <c r="AD4" s="520"/>
      <c r="AE4" s="520"/>
      <c r="AF4" s="520"/>
      <c r="AG4" s="520"/>
      <c r="AH4" s="520"/>
      <c r="AI4" s="520"/>
      <c r="AJ4" s="520"/>
      <c r="AK4" s="520"/>
      <c r="AL4" s="520"/>
      <c r="AM4" s="520"/>
      <c r="AN4" s="520"/>
      <c r="AO4" s="520"/>
      <c r="AP4" s="520"/>
      <c r="AQ4" s="520"/>
      <c r="AR4" s="520"/>
      <c r="AS4" s="520"/>
      <c r="AT4" s="520"/>
      <c r="AU4" s="520"/>
    </row>
    <row r="5" spans="1:47" s="521" customFormat="1" ht="32" x14ac:dyDescent="0.2">
      <c r="A5" s="519" t="str">
        <f t="shared" si="0"/>
        <v>Bristol Comm. College3</v>
      </c>
      <c r="B5" s="534" t="s">
        <v>1286</v>
      </c>
      <c r="C5" s="514" t="s">
        <v>1274</v>
      </c>
      <c r="D5" s="515" t="s">
        <v>50</v>
      </c>
      <c r="E5" s="514">
        <v>2016</v>
      </c>
      <c r="F5" s="514" t="s">
        <v>1275</v>
      </c>
      <c r="G5" s="514" t="s">
        <v>1276</v>
      </c>
      <c r="H5" s="524" t="s">
        <v>1281</v>
      </c>
      <c r="I5" s="528" t="s">
        <v>1287</v>
      </c>
      <c r="J5" s="518" t="s">
        <v>1276</v>
      </c>
      <c r="K5" s="527" t="s">
        <v>1276</v>
      </c>
      <c r="L5" s="518" t="s">
        <v>1276</v>
      </c>
      <c r="M5" s="519" t="s">
        <v>1288</v>
      </c>
      <c r="N5" s="513" t="s">
        <v>69</v>
      </c>
      <c r="O5" s="520">
        <v>3</v>
      </c>
      <c r="P5" s="520" t="str">
        <f>VLOOKUP(N5,Source!F:F,1,FALSE)</f>
        <v>Bristol Comm. College</v>
      </c>
      <c r="Q5" s="520"/>
      <c r="R5" s="520"/>
      <c r="S5" s="520"/>
      <c r="T5" s="520"/>
      <c r="U5" s="520"/>
      <c r="V5" s="520"/>
      <c r="W5" s="520"/>
      <c r="X5" s="520"/>
      <c r="Y5" s="520"/>
      <c r="Z5" s="520"/>
      <c r="AA5" s="520"/>
      <c r="AB5" s="520"/>
      <c r="AC5" s="520"/>
      <c r="AD5" s="520"/>
      <c r="AE5" s="520"/>
      <c r="AF5" s="520"/>
      <c r="AG5" s="520"/>
      <c r="AH5" s="520"/>
      <c r="AI5" s="520"/>
      <c r="AJ5" s="520"/>
      <c r="AK5" s="520"/>
      <c r="AL5" s="520"/>
      <c r="AM5" s="520"/>
      <c r="AN5" s="520"/>
      <c r="AO5" s="520"/>
      <c r="AP5" s="520"/>
      <c r="AQ5" s="520"/>
      <c r="AR5" s="520"/>
      <c r="AS5" s="520"/>
      <c r="AT5" s="520"/>
      <c r="AU5" s="520"/>
    </row>
    <row r="6" spans="1:47" s="521" customFormat="1" ht="32" x14ac:dyDescent="0.2">
      <c r="A6" s="519" t="str">
        <f t="shared" si="0"/>
        <v>Dept. of Conservation and Recreation1</v>
      </c>
      <c r="B6" s="534" t="s">
        <v>1289</v>
      </c>
      <c r="C6" s="514" t="s">
        <v>1290</v>
      </c>
      <c r="D6" s="529">
        <v>5.0000000000000001E-3</v>
      </c>
      <c r="E6" s="530">
        <v>2017</v>
      </c>
      <c r="F6" s="514" t="s">
        <v>1275</v>
      </c>
      <c r="G6" s="516"/>
      <c r="H6" s="516"/>
      <c r="I6" s="528" t="s">
        <v>1291</v>
      </c>
      <c r="J6" s="526" t="s">
        <v>1277</v>
      </c>
      <c r="K6" s="531" t="s">
        <v>1277</v>
      </c>
      <c r="L6" s="518" t="s">
        <v>1276</v>
      </c>
      <c r="M6" s="519"/>
      <c r="N6" s="513" t="s">
        <v>98</v>
      </c>
      <c r="O6" s="520">
        <v>1</v>
      </c>
      <c r="P6" s="520" t="str">
        <f>VLOOKUP(N6,Source!F:F,1,FALSE)</f>
        <v>Dept. of Conservation and Recreation</v>
      </c>
      <c r="Q6" s="520"/>
      <c r="R6" s="520"/>
      <c r="S6" s="520"/>
      <c r="T6" s="520"/>
      <c r="U6" s="520"/>
      <c r="V6" s="520"/>
      <c r="W6" s="520"/>
      <c r="X6" s="520"/>
      <c r="Y6" s="520"/>
      <c r="Z6" s="520"/>
      <c r="AA6" s="520"/>
      <c r="AB6" s="520"/>
      <c r="AC6" s="520"/>
      <c r="AD6" s="520"/>
      <c r="AE6" s="520"/>
      <c r="AF6" s="520"/>
      <c r="AG6" s="520"/>
      <c r="AH6" s="520"/>
      <c r="AI6" s="520"/>
      <c r="AJ6" s="520"/>
      <c r="AK6" s="520"/>
      <c r="AL6" s="520"/>
      <c r="AM6" s="520"/>
      <c r="AN6" s="520"/>
      <c r="AO6" s="520"/>
      <c r="AP6" s="520"/>
      <c r="AQ6" s="520"/>
      <c r="AR6" s="520"/>
      <c r="AS6" s="520"/>
      <c r="AT6" s="520"/>
      <c r="AU6" s="520"/>
    </row>
    <row r="7" spans="1:47" s="521" customFormat="1" ht="112" x14ac:dyDescent="0.2">
      <c r="A7" s="519" t="str">
        <f t="shared" si="0"/>
        <v>Dept. of Conservation and Recreation2</v>
      </c>
      <c r="B7" s="534" t="s">
        <v>1292</v>
      </c>
      <c r="C7" s="514" t="s">
        <v>1284</v>
      </c>
      <c r="D7" s="688">
        <v>4</v>
      </c>
      <c r="E7" s="514">
        <v>1994</v>
      </c>
      <c r="F7" s="514" t="s">
        <v>1275</v>
      </c>
      <c r="G7" s="514" t="s">
        <v>1277</v>
      </c>
      <c r="H7" s="524" t="s">
        <v>1293</v>
      </c>
      <c r="I7" s="528" t="s">
        <v>1294</v>
      </c>
      <c r="J7" s="526" t="s">
        <v>1277</v>
      </c>
      <c r="K7" s="531" t="s">
        <v>1277</v>
      </c>
      <c r="L7" s="518" t="s">
        <v>1276</v>
      </c>
      <c r="M7" s="519"/>
      <c r="N7" s="513" t="s">
        <v>98</v>
      </c>
      <c r="O7" s="520">
        <v>2</v>
      </c>
      <c r="P7" s="520" t="str">
        <f>VLOOKUP(N7,Source!F:F,1,FALSE)</f>
        <v>Dept. of Conservation and Recreation</v>
      </c>
      <c r="Q7" s="520"/>
      <c r="R7" s="520"/>
      <c r="S7" s="520"/>
      <c r="T7" s="520"/>
      <c r="U7" s="520"/>
      <c r="V7" s="520"/>
      <c r="W7" s="520"/>
      <c r="X7" s="520"/>
      <c r="Y7" s="520"/>
      <c r="Z7" s="520"/>
      <c r="AA7" s="520"/>
      <c r="AB7" s="520"/>
      <c r="AC7" s="520"/>
      <c r="AD7" s="520"/>
      <c r="AE7" s="520"/>
      <c r="AF7" s="520"/>
      <c r="AG7" s="520"/>
      <c r="AH7" s="520"/>
      <c r="AI7" s="520"/>
      <c r="AJ7" s="520"/>
      <c r="AK7" s="520"/>
      <c r="AL7" s="520"/>
      <c r="AM7" s="520"/>
      <c r="AN7" s="520"/>
      <c r="AO7" s="520"/>
      <c r="AP7" s="520"/>
      <c r="AQ7" s="520"/>
      <c r="AR7" s="520"/>
      <c r="AS7" s="520"/>
      <c r="AT7" s="520"/>
      <c r="AU7" s="520"/>
    </row>
    <row r="8" spans="1:47" s="521" customFormat="1" ht="32" x14ac:dyDescent="0.2">
      <c r="A8" s="519" t="str">
        <f t="shared" si="0"/>
        <v>Dept. of Conservation and Recreation3</v>
      </c>
      <c r="B8" s="534" t="s">
        <v>1292</v>
      </c>
      <c r="C8" s="514" t="s">
        <v>1290</v>
      </c>
      <c r="D8" s="686">
        <v>6.5000000000000002E-2</v>
      </c>
      <c r="E8" s="514">
        <v>2013</v>
      </c>
      <c r="F8" s="514" t="s">
        <v>1275</v>
      </c>
      <c r="G8" s="514" t="s">
        <v>1277</v>
      </c>
      <c r="H8" s="524" t="s">
        <v>1293</v>
      </c>
      <c r="I8" s="532" t="s">
        <v>1295</v>
      </c>
      <c r="J8" s="526" t="s">
        <v>1277</v>
      </c>
      <c r="K8" s="531" t="s">
        <v>1277</v>
      </c>
      <c r="L8" s="518" t="s">
        <v>1276</v>
      </c>
      <c r="M8" s="519"/>
      <c r="N8" s="513" t="s">
        <v>98</v>
      </c>
      <c r="O8" s="520">
        <v>3</v>
      </c>
      <c r="P8" s="520" t="str">
        <f>VLOOKUP(N8,Source!F:F,1,FALSE)</f>
        <v>Dept. of Conservation and Recreation</v>
      </c>
      <c r="Q8" s="520"/>
      <c r="R8" s="520"/>
      <c r="S8" s="520"/>
      <c r="T8" s="520"/>
      <c r="U8" s="520"/>
      <c r="V8" s="520"/>
      <c r="W8" s="520"/>
      <c r="X8" s="520"/>
      <c r="Y8" s="520"/>
      <c r="Z8" s="520"/>
      <c r="AA8" s="520"/>
      <c r="AB8" s="520"/>
      <c r="AC8" s="520"/>
      <c r="AD8" s="520"/>
      <c r="AE8" s="520"/>
      <c r="AF8" s="520"/>
      <c r="AG8" s="520"/>
      <c r="AH8" s="520"/>
      <c r="AI8" s="520"/>
      <c r="AJ8" s="520"/>
      <c r="AK8" s="520"/>
      <c r="AL8" s="520"/>
      <c r="AM8" s="520"/>
      <c r="AN8" s="520"/>
      <c r="AO8" s="520"/>
      <c r="AP8" s="520"/>
      <c r="AQ8" s="520"/>
      <c r="AR8" s="520"/>
      <c r="AS8" s="520"/>
      <c r="AT8" s="520"/>
      <c r="AU8" s="520"/>
    </row>
    <row r="9" spans="1:47" s="521" customFormat="1" ht="96" x14ac:dyDescent="0.2">
      <c r="A9" s="519" t="str">
        <f t="shared" si="0"/>
        <v>Dept. of Conservation and Recreation4</v>
      </c>
      <c r="B9" s="534" t="s">
        <v>1296</v>
      </c>
      <c r="C9" s="533" t="s">
        <v>1279</v>
      </c>
      <c r="D9" s="687">
        <v>2</v>
      </c>
      <c r="E9" s="534">
        <v>2017</v>
      </c>
      <c r="F9" s="514" t="s">
        <v>1275</v>
      </c>
      <c r="G9" s="514" t="s">
        <v>1276</v>
      </c>
      <c r="H9" s="524" t="s">
        <v>1297</v>
      </c>
      <c r="I9" s="528" t="s">
        <v>1298</v>
      </c>
      <c r="J9" s="524" t="s">
        <v>1277</v>
      </c>
      <c r="K9" s="531" t="s">
        <v>1277</v>
      </c>
      <c r="L9" s="518" t="s">
        <v>1276</v>
      </c>
      <c r="M9" s="519"/>
      <c r="N9" s="513" t="s">
        <v>98</v>
      </c>
      <c r="O9" s="520">
        <v>4</v>
      </c>
      <c r="P9" s="520" t="str">
        <f>VLOOKUP(N9,Source!F:F,1,FALSE)</f>
        <v>Dept. of Conservation and Recreation</v>
      </c>
      <c r="Q9" s="520"/>
      <c r="R9" s="520"/>
      <c r="S9" s="520"/>
      <c r="T9" s="520"/>
      <c r="U9" s="520"/>
      <c r="V9" s="520"/>
      <c r="W9" s="520"/>
      <c r="X9" s="520"/>
      <c r="Y9" s="520"/>
      <c r="Z9" s="520"/>
      <c r="AA9" s="520"/>
      <c r="AB9" s="520"/>
      <c r="AC9" s="520"/>
      <c r="AD9" s="520"/>
      <c r="AE9" s="520"/>
      <c r="AF9" s="520"/>
      <c r="AG9" s="520"/>
      <c r="AH9" s="520"/>
      <c r="AI9" s="520"/>
      <c r="AJ9" s="520"/>
      <c r="AK9" s="520"/>
      <c r="AL9" s="520"/>
      <c r="AM9" s="520"/>
      <c r="AN9" s="520"/>
      <c r="AO9" s="520"/>
      <c r="AP9" s="520"/>
      <c r="AQ9" s="520"/>
      <c r="AR9" s="520"/>
      <c r="AS9" s="520"/>
      <c r="AT9" s="520"/>
      <c r="AU9" s="520"/>
    </row>
    <row r="10" spans="1:47" s="521" customFormat="1" ht="32" x14ac:dyDescent="0.2">
      <c r="A10" s="519" t="str">
        <f t="shared" si="0"/>
        <v>Dept. of Conservation and Recreation5</v>
      </c>
      <c r="B10" s="534" t="s">
        <v>1299</v>
      </c>
      <c r="C10" s="514" t="s">
        <v>1290</v>
      </c>
      <c r="D10" s="686">
        <v>1.7000000000000001E-2</v>
      </c>
      <c r="E10" s="534">
        <v>2016</v>
      </c>
      <c r="F10" s="514" t="s">
        <v>1275</v>
      </c>
      <c r="G10" s="516"/>
      <c r="H10" s="524" t="s">
        <v>1297</v>
      </c>
      <c r="I10" s="530" t="s">
        <v>1300</v>
      </c>
      <c r="J10" s="524" t="s">
        <v>1277</v>
      </c>
      <c r="K10" s="531" t="s">
        <v>1277</v>
      </c>
      <c r="L10" s="518" t="s">
        <v>1276</v>
      </c>
      <c r="M10" s="519"/>
      <c r="N10" s="513" t="s">
        <v>98</v>
      </c>
      <c r="O10" s="520">
        <v>5</v>
      </c>
      <c r="P10" s="520" t="str">
        <f>VLOOKUP(N10,Source!F:F,1,FALSE)</f>
        <v>Dept. of Conservation and Recreation</v>
      </c>
      <c r="Q10" s="520"/>
      <c r="R10" s="520"/>
      <c r="S10" s="520"/>
      <c r="T10" s="520"/>
      <c r="U10" s="520"/>
      <c r="V10" s="520"/>
      <c r="W10" s="520"/>
      <c r="X10" s="520"/>
      <c r="Y10" s="520"/>
      <c r="Z10" s="520"/>
      <c r="AA10" s="520"/>
      <c r="AB10" s="520"/>
      <c r="AC10" s="520"/>
      <c r="AD10" s="520"/>
      <c r="AE10" s="520"/>
      <c r="AF10" s="520"/>
      <c r="AG10" s="520"/>
      <c r="AH10" s="520"/>
      <c r="AI10" s="520"/>
      <c r="AJ10" s="520"/>
      <c r="AK10" s="520"/>
      <c r="AL10" s="520"/>
      <c r="AM10" s="520"/>
      <c r="AN10" s="520"/>
      <c r="AO10" s="520"/>
      <c r="AP10" s="520"/>
      <c r="AQ10" s="520"/>
      <c r="AR10" s="520"/>
      <c r="AS10" s="520"/>
      <c r="AT10" s="520"/>
      <c r="AU10" s="520"/>
    </row>
    <row r="11" spans="1:47" s="521" customFormat="1" ht="32" x14ac:dyDescent="0.2">
      <c r="A11" s="519" t="str">
        <f t="shared" si="0"/>
        <v>Dept. of Conservation and Recreation6</v>
      </c>
      <c r="B11" s="574" t="s">
        <v>1301</v>
      </c>
      <c r="C11" s="514" t="s">
        <v>1284</v>
      </c>
      <c r="D11" s="535" t="s">
        <v>1302</v>
      </c>
      <c r="E11" s="534">
        <v>2017</v>
      </c>
      <c r="F11" s="514" t="s">
        <v>1275</v>
      </c>
      <c r="G11" s="516"/>
      <c r="H11" s="516"/>
      <c r="I11" s="530" t="s">
        <v>1302</v>
      </c>
      <c r="J11" s="531" t="s">
        <v>1276</v>
      </c>
      <c r="K11" s="531" t="s">
        <v>1276</v>
      </c>
      <c r="L11" s="518" t="s">
        <v>1276</v>
      </c>
      <c r="M11" s="519"/>
      <c r="N11" s="513" t="s">
        <v>98</v>
      </c>
      <c r="O11" s="520">
        <v>6</v>
      </c>
      <c r="P11" s="520" t="str">
        <f>VLOOKUP(N11,Source!F:F,1,FALSE)</f>
        <v>Dept. of Conservation and Recreation</v>
      </c>
      <c r="Q11" s="520"/>
      <c r="R11" s="520"/>
      <c r="S11" s="520"/>
      <c r="T11" s="520"/>
      <c r="U11" s="520"/>
      <c r="V11" s="520"/>
      <c r="W11" s="520"/>
      <c r="X11" s="520"/>
      <c r="Y11" s="520"/>
      <c r="Z11" s="520"/>
      <c r="AA11" s="520"/>
      <c r="AB11" s="520"/>
      <c r="AC11" s="520"/>
      <c r="AD11" s="520"/>
      <c r="AE11" s="520"/>
      <c r="AF11" s="520"/>
      <c r="AG11" s="520"/>
      <c r="AH11" s="520"/>
      <c r="AI11" s="520"/>
      <c r="AJ11" s="520"/>
      <c r="AK11" s="520"/>
      <c r="AL11" s="520"/>
      <c r="AM11" s="520"/>
      <c r="AN11" s="520"/>
      <c r="AO11" s="520"/>
      <c r="AP11" s="520"/>
      <c r="AQ11" s="520"/>
      <c r="AR11" s="520"/>
      <c r="AS11" s="520"/>
      <c r="AT11" s="520"/>
      <c r="AU11" s="520"/>
    </row>
    <row r="12" spans="1:47" s="521" customFormat="1" ht="32" x14ac:dyDescent="0.2">
      <c r="A12" s="519" t="str">
        <f t="shared" si="0"/>
        <v>Dept. of Conservation and Recreation7</v>
      </c>
      <c r="B12" s="574" t="s">
        <v>1303</v>
      </c>
      <c r="C12" s="533" t="s">
        <v>1279</v>
      </c>
      <c r="D12" s="530" t="s">
        <v>50</v>
      </c>
      <c r="E12" s="536" t="s">
        <v>50</v>
      </c>
      <c r="F12" s="514" t="s">
        <v>1275</v>
      </c>
      <c r="G12" s="516"/>
      <c r="H12" s="516"/>
      <c r="I12" s="530"/>
      <c r="J12" s="531" t="s">
        <v>1276</v>
      </c>
      <c r="K12" s="531" t="s">
        <v>1276</v>
      </c>
      <c r="L12" s="518" t="s">
        <v>1276</v>
      </c>
      <c r="M12" s="519"/>
      <c r="N12" s="513" t="s">
        <v>98</v>
      </c>
      <c r="O12" s="520">
        <v>7</v>
      </c>
      <c r="P12" s="520" t="str">
        <f>VLOOKUP(N12,Source!F:F,1,FALSE)</f>
        <v>Dept. of Conservation and Recreation</v>
      </c>
      <c r="Q12" s="520"/>
      <c r="R12" s="520"/>
      <c r="S12" s="520"/>
      <c r="T12" s="520"/>
      <c r="U12" s="520"/>
      <c r="V12" s="520"/>
      <c r="W12" s="520"/>
      <c r="X12" s="520"/>
      <c r="Y12" s="520"/>
      <c r="Z12" s="520"/>
      <c r="AA12" s="520"/>
      <c r="AB12" s="520"/>
      <c r="AC12" s="520"/>
      <c r="AD12" s="520"/>
      <c r="AE12" s="520"/>
      <c r="AF12" s="520"/>
      <c r="AG12" s="520"/>
      <c r="AH12" s="520"/>
      <c r="AI12" s="520"/>
      <c r="AJ12" s="520"/>
      <c r="AK12" s="520"/>
      <c r="AL12" s="520"/>
      <c r="AM12" s="520"/>
      <c r="AN12" s="520"/>
      <c r="AO12" s="520"/>
      <c r="AP12" s="520"/>
      <c r="AQ12" s="520"/>
      <c r="AR12" s="520"/>
      <c r="AS12" s="520"/>
      <c r="AT12" s="520"/>
      <c r="AU12" s="520"/>
    </row>
    <row r="13" spans="1:47" s="521" customFormat="1" ht="32" x14ac:dyDescent="0.2">
      <c r="A13" s="519" t="str">
        <f t="shared" si="0"/>
        <v>Dept. of Conservation and Recreation8</v>
      </c>
      <c r="B13" s="575" t="s">
        <v>1304</v>
      </c>
      <c r="C13" s="514" t="s">
        <v>1279</v>
      </c>
      <c r="D13" s="686">
        <v>2.12</v>
      </c>
      <c r="E13" s="534">
        <v>2017</v>
      </c>
      <c r="F13" s="514" t="s">
        <v>1275</v>
      </c>
      <c r="G13" s="537" t="s">
        <v>1277</v>
      </c>
      <c r="H13" s="538" t="s">
        <v>1305</v>
      </c>
      <c r="I13" s="528" t="s">
        <v>1306</v>
      </c>
      <c r="J13" s="524" t="s">
        <v>1307</v>
      </c>
      <c r="K13" s="531" t="s">
        <v>1277</v>
      </c>
      <c r="L13" s="518" t="s">
        <v>1276</v>
      </c>
      <c r="M13" s="519"/>
      <c r="N13" s="513" t="s">
        <v>98</v>
      </c>
      <c r="O13" s="520">
        <v>8</v>
      </c>
      <c r="P13" s="520" t="str">
        <f>VLOOKUP(N13,Source!F:F,1,FALSE)</f>
        <v>Dept. of Conservation and Recreation</v>
      </c>
      <c r="Q13" s="520"/>
      <c r="R13" s="520"/>
      <c r="S13" s="520"/>
      <c r="T13" s="520"/>
      <c r="U13" s="520"/>
      <c r="V13" s="520"/>
      <c r="W13" s="520"/>
      <c r="X13" s="520"/>
      <c r="Y13" s="520"/>
      <c r="Z13" s="520"/>
      <c r="AA13" s="520"/>
      <c r="AB13" s="520"/>
      <c r="AC13" s="520"/>
      <c r="AD13" s="520"/>
      <c r="AE13" s="520"/>
      <c r="AF13" s="520"/>
      <c r="AG13" s="520"/>
      <c r="AH13" s="520"/>
      <c r="AI13" s="520"/>
      <c r="AJ13" s="520"/>
      <c r="AK13" s="520"/>
      <c r="AL13" s="520"/>
      <c r="AM13" s="520"/>
      <c r="AN13" s="520"/>
      <c r="AO13" s="520"/>
      <c r="AP13" s="520"/>
      <c r="AQ13" s="520"/>
      <c r="AR13" s="520"/>
      <c r="AS13" s="520"/>
      <c r="AT13" s="520"/>
      <c r="AU13" s="520"/>
    </row>
    <row r="14" spans="1:47" s="521" customFormat="1" ht="48" x14ac:dyDescent="0.2">
      <c r="A14" s="519" t="str">
        <f t="shared" si="0"/>
        <v>Dept. of Conservation and Recreation9</v>
      </c>
      <c r="B14" s="575" t="s">
        <v>1308</v>
      </c>
      <c r="C14" s="514" t="s">
        <v>1279</v>
      </c>
      <c r="D14" s="686">
        <v>6.5</v>
      </c>
      <c r="E14" s="534">
        <v>2017</v>
      </c>
      <c r="F14" s="514" t="s">
        <v>1275</v>
      </c>
      <c r="G14" s="537" t="s">
        <v>1277</v>
      </c>
      <c r="H14" s="538" t="s">
        <v>1305</v>
      </c>
      <c r="I14" s="528" t="s">
        <v>1309</v>
      </c>
      <c r="J14" s="524" t="s">
        <v>1307</v>
      </c>
      <c r="K14" s="531" t="s">
        <v>1277</v>
      </c>
      <c r="L14" s="518" t="s">
        <v>1276</v>
      </c>
      <c r="M14" s="519"/>
      <c r="N14" s="513" t="s">
        <v>98</v>
      </c>
      <c r="O14" s="520">
        <v>9</v>
      </c>
      <c r="P14" s="520" t="str">
        <f>VLOOKUP(N14,Source!F:F,1,FALSE)</f>
        <v>Dept. of Conservation and Recreation</v>
      </c>
      <c r="Q14" s="520"/>
      <c r="R14" s="520"/>
      <c r="S14" s="520"/>
      <c r="T14" s="520"/>
      <c r="U14" s="520"/>
      <c r="V14" s="520"/>
      <c r="W14" s="520"/>
      <c r="X14" s="520"/>
      <c r="Y14" s="520"/>
      <c r="Z14" s="520"/>
      <c r="AA14" s="520"/>
      <c r="AB14" s="520"/>
      <c r="AC14" s="520"/>
      <c r="AD14" s="520"/>
      <c r="AE14" s="520"/>
      <c r="AF14" s="520"/>
      <c r="AG14" s="520"/>
      <c r="AH14" s="520"/>
      <c r="AI14" s="520"/>
      <c r="AJ14" s="520"/>
      <c r="AK14" s="520"/>
      <c r="AL14" s="520"/>
      <c r="AM14" s="520"/>
      <c r="AN14" s="520"/>
      <c r="AO14" s="520"/>
      <c r="AP14" s="520"/>
      <c r="AQ14" s="520"/>
      <c r="AR14" s="520"/>
      <c r="AS14" s="520"/>
      <c r="AT14" s="520"/>
      <c r="AU14" s="520"/>
    </row>
    <row r="15" spans="1:47" s="541" customFormat="1" ht="98.25" customHeight="1" x14ac:dyDescent="0.2">
      <c r="A15" s="519" t="str">
        <f t="shared" si="0"/>
        <v>Dept. of Conservation and Recreation10</v>
      </c>
      <c r="B15" s="575" t="s">
        <v>1310</v>
      </c>
      <c r="C15" s="514" t="s">
        <v>1284</v>
      </c>
      <c r="D15" s="686">
        <v>35</v>
      </c>
      <c r="E15" s="537">
        <v>2014</v>
      </c>
      <c r="F15" s="514" t="s">
        <v>1275</v>
      </c>
      <c r="G15" s="537" t="s">
        <v>1277</v>
      </c>
      <c r="H15" s="538" t="s">
        <v>1305</v>
      </c>
      <c r="I15" s="528" t="s">
        <v>1311</v>
      </c>
      <c r="J15" s="524" t="s">
        <v>1307</v>
      </c>
      <c r="K15" s="531" t="s">
        <v>1277</v>
      </c>
      <c r="L15" s="518" t="s">
        <v>1276</v>
      </c>
      <c r="M15" s="539" t="s">
        <v>1312</v>
      </c>
      <c r="N15" s="513" t="s">
        <v>98</v>
      </c>
      <c r="O15" s="520">
        <v>10</v>
      </c>
      <c r="P15" s="520" t="str">
        <f>VLOOKUP(N15,Source!F:F,1,FALSE)</f>
        <v>Dept. of Conservation and Recreation</v>
      </c>
      <c r="Q15" s="540"/>
      <c r="R15" s="540"/>
      <c r="S15" s="540"/>
      <c r="T15" s="540"/>
      <c r="U15" s="540"/>
      <c r="V15" s="540"/>
      <c r="W15" s="540"/>
      <c r="X15" s="540"/>
      <c r="Y15" s="540"/>
      <c r="Z15" s="540"/>
      <c r="AA15" s="540"/>
      <c r="AB15" s="540"/>
      <c r="AC15" s="540"/>
      <c r="AD15" s="540"/>
      <c r="AE15" s="540"/>
      <c r="AF15" s="540"/>
      <c r="AG15" s="540"/>
      <c r="AH15" s="540"/>
      <c r="AI15" s="540"/>
      <c r="AJ15" s="540"/>
      <c r="AK15" s="540"/>
      <c r="AL15" s="540"/>
      <c r="AM15" s="540"/>
      <c r="AN15" s="540"/>
      <c r="AO15" s="540"/>
      <c r="AP15" s="540"/>
      <c r="AQ15" s="540"/>
      <c r="AR15" s="540"/>
      <c r="AS15" s="540"/>
      <c r="AT15" s="540"/>
      <c r="AU15" s="540"/>
    </row>
    <row r="16" spans="1:47" s="521" customFormat="1" ht="48" x14ac:dyDescent="0.2">
      <c r="A16" s="519" t="str">
        <f t="shared" si="0"/>
        <v>Dept. of Conservation and Recreation11</v>
      </c>
      <c r="B16" s="576" t="s">
        <v>1313</v>
      </c>
      <c r="C16" s="514" t="s">
        <v>1279</v>
      </c>
      <c r="D16" s="516" t="s">
        <v>1302</v>
      </c>
      <c r="E16" s="516">
        <v>2019</v>
      </c>
      <c r="F16" s="514" t="s">
        <v>1280</v>
      </c>
      <c r="G16" s="514"/>
      <c r="H16" s="514"/>
      <c r="I16" s="528" t="s">
        <v>1314</v>
      </c>
      <c r="J16" s="531" t="s">
        <v>1276</v>
      </c>
      <c r="K16" s="531" t="s">
        <v>1276</v>
      </c>
      <c r="L16" s="518" t="s">
        <v>1276</v>
      </c>
      <c r="M16" s="519"/>
      <c r="N16" s="513" t="s">
        <v>98</v>
      </c>
      <c r="O16" s="520">
        <v>11</v>
      </c>
      <c r="P16" s="520" t="str">
        <f>VLOOKUP(N16,Source!F:F,1,FALSE)</f>
        <v>Dept. of Conservation and Recreation</v>
      </c>
      <c r="Q16" s="520"/>
      <c r="R16" s="520"/>
      <c r="S16" s="520"/>
      <c r="T16" s="520"/>
      <c r="U16" s="520"/>
      <c r="V16" s="520"/>
      <c r="W16" s="520"/>
      <c r="X16" s="520"/>
      <c r="Y16" s="520"/>
      <c r="Z16" s="520"/>
      <c r="AA16" s="520"/>
      <c r="AB16" s="520"/>
      <c r="AC16" s="520"/>
      <c r="AD16" s="520"/>
      <c r="AE16" s="520"/>
      <c r="AF16" s="520"/>
      <c r="AG16" s="520"/>
      <c r="AH16" s="520"/>
      <c r="AI16" s="520"/>
      <c r="AJ16" s="520"/>
      <c r="AK16" s="520"/>
      <c r="AL16" s="520"/>
      <c r="AM16" s="520"/>
      <c r="AN16" s="520"/>
      <c r="AO16" s="520"/>
      <c r="AP16" s="520"/>
      <c r="AQ16" s="520"/>
      <c r="AR16" s="520"/>
      <c r="AS16" s="520"/>
      <c r="AT16" s="520"/>
      <c r="AU16" s="520"/>
    </row>
    <row r="17" spans="1:47" s="521" customFormat="1" ht="48" customHeight="1" x14ac:dyDescent="0.2">
      <c r="A17" s="519" t="str">
        <f t="shared" si="0"/>
        <v>Dept. of Correction1</v>
      </c>
      <c r="B17" s="534" t="s">
        <v>1315</v>
      </c>
      <c r="C17" s="514" t="s">
        <v>1279</v>
      </c>
      <c r="D17" s="515">
        <v>3.5</v>
      </c>
      <c r="E17" s="514">
        <v>2017</v>
      </c>
      <c r="F17" s="514" t="s">
        <v>1275</v>
      </c>
      <c r="G17" s="516" t="s">
        <v>1276</v>
      </c>
      <c r="H17" s="516" t="s">
        <v>1316</v>
      </c>
      <c r="I17" s="542" t="s">
        <v>1317</v>
      </c>
      <c r="J17" s="526" t="s">
        <v>1277</v>
      </c>
      <c r="K17" s="531" t="s">
        <v>1277</v>
      </c>
      <c r="L17" s="518" t="s">
        <v>1276</v>
      </c>
      <c r="M17" s="543" t="s">
        <v>1318</v>
      </c>
      <c r="N17" s="513" t="s">
        <v>99</v>
      </c>
      <c r="O17" s="520">
        <v>1</v>
      </c>
      <c r="P17" s="520" t="str">
        <f>VLOOKUP(N17,Source!F:F,1,FALSE)</f>
        <v>Dept. of Correction</v>
      </c>
      <c r="Q17" s="520"/>
      <c r="R17" s="520"/>
      <c r="S17" s="520"/>
      <c r="T17" s="520"/>
      <c r="U17" s="520"/>
      <c r="V17" s="520"/>
      <c r="W17" s="520"/>
      <c r="X17" s="520"/>
      <c r="Y17" s="520"/>
      <c r="Z17" s="520"/>
      <c r="AA17" s="520"/>
      <c r="AB17" s="520"/>
      <c r="AC17" s="520"/>
      <c r="AD17" s="520"/>
      <c r="AE17" s="520"/>
      <c r="AF17" s="520"/>
      <c r="AG17" s="520"/>
      <c r="AH17" s="520"/>
      <c r="AI17" s="520"/>
      <c r="AJ17" s="520"/>
      <c r="AK17" s="520"/>
      <c r="AL17" s="520"/>
      <c r="AM17" s="520"/>
      <c r="AN17" s="520"/>
      <c r="AO17" s="520"/>
      <c r="AP17" s="520"/>
      <c r="AQ17" s="520"/>
      <c r="AR17" s="520"/>
      <c r="AS17" s="520"/>
      <c r="AT17" s="520"/>
      <c r="AU17" s="520"/>
    </row>
    <row r="18" spans="1:47" s="521" customFormat="1" ht="30" customHeight="1" x14ac:dyDescent="0.2">
      <c r="A18" s="519" t="str">
        <f t="shared" si="0"/>
        <v>Dept. of Correction2</v>
      </c>
      <c r="B18" s="577" t="s">
        <v>1319</v>
      </c>
      <c r="C18" s="537" t="s">
        <v>1279</v>
      </c>
      <c r="D18" s="545">
        <v>2.6</v>
      </c>
      <c r="E18" s="537">
        <v>2017</v>
      </c>
      <c r="F18" s="537" t="s">
        <v>1275</v>
      </c>
      <c r="G18" s="516" t="s">
        <v>1276</v>
      </c>
      <c r="H18" s="516" t="s">
        <v>1316</v>
      </c>
      <c r="I18" s="542" t="s">
        <v>1317</v>
      </c>
      <c r="J18" s="526" t="s">
        <v>1277</v>
      </c>
      <c r="K18" s="531" t="s">
        <v>1277</v>
      </c>
      <c r="L18" s="518" t="s">
        <v>1276</v>
      </c>
      <c r="M18" s="543" t="s">
        <v>1320</v>
      </c>
      <c r="N18" s="513" t="s">
        <v>99</v>
      </c>
      <c r="O18" s="520">
        <v>2</v>
      </c>
      <c r="P18" s="520" t="str">
        <f>VLOOKUP(N18,Source!F:F,1,FALSE)</f>
        <v>Dept. of Correction</v>
      </c>
      <c r="Q18" s="520"/>
      <c r="R18" s="520"/>
      <c r="S18" s="520"/>
      <c r="T18" s="520"/>
      <c r="U18" s="520"/>
      <c r="V18" s="520"/>
      <c r="W18" s="520"/>
      <c r="X18" s="520"/>
      <c r="Y18" s="520"/>
      <c r="Z18" s="520"/>
      <c r="AA18" s="520"/>
      <c r="AB18" s="520"/>
      <c r="AC18" s="520"/>
      <c r="AD18" s="520"/>
      <c r="AE18" s="520"/>
      <c r="AF18" s="520"/>
      <c r="AG18" s="520"/>
      <c r="AH18" s="520"/>
      <c r="AI18" s="520"/>
      <c r="AJ18" s="520"/>
      <c r="AK18" s="520"/>
      <c r="AL18" s="520"/>
      <c r="AM18" s="520"/>
      <c r="AN18" s="520"/>
      <c r="AO18" s="520"/>
      <c r="AP18" s="520"/>
      <c r="AQ18" s="520"/>
      <c r="AR18" s="520"/>
      <c r="AS18" s="520"/>
      <c r="AT18" s="520"/>
      <c r="AU18" s="520"/>
    </row>
    <row r="19" spans="1:47" s="521" customFormat="1" ht="30" customHeight="1" x14ac:dyDescent="0.2">
      <c r="A19" s="519" t="str">
        <f t="shared" si="0"/>
        <v/>
      </c>
      <c r="B19" s="577" t="s">
        <v>1623</v>
      </c>
      <c r="C19" s="537" t="s">
        <v>1290</v>
      </c>
      <c r="D19" s="545" t="s">
        <v>1339</v>
      </c>
      <c r="E19" s="537" t="s">
        <v>1339</v>
      </c>
      <c r="F19" s="537" t="s">
        <v>1340</v>
      </c>
      <c r="G19" s="516"/>
      <c r="H19" s="516"/>
      <c r="I19" s="542"/>
      <c r="J19" s="526"/>
      <c r="K19" s="531"/>
      <c r="L19" s="518"/>
      <c r="M19" s="543"/>
      <c r="N19" s="513"/>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0"/>
      <c r="AL19" s="520"/>
      <c r="AM19" s="520"/>
      <c r="AN19" s="520"/>
      <c r="AO19" s="520"/>
      <c r="AP19" s="520"/>
      <c r="AQ19" s="520"/>
      <c r="AR19" s="520"/>
      <c r="AS19" s="520"/>
      <c r="AT19" s="520"/>
      <c r="AU19" s="520"/>
    </row>
    <row r="20" spans="1:47" s="521" customFormat="1" ht="16" x14ac:dyDescent="0.2">
      <c r="A20" s="519" t="str">
        <f t="shared" si="0"/>
        <v>Dept. of Public Health1</v>
      </c>
      <c r="B20" s="534" t="s">
        <v>451</v>
      </c>
      <c r="C20" s="514" t="s">
        <v>1279</v>
      </c>
      <c r="D20" s="515">
        <v>2.7</v>
      </c>
      <c r="E20" s="514">
        <v>2017</v>
      </c>
      <c r="F20" s="514" t="s">
        <v>1275</v>
      </c>
      <c r="G20" s="514" t="s">
        <v>1277</v>
      </c>
      <c r="H20" s="514" t="s">
        <v>1321</v>
      </c>
      <c r="I20" s="514" t="s">
        <v>1322</v>
      </c>
      <c r="J20" s="526" t="s">
        <v>1277</v>
      </c>
      <c r="K20" s="546" t="s">
        <v>1277</v>
      </c>
      <c r="L20" s="518" t="s">
        <v>1276</v>
      </c>
      <c r="M20" s="547" t="s">
        <v>1323</v>
      </c>
      <c r="N20" s="513" t="s">
        <v>112</v>
      </c>
      <c r="O20" s="520">
        <v>1</v>
      </c>
      <c r="P20" s="520" t="str">
        <f>VLOOKUP(N20,Source!F:F,1,FALSE)</f>
        <v>Dept. of Public Health</v>
      </c>
      <c r="Q20" s="520"/>
      <c r="R20" s="520"/>
      <c r="S20" s="520"/>
      <c r="T20" s="520"/>
      <c r="U20" s="520"/>
      <c r="V20" s="520"/>
      <c r="W20" s="520"/>
      <c r="X20" s="520"/>
      <c r="Y20" s="520"/>
      <c r="Z20" s="520"/>
      <c r="AA20" s="520"/>
      <c r="AB20" s="520"/>
      <c r="AC20" s="520"/>
      <c r="AD20" s="520"/>
      <c r="AE20" s="520"/>
      <c r="AF20" s="520"/>
      <c r="AG20" s="520"/>
      <c r="AH20" s="520"/>
      <c r="AI20" s="520"/>
      <c r="AJ20" s="520"/>
      <c r="AK20" s="520"/>
      <c r="AL20" s="520"/>
      <c r="AM20" s="520"/>
      <c r="AN20" s="520"/>
      <c r="AO20" s="520"/>
      <c r="AP20" s="520"/>
      <c r="AQ20" s="520"/>
      <c r="AR20" s="520"/>
      <c r="AS20" s="520"/>
      <c r="AT20" s="520"/>
      <c r="AU20" s="520"/>
    </row>
    <row r="21" spans="1:47" s="521" customFormat="1" ht="48" x14ac:dyDescent="0.2">
      <c r="A21" s="519" t="str">
        <f t="shared" si="0"/>
        <v>Dept. of Public Health2</v>
      </c>
      <c r="B21" s="534" t="s">
        <v>451</v>
      </c>
      <c r="C21" s="514" t="s">
        <v>1284</v>
      </c>
      <c r="D21" s="515">
        <v>4.25</v>
      </c>
      <c r="E21" s="516">
        <v>2009</v>
      </c>
      <c r="F21" s="514" t="s">
        <v>1275</v>
      </c>
      <c r="G21" s="514" t="s">
        <v>1276</v>
      </c>
      <c r="H21" s="514" t="s">
        <v>1321</v>
      </c>
      <c r="I21" s="514" t="s">
        <v>1324</v>
      </c>
      <c r="J21" s="526" t="s">
        <v>1325</v>
      </c>
      <c r="K21" s="546" t="s">
        <v>1277</v>
      </c>
      <c r="L21" s="518" t="s">
        <v>1276</v>
      </c>
      <c r="M21" s="547"/>
      <c r="N21" s="513" t="s">
        <v>112</v>
      </c>
      <c r="O21" s="520">
        <v>2</v>
      </c>
      <c r="P21" s="520" t="str">
        <f>VLOOKUP(N21,Source!F:F,1,FALSE)</f>
        <v>Dept. of Public Health</v>
      </c>
      <c r="Q21" s="520"/>
      <c r="R21" s="520"/>
      <c r="S21" s="520"/>
      <c r="T21" s="520"/>
      <c r="U21" s="520"/>
      <c r="V21" s="520"/>
      <c r="W21" s="520"/>
      <c r="X21" s="520"/>
      <c r="Y21" s="520"/>
      <c r="Z21" s="520"/>
      <c r="AA21" s="520"/>
      <c r="AB21" s="520"/>
      <c r="AC21" s="520"/>
      <c r="AD21" s="520"/>
      <c r="AE21" s="520"/>
      <c r="AF21" s="520"/>
      <c r="AG21" s="520"/>
      <c r="AH21" s="520"/>
      <c r="AI21" s="520"/>
      <c r="AJ21" s="520"/>
      <c r="AK21" s="520"/>
      <c r="AL21" s="520"/>
      <c r="AM21" s="520"/>
      <c r="AN21" s="520"/>
      <c r="AO21" s="520"/>
      <c r="AP21" s="520"/>
      <c r="AQ21" s="520"/>
      <c r="AR21" s="520"/>
      <c r="AS21" s="520"/>
      <c r="AT21" s="520"/>
      <c r="AU21" s="520"/>
    </row>
    <row r="22" spans="1:47" s="521" customFormat="1" ht="16" x14ac:dyDescent="0.2">
      <c r="A22" s="519" t="str">
        <f t="shared" si="0"/>
        <v>Dept. of State Police1</v>
      </c>
      <c r="B22" s="534" t="s">
        <v>1326</v>
      </c>
      <c r="C22" s="514" t="s">
        <v>1284</v>
      </c>
      <c r="D22" s="515">
        <v>14.7</v>
      </c>
      <c r="E22" s="514">
        <v>2016</v>
      </c>
      <c r="F22" s="514" t="s">
        <v>1275</v>
      </c>
      <c r="G22" s="516"/>
      <c r="H22" s="514" t="s">
        <v>1327</v>
      </c>
      <c r="I22" s="514"/>
      <c r="J22" s="526" t="s">
        <v>1277</v>
      </c>
      <c r="K22" s="531" t="s">
        <v>1277</v>
      </c>
      <c r="L22" s="518" t="s">
        <v>1276</v>
      </c>
      <c r="M22" s="519"/>
      <c r="N22" s="513" t="s">
        <v>113</v>
      </c>
      <c r="O22" s="520">
        <v>1</v>
      </c>
      <c r="P22" s="520" t="str">
        <f>VLOOKUP(N22,Source!F:F,1,FALSE)</f>
        <v>Dept. of State Police</v>
      </c>
      <c r="Q22" s="520"/>
      <c r="R22" s="520"/>
      <c r="S22" s="520"/>
      <c r="T22" s="520"/>
      <c r="U22" s="520"/>
      <c r="V22" s="520"/>
      <c r="W22" s="520"/>
      <c r="X22" s="520"/>
      <c r="Y22" s="520"/>
      <c r="Z22" s="520"/>
      <c r="AA22" s="520"/>
      <c r="AB22" s="520"/>
      <c r="AC22" s="520"/>
      <c r="AD22" s="520"/>
      <c r="AE22" s="520"/>
      <c r="AF22" s="520"/>
      <c r="AG22" s="520"/>
      <c r="AH22" s="520"/>
      <c r="AI22" s="520"/>
      <c r="AJ22" s="520"/>
      <c r="AK22" s="520"/>
      <c r="AL22" s="520"/>
      <c r="AM22" s="520"/>
      <c r="AN22" s="520"/>
      <c r="AO22" s="520"/>
      <c r="AP22" s="520"/>
      <c r="AQ22" s="520"/>
      <c r="AR22" s="520"/>
      <c r="AS22" s="520"/>
      <c r="AT22" s="520"/>
      <c r="AU22" s="520"/>
    </row>
    <row r="23" spans="1:47" s="521" customFormat="1" ht="16" x14ac:dyDescent="0.2">
      <c r="A23" s="519" t="str">
        <f t="shared" si="0"/>
        <v>Dept. of State Police2</v>
      </c>
      <c r="B23" s="534" t="s">
        <v>1326</v>
      </c>
      <c r="C23" s="514" t="s">
        <v>1284</v>
      </c>
      <c r="D23" s="515">
        <v>3.06</v>
      </c>
      <c r="E23" s="514">
        <v>2016</v>
      </c>
      <c r="F23" s="514" t="s">
        <v>1275</v>
      </c>
      <c r="G23" s="516"/>
      <c r="H23" s="514" t="s">
        <v>1327</v>
      </c>
      <c r="I23" s="514"/>
      <c r="J23" s="526" t="s">
        <v>1277</v>
      </c>
      <c r="K23" s="531" t="s">
        <v>1277</v>
      </c>
      <c r="L23" s="518" t="s">
        <v>1276</v>
      </c>
      <c r="M23" s="519"/>
      <c r="N23" s="513" t="s">
        <v>113</v>
      </c>
      <c r="O23" s="520">
        <v>2</v>
      </c>
      <c r="P23" s="520" t="str">
        <f>VLOOKUP(N23,Source!F:F,1,FALSE)</f>
        <v>Dept. of State Police</v>
      </c>
      <c r="Q23" s="520"/>
      <c r="R23" s="520"/>
      <c r="S23" s="520"/>
      <c r="T23" s="520"/>
      <c r="U23" s="520"/>
      <c r="V23" s="520"/>
      <c r="W23" s="520"/>
      <c r="X23" s="520"/>
      <c r="Y23" s="520"/>
      <c r="Z23" s="520"/>
      <c r="AA23" s="520"/>
      <c r="AB23" s="520"/>
      <c r="AC23" s="520"/>
      <c r="AD23" s="520"/>
      <c r="AE23" s="520"/>
      <c r="AF23" s="520"/>
      <c r="AG23" s="520"/>
      <c r="AH23" s="520"/>
      <c r="AI23" s="520"/>
      <c r="AJ23" s="520"/>
      <c r="AK23" s="520"/>
      <c r="AL23" s="520"/>
      <c r="AM23" s="520"/>
      <c r="AN23" s="520"/>
      <c r="AO23" s="520"/>
      <c r="AP23" s="520"/>
      <c r="AQ23" s="520"/>
      <c r="AR23" s="520"/>
      <c r="AS23" s="520"/>
      <c r="AT23" s="520"/>
      <c r="AU23" s="520"/>
    </row>
    <row r="24" spans="1:47" s="521" customFormat="1" ht="96" customHeight="1" x14ac:dyDescent="0.2">
      <c r="A24" s="519" t="str">
        <f t="shared" si="0"/>
        <v>Dept. of Fish and Game1</v>
      </c>
      <c r="B24" s="534" t="s">
        <v>1328</v>
      </c>
      <c r="C24" s="514" t="s">
        <v>1279</v>
      </c>
      <c r="D24" s="515">
        <v>2</v>
      </c>
      <c r="E24" s="514">
        <v>2016</v>
      </c>
      <c r="F24" s="514" t="s">
        <v>1275</v>
      </c>
      <c r="G24" s="516"/>
      <c r="H24" s="538" t="s">
        <v>1329</v>
      </c>
      <c r="I24" s="514" t="s">
        <v>1330</v>
      </c>
      <c r="J24" s="526" t="s">
        <v>1277</v>
      </c>
      <c r="K24" s="531" t="s">
        <v>1277</v>
      </c>
      <c r="L24" s="518" t="s">
        <v>1276</v>
      </c>
      <c r="M24" s="519"/>
      <c r="N24" s="513" t="s">
        <v>110</v>
      </c>
      <c r="O24" s="520">
        <v>1</v>
      </c>
      <c r="P24" s="520" t="str">
        <f>VLOOKUP(N24,Source!F:F,1,FALSE)</f>
        <v>Dept. of Fish and Game</v>
      </c>
      <c r="Q24" s="520"/>
      <c r="R24" s="520"/>
      <c r="S24" s="520"/>
      <c r="T24" s="520"/>
      <c r="U24" s="520"/>
      <c r="V24" s="520"/>
      <c r="W24" s="520"/>
      <c r="X24" s="520"/>
      <c r="Y24" s="520"/>
      <c r="Z24" s="520"/>
      <c r="AA24" s="520"/>
      <c r="AB24" s="520"/>
      <c r="AC24" s="520"/>
      <c r="AD24" s="520"/>
      <c r="AE24" s="520"/>
      <c r="AF24" s="520"/>
      <c r="AG24" s="520"/>
      <c r="AH24" s="520"/>
      <c r="AI24" s="520"/>
      <c r="AJ24" s="520"/>
      <c r="AK24" s="520"/>
      <c r="AL24" s="520"/>
      <c r="AM24" s="520"/>
      <c r="AN24" s="520"/>
      <c r="AO24" s="520"/>
      <c r="AP24" s="520"/>
      <c r="AQ24" s="520"/>
      <c r="AR24" s="520"/>
      <c r="AS24" s="520"/>
      <c r="AT24" s="520"/>
      <c r="AU24" s="520"/>
    </row>
    <row r="25" spans="1:47" s="521" customFormat="1" ht="60" customHeight="1" x14ac:dyDescent="0.2">
      <c r="A25" s="519" t="str">
        <f t="shared" si="0"/>
        <v>Holyoke Comm. College1</v>
      </c>
      <c r="B25" s="534" t="s">
        <v>1331</v>
      </c>
      <c r="C25" s="514" t="s">
        <v>1274</v>
      </c>
      <c r="D25" s="515">
        <v>0.05</v>
      </c>
      <c r="E25" s="514">
        <v>2005</v>
      </c>
      <c r="F25" s="514" t="s">
        <v>1275</v>
      </c>
      <c r="G25" s="516"/>
      <c r="H25" s="516"/>
      <c r="I25" s="516"/>
      <c r="J25" s="526"/>
      <c r="K25" s="531" t="s">
        <v>1277</v>
      </c>
      <c r="L25" s="518" t="s">
        <v>1276</v>
      </c>
      <c r="M25" s="519"/>
      <c r="N25" s="513" t="s">
        <v>150</v>
      </c>
      <c r="O25" s="520">
        <v>1</v>
      </c>
      <c r="P25" s="520" t="str">
        <f>VLOOKUP(N25,Source!F:F,1,FALSE)</f>
        <v>Holyoke Comm. College</v>
      </c>
      <c r="Q25" s="520"/>
      <c r="R25" s="520"/>
      <c r="S25" s="520"/>
      <c r="T25" s="520"/>
      <c r="U25" s="520"/>
      <c r="V25" s="520"/>
      <c r="W25" s="520"/>
      <c r="X25" s="520"/>
      <c r="Y25" s="520"/>
      <c r="Z25" s="520"/>
      <c r="AA25" s="520"/>
      <c r="AB25" s="520"/>
      <c r="AC25" s="520"/>
      <c r="AD25" s="520"/>
      <c r="AE25" s="520"/>
      <c r="AF25" s="520"/>
      <c r="AG25" s="520"/>
      <c r="AH25" s="520"/>
      <c r="AI25" s="520"/>
      <c r="AJ25" s="520"/>
      <c r="AK25" s="520"/>
      <c r="AL25" s="520"/>
      <c r="AM25" s="520"/>
      <c r="AN25" s="520"/>
      <c r="AO25" s="520"/>
      <c r="AP25" s="520"/>
      <c r="AQ25" s="520"/>
      <c r="AR25" s="520"/>
      <c r="AS25" s="520"/>
      <c r="AT25" s="520"/>
      <c r="AU25" s="520"/>
    </row>
    <row r="26" spans="1:47" s="521" customFormat="1" ht="45" customHeight="1" x14ac:dyDescent="0.2">
      <c r="A26" s="519" t="str">
        <f t="shared" si="0"/>
        <v>Mass. Bay Transportation Authority1</v>
      </c>
      <c r="B26" s="577" t="s">
        <v>1332</v>
      </c>
      <c r="C26" s="514" t="s">
        <v>1274</v>
      </c>
      <c r="D26" s="515">
        <v>0.03</v>
      </c>
      <c r="E26" s="514">
        <v>2016</v>
      </c>
      <c r="F26" s="537" t="s">
        <v>1275</v>
      </c>
      <c r="G26" s="516"/>
      <c r="H26" s="537" t="s">
        <v>1333</v>
      </c>
      <c r="I26" s="537" t="s">
        <v>1334</v>
      </c>
      <c r="J26" s="526" t="s">
        <v>1277</v>
      </c>
      <c r="K26" s="531" t="s">
        <v>1277</v>
      </c>
      <c r="L26" s="518" t="s">
        <v>1276</v>
      </c>
      <c r="M26" s="519"/>
      <c r="N26" s="544" t="s">
        <v>1335</v>
      </c>
      <c r="O26" s="520">
        <v>1</v>
      </c>
      <c r="P26" s="520" t="str">
        <f>VLOOKUP(N26,Source!F:F,1,FALSE)</f>
        <v>Mass. Bay Transportation Authority</v>
      </c>
      <c r="Q26" s="520"/>
      <c r="R26" s="520"/>
      <c r="S26" s="520"/>
      <c r="T26" s="520"/>
      <c r="U26" s="520"/>
      <c r="V26" s="520"/>
      <c r="W26" s="520"/>
      <c r="X26" s="520"/>
      <c r="Y26" s="520"/>
      <c r="Z26" s="520"/>
      <c r="AA26" s="520"/>
      <c r="AB26" s="520"/>
      <c r="AC26" s="520"/>
      <c r="AD26" s="520"/>
      <c r="AE26" s="520"/>
      <c r="AF26" s="520"/>
      <c r="AG26" s="520"/>
      <c r="AH26" s="520"/>
      <c r="AI26" s="520"/>
      <c r="AJ26" s="520"/>
      <c r="AK26" s="520"/>
      <c r="AL26" s="520"/>
      <c r="AM26" s="520"/>
      <c r="AN26" s="520"/>
      <c r="AO26" s="520"/>
      <c r="AP26" s="520"/>
      <c r="AQ26" s="520"/>
      <c r="AR26" s="520"/>
      <c r="AS26" s="520"/>
      <c r="AT26" s="520"/>
      <c r="AU26" s="520"/>
    </row>
    <row r="27" spans="1:47" s="521" customFormat="1" ht="45" customHeight="1" x14ac:dyDescent="0.2">
      <c r="A27" s="519" t="str">
        <f t="shared" si="0"/>
        <v>Mass. Bay Transportation Authority2</v>
      </c>
      <c r="B27" s="577" t="s">
        <v>1336</v>
      </c>
      <c r="C27" s="514" t="s">
        <v>1274</v>
      </c>
      <c r="D27" s="515">
        <v>0.05</v>
      </c>
      <c r="E27" s="514">
        <v>2017</v>
      </c>
      <c r="F27" s="537" t="s">
        <v>1275</v>
      </c>
      <c r="G27" s="516"/>
      <c r="H27" s="537" t="s">
        <v>1333</v>
      </c>
      <c r="I27" s="537" t="s">
        <v>1337</v>
      </c>
      <c r="J27" s="526" t="s">
        <v>1277</v>
      </c>
      <c r="K27" s="531" t="s">
        <v>1277</v>
      </c>
      <c r="L27" s="518" t="s">
        <v>1276</v>
      </c>
      <c r="M27" s="519"/>
      <c r="N27" s="544" t="s">
        <v>1335</v>
      </c>
      <c r="O27" s="520">
        <v>2</v>
      </c>
      <c r="P27" s="520" t="str">
        <f>VLOOKUP(N27,Source!F:F,1,FALSE)</f>
        <v>Mass. Bay Transportation Authority</v>
      </c>
      <c r="Q27" s="520"/>
      <c r="R27" s="520"/>
      <c r="S27" s="520"/>
      <c r="T27" s="520"/>
      <c r="U27" s="520"/>
      <c r="V27" s="520"/>
      <c r="W27" s="520"/>
      <c r="X27" s="520"/>
      <c r="Y27" s="520"/>
      <c r="Z27" s="520"/>
      <c r="AA27" s="520"/>
      <c r="AB27" s="520"/>
      <c r="AC27" s="520"/>
      <c r="AD27" s="520"/>
      <c r="AE27" s="520"/>
      <c r="AF27" s="520"/>
      <c r="AG27" s="520"/>
      <c r="AH27" s="520"/>
      <c r="AI27" s="520"/>
      <c r="AJ27" s="520"/>
      <c r="AK27" s="520"/>
      <c r="AL27" s="520"/>
      <c r="AM27" s="520"/>
      <c r="AN27" s="520"/>
      <c r="AO27" s="520"/>
      <c r="AP27" s="520"/>
      <c r="AQ27" s="520"/>
      <c r="AR27" s="520"/>
      <c r="AS27" s="520"/>
      <c r="AT27" s="520"/>
      <c r="AU27" s="520"/>
    </row>
    <row r="28" spans="1:47" s="521" customFormat="1" ht="45" customHeight="1" x14ac:dyDescent="0.2">
      <c r="A28" s="519" t="str">
        <f t="shared" si="0"/>
        <v>Mass. College of Art &amp; Design1</v>
      </c>
      <c r="B28" s="577" t="s">
        <v>1338</v>
      </c>
      <c r="C28" s="514" t="s">
        <v>1290</v>
      </c>
      <c r="D28" s="548" t="s">
        <v>1339</v>
      </c>
      <c r="E28" s="549">
        <v>2019</v>
      </c>
      <c r="F28" s="537" t="s">
        <v>1340</v>
      </c>
      <c r="G28" s="516"/>
      <c r="H28" s="537" t="s">
        <v>1341</v>
      </c>
      <c r="I28" s="537" t="s">
        <v>1342</v>
      </c>
      <c r="J28" s="526"/>
      <c r="K28" s="531" t="s">
        <v>1276</v>
      </c>
      <c r="L28" s="518" t="s">
        <v>1276</v>
      </c>
      <c r="M28" s="519"/>
      <c r="N28" s="544" t="s">
        <v>168</v>
      </c>
      <c r="O28" s="520">
        <v>1</v>
      </c>
      <c r="P28" s="520" t="str">
        <f>VLOOKUP(N28,Source!F:F,1,FALSE)</f>
        <v>Mass. College of Art &amp; Design</v>
      </c>
      <c r="Q28" s="520"/>
      <c r="R28" s="520"/>
      <c r="S28" s="520"/>
      <c r="T28" s="520"/>
      <c r="U28" s="520"/>
      <c r="V28" s="520"/>
      <c r="W28" s="520"/>
      <c r="X28" s="520"/>
      <c r="Y28" s="520"/>
      <c r="Z28" s="520"/>
      <c r="AA28" s="520"/>
      <c r="AB28" s="520"/>
      <c r="AC28" s="520"/>
      <c r="AD28" s="520"/>
      <c r="AE28" s="520"/>
      <c r="AF28" s="520"/>
      <c r="AG28" s="520"/>
      <c r="AH28" s="520"/>
      <c r="AI28" s="520"/>
      <c r="AJ28" s="520"/>
      <c r="AK28" s="520"/>
      <c r="AL28" s="520"/>
      <c r="AM28" s="520"/>
      <c r="AN28" s="520"/>
      <c r="AO28" s="520"/>
      <c r="AP28" s="520"/>
      <c r="AQ28" s="520"/>
      <c r="AR28" s="520"/>
      <c r="AS28" s="520"/>
      <c r="AT28" s="520"/>
      <c r="AU28" s="520"/>
    </row>
    <row r="29" spans="1:47" s="521" customFormat="1" ht="45" customHeight="1" x14ac:dyDescent="0.2">
      <c r="A29" s="519" t="str">
        <f t="shared" si="0"/>
        <v>Mass. College of Liberal Arts1</v>
      </c>
      <c r="B29" s="577" t="s">
        <v>1343</v>
      </c>
      <c r="C29" s="514" t="s">
        <v>1274</v>
      </c>
      <c r="D29" s="515">
        <v>0.01</v>
      </c>
      <c r="E29" s="514">
        <v>2013</v>
      </c>
      <c r="F29" s="537" t="s">
        <v>1275</v>
      </c>
      <c r="G29" s="516"/>
      <c r="H29" s="537"/>
      <c r="I29" s="549" t="s">
        <v>1344</v>
      </c>
      <c r="J29" s="526" t="s">
        <v>1277</v>
      </c>
      <c r="K29" s="531" t="s">
        <v>1277</v>
      </c>
      <c r="L29" s="518" t="s">
        <v>1276</v>
      </c>
      <c r="M29" s="519"/>
      <c r="N29" s="544" t="s">
        <v>173</v>
      </c>
      <c r="O29" s="520">
        <v>1</v>
      </c>
      <c r="P29" s="520" t="str">
        <f>VLOOKUP(N29,Source!F:F,1,FALSE)</f>
        <v>Mass. College of Liberal Arts</v>
      </c>
      <c r="Q29" s="520"/>
      <c r="R29" s="520"/>
      <c r="S29" s="520"/>
      <c r="T29" s="520"/>
      <c r="U29" s="520"/>
      <c r="V29" s="520"/>
      <c r="W29" s="520"/>
      <c r="X29" s="520"/>
      <c r="Y29" s="520"/>
      <c r="Z29" s="520"/>
      <c r="AA29" s="520"/>
      <c r="AB29" s="520"/>
      <c r="AC29" s="520"/>
      <c r="AD29" s="520"/>
      <c r="AE29" s="520"/>
      <c r="AF29" s="520"/>
      <c r="AG29" s="520"/>
      <c r="AH29" s="520"/>
      <c r="AI29" s="520"/>
      <c r="AJ29" s="520"/>
      <c r="AK29" s="520"/>
      <c r="AL29" s="520"/>
      <c r="AM29" s="520"/>
      <c r="AN29" s="520"/>
      <c r="AO29" s="520"/>
      <c r="AP29" s="520"/>
      <c r="AQ29" s="520"/>
      <c r="AR29" s="520"/>
      <c r="AS29" s="520"/>
      <c r="AT29" s="520"/>
      <c r="AU29" s="520"/>
    </row>
    <row r="30" spans="1:47" s="521" customFormat="1" ht="45" customHeight="1" x14ac:dyDescent="0.2">
      <c r="A30" s="519" t="str">
        <f t="shared" si="0"/>
        <v>Mass. College of Liberal Arts2</v>
      </c>
      <c r="B30" s="578" t="s">
        <v>1617</v>
      </c>
      <c r="C30" s="806" t="s">
        <v>1290</v>
      </c>
      <c r="D30" s="525">
        <v>7.0000000000000001E-3</v>
      </c>
      <c r="E30" s="530">
        <v>2019</v>
      </c>
      <c r="F30" s="537" t="s">
        <v>1275</v>
      </c>
      <c r="G30" s="516" t="s">
        <v>50</v>
      </c>
      <c r="H30" s="537" t="s">
        <v>1345</v>
      </c>
      <c r="I30" s="538" t="s">
        <v>1346</v>
      </c>
      <c r="J30" s="526"/>
      <c r="K30" s="527" t="s">
        <v>1276</v>
      </c>
      <c r="L30" s="526" t="s">
        <v>1277</v>
      </c>
      <c r="M30" s="519"/>
      <c r="N30" s="544" t="s">
        <v>173</v>
      </c>
      <c r="O30" s="520">
        <v>2</v>
      </c>
      <c r="P30" s="520" t="str">
        <f>VLOOKUP(N30,Source!F:F,1,FALSE)</f>
        <v>Mass. College of Liberal Arts</v>
      </c>
      <c r="Q30" s="520"/>
      <c r="R30" s="520"/>
      <c r="S30" s="520"/>
      <c r="T30" s="520"/>
      <c r="U30" s="520"/>
      <c r="V30" s="520"/>
      <c r="W30" s="520"/>
      <c r="X30" s="520"/>
      <c r="Y30" s="520"/>
      <c r="Z30" s="520"/>
      <c r="AA30" s="520"/>
      <c r="AB30" s="520"/>
      <c r="AC30" s="520"/>
      <c r="AD30" s="520"/>
      <c r="AE30" s="520"/>
      <c r="AF30" s="520"/>
      <c r="AG30" s="520"/>
      <c r="AH30" s="520"/>
      <c r="AI30" s="520"/>
      <c r="AJ30" s="520"/>
      <c r="AK30" s="520"/>
      <c r="AL30" s="520"/>
      <c r="AM30" s="520"/>
      <c r="AN30" s="520"/>
      <c r="AO30" s="520"/>
      <c r="AP30" s="520"/>
      <c r="AQ30" s="520"/>
      <c r="AR30" s="520"/>
      <c r="AS30" s="520"/>
      <c r="AT30" s="520"/>
      <c r="AU30" s="520"/>
    </row>
    <row r="31" spans="1:47" s="521" customFormat="1" ht="45" customHeight="1" x14ac:dyDescent="0.2">
      <c r="A31" s="519" t="str">
        <f t="shared" si="0"/>
        <v>Mass. College of Liberal Arts3</v>
      </c>
      <c r="B31" s="578" t="s">
        <v>1618</v>
      </c>
      <c r="C31" s="550" t="s">
        <v>1290</v>
      </c>
      <c r="D31" s="525">
        <v>0.1</v>
      </c>
      <c r="E31" s="530">
        <v>2019</v>
      </c>
      <c r="F31" s="537" t="s">
        <v>1275</v>
      </c>
      <c r="G31" s="516"/>
      <c r="H31" s="805"/>
      <c r="I31" s="538"/>
      <c r="J31" s="526"/>
      <c r="K31" s="527"/>
      <c r="L31" s="526"/>
      <c r="M31" s="519"/>
      <c r="N31" s="544" t="s">
        <v>173</v>
      </c>
      <c r="O31" s="520">
        <v>3</v>
      </c>
      <c r="P31" s="520" t="str">
        <f>VLOOKUP(N31,Source!F:F,1,FALSE)</f>
        <v>Mass. College of Liberal Arts</v>
      </c>
      <c r="Q31" s="520"/>
      <c r="R31" s="520"/>
      <c r="S31" s="520"/>
      <c r="T31" s="520"/>
      <c r="U31" s="520"/>
      <c r="V31" s="520"/>
      <c r="W31" s="520"/>
      <c r="X31" s="520"/>
      <c r="Y31" s="520"/>
      <c r="Z31" s="520"/>
      <c r="AA31" s="520"/>
      <c r="AB31" s="520"/>
      <c r="AC31" s="520"/>
      <c r="AD31" s="520"/>
      <c r="AE31" s="520"/>
      <c r="AF31" s="520"/>
      <c r="AG31" s="520"/>
      <c r="AH31" s="520"/>
      <c r="AI31" s="520"/>
      <c r="AJ31" s="520"/>
      <c r="AK31" s="520"/>
      <c r="AL31" s="520"/>
      <c r="AM31" s="520"/>
      <c r="AN31" s="520"/>
      <c r="AO31" s="520"/>
      <c r="AP31" s="520"/>
      <c r="AQ31" s="520"/>
      <c r="AR31" s="520"/>
      <c r="AS31" s="520"/>
      <c r="AT31" s="520"/>
      <c r="AU31" s="520"/>
    </row>
    <row r="32" spans="1:47" s="521" customFormat="1" ht="45" customHeight="1" x14ac:dyDescent="0.2">
      <c r="A32" s="519" t="str">
        <f t="shared" si="0"/>
        <v>Massasoit Comm. College1</v>
      </c>
      <c r="B32" s="534" t="s">
        <v>1347</v>
      </c>
      <c r="C32" s="514" t="s">
        <v>1592</v>
      </c>
      <c r="D32" s="551">
        <f>1.43/2</f>
        <v>0.71499999999999997</v>
      </c>
      <c r="E32" s="514">
        <v>2010</v>
      </c>
      <c r="F32" s="514" t="s">
        <v>1275</v>
      </c>
      <c r="G32" s="514" t="s">
        <v>1277</v>
      </c>
      <c r="H32" s="552" t="s">
        <v>1348</v>
      </c>
      <c r="I32" s="514" t="s">
        <v>1349</v>
      </c>
      <c r="J32" s="526"/>
      <c r="K32" s="518" t="s">
        <v>1277</v>
      </c>
      <c r="L32" s="518" t="s">
        <v>1276</v>
      </c>
      <c r="M32" s="543" t="s">
        <v>1350</v>
      </c>
      <c r="N32" s="513" t="s">
        <v>200</v>
      </c>
      <c r="O32" s="520">
        <v>1</v>
      </c>
      <c r="P32" s="520" t="str">
        <f>VLOOKUP(N32,Source!F:F,1,FALSE)</f>
        <v>Massasoit Comm. College</v>
      </c>
      <c r="Q32" s="520"/>
      <c r="R32" s="520"/>
      <c r="S32" s="520"/>
      <c r="T32" s="520"/>
      <c r="U32" s="520"/>
      <c r="V32" s="520"/>
      <c r="W32" s="520"/>
      <c r="X32" s="520"/>
      <c r="Y32" s="520"/>
      <c r="Z32" s="520"/>
      <c r="AA32" s="520"/>
      <c r="AB32" s="520"/>
      <c r="AC32" s="520"/>
      <c r="AD32" s="520"/>
      <c r="AE32" s="520"/>
      <c r="AF32" s="520"/>
      <c r="AG32" s="520"/>
      <c r="AH32" s="520"/>
      <c r="AI32" s="520"/>
      <c r="AJ32" s="520"/>
      <c r="AK32" s="520"/>
      <c r="AL32" s="520"/>
      <c r="AM32" s="520"/>
      <c r="AN32" s="520"/>
      <c r="AO32" s="520"/>
      <c r="AP32" s="520"/>
      <c r="AQ32" s="520"/>
      <c r="AR32" s="520"/>
      <c r="AS32" s="520"/>
      <c r="AT32" s="520"/>
      <c r="AU32" s="520"/>
    </row>
    <row r="33" spans="1:47" s="521" customFormat="1" ht="45" customHeight="1" x14ac:dyDescent="0.2">
      <c r="A33" s="519" t="str">
        <f t="shared" si="0"/>
        <v>Massasoit Comm. College2</v>
      </c>
      <c r="B33" s="534" t="s">
        <v>1347</v>
      </c>
      <c r="C33" s="514" t="s">
        <v>1284</v>
      </c>
      <c r="D33" s="551">
        <f>1.43/2</f>
        <v>0.71499999999999997</v>
      </c>
      <c r="E33" s="514">
        <v>2010</v>
      </c>
      <c r="F33" s="514" t="s">
        <v>1275</v>
      </c>
      <c r="G33" s="514" t="s">
        <v>1277</v>
      </c>
      <c r="H33" s="552" t="s">
        <v>1348</v>
      </c>
      <c r="I33" s="514" t="s">
        <v>1351</v>
      </c>
      <c r="J33" s="526" t="s">
        <v>1277</v>
      </c>
      <c r="K33" s="518" t="s">
        <v>1277</v>
      </c>
      <c r="L33" s="518" t="s">
        <v>1276</v>
      </c>
      <c r="M33" s="519"/>
      <c r="N33" s="513" t="s">
        <v>200</v>
      </c>
      <c r="O33" s="520">
        <v>2</v>
      </c>
      <c r="P33" s="520" t="str">
        <f>VLOOKUP(N33,Source!F:F,1,FALSE)</f>
        <v>Massasoit Comm. College</v>
      </c>
      <c r="Q33" s="520"/>
      <c r="R33" s="520"/>
      <c r="S33" s="520"/>
      <c r="T33" s="520"/>
      <c r="U33" s="520"/>
      <c r="V33" s="520"/>
      <c r="W33" s="520"/>
      <c r="X33" s="520"/>
      <c r="Y33" s="520"/>
      <c r="Z33" s="520"/>
      <c r="AA33" s="520"/>
      <c r="AB33" s="520"/>
      <c r="AC33" s="520"/>
      <c r="AD33" s="520"/>
      <c r="AE33" s="520"/>
      <c r="AF33" s="520"/>
      <c r="AG33" s="520"/>
      <c r="AH33" s="520"/>
      <c r="AI33" s="520"/>
      <c r="AJ33" s="520"/>
      <c r="AK33" s="520"/>
      <c r="AL33" s="520"/>
      <c r="AM33" s="520"/>
      <c r="AN33" s="520"/>
      <c r="AO33" s="520"/>
      <c r="AP33" s="520"/>
      <c r="AQ33" s="520"/>
      <c r="AR33" s="520"/>
      <c r="AS33" s="520"/>
      <c r="AT33" s="520"/>
      <c r="AU33" s="520"/>
    </row>
    <row r="34" spans="1:47" s="521" customFormat="1" ht="45" customHeight="1" x14ac:dyDescent="0.2">
      <c r="A34" s="519" t="str">
        <f t="shared" si="0"/>
        <v>Massasoit Comm. College3</v>
      </c>
      <c r="B34" s="534" t="s">
        <v>1347</v>
      </c>
      <c r="C34" s="537" t="s">
        <v>1279</v>
      </c>
      <c r="D34" s="545">
        <v>0.41</v>
      </c>
      <c r="E34" s="514">
        <v>2010</v>
      </c>
      <c r="F34" s="537" t="s">
        <v>1275</v>
      </c>
      <c r="G34" s="514" t="s">
        <v>1277</v>
      </c>
      <c r="H34" s="552" t="s">
        <v>1348</v>
      </c>
      <c r="I34" s="514" t="s">
        <v>1351</v>
      </c>
      <c r="J34" s="526" t="s">
        <v>1277</v>
      </c>
      <c r="K34" s="518" t="s">
        <v>1277</v>
      </c>
      <c r="L34" s="518" t="s">
        <v>1276</v>
      </c>
      <c r="M34" s="519"/>
      <c r="N34" s="513" t="s">
        <v>200</v>
      </c>
      <c r="O34" s="520">
        <v>3</v>
      </c>
      <c r="P34" s="520" t="str">
        <f>VLOOKUP(N34,Source!F:F,1,FALSE)</f>
        <v>Massasoit Comm. College</v>
      </c>
      <c r="Q34" s="520"/>
      <c r="R34" s="520"/>
      <c r="S34" s="520"/>
      <c r="T34" s="520"/>
      <c r="U34" s="520"/>
      <c r="V34" s="520"/>
      <c r="W34" s="520"/>
      <c r="X34" s="520"/>
      <c r="Y34" s="520"/>
      <c r="Z34" s="520"/>
      <c r="AA34" s="520"/>
      <c r="AB34" s="520"/>
      <c r="AC34" s="520"/>
      <c r="AD34" s="520"/>
      <c r="AE34" s="520"/>
      <c r="AF34" s="520"/>
      <c r="AG34" s="520"/>
      <c r="AH34" s="520"/>
      <c r="AI34" s="520"/>
      <c r="AJ34" s="520"/>
      <c r="AK34" s="520"/>
      <c r="AL34" s="520"/>
      <c r="AM34" s="520"/>
      <c r="AN34" s="520"/>
      <c r="AO34" s="520"/>
      <c r="AP34" s="520"/>
      <c r="AQ34" s="520"/>
      <c r="AR34" s="520"/>
      <c r="AS34" s="520"/>
      <c r="AT34" s="520"/>
      <c r="AU34" s="520"/>
    </row>
    <row r="35" spans="1:47" s="521" customFormat="1" ht="45" customHeight="1" x14ac:dyDescent="0.2">
      <c r="A35" s="519" t="str">
        <f t="shared" si="0"/>
        <v>Mass. Department of Environmental Protection1</v>
      </c>
      <c r="B35" s="577" t="s">
        <v>449</v>
      </c>
      <c r="C35" s="514" t="s">
        <v>1274</v>
      </c>
      <c r="D35" s="515">
        <v>8.0000000000000002E-3</v>
      </c>
      <c r="E35" s="514">
        <v>2012</v>
      </c>
      <c r="F35" s="537" t="s">
        <v>1275</v>
      </c>
      <c r="G35" s="516"/>
      <c r="H35" s="537"/>
      <c r="I35" s="514" t="s">
        <v>1352</v>
      </c>
      <c r="J35" s="526" t="s">
        <v>1277</v>
      </c>
      <c r="K35" s="518" t="s">
        <v>1277</v>
      </c>
      <c r="L35" s="518" t="s">
        <v>1276</v>
      </c>
      <c r="M35" s="519"/>
      <c r="N35" s="544" t="s">
        <v>448</v>
      </c>
      <c r="O35" s="520">
        <v>1</v>
      </c>
      <c r="P35" s="520" t="str">
        <f>VLOOKUP(N35,Source!F:F,1,FALSE)</f>
        <v>Mass. Department of Environmental Protection</v>
      </c>
      <c r="Q35" s="520"/>
      <c r="R35" s="520"/>
      <c r="S35" s="520"/>
      <c r="T35" s="520"/>
      <c r="U35" s="520"/>
      <c r="V35" s="520"/>
      <c r="W35" s="520"/>
      <c r="X35" s="520"/>
      <c r="Y35" s="520"/>
      <c r="Z35" s="520"/>
      <c r="AA35" s="520"/>
      <c r="AB35" s="520"/>
      <c r="AC35" s="520"/>
      <c r="AD35" s="520"/>
      <c r="AE35" s="520"/>
      <c r="AF35" s="520"/>
      <c r="AG35" s="520"/>
      <c r="AH35" s="520"/>
      <c r="AI35" s="520"/>
      <c r="AJ35" s="520"/>
      <c r="AK35" s="520"/>
      <c r="AL35" s="520"/>
      <c r="AM35" s="520"/>
      <c r="AN35" s="520"/>
      <c r="AO35" s="520"/>
      <c r="AP35" s="520"/>
      <c r="AQ35" s="520"/>
      <c r="AR35" s="520"/>
      <c r="AS35" s="520"/>
      <c r="AT35" s="520"/>
      <c r="AU35" s="520"/>
    </row>
    <row r="36" spans="1:47" s="521" customFormat="1" ht="45" customHeight="1" x14ac:dyDescent="0.2">
      <c r="A36" s="519" t="str">
        <f t="shared" si="0"/>
        <v>MassDOT - Highway &amp; Turnpike Divisions1</v>
      </c>
      <c r="B36" s="577" t="s">
        <v>1353</v>
      </c>
      <c r="C36" s="514" t="s">
        <v>1279</v>
      </c>
      <c r="D36" s="515">
        <v>0.1</v>
      </c>
      <c r="E36" s="514">
        <v>2014</v>
      </c>
      <c r="F36" s="537" t="s">
        <v>1275</v>
      </c>
      <c r="G36" s="514" t="s">
        <v>1276</v>
      </c>
      <c r="H36" s="538" t="s">
        <v>1354</v>
      </c>
      <c r="I36" s="514" t="s">
        <v>1355</v>
      </c>
      <c r="J36" s="526" t="s">
        <v>1277</v>
      </c>
      <c r="K36" s="518" t="s">
        <v>1277</v>
      </c>
      <c r="L36" s="518" t="s">
        <v>1276</v>
      </c>
      <c r="M36" s="519"/>
      <c r="N36" s="544" t="s">
        <v>215</v>
      </c>
      <c r="O36" s="520">
        <v>1</v>
      </c>
      <c r="P36" s="520" t="str">
        <f>VLOOKUP(N36,Source!F:F,1,FALSE)</f>
        <v>MassDOT - Highway &amp; Turnpike Divisions</v>
      </c>
      <c r="Q36" s="520"/>
      <c r="R36" s="520"/>
      <c r="S36" s="520"/>
      <c r="T36" s="520"/>
      <c r="U36" s="520"/>
      <c r="V36" s="520"/>
      <c r="W36" s="520"/>
      <c r="X36" s="520"/>
      <c r="Y36" s="520"/>
      <c r="Z36" s="520"/>
      <c r="AA36" s="520"/>
      <c r="AB36" s="520"/>
      <c r="AC36" s="520"/>
      <c r="AD36" s="520"/>
      <c r="AE36" s="520"/>
      <c r="AF36" s="520"/>
      <c r="AG36" s="520"/>
      <c r="AH36" s="520"/>
      <c r="AI36" s="520"/>
      <c r="AJ36" s="520"/>
      <c r="AK36" s="520"/>
      <c r="AL36" s="520"/>
      <c r="AM36" s="520"/>
      <c r="AN36" s="520"/>
      <c r="AO36" s="520"/>
      <c r="AP36" s="520"/>
      <c r="AQ36" s="520"/>
      <c r="AR36" s="520"/>
      <c r="AS36" s="520"/>
      <c r="AT36" s="520"/>
      <c r="AU36" s="520"/>
    </row>
    <row r="37" spans="1:47" s="521" customFormat="1" ht="45" customHeight="1" x14ac:dyDescent="0.2">
      <c r="A37" s="519" t="str">
        <f t="shared" si="0"/>
        <v>MassDOT - Highway &amp; Turnpike Divisions2</v>
      </c>
      <c r="B37" s="577" t="s">
        <v>1356</v>
      </c>
      <c r="C37" s="514" t="s">
        <v>1279</v>
      </c>
      <c r="D37" s="515">
        <v>7.0000000000000001E-3</v>
      </c>
      <c r="E37" s="514">
        <v>2016</v>
      </c>
      <c r="F37" s="537" t="s">
        <v>1275</v>
      </c>
      <c r="G37" s="514" t="s">
        <v>1276</v>
      </c>
      <c r="H37" s="538" t="s">
        <v>1354</v>
      </c>
      <c r="I37" s="553" t="s">
        <v>1357</v>
      </c>
      <c r="J37" s="526" t="s">
        <v>1277</v>
      </c>
      <c r="K37" s="518" t="s">
        <v>1277</v>
      </c>
      <c r="L37" s="518" t="s">
        <v>1276</v>
      </c>
      <c r="M37" s="554"/>
      <c r="N37" s="544" t="s">
        <v>215</v>
      </c>
      <c r="O37" s="520">
        <v>2</v>
      </c>
      <c r="P37" s="520" t="str">
        <f>VLOOKUP(N37,Source!F:F,1,FALSE)</f>
        <v>MassDOT - Highway &amp; Turnpike Divisions</v>
      </c>
      <c r="Q37" s="520"/>
      <c r="R37" s="520"/>
      <c r="S37" s="520"/>
      <c r="T37" s="520"/>
      <c r="U37" s="520"/>
      <c r="V37" s="520"/>
      <c r="W37" s="520"/>
      <c r="X37" s="520"/>
      <c r="Y37" s="520"/>
      <c r="Z37" s="520"/>
      <c r="AA37" s="520"/>
      <c r="AB37" s="520"/>
      <c r="AC37" s="520"/>
      <c r="AD37" s="520"/>
      <c r="AE37" s="520"/>
      <c r="AF37" s="520"/>
      <c r="AG37" s="520"/>
      <c r="AH37" s="520"/>
      <c r="AI37" s="520"/>
      <c r="AJ37" s="520"/>
      <c r="AK37" s="520"/>
      <c r="AL37" s="520"/>
      <c r="AM37" s="520"/>
      <c r="AN37" s="520"/>
      <c r="AO37" s="520"/>
      <c r="AP37" s="520"/>
      <c r="AQ37" s="520"/>
      <c r="AR37" s="520"/>
      <c r="AS37" s="520"/>
      <c r="AT37" s="520"/>
      <c r="AU37" s="520"/>
    </row>
    <row r="38" spans="1:47" s="521" customFormat="1" ht="45" customHeight="1" x14ac:dyDescent="0.2">
      <c r="A38" s="519" t="str">
        <f t="shared" si="0"/>
        <v>MassDOT - Highway &amp; Turnpike Divisions3</v>
      </c>
      <c r="B38" s="577" t="s">
        <v>1358</v>
      </c>
      <c r="C38" s="514" t="s">
        <v>1279</v>
      </c>
      <c r="D38" s="515">
        <v>1</v>
      </c>
      <c r="E38" s="514">
        <v>2014</v>
      </c>
      <c r="F38" s="537" t="s">
        <v>1275</v>
      </c>
      <c r="G38" s="514" t="s">
        <v>1277</v>
      </c>
      <c r="H38" s="538" t="s">
        <v>1354</v>
      </c>
      <c r="I38" s="553" t="s">
        <v>1359</v>
      </c>
      <c r="J38" s="526" t="s">
        <v>1277</v>
      </c>
      <c r="K38" s="518" t="s">
        <v>1277</v>
      </c>
      <c r="L38" s="518" t="s">
        <v>1276</v>
      </c>
      <c r="M38" s="554"/>
      <c r="N38" s="544" t="s">
        <v>215</v>
      </c>
      <c r="O38" s="520">
        <v>3</v>
      </c>
      <c r="P38" s="520" t="str">
        <f>VLOOKUP(N38,Source!F:F,1,FALSE)</f>
        <v>MassDOT - Highway &amp; Turnpike Divisions</v>
      </c>
      <c r="Q38" s="520"/>
      <c r="R38" s="520"/>
      <c r="S38" s="520"/>
      <c r="T38" s="520"/>
      <c r="U38" s="520"/>
      <c r="V38" s="520"/>
      <c r="W38" s="520"/>
      <c r="X38" s="520"/>
      <c r="Y38" s="520"/>
      <c r="Z38" s="520"/>
      <c r="AA38" s="520"/>
      <c r="AB38" s="520"/>
      <c r="AC38" s="520"/>
      <c r="AD38" s="520"/>
      <c r="AE38" s="520"/>
      <c r="AF38" s="520"/>
      <c r="AG38" s="520"/>
      <c r="AH38" s="520"/>
      <c r="AI38" s="520"/>
      <c r="AJ38" s="520"/>
      <c r="AK38" s="520"/>
      <c r="AL38" s="520"/>
      <c r="AM38" s="520"/>
      <c r="AN38" s="520"/>
      <c r="AO38" s="520"/>
      <c r="AP38" s="520"/>
      <c r="AQ38" s="520"/>
      <c r="AR38" s="520"/>
      <c r="AS38" s="520"/>
      <c r="AT38" s="520"/>
      <c r="AU38" s="520"/>
    </row>
    <row r="39" spans="1:47" s="521" customFormat="1" ht="45" customHeight="1" x14ac:dyDescent="0.2">
      <c r="A39" s="519" t="str">
        <f t="shared" si="0"/>
        <v>MassDOT - Highway &amp; Turnpike Divisions4</v>
      </c>
      <c r="B39" s="577" t="s">
        <v>1360</v>
      </c>
      <c r="C39" s="514" t="s">
        <v>1279</v>
      </c>
      <c r="D39" s="515">
        <v>0.5</v>
      </c>
      <c r="E39" s="514">
        <v>2013</v>
      </c>
      <c r="F39" s="537" t="s">
        <v>1275</v>
      </c>
      <c r="G39" s="514" t="s">
        <v>1276</v>
      </c>
      <c r="H39" s="538" t="s">
        <v>1354</v>
      </c>
      <c r="I39" s="553" t="s">
        <v>1359</v>
      </c>
      <c r="J39" s="526" t="s">
        <v>1277</v>
      </c>
      <c r="K39" s="518" t="s">
        <v>1277</v>
      </c>
      <c r="L39" s="518" t="s">
        <v>1276</v>
      </c>
      <c r="M39" s="554"/>
      <c r="N39" s="544" t="s">
        <v>215</v>
      </c>
      <c r="O39" s="520">
        <v>4</v>
      </c>
      <c r="P39" s="520" t="str">
        <f>VLOOKUP(N39,Source!F:F,1,FALSE)</f>
        <v>MassDOT - Highway &amp; Turnpike Divisions</v>
      </c>
      <c r="Q39" s="520"/>
      <c r="R39" s="520"/>
      <c r="S39" s="520"/>
      <c r="T39" s="520"/>
      <c r="U39" s="520"/>
      <c r="V39" s="520"/>
      <c r="W39" s="520"/>
      <c r="X39" s="520"/>
      <c r="Y39" s="520"/>
      <c r="Z39" s="520"/>
      <c r="AA39" s="520"/>
      <c r="AB39" s="520"/>
      <c r="AC39" s="520"/>
      <c r="AD39" s="520"/>
      <c r="AE39" s="520"/>
      <c r="AF39" s="520"/>
      <c r="AG39" s="520"/>
      <c r="AH39" s="520"/>
      <c r="AI39" s="520"/>
      <c r="AJ39" s="520"/>
      <c r="AK39" s="520"/>
      <c r="AL39" s="520"/>
      <c r="AM39" s="520"/>
      <c r="AN39" s="520"/>
      <c r="AO39" s="520"/>
      <c r="AP39" s="520"/>
      <c r="AQ39" s="520"/>
      <c r="AR39" s="520"/>
      <c r="AS39" s="520"/>
      <c r="AT39" s="520"/>
      <c r="AU39" s="520"/>
    </row>
    <row r="40" spans="1:47" s="521" customFormat="1" ht="45" customHeight="1" x14ac:dyDescent="0.2">
      <c r="A40" s="519" t="str">
        <f t="shared" si="0"/>
        <v>MassDOT - Highway &amp; Turnpike Divisions5</v>
      </c>
      <c r="B40" s="577" t="s">
        <v>1361</v>
      </c>
      <c r="C40" s="514" t="s">
        <v>1279</v>
      </c>
      <c r="D40" s="515">
        <v>2</v>
      </c>
      <c r="E40" s="514">
        <v>2006</v>
      </c>
      <c r="F40" s="537" t="s">
        <v>1275</v>
      </c>
      <c r="G40" s="514" t="s">
        <v>1276</v>
      </c>
      <c r="H40" s="538" t="s">
        <v>1354</v>
      </c>
      <c r="I40" s="514" t="s">
        <v>1362</v>
      </c>
      <c r="J40" s="526" t="s">
        <v>1277</v>
      </c>
      <c r="K40" s="518" t="s">
        <v>1277</v>
      </c>
      <c r="L40" s="518" t="s">
        <v>1276</v>
      </c>
      <c r="M40" s="554"/>
      <c r="N40" s="544" t="s">
        <v>215</v>
      </c>
      <c r="O40" s="520">
        <v>5</v>
      </c>
      <c r="P40" s="520" t="str">
        <f>VLOOKUP(N40,Source!F:F,1,FALSE)</f>
        <v>MassDOT - Highway &amp; Turnpike Divisions</v>
      </c>
      <c r="Q40" s="520"/>
      <c r="R40" s="520"/>
      <c r="S40" s="520"/>
      <c r="T40" s="520"/>
      <c r="U40" s="520"/>
      <c r="V40" s="520"/>
      <c r="W40" s="520"/>
      <c r="X40" s="520"/>
      <c r="Y40" s="520"/>
      <c r="Z40" s="520"/>
      <c r="AA40" s="520"/>
      <c r="AB40" s="520"/>
      <c r="AC40" s="520"/>
      <c r="AD40" s="520"/>
      <c r="AE40" s="520"/>
      <c r="AF40" s="520"/>
      <c r="AG40" s="520"/>
      <c r="AH40" s="520"/>
      <c r="AI40" s="520"/>
      <c r="AJ40" s="520"/>
      <c r="AK40" s="520"/>
      <c r="AL40" s="520"/>
      <c r="AM40" s="520"/>
      <c r="AN40" s="520"/>
      <c r="AO40" s="520"/>
      <c r="AP40" s="520"/>
      <c r="AQ40" s="520"/>
      <c r="AR40" s="520"/>
      <c r="AS40" s="520"/>
      <c r="AT40" s="520"/>
      <c r="AU40" s="520"/>
    </row>
    <row r="41" spans="1:47" s="521" customFormat="1" ht="45" customHeight="1" x14ac:dyDescent="0.2">
      <c r="A41" s="519" t="str">
        <f t="shared" si="0"/>
        <v>MassDOT - Highway &amp; Turnpike Divisions6</v>
      </c>
      <c r="B41" s="577" t="s">
        <v>1363</v>
      </c>
      <c r="C41" s="514" t="s">
        <v>1279</v>
      </c>
      <c r="D41" s="525" t="s">
        <v>1364</v>
      </c>
      <c r="E41" s="514">
        <v>2002</v>
      </c>
      <c r="F41" s="537" t="s">
        <v>1275</v>
      </c>
      <c r="G41" s="514" t="s">
        <v>1276</v>
      </c>
      <c r="H41" s="538" t="s">
        <v>1354</v>
      </c>
      <c r="I41" s="553" t="s">
        <v>1359</v>
      </c>
      <c r="J41" s="526" t="s">
        <v>1277</v>
      </c>
      <c r="K41" s="518" t="s">
        <v>1277</v>
      </c>
      <c r="L41" s="518" t="s">
        <v>1276</v>
      </c>
      <c r="M41" s="554"/>
      <c r="N41" s="544" t="s">
        <v>215</v>
      </c>
      <c r="O41" s="520">
        <v>6</v>
      </c>
      <c r="P41" s="520" t="str">
        <f>VLOOKUP(N41,Source!F:F,1,FALSE)</f>
        <v>MassDOT - Highway &amp; Turnpike Divisions</v>
      </c>
      <c r="Q41" s="520"/>
      <c r="R41" s="520"/>
      <c r="S41" s="520"/>
      <c r="T41" s="520"/>
      <c r="U41" s="520"/>
      <c r="V41" s="520"/>
      <c r="W41" s="520"/>
      <c r="X41" s="520"/>
      <c r="Y41" s="520"/>
      <c r="Z41" s="520"/>
      <c r="AA41" s="520"/>
      <c r="AB41" s="520"/>
      <c r="AC41" s="520"/>
      <c r="AD41" s="520"/>
      <c r="AE41" s="520"/>
      <c r="AF41" s="520"/>
      <c r="AG41" s="520"/>
      <c r="AH41" s="520"/>
      <c r="AI41" s="520"/>
      <c r="AJ41" s="520"/>
      <c r="AK41" s="520"/>
      <c r="AL41" s="520"/>
      <c r="AM41" s="520"/>
      <c r="AN41" s="520"/>
      <c r="AO41" s="520"/>
      <c r="AP41" s="520"/>
      <c r="AQ41" s="520"/>
      <c r="AR41" s="520"/>
      <c r="AS41" s="520"/>
      <c r="AT41" s="520"/>
      <c r="AU41" s="520"/>
    </row>
    <row r="42" spans="1:47" s="521" customFormat="1" ht="45" customHeight="1" x14ac:dyDescent="0.2">
      <c r="A42" s="519" t="str">
        <f t="shared" si="0"/>
        <v>MassDOT - Highway &amp; Turnpike Divisions7</v>
      </c>
      <c r="B42" s="577" t="s">
        <v>1365</v>
      </c>
      <c r="C42" s="514" t="s">
        <v>1279</v>
      </c>
      <c r="D42" s="515">
        <v>0.5</v>
      </c>
      <c r="E42" s="514">
        <v>2016</v>
      </c>
      <c r="F42" s="537" t="s">
        <v>1275</v>
      </c>
      <c r="G42" s="514" t="s">
        <v>1276</v>
      </c>
      <c r="H42" s="538" t="s">
        <v>1354</v>
      </c>
      <c r="I42" s="553" t="s">
        <v>1359</v>
      </c>
      <c r="J42" s="526" t="s">
        <v>1277</v>
      </c>
      <c r="K42" s="518" t="s">
        <v>1277</v>
      </c>
      <c r="L42" s="518" t="s">
        <v>1276</v>
      </c>
      <c r="M42" s="554"/>
      <c r="N42" s="544" t="s">
        <v>215</v>
      </c>
      <c r="O42" s="520">
        <v>7</v>
      </c>
      <c r="P42" s="520" t="str">
        <f>VLOOKUP(N42,Source!F:F,1,FALSE)</f>
        <v>MassDOT - Highway &amp; Turnpike Divisions</v>
      </c>
      <c r="Q42" s="520"/>
      <c r="R42" s="520"/>
      <c r="S42" s="520"/>
      <c r="T42" s="520"/>
      <c r="U42" s="520"/>
      <c r="V42" s="520"/>
      <c r="W42" s="520"/>
      <c r="X42" s="520"/>
      <c r="Y42" s="520"/>
      <c r="Z42" s="520"/>
      <c r="AA42" s="520"/>
      <c r="AB42" s="520"/>
      <c r="AC42" s="520"/>
      <c r="AD42" s="520"/>
      <c r="AE42" s="520"/>
      <c r="AF42" s="520"/>
      <c r="AG42" s="520"/>
      <c r="AH42" s="520"/>
      <c r="AI42" s="520"/>
      <c r="AJ42" s="520"/>
      <c r="AK42" s="520"/>
      <c r="AL42" s="520"/>
      <c r="AM42" s="520"/>
      <c r="AN42" s="520"/>
      <c r="AO42" s="520"/>
      <c r="AP42" s="520"/>
      <c r="AQ42" s="520"/>
      <c r="AR42" s="520"/>
      <c r="AS42" s="520"/>
      <c r="AT42" s="520"/>
      <c r="AU42" s="520"/>
    </row>
    <row r="43" spans="1:47" s="521" customFormat="1" ht="45" customHeight="1" x14ac:dyDescent="0.2">
      <c r="A43" s="519" t="str">
        <f t="shared" si="0"/>
        <v>MassDOT - Highway &amp; Turnpike Divisions8</v>
      </c>
      <c r="B43" s="577" t="s">
        <v>1366</v>
      </c>
      <c r="C43" s="514" t="s">
        <v>1279</v>
      </c>
      <c r="D43" s="515">
        <v>1</v>
      </c>
      <c r="E43" s="514">
        <v>2011</v>
      </c>
      <c r="F43" s="537" t="s">
        <v>1275</v>
      </c>
      <c r="G43" s="514" t="s">
        <v>1276</v>
      </c>
      <c r="H43" s="538" t="s">
        <v>1354</v>
      </c>
      <c r="I43" s="553" t="s">
        <v>1359</v>
      </c>
      <c r="J43" s="526" t="s">
        <v>1277</v>
      </c>
      <c r="K43" s="518" t="s">
        <v>1277</v>
      </c>
      <c r="L43" s="518" t="s">
        <v>1276</v>
      </c>
      <c r="M43" s="554"/>
      <c r="N43" s="544" t="s">
        <v>215</v>
      </c>
      <c r="O43" s="520">
        <v>8</v>
      </c>
      <c r="P43" s="520" t="str">
        <f>VLOOKUP(N43,Source!F:F,1,FALSE)</f>
        <v>MassDOT - Highway &amp; Turnpike Divisions</v>
      </c>
      <c r="Q43" s="520"/>
      <c r="R43" s="520"/>
      <c r="S43" s="520"/>
      <c r="T43" s="520"/>
      <c r="U43" s="520"/>
      <c r="V43" s="520"/>
      <c r="W43" s="520"/>
      <c r="X43" s="520"/>
      <c r="Y43" s="520"/>
      <c r="Z43" s="520"/>
      <c r="AA43" s="520"/>
      <c r="AB43" s="520"/>
      <c r="AC43" s="520"/>
      <c r="AD43" s="520"/>
      <c r="AE43" s="520"/>
      <c r="AF43" s="520"/>
      <c r="AG43" s="520"/>
      <c r="AH43" s="520"/>
      <c r="AI43" s="520"/>
      <c r="AJ43" s="520"/>
      <c r="AK43" s="520"/>
      <c r="AL43" s="520"/>
      <c r="AM43" s="520"/>
      <c r="AN43" s="520"/>
      <c r="AO43" s="520"/>
      <c r="AP43" s="520"/>
      <c r="AQ43" s="520"/>
      <c r="AR43" s="520"/>
      <c r="AS43" s="520"/>
      <c r="AT43" s="520"/>
      <c r="AU43" s="520"/>
    </row>
    <row r="44" spans="1:47" s="521" customFormat="1" ht="45" customHeight="1" x14ac:dyDescent="0.2">
      <c r="A44" s="519" t="str">
        <f t="shared" si="0"/>
        <v>MassDOT - Highway &amp; Turnpike Divisions9</v>
      </c>
      <c r="B44" s="577" t="s">
        <v>1367</v>
      </c>
      <c r="C44" s="514" t="s">
        <v>1279</v>
      </c>
      <c r="D44" s="515">
        <v>1.5</v>
      </c>
      <c r="E44" s="514">
        <v>2016</v>
      </c>
      <c r="F44" s="537" t="s">
        <v>1275</v>
      </c>
      <c r="G44" s="516"/>
      <c r="H44" s="538" t="s">
        <v>1354</v>
      </c>
      <c r="I44" s="514" t="s">
        <v>1368</v>
      </c>
      <c r="J44" s="526" t="s">
        <v>1277</v>
      </c>
      <c r="K44" s="518" t="s">
        <v>1277</v>
      </c>
      <c r="L44" s="518" t="s">
        <v>1276</v>
      </c>
      <c r="M44" s="519"/>
      <c r="N44" s="544" t="s">
        <v>215</v>
      </c>
      <c r="O44" s="520">
        <v>9</v>
      </c>
      <c r="P44" s="520" t="str">
        <f>VLOOKUP(N44,Source!F:F,1,FALSE)</f>
        <v>MassDOT - Highway &amp; Turnpike Divisions</v>
      </c>
      <c r="Q44" s="520"/>
      <c r="R44" s="520"/>
      <c r="S44" s="520"/>
      <c r="T44" s="520"/>
      <c r="U44" s="520"/>
      <c r="V44" s="520"/>
      <c r="W44" s="520"/>
      <c r="X44" s="520"/>
      <c r="Y44" s="520"/>
      <c r="Z44" s="520"/>
      <c r="AA44" s="520"/>
      <c r="AB44" s="520"/>
      <c r="AC44" s="520"/>
      <c r="AD44" s="520"/>
      <c r="AE44" s="520"/>
      <c r="AF44" s="520"/>
      <c r="AG44" s="520"/>
      <c r="AH44" s="520"/>
      <c r="AI44" s="520"/>
      <c r="AJ44" s="520"/>
      <c r="AK44" s="520"/>
      <c r="AL44" s="520"/>
      <c r="AM44" s="520"/>
      <c r="AN44" s="520"/>
      <c r="AO44" s="520"/>
      <c r="AP44" s="520"/>
      <c r="AQ44" s="520"/>
      <c r="AR44" s="520"/>
      <c r="AS44" s="520"/>
      <c r="AT44" s="520"/>
      <c r="AU44" s="520"/>
    </row>
    <row r="45" spans="1:47" s="521" customFormat="1" ht="45" customHeight="1" x14ac:dyDescent="0.2">
      <c r="A45" s="519" t="str">
        <f t="shared" si="0"/>
        <v>MassDOT - Highway &amp; Turnpike Divisions10</v>
      </c>
      <c r="B45" s="577" t="s">
        <v>1369</v>
      </c>
      <c r="C45" s="514" t="s">
        <v>1279</v>
      </c>
      <c r="D45" s="555" t="s">
        <v>1339</v>
      </c>
      <c r="E45" s="514">
        <v>2019</v>
      </c>
      <c r="F45" s="537" t="s">
        <v>1340</v>
      </c>
      <c r="G45" s="514" t="s">
        <v>1276</v>
      </c>
      <c r="H45" s="538" t="s">
        <v>1354</v>
      </c>
      <c r="I45" s="687" t="s">
        <v>1370</v>
      </c>
      <c r="J45" s="518" t="s">
        <v>1276</v>
      </c>
      <c r="K45" s="518" t="s">
        <v>1276</v>
      </c>
      <c r="L45" s="518" t="s">
        <v>1276</v>
      </c>
      <c r="M45" s="519"/>
      <c r="N45" s="544" t="s">
        <v>215</v>
      </c>
      <c r="O45" s="520">
        <v>10</v>
      </c>
      <c r="P45" s="520" t="str">
        <f>VLOOKUP(N45,Source!F:F,1,FALSE)</f>
        <v>MassDOT - Highway &amp; Turnpike Divisions</v>
      </c>
      <c r="Q45" s="520"/>
      <c r="R45" s="520"/>
      <c r="S45" s="520"/>
      <c r="T45" s="520"/>
      <c r="U45" s="520"/>
      <c r="V45" s="520"/>
      <c r="W45" s="520"/>
      <c r="X45" s="520"/>
      <c r="Y45" s="520"/>
      <c r="Z45" s="520"/>
      <c r="AA45" s="520"/>
      <c r="AB45" s="520"/>
      <c r="AC45" s="520"/>
      <c r="AD45" s="520"/>
      <c r="AE45" s="520"/>
      <c r="AF45" s="520"/>
      <c r="AG45" s="520"/>
      <c r="AH45" s="520"/>
      <c r="AI45" s="520"/>
      <c r="AJ45" s="520"/>
      <c r="AK45" s="520"/>
      <c r="AL45" s="520"/>
      <c r="AM45" s="520"/>
      <c r="AN45" s="520"/>
      <c r="AO45" s="520"/>
      <c r="AP45" s="520"/>
      <c r="AQ45" s="520"/>
      <c r="AR45" s="520"/>
      <c r="AS45" s="520"/>
      <c r="AT45" s="520"/>
      <c r="AU45" s="520"/>
    </row>
    <row r="46" spans="1:47" s="521" customFormat="1" ht="45" customHeight="1" x14ac:dyDescent="0.2">
      <c r="A46" s="519" t="str">
        <f t="shared" si="0"/>
        <v>MassDOT - Highway &amp; Turnpike Divisions11</v>
      </c>
      <c r="B46" s="577" t="s">
        <v>1371</v>
      </c>
      <c r="C46" s="514" t="s">
        <v>1284</v>
      </c>
      <c r="D46" s="1260">
        <v>12</v>
      </c>
      <c r="E46" s="514">
        <v>2015</v>
      </c>
      <c r="F46" s="537" t="s">
        <v>1275</v>
      </c>
      <c r="G46" s="516"/>
      <c r="H46" s="538" t="s">
        <v>1354</v>
      </c>
      <c r="I46" s="1263" t="s">
        <v>1372</v>
      </c>
      <c r="J46" s="526" t="s">
        <v>1277</v>
      </c>
      <c r="K46" s="518" t="s">
        <v>1277</v>
      </c>
      <c r="L46" s="518" t="s">
        <v>1276</v>
      </c>
      <c r="M46" s="519"/>
      <c r="N46" s="544" t="s">
        <v>215</v>
      </c>
      <c r="O46" s="520">
        <v>11</v>
      </c>
      <c r="P46" s="520" t="str">
        <f>VLOOKUP(N46,Source!F:F,1,FALSE)</f>
        <v>MassDOT - Highway &amp; Turnpike Divisions</v>
      </c>
      <c r="Q46" s="520"/>
      <c r="R46" s="520"/>
      <c r="S46" s="520"/>
      <c r="T46" s="520"/>
      <c r="U46" s="520"/>
      <c r="V46" s="520"/>
      <c r="W46" s="520"/>
      <c r="X46" s="520"/>
      <c r="Y46" s="520"/>
      <c r="Z46" s="520"/>
      <c r="AA46" s="520"/>
      <c r="AB46" s="520"/>
      <c r="AC46" s="520"/>
      <c r="AD46" s="520"/>
      <c r="AE46" s="520"/>
      <c r="AF46" s="520"/>
      <c r="AG46" s="520"/>
      <c r="AH46" s="520"/>
      <c r="AI46" s="520"/>
      <c r="AJ46" s="520"/>
      <c r="AK46" s="520"/>
      <c r="AL46" s="520"/>
      <c r="AM46" s="520"/>
      <c r="AN46" s="520"/>
      <c r="AO46" s="520"/>
      <c r="AP46" s="520"/>
      <c r="AQ46" s="520"/>
      <c r="AR46" s="520"/>
      <c r="AS46" s="520"/>
      <c r="AT46" s="520"/>
      <c r="AU46" s="520"/>
    </row>
    <row r="47" spans="1:47" s="521" customFormat="1" ht="45" customHeight="1" x14ac:dyDescent="0.2">
      <c r="A47" s="519" t="str">
        <f t="shared" si="0"/>
        <v>MassDOT - Highway &amp; Turnpike Divisions12</v>
      </c>
      <c r="B47" s="579" t="s">
        <v>1373</v>
      </c>
      <c r="C47" s="514" t="s">
        <v>1284</v>
      </c>
      <c r="D47" s="1261"/>
      <c r="E47" s="514">
        <v>2015</v>
      </c>
      <c r="F47" s="537" t="s">
        <v>1275</v>
      </c>
      <c r="G47" s="516"/>
      <c r="H47" s="538" t="s">
        <v>1354</v>
      </c>
      <c r="I47" s="1264"/>
      <c r="J47" s="526" t="s">
        <v>1277</v>
      </c>
      <c r="K47" s="518" t="s">
        <v>1277</v>
      </c>
      <c r="L47" s="518" t="s">
        <v>1276</v>
      </c>
      <c r="M47" s="519"/>
      <c r="N47" s="544" t="s">
        <v>215</v>
      </c>
      <c r="O47" s="520">
        <v>12</v>
      </c>
      <c r="P47" s="520" t="str">
        <f>VLOOKUP(N47,Source!F:F,1,FALSE)</f>
        <v>MassDOT - Highway &amp; Turnpike Divisions</v>
      </c>
      <c r="Q47" s="520"/>
      <c r="R47" s="520"/>
      <c r="S47" s="520"/>
      <c r="T47" s="520"/>
      <c r="U47" s="520"/>
      <c r="V47" s="520"/>
      <c r="W47" s="520"/>
      <c r="X47" s="520"/>
      <c r="Y47" s="520"/>
      <c r="Z47" s="520"/>
      <c r="AA47" s="520"/>
      <c r="AB47" s="520"/>
      <c r="AC47" s="520"/>
      <c r="AD47" s="520"/>
      <c r="AE47" s="520"/>
      <c r="AF47" s="520"/>
      <c r="AG47" s="520"/>
      <c r="AH47" s="520"/>
      <c r="AI47" s="520"/>
      <c r="AJ47" s="520"/>
      <c r="AK47" s="520"/>
      <c r="AL47" s="520"/>
      <c r="AM47" s="520"/>
      <c r="AN47" s="520"/>
      <c r="AO47" s="520"/>
      <c r="AP47" s="520"/>
      <c r="AQ47" s="520"/>
      <c r="AR47" s="520"/>
      <c r="AS47" s="520"/>
      <c r="AT47" s="520"/>
      <c r="AU47" s="520"/>
    </row>
    <row r="48" spans="1:47" s="521" customFormat="1" ht="45" customHeight="1" x14ac:dyDescent="0.2">
      <c r="A48" s="519" t="str">
        <f t="shared" si="0"/>
        <v>MassDOT - Highway &amp; Turnpike Divisions13</v>
      </c>
      <c r="B48" s="579" t="s">
        <v>1374</v>
      </c>
      <c r="C48" s="514" t="s">
        <v>1284</v>
      </c>
      <c r="D48" s="1261"/>
      <c r="E48" s="514">
        <v>2015</v>
      </c>
      <c r="F48" s="537" t="s">
        <v>1275</v>
      </c>
      <c r="G48" s="516"/>
      <c r="H48" s="538" t="s">
        <v>1354</v>
      </c>
      <c r="I48" s="1264"/>
      <c r="J48" s="526" t="s">
        <v>1277</v>
      </c>
      <c r="K48" s="518" t="s">
        <v>1277</v>
      </c>
      <c r="L48" s="518" t="s">
        <v>1276</v>
      </c>
      <c r="M48" s="519"/>
      <c r="N48" s="544" t="s">
        <v>215</v>
      </c>
      <c r="O48" s="520">
        <v>13</v>
      </c>
      <c r="P48" s="520" t="str">
        <f>VLOOKUP(N48,Source!F:F,1,FALSE)</f>
        <v>MassDOT - Highway &amp; Turnpike Divisions</v>
      </c>
      <c r="Q48" s="520"/>
      <c r="R48" s="520"/>
      <c r="S48" s="520"/>
      <c r="T48" s="520"/>
      <c r="U48" s="520"/>
      <c r="V48" s="520"/>
      <c r="W48" s="520"/>
      <c r="X48" s="520"/>
      <c r="Y48" s="520"/>
      <c r="Z48" s="520"/>
      <c r="AA48" s="520"/>
      <c r="AB48" s="520"/>
      <c r="AC48" s="520"/>
      <c r="AD48" s="520"/>
      <c r="AE48" s="520"/>
      <c r="AF48" s="520"/>
      <c r="AG48" s="520"/>
      <c r="AH48" s="520"/>
      <c r="AI48" s="520"/>
      <c r="AJ48" s="520"/>
      <c r="AK48" s="520"/>
      <c r="AL48" s="520"/>
      <c r="AM48" s="520"/>
      <c r="AN48" s="520"/>
      <c r="AO48" s="520"/>
      <c r="AP48" s="520"/>
      <c r="AQ48" s="520"/>
      <c r="AR48" s="520"/>
      <c r="AS48" s="520"/>
      <c r="AT48" s="520"/>
      <c r="AU48" s="520"/>
    </row>
    <row r="49" spans="1:47" s="521" customFormat="1" ht="45" customHeight="1" x14ac:dyDescent="0.2">
      <c r="A49" s="519" t="str">
        <f t="shared" si="0"/>
        <v>MassDOT - Highway &amp; Turnpike Divisions14</v>
      </c>
      <c r="B49" s="579" t="s">
        <v>1375</v>
      </c>
      <c r="C49" s="514" t="s">
        <v>1284</v>
      </c>
      <c r="D49" s="1262"/>
      <c r="E49" s="514">
        <v>2011</v>
      </c>
      <c r="F49" s="537" t="s">
        <v>1275</v>
      </c>
      <c r="G49" s="516"/>
      <c r="H49" s="538" t="s">
        <v>1354</v>
      </c>
      <c r="I49" s="1265"/>
      <c r="J49" s="526" t="s">
        <v>1277</v>
      </c>
      <c r="K49" s="518" t="s">
        <v>1277</v>
      </c>
      <c r="L49" s="518" t="s">
        <v>1276</v>
      </c>
      <c r="M49" s="519"/>
      <c r="N49" s="544" t="s">
        <v>215</v>
      </c>
      <c r="O49" s="520">
        <v>14</v>
      </c>
      <c r="P49" s="520" t="str">
        <f>VLOOKUP(N49,Source!F:F,1,FALSE)</f>
        <v>MassDOT - Highway &amp; Turnpike Divisions</v>
      </c>
      <c r="Q49" s="520"/>
      <c r="R49" s="520"/>
      <c r="S49" s="520"/>
      <c r="T49" s="520"/>
      <c r="U49" s="520"/>
      <c r="V49" s="520"/>
      <c r="W49" s="520"/>
      <c r="X49" s="520"/>
      <c r="Y49" s="520"/>
      <c r="Z49" s="520"/>
      <c r="AA49" s="520"/>
      <c r="AB49" s="520"/>
      <c r="AC49" s="520"/>
      <c r="AD49" s="520"/>
      <c r="AE49" s="520"/>
      <c r="AF49" s="520"/>
      <c r="AG49" s="520"/>
      <c r="AH49" s="520"/>
      <c r="AI49" s="520"/>
      <c r="AJ49" s="520"/>
      <c r="AK49" s="520"/>
      <c r="AL49" s="520"/>
      <c r="AM49" s="520"/>
      <c r="AN49" s="520"/>
      <c r="AO49" s="520"/>
      <c r="AP49" s="520"/>
      <c r="AQ49" s="520"/>
      <c r="AR49" s="520"/>
      <c r="AS49" s="520"/>
      <c r="AT49" s="520"/>
      <c r="AU49" s="520"/>
    </row>
    <row r="50" spans="1:47" s="521" customFormat="1" ht="45" customHeight="1" x14ac:dyDescent="0.2">
      <c r="A50" s="519" t="str">
        <f t="shared" si="0"/>
        <v>MassDOT - Highway &amp; Turnpike Divisions15</v>
      </c>
      <c r="B50" s="577" t="s">
        <v>1376</v>
      </c>
      <c r="C50" s="514" t="s">
        <v>1284</v>
      </c>
      <c r="D50" s="1260">
        <v>3</v>
      </c>
      <c r="E50" s="514">
        <v>2008</v>
      </c>
      <c r="F50" s="537" t="s">
        <v>1275</v>
      </c>
      <c r="G50" s="516"/>
      <c r="H50" s="538" t="s">
        <v>1354</v>
      </c>
      <c r="I50" s="1263" t="s">
        <v>1377</v>
      </c>
      <c r="J50" s="526" t="s">
        <v>1277</v>
      </c>
      <c r="K50" s="518" t="s">
        <v>1277</v>
      </c>
      <c r="L50" s="518" t="s">
        <v>1276</v>
      </c>
      <c r="M50" s="519"/>
      <c r="N50" s="544" t="s">
        <v>215</v>
      </c>
      <c r="O50" s="520">
        <v>15</v>
      </c>
      <c r="P50" s="520" t="str">
        <f>VLOOKUP(N50,Source!F:F,1,FALSE)</f>
        <v>MassDOT - Highway &amp; Turnpike Divisions</v>
      </c>
      <c r="Q50" s="520"/>
      <c r="R50" s="520"/>
      <c r="S50" s="520"/>
      <c r="T50" s="520"/>
      <c r="U50" s="520"/>
      <c r="V50" s="520"/>
      <c r="W50" s="520"/>
      <c r="X50" s="520"/>
      <c r="Y50" s="520"/>
      <c r="Z50" s="520"/>
      <c r="AA50" s="520"/>
      <c r="AB50" s="520"/>
      <c r="AC50" s="520"/>
      <c r="AD50" s="520"/>
      <c r="AE50" s="520"/>
      <c r="AF50" s="520"/>
      <c r="AG50" s="520"/>
      <c r="AH50" s="520"/>
      <c r="AI50" s="520"/>
      <c r="AJ50" s="520"/>
      <c r="AK50" s="520"/>
      <c r="AL50" s="520"/>
      <c r="AM50" s="520"/>
      <c r="AN50" s="520"/>
      <c r="AO50" s="520"/>
      <c r="AP50" s="520"/>
      <c r="AQ50" s="520"/>
      <c r="AR50" s="520"/>
      <c r="AS50" s="520"/>
      <c r="AT50" s="520"/>
      <c r="AU50" s="520"/>
    </row>
    <row r="51" spans="1:47" s="521" customFormat="1" ht="45" customHeight="1" x14ac:dyDescent="0.2">
      <c r="A51" s="519" t="str">
        <f t="shared" si="0"/>
        <v>MassDOT - Highway &amp; Turnpike Divisions16</v>
      </c>
      <c r="B51" s="577" t="s">
        <v>1378</v>
      </c>
      <c r="C51" s="514" t="s">
        <v>1284</v>
      </c>
      <c r="D51" s="1261"/>
      <c r="E51" s="514">
        <v>2015</v>
      </c>
      <c r="F51" s="537" t="s">
        <v>1275</v>
      </c>
      <c r="G51" s="516"/>
      <c r="H51" s="538" t="s">
        <v>1354</v>
      </c>
      <c r="I51" s="1264"/>
      <c r="J51" s="526" t="s">
        <v>1277</v>
      </c>
      <c r="K51" s="518" t="s">
        <v>1277</v>
      </c>
      <c r="L51" s="518" t="s">
        <v>1276</v>
      </c>
      <c r="M51" s="519"/>
      <c r="N51" s="544" t="s">
        <v>215</v>
      </c>
      <c r="O51" s="520">
        <v>16</v>
      </c>
      <c r="P51" s="520" t="str">
        <f>VLOOKUP(N51,Source!F:F,1,FALSE)</f>
        <v>MassDOT - Highway &amp; Turnpike Divisions</v>
      </c>
      <c r="Q51" s="520"/>
      <c r="R51" s="520"/>
      <c r="S51" s="520"/>
      <c r="T51" s="520"/>
      <c r="U51" s="520"/>
      <c r="V51" s="520"/>
      <c r="W51" s="520"/>
      <c r="X51" s="520"/>
      <c r="Y51" s="520"/>
      <c r="Z51" s="520"/>
      <c r="AA51" s="520"/>
      <c r="AB51" s="520"/>
      <c r="AC51" s="520"/>
      <c r="AD51" s="520"/>
      <c r="AE51" s="520"/>
      <c r="AF51" s="520"/>
      <c r="AG51" s="520"/>
      <c r="AH51" s="520"/>
      <c r="AI51" s="520"/>
      <c r="AJ51" s="520"/>
      <c r="AK51" s="520"/>
      <c r="AL51" s="520"/>
      <c r="AM51" s="520"/>
      <c r="AN51" s="520"/>
      <c r="AO51" s="520"/>
      <c r="AP51" s="520"/>
      <c r="AQ51" s="520"/>
      <c r="AR51" s="520"/>
      <c r="AS51" s="520"/>
      <c r="AT51" s="520"/>
      <c r="AU51" s="520"/>
    </row>
    <row r="52" spans="1:47" s="521" customFormat="1" ht="45" customHeight="1" x14ac:dyDescent="0.2">
      <c r="A52" s="519" t="str">
        <f t="shared" si="0"/>
        <v>MassDOT - Highway &amp; Turnpike Divisions17</v>
      </c>
      <c r="B52" s="577" t="s">
        <v>1379</v>
      </c>
      <c r="C52" s="514" t="s">
        <v>1284</v>
      </c>
      <c r="D52" s="1262"/>
      <c r="E52" s="514">
        <v>2008</v>
      </c>
      <c r="F52" s="537" t="s">
        <v>1275</v>
      </c>
      <c r="G52" s="516"/>
      <c r="H52" s="538" t="s">
        <v>1354</v>
      </c>
      <c r="I52" s="1265"/>
      <c r="J52" s="526" t="s">
        <v>1277</v>
      </c>
      <c r="K52" s="518" t="s">
        <v>1277</v>
      </c>
      <c r="L52" s="518" t="s">
        <v>1276</v>
      </c>
      <c r="M52" s="519"/>
      <c r="N52" s="544" t="s">
        <v>215</v>
      </c>
      <c r="O52" s="520">
        <v>17</v>
      </c>
      <c r="P52" s="520" t="str">
        <f>VLOOKUP(N52,Source!F:F,1,FALSE)</f>
        <v>MassDOT - Highway &amp; Turnpike Divisions</v>
      </c>
      <c r="Q52" s="520"/>
      <c r="R52" s="520"/>
      <c r="S52" s="520"/>
      <c r="T52" s="520"/>
      <c r="U52" s="520"/>
      <c r="V52" s="520"/>
      <c r="W52" s="520"/>
      <c r="X52" s="520"/>
      <c r="Y52" s="520"/>
      <c r="Z52" s="520"/>
      <c r="AA52" s="520"/>
      <c r="AB52" s="520"/>
      <c r="AC52" s="520"/>
      <c r="AD52" s="520"/>
      <c r="AE52" s="520"/>
      <c r="AF52" s="520"/>
      <c r="AG52" s="520"/>
      <c r="AH52" s="520"/>
      <c r="AI52" s="520"/>
      <c r="AJ52" s="520"/>
      <c r="AK52" s="520"/>
      <c r="AL52" s="520"/>
      <c r="AM52" s="520"/>
      <c r="AN52" s="520"/>
      <c r="AO52" s="520"/>
      <c r="AP52" s="520"/>
      <c r="AQ52" s="520"/>
      <c r="AR52" s="520"/>
      <c r="AS52" s="520"/>
      <c r="AT52" s="520"/>
      <c r="AU52" s="520"/>
    </row>
    <row r="53" spans="1:47" s="521" customFormat="1" ht="45" customHeight="1" x14ac:dyDescent="0.2">
      <c r="A53" s="519" t="str">
        <f t="shared" si="0"/>
        <v>MassDOT - Highway &amp; Turnpike Divisions18</v>
      </c>
      <c r="B53" s="577" t="s">
        <v>1380</v>
      </c>
      <c r="C53" s="514" t="s">
        <v>1284</v>
      </c>
      <c r="D53" s="515">
        <v>5</v>
      </c>
      <c r="E53" s="514">
        <v>2015</v>
      </c>
      <c r="F53" s="537" t="s">
        <v>1275</v>
      </c>
      <c r="G53" s="514" t="s">
        <v>1277</v>
      </c>
      <c r="H53" s="538" t="s">
        <v>1354</v>
      </c>
      <c r="I53" s="514" t="s">
        <v>1381</v>
      </c>
      <c r="J53" s="526" t="s">
        <v>1277</v>
      </c>
      <c r="K53" s="518" t="s">
        <v>1277</v>
      </c>
      <c r="L53" s="518" t="s">
        <v>1276</v>
      </c>
      <c r="M53" s="519"/>
      <c r="N53" s="544" t="s">
        <v>215</v>
      </c>
      <c r="O53" s="520">
        <v>18</v>
      </c>
      <c r="P53" s="520" t="str">
        <f>VLOOKUP(N53,Source!F:F,1,FALSE)</f>
        <v>MassDOT - Highway &amp; Turnpike Divisions</v>
      </c>
      <c r="Q53" s="520"/>
      <c r="R53" s="520"/>
      <c r="S53" s="520"/>
      <c r="T53" s="520"/>
      <c r="U53" s="520"/>
      <c r="V53" s="520"/>
      <c r="W53" s="520"/>
      <c r="X53" s="520"/>
      <c r="Y53" s="520"/>
      <c r="Z53" s="520"/>
      <c r="AA53" s="520"/>
      <c r="AB53" s="520"/>
      <c r="AC53" s="520"/>
      <c r="AD53" s="520"/>
      <c r="AE53" s="520"/>
      <c r="AF53" s="520"/>
      <c r="AG53" s="520"/>
      <c r="AH53" s="520"/>
      <c r="AI53" s="520"/>
      <c r="AJ53" s="520"/>
      <c r="AK53" s="520"/>
      <c r="AL53" s="520"/>
      <c r="AM53" s="520"/>
      <c r="AN53" s="520"/>
      <c r="AO53" s="520"/>
      <c r="AP53" s="520"/>
      <c r="AQ53" s="520"/>
      <c r="AR53" s="520"/>
      <c r="AS53" s="520"/>
      <c r="AT53" s="520"/>
      <c r="AU53" s="520"/>
    </row>
    <row r="54" spans="1:47" s="521" customFormat="1" ht="45" customHeight="1" x14ac:dyDescent="0.2">
      <c r="A54" s="519" t="str">
        <f t="shared" si="0"/>
        <v>MassDOT - Highway &amp; Turnpike Divisions19</v>
      </c>
      <c r="B54" s="577" t="s">
        <v>1382</v>
      </c>
      <c r="C54" s="514" t="s">
        <v>1284</v>
      </c>
      <c r="D54" s="525" t="s">
        <v>50</v>
      </c>
      <c r="E54" s="514">
        <v>2011</v>
      </c>
      <c r="F54" s="537" t="s">
        <v>1275</v>
      </c>
      <c r="G54" s="516"/>
      <c r="H54" s="538" t="s">
        <v>1354</v>
      </c>
      <c r="I54" s="514" t="s">
        <v>1383</v>
      </c>
      <c r="J54" s="526" t="s">
        <v>1277</v>
      </c>
      <c r="K54" s="518" t="s">
        <v>1277</v>
      </c>
      <c r="L54" s="518" t="s">
        <v>1276</v>
      </c>
      <c r="M54" s="519"/>
      <c r="N54" s="544" t="s">
        <v>215</v>
      </c>
      <c r="O54" s="520">
        <v>19</v>
      </c>
      <c r="P54" s="520" t="str">
        <f>VLOOKUP(N54,Source!F:F,1,FALSE)</f>
        <v>MassDOT - Highway &amp; Turnpike Divisions</v>
      </c>
      <c r="Q54" s="520"/>
      <c r="R54" s="520"/>
      <c r="S54" s="520"/>
      <c r="T54" s="520"/>
      <c r="U54" s="520"/>
      <c r="V54" s="520"/>
      <c r="W54" s="520"/>
      <c r="X54" s="520"/>
      <c r="Y54" s="520"/>
      <c r="Z54" s="520"/>
      <c r="AA54" s="520"/>
      <c r="AB54" s="520"/>
      <c r="AC54" s="520"/>
      <c r="AD54" s="520"/>
      <c r="AE54" s="520"/>
      <c r="AF54" s="520"/>
      <c r="AG54" s="520"/>
      <c r="AH54" s="520"/>
      <c r="AI54" s="520"/>
      <c r="AJ54" s="520"/>
      <c r="AK54" s="520"/>
      <c r="AL54" s="520"/>
      <c r="AM54" s="520"/>
      <c r="AN54" s="520"/>
      <c r="AO54" s="520"/>
      <c r="AP54" s="520"/>
      <c r="AQ54" s="520"/>
      <c r="AR54" s="520"/>
      <c r="AS54" s="520"/>
      <c r="AT54" s="520"/>
      <c r="AU54" s="520"/>
    </row>
    <row r="55" spans="1:47" s="521" customFormat="1" ht="45" customHeight="1" x14ac:dyDescent="0.2">
      <c r="A55" s="519" t="s">
        <v>730</v>
      </c>
      <c r="B55" s="577" t="s">
        <v>1614</v>
      </c>
      <c r="C55" s="514" t="s">
        <v>1290</v>
      </c>
      <c r="D55" s="525" t="s">
        <v>1339</v>
      </c>
      <c r="E55" s="514" t="s">
        <v>1339</v>
      </c>
      <c r="F55" s="537" t="s">
        <v>1615</v>
      </c>
      <c r="G55" s="516"/>
      <c r="H55" s="538"/>
      <c r="I55" s="514" t="s">
        <v>1616</v>
      </c>
      <c r="J55" s="526"/>
      <c r="K55" s="518"/>
      <c r="L55" s="518"/>
      <c r="M55" s="519"/>
      <c r="N55" s="544"/>
      <c r="O55" s="520"/>
      <c r="P55" s="520"/>
      <c r="Q55" s="520"/>
      <c r="R55" s="520"/>
      <c r="S55" s="520"/>
      <c r="T55" s="520"/>
      <c r="U55" s="520"/>
      <c r="V55" s="520"/>
      <c r="W55" s="520"/>
      <c r="X55" s="520"/>
      <c r="Y55" s="520"/>
      <c r="Z55" s="520"/>
      <c r="AA55" s="520"/>
      <c r="AB55" s="520"/>
      <c r="AC55" s="520"/>
      <c r="AD55" s="520"/>
      <c r="AE55" s="520"/>
      <c r="AF55" s="520"/>
      <c r="AG55" s="520"/>
      <c r="AH55" s="520"/>
      <c r="AI55" s="520"/>
      <c r="AJ55" s="520"/>
      <c r="AK55" s="520"/>
      <c r="AL55" s="520"/>
      <c r="AM55" s="520"/>
      <c r="AN55" s="520"/>
      <c r="AO55" s="520"/>
      <c r="AP55" s="520"/>
      <c r="AQ55" s="520"/>
      <c r="AR55" s="520"/>
      <c r="AS55" s="520"/>
      <c r="AT55" s="520"/>
      <c r="AU55" s="520"/>
    </row>
    <row r="56" spans="1:47" s="521" customFormat="1" ht="45" customHeight="1" x14ac:dyDescent="0.2">
      <c r="A56" s="519" t="str">
        <f t="shared" si="0"/>
        <v>Mass. Water Resources Authority1</v>
      </c>
      <c r="B56" s="534" t="s">
        <v>1384</v>
      </c>
      <c r="C56" s="514" t="s">
        <v>1279</v>
      </c>
      <c r="D56" s="525" t="s">
        <v>50</v>
      </c>
      <c r="E56" s="516" t="s">
        <v>50</v>
      </c>
      <c r="F56" s="514" t="s">
        <v>1275</v>
      </c>
      <c r="G56" s="516"/>
      <c r="H56" s="524" t="s">
        <v>196</v>
      </c>
      <c r="I56" s="530" t="s">
        <v>1385</v>
      </c>
      <c r="J56" s="531" t="s">
        <v>1276</v>
      </c>
      <c r="K56" s="518" t="s">
        <v>1276</v>
      </c>
      <c r="L56" s="518" t="s">
        <v>1276</v>
      </c>
      <c r="M56" s="519"/>
      <c r="N56" s="544" t="s">
        <v>191</v>
      </c>
      <c r="O56" s="520">
        <v>1</v>
      </c>
      <c r="P56" s="520" t="str">
        <f>VLOOKUP(N56,Source!F:F,1,FALSE)</f>
        <v>Mass. Water Resources Authority</v>
      </c>
      <c r="Q56" s="520"/>
      <c r="R56" s="520"/>
      <c r="S56" s="520"/>
      <c r="T56" s="520"/>
      <c r="U56" s="520"/>
      <c r="V56" s="520"/>
      <c r="W56" s="520"/>
      <c r="X56" s="520"/>
      <c r="Y56" s="520"/>
      <c r="Z56" s="520"/>
      <c r="AA56" s="520"/>
      <c r="AB56" s="520"/>
      <c r="AC56" s="520"/>
      <c r="AD56" s="520"/>
      <c r="AE56" s="520"/>
      <c r="AF56" s="520"/>
      <c r="AG56" s="520"/>
      <c r="AH56" s="520"/>
      <c r="AI56" s="520"/>
      <c r="AJ56" s="520"/>
      <c r="AK56" s="520"/>
      <c r="AL56" s="520"/>
      <c r="AM56" s="520"/>
      <c r="AN56" s="520"/>
      <c r="AO56" s="520"/>
      <c r="AP56" s="520"/>
      <c r="AQ56" s="520"/>
      <c r="AR56" s="520"/>
      <c r="AS56" s="520"/>
      <c r="AT56" s="520"/>
      <c r="AU56" s="520"/>
    </row>
    <row r="57" spans="1:47" s="521" customFormat="1" ht="45" customHeight="1" x14ac:dyDescent="0.2">
      <c r="A57" s="519" t="str">
        <f t="shared" si="0"/>
        <v>Mass. Water Resources Authority2</v>
      </c>
      <c r="B57" s="536" t="s">
        <v>1339</v>
      </c>
      <c r="C57" s="514" t="s">
        <v>1284</v>
      </c>
      <c r="D57" s="525" t="s">
        <v>50</v>
      </c>
      <c r="E57" s="516" t="s">
        <v>50</v>
      </c>
      <c r="F57" s="514" t="s">
        <v>1275</v>
      </c>
      <c r="G57" s="516"/>
      <c r="H57" s="524" t="s">
        <v>196</v>
      </c>
      <c r="I57" s="530" t="s">
        <v>1385</v>
      </c>
      <c r="J57" s="531" t="s">
        <v>1276</v>
      </c>
      <c r="K57" s="518" t="s">
        <v>1276</v>
      </c>
      <c r="L57" s="518" t="s">
        <v>1276</v>
      </c>
      <c r="M57" s="519"/>
      <c r="N57" s="544" t="s">
        <v>191</v>
      </c>
      <c r="O57" s="520">
        <v>2</v>
      </c>
      <c r="P57" s="520" t="str">
        <f>VLOOKUP(N57,Source!F:F,1,FALSE)</f>
        <v>Mass. Water Resources Authority</v>
      </c>
      <c r="Q57" s="520"/>
      <c r="R57" s="520"/>
      <c r="S57" s="520"/>
      <c r="T57" s="520"/>
      <c r="U57" s="520"/>
      <c r="V57" s="520"/>
      <c r="W57" s="520"/>
      <c r="X57" s="520"/>
      <c r="Y57" s="520"/>
      <c r="Z57" s="520"/>
      <c r="AA57" s="520"/>
      <c r="AB57" s="520"/>
      <c r="AC57" s="520"/>
      <c r="AD57" s="520"/>
      <c r="AE57" s="520"/>
      <c r="AF57" s="520"/>
      <c r="AG57" s="520"/>
      <c r="AH57" s="520"/>
      <c r="AI57" s="520"/>
      <c r="AJ57" s="520"/>
      <c r="AK57" s="520"/>
      <c r="AL57" s="520"/>
      <c r="AM57" s="520"/>
      <c r="AN57" s="520"/>
      <c r="AO57" s="520"/>
      <c r="AP57" s="520"/>
      <c r="AQ57" s="520"/>
      <c r="AR57" s="520"/>
      <c r="AS57" s="520"/>
      <c r="AT57" s="520"/>
      <c r="AU57" s="520"/>
    </row>
    <row r="58" spans="1:47" s="521" customFormat="1" ht="45" customHeight="1" x14ac:dyDescent="0.2">
      <c r="A58" s="519" t="str">
        <f t="shared" si="0"/>
        <v>North Shore Comm. College1</v>
      </c>
      <c r="B58" s="577" t="s">
        <v>1386</v>
      </c>
      <c r="C58" s="514" t="s">
        <v>1274</v>
      </c>
      <c r="D58" s="515">
        <v>0.03</v>
      </c>
      <c r="E58" s="514">
        <v>2011</v>
      </c>
      <c r="F58" s="537" t="s">
        <v>1275</v>
      </c>
      <c r="G58" s="516"/>
      <c r="H58" s="538" t="s">
        <v>245</v>
      </c>
      <c r="I58" s="537"/>
      <c r="J58" s="556" t="s">
        <v>1277</v>
      </c>
      <c r="K58" s="531" t="s">
        <v>1277</v>
      </c>
      <c r="L58" s="518" t="s">
        <v>1276</v>
      </c>
      <c r="M58" s="519"/>
      <c r="N58" s="544" t="s">
        <v>240</v>
      </c>
      <c r="O58" s="520">
        <v>1</v>
      </c>
      <c r="P58" s="520" t="str">
        <f>VLOOKUP(N58,Source!F:F,1,FALSE)</f>
        <v>North Shore Comm. College</v>
      </c>
      <c r="Q58" s="520"/>
      <c r="R58" s="520"/>
      <c r="S58" s="520"/>
      <c r="T58" s="520"/>
      <c r="U58" s="520"/>
      <c r="V58" s="520"/>
      <c r="W58" s="520"/>
      <c r="X58" s="520"/>
      <c r="Y58" s="520"/>
      <c r="Z58" s="520"/>
      <c r="AA58" s="520"/>
      <c r="AB58" s="520"/>
      <c r="AC58" s="520"/>
      <c r="AD58" s="520"/>
      <c r="AE58" s="520"/>
      <c r="AF58" s="520"/>
      <c r="AG58" s="520"/>
      <c r="AH58" s="520"/>
      <c r="AI58" s="520"/>
      <c r="AJ58" s="520"/>
      <c r="AK58" s="520"/>
      <c r="AL58" s="520"/>
      <c r="AM58" s="520"/>
      <c r="AN58" s="520"/>
      <c r="AO58" s="520"/>
      <c r="AP58" s="520"/>
      <c r="AQ58" s="520"/>
      <c r="AR58" s="520"/>
      <c r="AS58" s="520"/>
      <c r="AT58" s="520"/>
      <c r="AU58" s="520"/>
    </row>
    <row r="59" spans="1:47" s="521" customFormat="1" ht="45" customHeight="1" x14ac:dyDescent="0.2">
      <c r="A59" s="519" t="str">
        <f t="shared" si="0"/>
        <v>North Shore Comm. College2</v>
      </c>
      <c r="B59" s="577" t="s">
        <v>1633</v>
      </c>
      <c r="C59" s="514" t="s">
        <v>1634</v>
      </c>
      <c r="D59" s="515">
        <v>1</v>
      </c>
      <c r="E59" s="514">
        <v>2012</v>
      </c>
      <c r="F59" s="537" t="s">
        <v>1275</v>
      </c>
      <c r="G59" s="516"/>
      <c r="H59" s="538"/>
      <c r="I59" s="537"/>
      <c r="J59" s="556"/>
      <c r="K59" s="531"/>
      <c r="L59" s="518"/>
      <c r="M59" s="519"/>
      <c r="N59" s="544" t="s">
        <v>240</v>
      </c>
      <c r="O59" s="520">
        <v>2</v>
      </c>
      <c r="P59" s="520" t="str">
        <f>VLOOKUP(N59,Source!F:F,1,FALSE)</f>
        <v>North Shore Comm. College</v>
      </c>
      <c r="Q59" s="520"/>
      <c r="R59" s="520"/>
      <c r="S59" s="520"/>
      <c r="T59" s="520"/>
      <c r="U59" s="520"/>
      <c r="V59" s="520"/>
      <c r="W59" s="520"/>
      <c r="X59" s="520"/>
      <c r="Y59" s="520"/>
      <c r="Z59" s="520"/>
      <c r="AA59" s="520"/>
      <c r="AB59" s="520"/>
      <c r="AC59" s="520"/>
      <c r="AD59" s="520"/>
      <c r="AE59" s="520"/>
      <c r="AF59" s="520"/>
      <c r="AG59" s="520"/>
      <c r="AH59" s="520"/>
      <c r="AI59" s="520"/>
      <c r="AJ59" s="520"/>
      <c r="AK59" s="520"/>
      <c r="AL59" s="520"/>
      <c r="AM59" s="520"/>
      <c r="AN59" s="520"/>
      <c r="AO59" s="520"/>
      <c r="AP59" s="520"/>
      <c r="AQ59" s="520"/>
      <c r="AR59" s="520"/>
      <c r="AS59" s="520"/>
      <c r="AT59" s="520"/>
      <c r="AU59" s="520"/>
    </row>
    <row r="60" spans="1:47" s="521" customFormat="1" ht="45" customHeight="1" x14ac:dyDescent="0.2">
      <c r="A60" s="519" t="str">
        <f t="shared" si="0"/>
        <v>Quinsigamond Comm. College1</v>
      </c>
      <c r="B60" s="577" t="s">
        <v>1387</v>
      </c>
      <c r="C60" s="537" t="s">
        <v>1279</v>
      </c>
      <c r="D60" s="557">
        <v>0.67</v>
      </c>
      <c r="E60" s="537">
        <v>2019</v>
      </c>
      <c r="F60" s="537" t="s">
        <v>1280</v>
      </c>
      <c r="G60" s="537" t="s">
        <v>1276</v>
      </c>
      <c r="H60" s="524" t="s">
        <v>1388</v>
      </c>
      <c r="I60" s="537" t="s">
        <v>1389</v>
      </c>
      <c r="J60" s="527" t="s">
        <v>1276</v>
      </c>
      <c r="K60" s="531" t="s">
        <v>1276</v>
      </c>
      <c r="L60" s="518" t="s">
        <v>1276</v>
      </c>
      <c r="M60" s="519"/>
      <c r="N60" s="544" t="s">
        <v>256</v>
      </c>
      <c r="O60" s="520">
        <v>1</v>
      </c>
      <c r="P60" s="520" t="str">
        <f>VLOOKUP(N60,Source!F:F,1,FALSE)</f>
        <v>Quinsigamond Comm. College</v>
      </c>
      <c r="Q60" s="520"/>
      <c r="R60" s="520"/>
      <c r="S60" s="520"/>
      <c r="T60" s="520"/>
      <c r="U60" s="520"/>
      <c r="V60" s="520"/>
      <c r="W60" s="520"/>
      <c r="X60" s="520"/>
      <c r="Y60" s="520"/>
      <c r="Z60" s="520"/>
      <c r="AA60" s="520"/>
      <c r="AB60" s="520"/>
      <c r="AC60" s="520"/>
      <c r="AD60" s="520"/>
      <c r="AE60" s="520"/>
      <c r="AF60" s="520"/>
      <c r="AG60" s="520"/>
      <c r="AH60" s="520"/>
      <c r="AI60" s="520"/>
      <c r="AJ60" s="520"/>
      <c r="AK60" s="520"/>
      <c r="AL60" s="520"/>
      <c r="AM60" s="520"/>
      <c r="AN60" s="520"/>
      <c r="AO60" s="520"/>
      <c r="AP60" s="520"/>
      <c r="AQ60" s="520"/>
      <c r="AR60" s="520"/>
      <c r="AS60" s="520"/>
      <c r="AT60" s="520"/>
      <c r="AU60" s="520"/>
    </row>
    <row r="61" spans="1:47" s="521" customFormat="1" ht="45" customHeight="1" x14ac:dyDescent="0.2">
      <c r="A61" s="519" t="str">
        <f t="shared" si="0"/>
        <v>Salem State University1</v>
      </c>
      <c r="B61" s="577" t="s">
        <v>1390</v>
      </c>
      <c r="C61" s="514" t="s">
        <v>1274</v>
      </c>
      <c r="D61" s="545">
        <v>0.13</v>
      </c>
      <c r="E61" s="514">
        <v>2010</v>
      </c>
      <c r="F61" s="537" t="s">
        <v>1275</v>
      </c>
      <c r="G61" s="537" t="s">
        <v>1276</v>
      </c>
      <c r="H61" s="538" t="s">
        <v>277</v>
      </c>
      <c r="I61" s="537" t="s">
        <v>1391</v>
      </c>
      <c r="J61" s="526" t="s">
        <v>1277</v>
      </c>
      <c r="K61" s="531" t="s">
        <v>1277</v>
      </c>
      <c r="L61" s="518" t="s">
        <v>1276</v>
      </c>
      <c r="M61" s="519"/>
      <c r="N61" s="544" t="s">
        <v>272</v>
      </c>
      <c r="O61" s="520">
        <v>1</v>
      </c>
      <c r="P61" s="520" t="str">
        <f>VLOOKUP(N61,Source!F:F,1,FALSE)</f>
        <v>Salem State University</v>
      </c>
      <c r="Q61" s="520"/>
      <c r="R61" s="520"/>
      <c r="S61" s="520"/>
      <c r="T61" s="520"/>
      <c r="U61" s="520"/>
      <c r="V61" s="520"/>
      <c r="W61" s="520"/>
      <c r="X61" s="520"/>
      <c r="Y61" s="520"/>
      <c r="Z61" s="520"/>
      <c r="AA61" s="520"/>
      <c r="AB61" s="520"/>
      <c r="AC61" s="520"/>
      <c r="AD61" s="520"/>
      <c r="AE61" s="520"/>
      <c r="AF61" s="520"/>
      <c r="AG61" s="520"/>
      <c r="AH61" s="520"/>
      <c r="AI61" s="520"/>
      <c r="AJ61" s="520"/>
      <c r="AK61" s="520"/>
      <c r="AL61" s="520"/>
      <c r="AM61" s="520"/>
      <c r="AN61" s="520"/>
      <c r="AO61" s="520"/>
      <c r="AP61" s="520"/>
      <c r="AQ61" s="520"/>
      <c r="AR61" s="520"/>
      <c r="AS61" s="520"/>
      <c r="AT61" s="520"/>
      <c r="AU61" s="520"/>
    </row>
    <row r="62" spans="1:47" s="521" customFormat="1" ht="92.25" customHeight="1" x14ac:dyDescent="0.2">
      <c r="A62" s="519" t="str">
        <f t="shared" si="0"/>
        <v>UMass Amherst1</v>
      </c>
      <c r="B62" s="534" t="s">
        <v>1392</v>
      </c>
      <c r="C62" s="514" t="s">
        <v>1290</v>
      </c>
      <c r="D62" s="515">
        <v>0.18</v>
      </c>
      <c r="E62" s="514">
        <v>2016</v>
      </c>
      <c r="F62" s="514" t="s">
        <v>1275</v>
      </c>
      <c r="G62" s="514" t="s">
        <v>1277</v>
      </c>
      <c r="H62" s="524" t="s">
        <v>300</v>
      </c>
      <c r="I62" s="514"/>
      <c r="J62" s="526" t="s">
        <v>1277</v>
      </c>
      <c r="K62" s="531" t="s">
        <v>1277</v>
      </c>
      <c r="L62" s="518" t="s">
        <v>1276</v>
      </c>
      <c r="M62" s="519"/>
      <c r="N62" s="513" t="s">
        <v>299</v>
      </c>
      <c r="O62" s="520">
        <v>1</v>
      </c>
      <c r="P62" s="520" t="str">
        <f>VLOOKUP(N62,Source!F:F,1,FALSE)</f>
        <v>UMass Amherst</v>
      </c>
      <c r="Q62" s="520"/>
      <c r="R62" s="520"/>
      <c r="S62" s="520"/>
      <c r="T62" s="520"/>
      <c r="U62" s="520"/>
      <c r="V62" s="520"/>
      <c r="W62" s="520"/>
      <c r="X62" s="520"/>
      <c r="Y62" s="520"/>
      <c r="Z62" s="520"/>
      <c r="AA62" s="520"/>
      <c r="AB62" s="520"/>
      <c r="AC62" s="520"/>
      <c r="AD62" s="520"/>
      <c r="AE62" s="520"/>
      <c r="AF62" s="520"/>
      <c r="AG62" s="520"/>
      <c r="AH62" s="520"/>
      <c r="AI62" s="520"/>
      <c r="AJ62" s="520"/>
      <c r="AK62" s="520"/>
      <c r="AL62" s="520"/>
      <c r="AM62" s="520"/>
      <c r="AN62" s="520"/>
      <c r="AO62" s="520"/>
      <c r="AP62" s="520"/>
      <c r="AQ62" s="520"/>
      <c r="AR62" s="520"/>
      <c r="AS62" s="520"/>
      <c r="AT62" s="520"/>
      <c r="AU62" s="520"/>
    </row>
    <row r="63" spans="1:47" s="521" customFormat="1" ht="96" x14ac:dyDescent="0.2">
      <c r="A63" s="519" t="str">
        <f t="shared" si="0"/>
        <v>UMass Amherst2</v>
      </c>
      <c r="B63" s="534" t="s">
        <v>1393</v>
      </c>
      <c r="C63" s="514" t="s">
        <v>1274</v>
      </c>
      <c r="D63" s="515">
        <v>0.34</v>
      </c>
      <c r="E63" s="514">
        <v>2014</v>
      </c>
      <c r="F63" s="514" t="s">
        <v>1275</v>
      </c>
      <c r="G63" s="516"/>
      <c r="H63" s="524" t="s">
        <v>300</v>
      </c>
      <c r="I63" s="514" t="s">
        <v>1394</v>
      </c>
      <c r="J63" s="558" t="s">
        <v>1277</v>
      </c>
      <c r="K63" s="531" t="s">
        <v>1277</v>
      </c>
      <c r="L63" s="518" t="s">
        <v>1276</v>
      </c>
      <c r="M63" s="519"/>
      <c r="N63" s="513" t="s">
        <v>299</v>
      </c>
      <c r="O63" s="520">
        <v>2</v>
      </c>
      <c r="P63" s="520" t="str">
        <f>VLOOKUP(N63,Source!F:F,1,FALSE)</f>
        <v>UMass Amherst</v>
      </c>
      <c r="Q63" s="520"/>
      <c r="R63" s="520"/>
      <c r="S63" s="520"/>
      <c r="T63" s="520"/>
      <c r="U63" s="520"/>
      <c r="V63" s="520"/>
      <c r="W63" s="520"/>
      <c r="X63" s="520"/>
      <c r="Y63" s="520"/>
      <c r="Z63" s="520"/>
      <c r="AA63" s="520"/>
      <c r="AB63" s="520"/>
      <c r="AC63" s="520"/>
      <c r="AD63" s="520"/>
      <c r="AE63" s="520"/>
      <c r="AF63" s="520"/>
      <c r="AG63" s="520"/>
      <c r="AH63" s="520"/>
      <c r="AI63" s="520"/>
      <c r="AJ63" s="520"/>
      <c r="AK63" s="520"/>
      <c r="AL63" s="520"/>
      <c r="AM63" s="520"/>
      <c r="AN63" s="520"/>
      <c r="AO63" s="520"/>
      <c r="AP63" s="520"/>
      <c r="AQ63" s="520"/>
      <c r="AR63" s="520"/>
      <c r="AS63" s="520"/>
      <c r="AT63" s="520"/>
      <c r="AU63" s="520"/>
    </row>
    <row r="64" spans="1:47" s="521" customFormat="1" ht="64" x14ac:dyDescent="0.2">
      <c r="A64" s="519" t="str">
        <f t="shared" si="0"/>
        <v>UMass Amherst3</v>
      </c>
      <c r="B64" s="534" t="s">
        <v>1395</v>
      </c>
      <c r="C64" s="514" t="s">
        <v>1274</v>
      </c>
      <c r="D64" s="515" t="s">
        <v>50</v>
      </c>
      <c r="E64" s="514">
        <v>2017</v>
      </c>
      <c r="F64" s="514" t="s">
        <v>1275</v>
      </c>
      <c r="G64" s="516"/>
      <c r="H64" s="524" t="s">
        <v>300</v>
      </c>
      <c r="I64" s="514" t="s">
        <v>1396</v>
      </c>
      <c r="J64" s="526" t="s">
        <v>1397</v>
      </c>
      <c r="K64" s="531" t="s">
        <v>1277</v>
      </c>
      <c r="L64" s="518" t="s">
        <v>1276</v>
      </c>
      <c r="M64" s="519"/>
      <c r="N64" s="513" t="s">
        <v>299</v>
      </c>
      <c r="O64" s="520">
        <v>3</v>
      </c>
      <c r="P64" s="520" t="str">
        <f>VLOOKUP(N64,Source!F:F,1,FALSE)</f>
        <v>UMass Amherst</v>
      </c>
      <c r="Q64" s="520"/>
      <c r="R64" s="520"/>
      <c r="S64" s="520"/>
      <c r="T64" s="520"/>
      <c r="U64" s="520"/>
      <c r="V64" s="520"/>
      <c r="W64" s="520"/>
      <c r="X64" s="520"/>
      <c r="Y64" s="520"/>
      <c r="Z64" s="520"/>
      <c r="AA64" s="520"/>
      <c r="AB64" s="520"/>
      <c r="AC64" s="520"/>
      <c r="AD64" s="520"/>
      <c r="AE64" s="520"/>
      <c r="AF64" s="520"/>
      <c r="AG64" s="520"/>
      <c r="AH64" s="520"/>
      <c r="AI64" s="520"/>
      <c r="AJ64" s="520"/>
      <c r="AK64" s="520"/>
      <c r="AL64" s="520"/>
      <c r="AM64" s="520"/>
      <c r="AN64" s="520"/>
      <c r="AO64" s="520"/>
      <c r="AP64" s="520"/>
      <c r="AQ64" s="520"/>
      <c r="AR64" s="520"/>
      <c r="AS64" s="520"/>
      <c r="AT64" s="520"/>
      <c r="AU64" s="520"/>
    </row>
    <row r="65" spans="1:47" s="521" customFormat="1" ht="48" x14ac:dyDescent="0.2">
      <c r="A65" s="519" t="str">
        <f t="shared" si="0"/>
        <v>UMass Amherst4</v>
      </c>
      <c r="B65" s="534" t="s">
        <v>1398</v>
      </c>
      <c r="C65" s="514" t="s">
        <v>1284</v>
      </c>
      <c r="D65" s="515">
        <v>0.8</v>
      </c>
      <c r="E65" s="514">
        <v>2019</v>
      </c>
      <c r="F65" s="514" t="s">
        <v>1275</v>
      </c>
      <c r="G65" s="514" t="s">
        <v>1276</v>
      </c>
      <c r="H65" s="524" t="s">
        <v>1399</v>
      </c>
      <c r="I65" s="514" t="s">
        <v>1400</v>
      </c>
      <c r="J65" s="526" t="s">
        <v>1277</v>
      </c>
      <c r="K65" s="531" t="s">
        <v>1277</v>
      </c>
      <c r="L65" s="518" t="s">
        <v>1276</v>
      </c>
      <c r="M65" s="519"/>
      <c r="N65" s="513" t="s">
        <v>299</v>
      </c>
      <c r="O65" s="520">
        <v>4</v>
      </c>
      <c r="P65" s="520" t="str">
        <f>VLOOKUP(N65,Source!F:F,1,FALSE)</f>
        <v>UMass Amherst</v>
      </c>
      <c r="Q65" s="520"/>
      <c r="R65" s="520"/>
      <c r="S65" s="520"/>
      <c r="T65" s="520"/>
      <c r="U65" s="520"/>
      <c r="V65" s="520"/>
      <c r="W65" s="520"/>
      <c r="X65" s="520"/>
      <c r="Y65" s="520"/>
      <c r="Z65" s="520"/>
      <c r="AA65" s="520"/>
      <c r="AB65" s="520"/>
      <c r="AC65" s="520"/>
      <c r="AD65" s="520"/>
      <c r="AE65" s="520"/>
      <c r="AF65" s="520"/>
      <c r="AG65" s="520"/>
      <c r="AH65" s="520"/>
      <c r="AI65" s="520"/>
      <c r="AJ65" s="520"/>
      <c r="AK65" s="520"/>
      <c r="AL65" s="520"/>
      <c r="AM65" s="520"/>
      <c r="AN65" s="520"/>
      <c r="AO65" s="520"/>
      <c r="AP65" s="520"/>
      <c r="AQ65" s="520"/>
      <c r="AR65" s="520"/>
      <c r="AS65" s="520"/>
      <c r="AT65" s="520"/>
      <c r="AU65" s="520"/>
    </row>
    <row r="66" spans="1:47" s="521" customFormat="1" ht="50" customHeight="1" x14ac:dyDescent="0.2">
      <c r="A66" s="519" t="str">
        <f t="shared" si="0"/>
        <v>UMass Amherst5</v>
      </c>
      <c r="B66" s="534" t="s">
        <v>1401</v>
      </c>
      <c r="C66" s="514" t="s">
        <v>1284</v>
      </c>
      <c r="D66" s="515">
        <v>4</v>
      </c>
      <c r="E66" s="514">
        <v>2019</v>
      </c>
      <c r="F66" s="514" t="s">
        <v>1275</v>
      </c>
      <c r="G66" s="514" t="s">
        <v>1277</v>
      </c>
      <c r="H66" s="524" t="s">
        <v>1399</v>
      </c>
      <c r="I66" s="514" t="s">
        <v>1402</v>
      </c>
      <c r="J66" s="526" t="s">
        <v>1277</v>
      </c>
      <c r="K66" s="531" t="s">
        <v>1277</v>
      </c>
      <c r="L66" s="518" t="s">
        <v>1276</v>
      </c>
      <c r="M66" s="519"/>
      <c r="N66" s="513" t="s">
        <v>299</v>
      </c>
      <c r="O66" s="520">
        <v>5</v>
      </c>
      <c r="P66" s="520" t="str">
        <f>VLOOKUP(N66,Source!F:F,1,FALSE)</f>
        <v>UMass Amherst</v>
      </c>
      <c r="Q66" s="520"/>
      <c r="R66" s="520"/>
      <c r="S66" s="520"/>
      <c r="T66" s="520"/>
      <c r="U66" s="520"/>
      <c r="V66" s="520"/>
      <c r="W66" s="520"/>
      <c r="X66" s="520"/>
      <c r="Y66" s="520"/>
      <c r="Z66" s="520"/>
      <c r="AA66" s="520"/>
      <c r="AB66" s="520"/>
      <c r="AC66" s="520"/>
      <c r="AD66" s="520"/>
      <c r="AE66" s="520"/>
      <c r="AF66" s="520"/>
      <c r="AG66" s="520"/>
      <c r="AH66" s="520"/>
      <c r="AI66" s="520"/>
      <c r="AJ66" s="520"/>
      <c r="AK66" s="520"/>
      <c r="AL66" s="520"/>
      <c r="AM66" s="520"/>
      <c r="AN66" s="520"/>
      <c r="AO66" s="520"/>
      <c r="AP66" s="520"/>
      <c r="AQ66" s="520"/>
      <c r="AR66" s="520"/>
      <c r="AS66" s="520"/>
      <c r="AT66" s="520"/>
      <c r="AU66" s="520"/>
    </row>
    <row r="67" spans="1:47" s="521" customFormat="1" ht="48" customHeight="1" x14ac:dyDescent="0.2">
      <c r="A67" s="519" t="str">
        <f t="shared" si="0"/>
        <v>UMass Amherst6</v>
      </c>
      <c r="B67" s="534" t="s">
        <v>1403</v>
      </c>
      <c r="C67" s="514" t="s">
        <v>1284</v>
      </c>
      <c r="D67" s="515">
        <v>1.6E-2</v>
      </c>
      <c r="E67" s="514">
        <v>2019</v>
      </c>
      <c r="F67" s="514" t="s">
        <v>1275</v>
      </c>
      <c r="G67" s="514" t="s">
        <v>1276</v>
      </c>
      <c r="H67" s="524" t="s">
        <v>1399</v>
      </c>
      <c r="I67" s="514" t="s">
        <v>1404</v>
      </c>
      <c r="J67" s="526" t="s">
        <v>1277</v>
      </c>
      <c r="K67" s="531" t="s">
        <v>1277</v>
      </c>
      <c r="L67" s="518" t="s">
        <v>1276</v>
      </c>
      <c r="M67" s="519"/>
      <c r="N67" s="513" t="s">
        <v>299</v>
      </c>
      <c r="O67" s="520">
        <v>6</v>
      </c>
      <c r="P67" s="520" t="str">
        <f>VLOOKUP(N67,Source!F:F,1,FALSE)</f>
        <v>UMass Amherst</v>
      </c>
      <c r="Q67" s="520"/>
      <c r="R67" s="520"/>
      <c r="S67" s="520"/>
      <c r="T67" s="520"/>
      <c r="U67" s="520"/>
      <c r="V67" s="520"/>
      <c r="W67" s="520"/>
      <c r="X67" s="520"/>
      <c r="Y67" s="520"/>
      <c r="Z67" s="520"/>
      <c r="AA67" s="520"/>
      <c r="AB67" s="520"/>
      <c r="AC67" s="520"/>
      <c r="AD67" s="520"/>
      <c r="AE67" s="520"/>
      <c r="AF67" s="520"/>
      <c r="AG67" s="520"/>
      <c r="AH67" s="520"/>
      <c r="AI67" s="520"/>
      <c r="AJ67" s="520"/>
      <c r="AK67" s="520"/>
      <c r="AL67" s="520"/>
      <c r="AM67" s="520"/>
      <c r="AN67" s="520"/>
      <c r="AO67" s="520"/>
      <c r="AP67" s="520"/>
      <c r="AQ67" s="520"/>
      <c r="AR67" s="520"/>
      <c r="AS67" s="520"/>
      <c r="AT67" s="520"/>
      <c r="AU67" s="520"/>
    </row>
    <row r="68" spans="1:47" s="521" customFormat="1" ht="48" customHeight="1" x14ac:dyDescent="0.2">
      <c r="A68" s="519" t="str">
        <f t="shared" si="0"/>
        <v>UMass Amherst7</v>
      </c>
      <c r="B68" s="534" t="s">
        <v>1405</v>
      </c>
      <c r="C68" s="514" t="s">
        <v>1284</v>
      </c>
      <c r="D68" s="515">
        <v>0.26</v>
      </c>
      <c r="E68" s="514">
        <v>2019</v>
      </c>
      <c r="F68" s="514" t="s">
        <v>1275</v>
      </c>
      <c r="G68" s="514" t="s">
        <v>1276</v>
      </c>
      <c r="H68" s="524" t="s">
        <v>1399</v>
      </c>
      <c r="I68" s="514" t="s">
        <v>1404</v>
      </c>
      <c r="J68" s="526" t="s">
        <v>1277</v>
      </c>
      <c r="K68" s="531" t="s">
        <v>1277</v>
      </c>
      <c r="L68" s="518" t="s">
        <v>1276</v>
      </c>
      <c r="M68" s="519"/>
      <c r="N68" s="513" t="s">
        <v>299</v>
      </c>
      <c r="O68" s="520">
        <v>7</v>
      </c>
      <c r="P68" s="520" t="str">
        <f>VLOOKUP(N68,Source!F:F,1,FALSE)</f>
        <v>UMass Amherst</v>
      </c>
      <c r="Q68" s="520"/>
      <c r="R68" s="520"/>
      <c r="S68" s="520"/>
      <c r="T68" s="520"/>
      <c r="U68" s="520"/>
      <c r="V68" s="520"/>
      <c r="W68" s="520"/>
      <c r="X68" s="520"/>
      <c r="Y68" s="520"/>
      <c r="Z68" s="520"/>
      <c r="AA68" s="520"/>
      <c r="AB68" s="520"/>
      <c r="AC68" s="520"/>
      <c r="AD68" s="520"/>
      <c r="AE68" s="520"/>
      <c r="AF68" s="520"/>
      <c r="AG68" s="520"/>
      <c r="AH68" s="520"/>
      <c r="AI68" s="520"/>
      <c r="AJ68" s="520"/>
      <c r="AK68" s="520"/>
      <c r="AL68" s="520"/>
      <c r="AM68" s="520"/>
      <c r="AN68" s="520"/>
      <c r="AO68" s="520"/>
      <c r="AP68" s="520"/>
      <c r="AQ68" s="520"/>
      <c r="AR68" s="520"/>
      <c r="AS68" s="520"/>
      <c r="AT68" s="520"/>
      <c r="AU68" s="520"/>
    </row>
    <row r="69" spans="1:47" s="521" customFormat="1" ht="48" customHeight="1" x14ac:dyDescent="0.2">
      <c r="A69" s="519" t="str">
        <f t="shared" si="0"/>
        <v>UMass Amherst8</v>
      </c>
      <c r="B69" s="534" t="s">
        <v>1593</v>
      </c>
      <c r="C69" s="514" t="s">
        <v>1594</v>
      </c>
      <c r="D69" s="515" t="s">
        <v>1339</v>
      </c>
      <c r="E69" s="514" t="s">
        <v>1594</v>
      </c>
      <c r="F69" s="514" t="s">
        <v>1275</v>
      </c>
      <c r="G69" s="514"/>
      <c r="H69" s="524"/>
      <c r="I69" s="514"/>
      <c r="J69" s="526"/>
      <c r="K69" s="531" t="s">
        <v>1276</v>
      </c>
      <c r="L69" s="531" t="s">
        <v>1002</v>
      </c>
      <c r="M69" s="519"/>
      <c r="N69" s="513" t="s">
        <v>299</v>
      </c>
      <c r="O69" s="520">
        <v>8</v>
      </c>
      <c r="P69" s="520" t="s">
        <v>299</v>
      </c>
      <c r="Q69" s="520"/>
      <c r="R69" s="520"/>
      <c r="S69" s="520"/>
      <c r="T69" s="520"/>
      <c r="U69" s="520"/>
      <c r="V69" s="520"/>
      <c r="W69" s="520"/>
      <c r="X69" s="520"/>
      <c r="Y69" s="520"/>
      <c r="Z69" s="520"/>
      <c r="AA69" s="520"/>
      <c r="AB69" s="520"/>
      <c r="AC69" s="520"/>
      <c r="AD69" s="520"/>
      <c r="AE69" s="520"/>
      <c r="AF69" s="520"/>
      <c r="AG69" s="520"/>
      <c r="AH69" s="520"/>
      <c r="AI69" s="520"/>
      <c r="AJ69" s="520"/>
      <c r="AK69" s="520"/>
      <c r="AL69" s="520"/>
      <c r="AM69" s="520"/>
      <c r="AN69" s="520"/>
      <c r="AO69" s="520"/>
      <c r="AP69" s="520"/>
      <c r="AQ69" s="520"/>
      <c r="AR69" s="520"/>
      <c r="AS69" s="520"/>
      <c r="AT69" s="520"/>
      <c r="AU69" s="520"/>
    </row>
    <row r="70" spans="1:47" s="521" customFormat="1" ht="48" customHeight="1" x14ac:dyDescent="0.2">
      <c r="A70" s="519" t="str">
        <f t="shared" si="0"/>
        <v>UMass Amherst9</v>
      </c>
      <c r="B70" s="534" t="s">
        <v>1595</v>
      </c>
      <c r="C70" s="514" t="s">
        <v>1594</v>
      </c>
      <c r="D70" s="515">
        <v>75</v>
      </c>
      <c r="E70" s="514">
        <v>2017</v>
      </c>
      <c r="F70" s="514" t="s">
        <v>1275</v>
      </c>
      <c r="G70" s="514"/>
      <c r="H70" s="524"/>
      <c r="I70" s="514" t="s">
        <v>1597</v>
      </c>
      <c r="J70" s="526"/>
      <c r="K70" s="531" t="s">
        <v>1276</v>
      </c>
      <c r="L70" s="518" t="s">
        <v>1002</v>
      </c>
      <c r="M70" s="519"/>
      <c r="N70" s="513" t="s">
        <v>299</v>
      </c>
      <c r="O70" s="520">
        <v>9</v>
      </c>
      <c r="P70" s="520" t="s">
        <v>299</v>
      </c>
      <c r="Q70" s="520"/>
      <c r="R70" s="520"/>
      <c r="S70" s="520"/>
      <c r="T70" s="520"/>
      <c r="U70" s="520"/>
      <c r="V70" s="520"/>
      <c r="W70" s="520"/>
      <c r="X70" s="520"/>
      <c r="Y70" s="520"/>
      <c r="Z70" s="520"/>
      <c r="AA70" s="520"/>
      <c r="AB70" s="520"/>
      <c r="AC70" s="520"/>
      <c r="AD70" s="520"/>
      <c r="AE70" s="520"/>
      <c r="AF70" s="520"/>
      <c r="AG70" s="520"/>
      <c r="AH70" s="520"/>
      <c r="AI70" s="520"/>
      <c r="AJ70" s="520"/>
      <c r="AK70" s="520"/>
      <c r="AL70" s="520"/>
      <c r="AM70" s="520"/>
      <c r="AN70" s="520"/>
      <c r="AO70" s="520"/>
      <c r="AP70" s="520"/>
      <c r="AQ70" s="520"/>
      <c r="AR70" s="520"/>
      <c r="AS70" s="520"/>
      <c r="AT70" s="520"/>
      <c r="AU70" s="520"/>
    </row>
    <row r="71" spans="1:47" s="521" customFormat="1" ht="48" customHeight="1" x14ac:dyDescent="0.2">
      <c r="A71" s="519" t="str">
        <f t="shared" si="0"/>
        <v>UMass Amherst10</v>
      </c>
      <c r="B71" s="534" t="s">
        <v>1596</v>
      </c>
      <c r="C71" s="514" t="s">
        <v>1290</v>
      </c>
      <c r="D71" s="515" t="s">
        <v>1339</v>
      </c>
      <c r="E71" s="514">
        <v>2018</v>
      </c>
      <c r="F71" s="514" t="s">
        <v>1275</v>
      </c>
      <c r="G71" s="514"/>
      <c r="H71" s="524"/>
      <c r="I71" s="514" t="s">
        <v>1598</v>
      </c>
      <c r="J71" s="526"/>
      <c r="K71" s="531" t="s">
        <v>1276</v>
      </c>
      <c r="L71" s="518" t="s">
        <v>1002</v>
      </c>
      <c r="M71" s="519"/>
      <c r="N71" s="513" t="s">
        <v>299</v>
      </c>
      <c r="O71" s="520">
        <v>10</v>
      </c>
      <c r="P71" s="520" t="s">
        <v>299</v>
      </c>
      <c r="Q71" s="520"/>
      <c r="R71" s="520"/>
      <c r="S71" s="520"/>
      <c r="T71" s="520"/>
      <c r="U71" s="520"/>
      <c r="V71" s="520"/>
      <c r="W71" s="520"/>
      <c r="X71" s="520"/>
      <c r="Y71" s="520"/>
      <c r="Z71" s="520"/>
      <c r="AA71" s="520"/>
      <c r="AB71" s="520"/>
      <c r="AC71" s="520"/>
      <c r="AD71" s="520"/>
      <c r="AE71" s="520"/>
      <c r="AF71" s="520"/>
      <c r="AG71" s="520"/>
      <c r="AH71" s="520"/>
      <c r="AI71" s="520"/>
      <c r="AJ71" s="520"/>
      <c r="AK71" s="520"/>
      <c r="AL71" s="520"/>
      <c r="AM71" s="520"/>
      <c r="AN71" s="520"/>
      <c r="AO71" s="520"/>
      <c r="AP71" s="520"/>
      <c r="AQ71" s="520"/>
      <c r="AR71" s="520"/>
      <c r="AS71" s="520"/>
      <c r="AT71" s="520"/>
      <c r="AU71" s="520"/>
    </row>
    <row r="72" spans="1:47" s="521" customFormat="1" ht="48" customHeight="1" x14ac:dyDescent="0.2">
      <c r="A72" s="519" t="str">
        <f t="shared" si="0"/>
        <v>UMass Boston1</v>
      </c>
      <c r="B72" s="534" t="s">
        <v>1406</v>
      </c>
      <c r="C72" s="514" t="s">
        <v>1279</v>
      </c>
      <c r="D72" s="516" t="s">
        <v>50</v>
      </c>
      <c r="E72" s="514">
        <v>2015</v>
      </c>
      <c r="F72" s="514" t="s">
        <v>1275</v>
      </c>
      <c r="G72" s="516"/>
      <c r="H72" s="524" t="s">
        <v>305</v>
      </c>
      <c r="I72" s="514"/>
      <c r="J72" s="527" t="s">
        <v>1276</v>
      </c>
      <c r="K72" s="531" t="s">
        <v>1276</v>
      </c>
      <c r="L72" s="518" t="s">
        <v>1276</v>
      </c>
      <c r="M72" s="519"/>
      <c r="N72" s="513" t="s">
        <v>304</v>
      </c>
      <c r="O72" s="520">
        <v>1</v>
      </c>
      <c r="P72" s="520" t="str">
        <f>VLOOKUP(N72,Source!F:F,1,FALSE)</f>
        <v>UMass Boston</v>
      </c>
      <c r="Q72" s="520"/>
      <c r="R72" s="520"/>
      <c r="S72" s="520"/>
      <c r="T72" s="520"/>
      <c r="U72" s="520"/>
      <c r="V72" s="520"/>
      <c r="W72" s="520"/>
      <c r="X72" s="520"/>
      <c r="Y72" s="520"/>
      <c r="Z72" s="520"/>
      <c r="AA72" s="520"/>
      <c r="AB72" s="520"/>
      <c r="AC72" s="520"/>
      <c r="AD72" s="520"/>
      <c r="AE72" s="520"/>
      <c r="AF72" s="520"/>
      <c r="AG72" s="520"/>
      <c r="AH72" s="520"/>
      <c r="AI72" s="520"/>
      <c r="AJ72" s="520"/>
      <c r="AK72" s="520"/>
      <c r="AL72" s="520"/>
      <c r="AM72" s="520"/>
      <c r="AN72" s="520"/>
      <c r="AO72" s="520"/>
      <c r="AP72" s="520"/>
      <c r="AQ72" s="520"/>
      <c r="AR72" s="520"/>
      <c r="AS72" s="520"/>
      <c r="AT72" s="520"/>
      <c r="AU72" s="520"/>
    </row>
    <row r="73" spans="1:47" s="521" customFormat="1" ht="48" customHeight="1" x14ac:dyDescent="0.2">
      <c r="A73" s="519" t="str">
        <f t="shared" si="0"/>
        <v>UMass Boston2</v>
      </c>
      <c r="B73" s="534" t="s">
        <v>1604</v>
      </c>
      <c r="C73" s="514" t="s">
        <v>1279</v>
      </c>
      <c r="D73" s="516" t="s">
        <v>1339</v>
      </c>
      <c r="E73" s="514" t="s">
        <v>1339</v>
      </c>
      <c r="F73" s="514" t="s">
        <v>1275</v>
      </c>
      <c r="G73" s="516"/>
      <c r="H73" s="524"/>
      <c r="I73" s="514"/>
      <c r="J73" s="527"/>
      <c r="K73" s="531"/>
      <c r="L73" s="518"/>
      <c r="M73" s="519"/>
      <c r="N73" s="513" t="s">
        <v>304</v>
      </c>
      <c r="O73" s="520">
        <v>2</v>
      </c>
      <c r="P73" s="520" t="str">
        <f>VLOOKUP(N73,Source!F:F,1,FALSE)</f>
        <v>UMass Boston</v>
      </c>
      <c r="Q73" s="520"/>
      <c r="R73" s="520"/>
      <c r="S73" s="520"/>
      <c r="T73" s="520"/>
      <c r="U73" s="520"/>
      <c r="V73" s="520"/>
      <c r="W73" s="520"/>
      <c r="X73" s="520"/>
      <c r="Y73" s="520"/>
      <c r="Z73" s="520"/>
      <c r="AA73" s="520"/>
      <c r="AB73" s="520"/>
      <c r="AC73" s="520"/>
      <c r="AD73" s="520"/>
      <c r="AE73" s="520"/>
      <c r="AF73" s="520"/>
      <c r="AG73" s="520"/>
      <c r="AH73" s="520"/>
      <c r="AI73" s="520"/>
      <c r="AJ73" s="520"/>
      <c r="AK73" s="520"/>
      <c r="AL73" s="520"/>
      <c r="AM73" s="520"/>
      <c r="AN73" s="520"/>
      <c r="AO73" s="520"/>
      <c r="AP73" s="520"/>
      <c r="AQ73" s="520"/>
      <c r="AR73" s="520"/>
      <c r="AS73" s="520"/>
      <c r="AT73" s="520"/>
      <c r="AU73" s="520"/>
    </row>
    <row r="74" spans="1:47" s="521" customFormat="1" ht="48" customHeight="1" x14ac:dyDescent="0.2">
      <c r="A74" s="519" t="str">
        <f t="shared" si="0"/>
        <v>UMass Boston3</v>
      </c>
      <c r="B74" s="534" t="s">
        <v>1605</v>
      </c>
      <c r="C74" s="514" t="s">
        <v>1279</v>
      </c>
      <c r="D74" s="516" t="s">
        <v>1339</v>
      </c>
      <c r="E74" s="514" t="s">
        <v>1339</v>
      </c>
      <c r="F74" s="514" t="s">
        <v>1275</v>
      </c>
      <c r="G74" s="516"/>
      <c r="H74" s="524"/>
      <c r="I74" s="514"/>
      <c r="J74" s="527"/>
      <c r="K74" s="531"/>
      <c r="L74" s="518"/>
      <c r="M74" s="519"/>
      <c r="N74" s="513" t="s">
        <v>304</v>
      </c>
      <c r="O74" s="520">
        <v>3</v>
      </c>
      <c r="P74" s="520" t="str">
        <f>VLOOKUP(N74,Source!F:F,1,FALSE)</f>
        <v>UMass Boston</v>
      </c>
      <c r="Q74" s="520"/>
      <c r="R74" s="520"/>
      <c r="S74" s="520"/>
      <c r="T74" s="520"/>
      <c r="U74" s="520"/>
      <c r="V74" s="520"/>
      <c r="W74" s="520"/>
      <c r="X74" s="520"/>
      <c r="Y74" s="520"/>
      <c r="Z74" s="520"/>
      <c r="AA74" s="520"/>
      <c r="AB74" s="520"/>
      <c r="AC74" s="520"/>
      <c r="AD74" s="520"/>
      <c r="AE74" s="520"/>
      <c r="AF74" s="520"/>
      <c r="AG74" s="520"/>
      <c r="AH74" s="520"/>
      <c r="AI74" s="520"/>
      <c r="AJ74" s="520"/>
      <c r="AK74" s="520"/>
      <c r="AL74" s="520"/>
      <c r="AM74" s="520"/>
      <c r="AN74" s="520"/>
      <c r="AO74" s="520"/>
      <c r="AP74" s="520"/>
      <c r="AQ74" s="520"/>
      <c r="AR74" s="520"/>
      <c r="AS74" s="520"/>
      <c r="AT74" s="520"/>
      <c r="AU74" s="520"/>
    </row>
    <row r="75" spans="1:47" s="521" customFormat="1" ht="48" customHeight="1" x14ac:dyDescent="0.2">
      <c r="A75" s="519" t="str">
        <f t="shared" si="0"/>
        <v>UMass Lowell1</v>
      </c>
      <c r="B75" s="534" t="s">
        <v>1407</v>
      </c>
      <c r="C75" s="514" t="s">
        <v>1274</v>
      </c>
      <c r="D75" s="515">
        <v>1.7000000000000001E-2</v>
      </c>
      <c r="E75" s="514">
        <v>2014</v>
      </c>
      <c r="F75" s="514" t="s">
        <v>1275</v>
      </c>
      <c r="G75" s="537" t="s">
        <v>1276</v>
      </c>
      <c r="H75" s="524" t="s">
        <v>1408</v>
      </c>
      <c r="I75" s="514" t="s">
        <v>1409</v>
      </c>
      <c r="J75" s="558" t="s">
        <v>1277</v>
      </c>
      <c r="K75" s="531" t="s">
        <v>1277</v>
      </c>
      <c r="L75" s="518" t="s">
        <v>1276</v>
      </c>
      <c r="M75" s="519"/>
      <c r="N75" s="513" t="s">
        <v>326</v>
      </c>
      <c r="O75" s="520">
        <v>1</v>
      </c>
      <c r="P75" s="520" t="str">
        <f>VLOOKUP(N75,Source!F:F,1,FALSE)</f>
        <v>UMass Lowell</v>
      </c>
      <c r="Q75" s="520"/>
      <c r="R75" s="520"/>
      <c r="S75" s="520"/>
      <c r="T75" s="520"/>
      <c r="U75" s="520"/>
      <c r="V75" s="520"/>
      <c r="W75" s="520"/>
      <c r="X75" s="520"/>
      <c r="Y75" s="520"/>
      <c r="Z75" s="520"/>
      <c r="AA75" s="520"/>
      <c r="AB75" s="520"/>
      <c r="AC75" s="520"/>
      <c r="AD75" s="520"/>
      <c r="AE75" s="520"/>
      <c r="AF75" s="520"/>
      <c r="AG75" s="520"/>
      <c r="AH75" s="520"/>
      <c r="AI75" s="520"/>
      <c r="AJ75" s="520"/>
      <c r="AK75" s="520"/>
      <c r="AL75" s="520"/>
      <c r="AM75" s="520"/>
      <c r="AN75" s="520"/>
      <c r="AO75" s="520"/>
      <c r="AP75" s="520"/>
      <c r="AQ75" s="520"/>
      <c r="AR75" s="520"/>
      <c r="AS75" s="520"/>
      <c r="AT75" s="520"/>
      <c r="AU75" s="520"/>
    </row>
    <row r="76" spans="1:47" s="521" customFormat="1" ht="63" customHeight="1" x14ac:dyDescent="0.2">
      <c r="A76" s="519" t="str">
        <f t="shared" ref="A76:A78" si="1">N76&amp;O76</f>
        <v>UMass Lowell2</v>
      </c>
      <c r="B76" s="534" t="s">
        <v>1410</v>
      </c>
      <c r="C76" s="537" t="s">
        <v>1279</v>
      </c>
      <c r="D76" s="545">
        <v>0.75</v>
      </c>
      <c r="E76" s="537">
        <v>2018</v>
      </c>
      <c r="F76" s="537" t="s">
        <v>1275</v>
      </c>
      <c r="G76" s="537" t="s">
        <v>1276</v>
      </c>
      <c r="H76" s="524" t="s">
        <v>1408</v>
      </c>
      <c r="I76" s="559" t="s">
        <v>1411</v>
      </c>
      <c r="J76" s="558" t="s">
        <v>1277</v>
      </c>
      <c r="K76" s="531" t="s">
        <v>1277</v>
      </c>
      <c r="L76" s="518" t="s">
        <v>1276</v>
      </c>
      <c r="M76" s="519"/>
      <c r="N76" s="544" t="s">
        <v>326</v>
      </c>
      <c r="O76" s="520">
        <v>2</v>
      </c>
      <c r="P76" s="520" t="str">
        <f>VLOOKUP(N76,Source!F:F,1,FALSE)</f>
        <v>UMass Lowell</v>
      </c>
      <c r="Q76" s="520"/>
      <c r="R76" s="520"/>
      <c r="S76" s="520"/>
      <c r="T76" s="520"/>
      <c r="U76" s="520"/>
      <c r="V76" s="520"/>
      <c r="W76" s="520"/>
      <c r="X76" s="520"/>
      <c r="Y76" s="520"/>
      <c r="Z76" s="520"/>
      <c r="AA76" s="520"/>
      <c r="AB76" s="520"/>
      <c r="AC76" s="520"/>
      <c r="AD76" s="520"/>
      <c r="AE76" s="520"/>
      <c r="AF76" s="520"/>
      <c r="AG76" s="520"/>
      <c r="AH76" s="520"/>
      <c r="AI76" s="520"/>
      <c r="AJ76" s="520"/>
      <c r="AK76" s="520"/>
      <c r="AL76" s="520"/>
      <c r="AM76" s="520"/>
      <c r="AN76" s="520"/>
      <c r="AO76" s="520"/>
      <c r="AP76" s="520"/>
      <c r="AQ76" s="520"/>
      <c r="AR76" s="520"/>
      <c r="AS76" s="520"/>
      <c r="AT76" s="520"/>
      <c r="AU76" s="520"/>
    </row>
    <row r="77" spans="1:47" s="521" customFormat="1" ht="63" customHeight="1" x14ac:dyDescent="0.2">
      <c r="A77" s="519" t="str">
        <f t="shared" si="1"/>
        <v>UMass Lowell3</v>
      </c>
      <c r="B77" s="534" t="s">
        <v>1412</v>
      </c>
      <c r="C77" s="537" t="s">
        <v>1279</v>
      </c>
      <c r="D77" s="560" t="s">
        <v>1339</v>
      </c>
      <c r="E77" s="537">
        <v>2020</v>
      </c>
      <c r="F77" s="537" t="s">
        <v>1340</v>
      </c>
      <c r="G77" s="537" t="s">
        <v>1276</v>
      </c>
      <c r="H77" s="524" t="s">
        <v>1408</v>
      </c>
      <c r="I77" s="559" t="s">
        <v>1413</v>
      </c>
      <c r="J77" s="527" t="s">
        <v>1276</v>
      </c>
      <c r="K77" s="527" t="s">
        <v>1276</v>
      </c>
      <c r="L77" s="518" t="s">
        <v>1276</v>
      </c>
      <c r="M77" s="519"/>
      <c r="N77" s="544" t="s">
        <v>326</v>
      </c>
      <c r="O77" s="520">
        <v>3</v>
      </c>
      <c r="P77" s="520" t="str">
        <f>VLOOKUP(N77,Source!F:F,1,FALSE)</f>
        <v>UMass Lowell</v>
      </c>
      <c r="Q77" s="520"/>
      <c r="R77" s="520"/>
      <c r="S77" s="520"/>
      <c r="T77" s="520"/>
      <c r="U77" s="520"/>
      <c r="V77" s="520"/>
      <c r="W77" s="520"/>
      <c r="X77" s="520"/>
      <c r="Y77" s="520"/>
      <c r="Z77" s="520"/>
      <c r="AA77" s="520"/>
      <c r="AB77" s="520"/>
      <c r="AC77" s="520"/>
      <c r="AD77" s="520"/>
      <c r="AE77" s="520"/>
      <c r="AF77" s="520"/>
      <c r="AG77" s="520"/>
      <c r="AH77" s="520"/>
      <c r="AI77" s="520"/>
      <c r="AJ77" s="520"/>
      <c r="AK77" s="520"/>
      <c r="AL77" s="520"/>
      <c r="AM77" s="520"/>
      <c r="AN77" s="520"/>
      <c r="AO77" s="520"/>
      <c r="AP77" s="520"/>
      <c r="AQ77" s="520"/>
      <c r="AR77" s="520"/>
      <c r="AS77" s="520"/>
      <c r="AT77" s="520"/>
      <c r="AU77" s="520"/>
    </row>
    <row r="78" spans="1:47" s="521" customFormat="1" ht="16" x14ac:dyDescent="0.2">
      <c r="A78" s="519" t="str">
        <f t="shared" si="1"/>
        <v>Westfield State University1</v>
      </c>
      <c r="B78" s="580"/>
      <c r="C78" s="516"/>
      <c r="D78" s="525" t="s">
        <v>50</v>
      </c>
      <c r="E78" s="537" t="s">
        <v>50</v>
      </c>
      <c r="F78" s="516"/>
      <c r="G78" s="516"/>
      <c r="H78" s="538" t="s">
        <v>1414</v>
      </c>
      <c r="I78" s="537" t="s">
        <v>1415</v>
      </c>
      <c r="J78" s="527" t="s">
        <v>1276</v>
      </c>
      <c r="K78" s="531" t="s">
        <v>1276</v>
      </c>
      <c r="L78" s="526" t="s">
        <v>1277</v>
      </c>
      <c r="M78" s="519"/>
      <c r="N78" s="544" t="s">
        <v>343</v>
      </c>
      <c r="O78" s="520">
        <v>1</v>
      </c>
      <c r="P78" s="520" t="str">
        <f>VLOOKUP(N78,Source!F:F,1,FALSE)</f>
        <v>Westfield State University</v>
      </c>
      <c r="Q78" s="520"/>
      <c r="R78" s="520"/>
      <c r="S78" s="520"/>
      <c r="T78" s="520"/>
      <c r="U78" s="520"/>
      <c r="V78" s="520"/>
      <c r="W78" s="520"/>
      <c r="X78" s="520"/>
      <c r="Y78" s="520"/>
      <c r="Z78" s="520"/>
      <c r="AA78" s="520"/>
      <c r="AB78" s="520"/>
      <c r="AC78" s="520"/>
      <c r="AD78" s="520"/>
      <c r="AE78" s="520"/>
      <c r="AF78" s="520"/>
      <c r="AG78" s="520"/>
      <c r="AH78" s="520"/>
      <c r="AI78" s="520"/>
      <c r="AJ78" s="520"/>
      <c r="AK78" s="520"/>
      <c r="AL78" s="520"/>
      <c r="AM78" s="520"/>
      <c r="AN78" s="520"/>
      <c r="AO78" s="520"/>
      <c r="AP78" s="520"/>
      <c r="AQ78" s="520"/>
      <c r="AR78" s="520"/>
      <c r="AS78" s="520"/>
      <c r="AT78" s="520"/>
      <c r="AU78" s="520"/>
    </row>
    <row r="79" spans="1:47" s="541" customFormat="1" x14ac:dyDescent="0.2">
      <c r="B79" s="562"/>
      <c r="C79" s="562"/>
      <c r="D79" s="563"/>
      <c r="E79" s="562"/>
      <c r="F79" s="562"/>
      <c r="G79" s="562"/>
      <c r="H79" s="564"/>
      <c r="I79" s="562"/>
      <c r="J79" s="565"/>
      <c r="K79" s="155"/>
      <c r="L79" s="155"/>
      <c r="N79" s="561"/>
      <c r="O79" s="540"/>
      <c r="P79" s="540"/>
      <c r="Q79" s="540"/>
      <c r="R79" s="540"/>
      <c r="S79" s="540"/>
      <c r="T79" s="540"/>
      <c r="U79" s="540"/>
      <c r="V79" s="540"/>
      <c r="W79" s="540"/>
      <c r="X79" s="540"/>
      <c r="Y79" s="540"/>
      <c r="Z79" s="540"/>
      <c r="AA79" s="540"/>
      <c r="AB79" s="540"/>
      <c r="AC79" s="540"/>
      <c r="AD79" s="540"/>
      <c r="AE79" s="540"/>
      <c r="AF79" s="540"/>
      <c r="AG79" s="540"/>
      <c r="AH79" s="540"/>
      <c r="AI79" s="540"/>
      <c r="AJ79" s="540"/>
      <c r="AK79" s="540"/>
      <c r="AL79" s="540"/>
      <c r="AM79" s="540"/>
      <c r="AN79" s="540"/>
      <c r="AO79" s="540"/>
      <c r="AP79" s="540"/>
      <c r="AQ79" s="540"/>
      <c r="AR79" s="540"/>
      <c r="AS79" s="540"/>
      <c r="AT79" s="540"/>
      <c r="AU79" s="540"/>
    </row>
    <row r="80" spans="1:47" x14ac:dyDescent="0.2">
      <c r="A80" s="155"/>
      <c r="D80" s="568">
        <f>SUM(D2:D78)</f>
        <v>194.62900000000002</v>
      </c>
    </row>
    <row r="82" spans="1:14" x14ac:dyDescent="0.2">
      <c r="A82" s="155"/>
      <c r="D82" s="566"/>
      <c r="E82" s="570"/>
      <c r="F82" s="570"/>
      <c r="G82" s="570"/>
      <c r="N82" s="569"/>
    </row>
    <row r="83" spans="1:14" x14ac:dyDescent="0.2">
      <c r="A83" s="155"/>
      <c r="E83" s="570"/>
      <c r="F83" s="570"/>
      <c r="G83" s="570"/>
      <c r="N83" s="569"/>
    </row>
    <row r="84" spans="1:14" x14ac:dyDescent="0.2">
      <c r="A84" s="155"/>
      <c r="E84" s="570"/>
      <c r="F84" s="570"/>
      <c r="G84" s="570"/>
      <c r="N84" s="569"/>
    </row>
    <row r="85" spans="1:14" x14ac:dyDescent="0.2">
      <c r="A85" s="155"/>
      <c r="E85" s="570"/>
      <c r="F85" s="570"/>
      <c r="G85" s="570"/>
      <c r="N85" s="569"/>
    </row>
    <row r="86" spans="1:14" x14ac:dyDescent="0.2">
      <c r="A86" s="155"/>
      <c r="E86" s="570"/>
      <c r="F86" s="570"/>
      <c r="G86" s="570"/>
      <c r="N86" s="569"/>
    </row>
    <row r="87" spans="1:14" x14ac:dyDescent="0.2">
      <c r="A87" s="155"/>
      <c r="E87" s="570"/>
      <c r="F87" s="570"/>
      <c r="G87" s="570"/>
      <c r="N87" s="569"/>
    </row>
    <row r="88" spans="1:14" x14ac:dyDescent="0.2">
      <c r="A88" s="155"/>
      <c r="D88" s="566"/>
      <c r="E88" s="570"/>
      <c r="F88" s="570"/>
      <c r="G88" s="570"/>
      <c r="N88" s="569"/>
    </row>
    <row r="89" spans="1:14" x14ac:dyDescent="0.2">
      <c r="A89" s="155"/>
      <c r="E89" s="570"/>
      <c r="F89" s="570"/>
      <c r="G89" s="570"/>
      <c r="N89" s="569"/>
    </row>
    <row r="90" spans="1:14" x14ac:dyDescent="0.2">
      <c r="A90" s="155"/>
      <c r="B90" s="570"/>
      <c r="C90" s="570"/>
      <c r="D90" s="570"/>
      <c r="E90" s="570"/>
      <c r="F90" s="570"/>
      <c r="G90" s="570"/>
      <c r="N90" s="569"/>
    </row>
    <row r="91" spans="1:14" x14ac:dyDescent="0.2">
      <c r="A91" s="155"/>
      <c r="B91" s="570"/>
      <c r="C91" s="570"/>
      <c r="D91" s="570"/>
      <c r="E91" s="570"/>
      <c r="F91" s="570"/>
      <c r="G91" s="570"/>
      <c r="N91" s="569"/>
    </row>
    <row r="92" spans="1:14" x14ac:dyDescent="0.2">
      <c r="A92" s="155"/>
      <c r="B92" s="570"/>
      <c r="C92" s="570"/>
      <c r="D92" s="570"/>
      <c r="E92" s="570"/>
      <c r="F92" s="570"/>
      <c r="G92" s="570"/>
      <c r="N92" s="569"/>
    </row>
    <row r="93" spans="1:14" x14ac:dyDescent="0.2">
      <c r="A93" s="155"/>
      <c r="B93" s="570"/>
      <c r="C93" s="570"/>
      <c r="D93" s="570"/>
      <c r="E93" s="570"/>
      <c r="F93" s="570"/>
      <c r="G93" s="570"/>
      <c r="I93" s="127"/>
      <c r="N93" s="569"/>
    </row>
    <row r="94" spans="1:14" x14ac:dyDescent="0.2">
      <c r="A94" s="155"/>
      <c r="B94" s="570"/>
      <c r="C94" s="570"/>
      <c r="D94" s="570"/>
      <c r="E94" s="570"/>
      <c r="F94" s="570"/>
      <c r="G94" s="570"/>
      <c r="I94" s="127"/>
      <c r="N94" s="569"/>
    </row>
    <row r="95" spans="1:14" x14ac:dyDescent="0.2">
      <c r="A95" s="155"/>
      <c r="B95" s="570"/>
      <c r="C95" s="570"/>
      <c r="D95" s="570"/>
      <c r="E95" s="570"/>
      <c r="F95" s="570"/>
      <c r="G95" s="570"/>
      <c r="I95" s="127"/>
      <c r="N95" s="569"/>
    </row>
    <row r="96" spans="1:14" x14ac:dyDescent="0.2">
      <c r="A96" s="155"/>
      <c r="B96" s="570"/>
      <c r="C96" s="570"/>
      <c r="D96" s="570"/>
      <c r="E96" s="570"/>
      <c r="F96" s="570"/>
      <c r="G96" s="570"/>
      <c r="I96" s="127"/>
      <c r="N96" s="569"/>
    </row>
    <row r="97" spans="1:14" x14ac:dyDescent="0.2">
      <c r="A97" s="155"/>
      <c r="B97" s="570"/>
      <c r="C97" s="570"/>
      <c r="D97" s="570"/>
      <c r="E97" s="570"/>
      <c r="F97" s="570"/>
      <c r="G97" s="570"/>
      <c r="I97" s="127"/>
      <c r="N97" s="569"/>
    </row>
    <row r="98" spans="1:14" x14ac:dyDescent="0.2">
      <c r="A98" s="155"/>
      <c r="B98" s="570"/>
      <c r="C98" s="570"/>
      <c r="D98" s="570"/>
      <c r="E98" s="570"/>
      <c r="F98" s="570"/>
      <c r="G98" s="570"/>
      <c r="I98" s="127"/>
      <c r="N98" s="569"/>
    </row>
    <row r="99" spans="1:14" x14ac:dyDescent="0.2">
      <c r="A99" s="155"/>
      <c r="B99" s="570"/>
      <c r="C99" s="570"/>
      <c r="D99" s="570"/>
      <c r="E99" s="570"/>
      <c r="F99" s="570"/>
      <c r="G99" s="570"/>
      <c r="I99" s="127"/>
      <c r="N99" s="569"/>
    </row>
    <row r="100" spans="1:14" x14ac:dyDescent="0.2">
      <c r="A100" s="155"/>
      <c r="B100" s="570"/>
      <c r="C100" s="570"/>
      <c r="D100" s="570"/>
      <c r="E100" s="570"/>
      <c r="F100" s="570"/>
      <c r="G100" s="570"/>
      <c r="I100" s="127"/>
      <c r="N100" s="569"/>
    </row>
    <row r="101" spans="1:14" x14ac:dyDescent="0.2">
      <c r="A101" s="155"/>
      <c r="B101" s="570"/>
      <c r="C101" s="570"/>
      <c r="D101" s="570"/>
      <c r="E101" s="570"/>
      <c r="F101" s="570"/>
      <c r="G101" s="570"/>
      <c r="I101" s="127"/>
      <c r="N101" s="569"/>
    </row>
    <row r="102" spans="1:14" x14ac:dyDescent="0.2">
      <c r="A102" s="155"/>
      <c r="B102" s="570"/>
      <c r="C102" s="570"/>
      <c r="D102" s="570"/>
      <c r="E102" s="570"/>
      <c r="F102" s="570"/>
      <c r="G102" s="570"/>
      <c r="I102" s="127"/>
      <c r="N102" s="569"/>
    </row>
    <row r="103" spans="1:14" x14ac:dyDescent="0.2">
      <c r="A103" s="155"/>
      <c r="B103" s="570"/>
      <c r="C103" s="570"/>
      <c r="D103" s="570"/>
      <c r="E103" s="570"/>
      <c r="F103" s="570"/>
      <c r="G103" s="570"/>
      <c r="I103" s="127"/>
      <c r="N103" s="569"/>
    </row>
    <row r="104" spans="1:14" x14ac:dyDescent="0.2">
      <c r="A104" s="155"/>
      <c r="B104" s="570"/>
      <c r="C104" s="570"/>
      <c r="D104" s="570"/>
      <c r="E104" s="570"/>
      <c r="F104" s="570"/>
      <c r="G104" s="570"/>
      <c r="I104" s="127"/>
      <c r="N104" s="569"/>
    </row>
    <row r="105" spans="1:14" x14ac:dyDescent="0.2">
      <c r="A105" s="155"/>
      <c r="B105" s="570"/>
      <c r="C105" s="570"/>
      <c r="D105" s="570"/>
      <c r="E105" s="570"/>
      <c r="F105" s="570"/>
      <c r="G105" s="570"/>
      <c r="I105" s="127"/>
      <c r="N105" s="569"/>
    </row>
    <row r="106" spans="1:14" x14ac:dyDescent="0.2">
      <c r="A106" s="155"/>
      <c r="B106" s="570"/>
      <c r="C106" s="570"/>
      <c r="D106" s="570"/>
      <c r="E106" s="570"/>
      <c r="F106" s="570"/>
      <c r="G106" s="570"/>
      <c r="I106" s="127"/>
      <c r="N106" s="569"/>
    </row>
    <row r="107" spans="1:14" x14ac:dyDescent="0.2">
      <c r="A107" s="155"/>
      <c r="B107" s="570"/>
      <c r="C107" s="570"/>
      <c r="D107" s="570"/>
      <c r="E107" s="570"/>
      <c r="F107" s="570"/>
      <c r="G107" s="570"/>
      <c r="I107" s="127"/>
      <c r="N107" s="569"/>
    </row>
    <row r="108" spans="1:14" x14ac:dyDescent="0.2">
      <c r="A108" s="155"/>
      <c r="B108" s="570"/>
      <c r="C108" s="570"/>
      <c r="D108" s="570"/>
      <c r="E108" s="570"/>
      <c r="F108" s="570"/>
      <c r="G108" s="570"/>
      <c r="I108" s="127"/>
      <c r="N108" s="569"/>
    </row>
  </sheetData>
  <autoFilter ref="A1:P78" xr:uid="{00000000-0009-0000-0000-000019000000}"/>
  <mergeCells count="4">
    <mergeCell ref="D46:D49"/>
    <mergeCell ref="I46:I49"/>
    <mergeCell ref="D50:D52"/>
    <mergeCell ref="I50:I52"/>
  </mergeCells>
  <hyperlinks>
    <hyperlink ref="I30" r:id="rId1" xr:uid="{00000000-0004-0000-1900-000000000000}"/>
    <hyperlink ref="J6" r:id="rId2" xr:uid="{00000000-0004-0000-1900-000001000000}"/>
    <hyperlink ref="H60" r:id="rId3" xr:uid="{00000000-0004-0000-1900-000002000000}"/>
    <hyperlink ref="J64" r:id="rId4" location="7.%20ROOFTOP%20COURTYARD" xr:uid="{00000000-0004-0000-1900-000003000000}"/>
    <hyperlink ref="H7" r:id="rId5" xr:uid="{00000000-0004-0000-1900-000004000000}"/>
    <hyperlink ref="H8" r:id="rId6" xr:uid="{00000000-0004-0000-1900-000005000000}"/>
    <hyperlink ref="J9" r:id="rId7" xr:uid="{00000000-0004-0000-1900-000006000000}"/>
    <hyperlink ref="J10" r:id="rId8" xr:uid="{00000000-0004-0000-1900-000007000000}"/>
    <hyperlink ref="H9" r:id="rId9" xr:uid="{00000000-0004-0000-1900-000008000000}"/>
    <hyperlink ref="H10" r:id="rId10" xr:uid="{00000000-0004-0000-1900-000009000000}"/>
    <hyperlink ref="J4" r:id="rId11" xr:uid="{00000000-0004-0000-1900-00000A000000}"/>
    <hyperlink ref="H4" r:id="rId12" display="mailto:joe.desa@bristolcc.edu" xr:uid="{00000000-0004-0000-1900-00000B000000}"/>
    <hyperlink ref="J7" r:id="rId13" xr:uid="{00000000-0004-0000-1900-00000C000000}"/>
    <hyperlink ref="J8" r:id="rId14" xr:uid="{00000000-0004-0000-1900-00000D000000}"/>
    <hyperlink ref="H56" r:id="rId15" xr:uid="{00000000-0004-0000-1900-00000E000000}"/>
    <hyperlink ref="H57" r:id="rId16" xr:uid="{00000000-0004-0000-1900-00000F000000}"/>
    <hyperlink ref="H24" r:id="rId17" xr:uid="{00000000-0004-0000-1900-000010000000}"/>
    <hyperlink ref="H72" r:id="rId18" xr:uid="{00000000-0004-0000-1900-000011000000}"/>
    <hyperlink ref="J61" r:id="rId19" xr:uid="{00000000-0004-0000-1900-000012000000}"/>
    <hyperlink ref="H58" r:id="rId20" xr:uid="{00000000-0004-0000-1900-000013000000}"/>
    <hyperlink ref="J75" r:id="rId21" xr:uid="{00000000-0004-0000-1900-000014000000}"/>
    <hyperlink ref="J63" r:id="rId22" xr:uid="{00000000-0004-0000-1900-000015000000}"/>
    <hyperlink ref="J62" r:id="rId23" xr:uid="{00000000-0004-0000-1900-000016000000}"/>
    <hyperlink ref="J58" r:id="rId24" xr:uid="{00000000-0004-0000-1900-000017000000}"/>
    <hyperlink ref="J35" r:id="rId25" xr:uid="{00000000-0004-0000-1900-000018000000}"/>
    <hyperlink ref="H75" r:id="rId26" xr:uid="{00000000-0004-0000-1900-000019000000}"/>
    <hyperlink ref="H76:H77" r:id="rId27" display="Erik Shaw" xr:uid="{00000000-0004-0000-1900-00001A000000}"/>
    <hyperlink ref="H61" r:id="rId28" xr:uid="{00000000-0004-0000-1900-00001B000000}"/>
    <hyperlink ref="H62" r:id="rId29" xr:uid="{00000000-0004-0000-1900-00001C000000}"/>
    <hyperlink ref="H5" r:id="rId30" display="mailto:joe.desa@bristolcc.edu" xr:uid="{00000000-0004-0000-1900-00001D000000}"/>
    <hyperlink ref="J17" r:id="rId31" xr:uid="{00000000-0004-0000-1900-00001E000000}"/>
    <hyperlink ref="J18" r:id="rId32" xr:uid="{00000000-0004-0000-1900-00001F000000}"/>
    <hyperlink ref="J20" r:id="rId33" xr:uid="{00000000-0004-0000-1900-000020000000}"/>
    <hyperlink ref="J22" r:id="rId34" xr:uid="{00000000-0004-0000-1900-000021000000}"/>
    <hyperlink ref="J23" r:id="rId35" xr:uid="{00000000-0004-0000-1900-000022000000}"/>
    <hyperlink ref="J24" r:id="rId36" xr:uid="{00000000-0004-0000-1900-000023000000}"/>
    <hyperlink ref="J26" r:id="rId37" xr:uid="{00000000-0004-0000-1900-000024000000}"/>
    <hyperlink ref="J27" r:id="rId38" xr:uid="{00000000-0004-0000-1900-000025000000}"/>
    <hyperlink ref="J33" r:id="rId39" xr:uid="{00000000-0004-0000-1900-000026000000}"/>
    <hyperlink ref="J34" r:id="rId40" xr:uid="{00000000-0004-0000-1900-000027000000}"/>
    <hyperlink ref="H3" r:id="rId41" display="mailto:joe.desa@bristolcc.edu" xr:uid="{00000000-0004-0000-1900-000028000000}"/>
    <hyperlink ref="J29" r:id="rId42" xr:uid="{00000000-0004-0000-1900-000029000000}"/>
    <hyperlink ref="H36:H39" r:id="rId43" display="Tara Mitchell" xr:uid="{00000000-0004-0000-1900-00002A000000}"/>
    <hyperlink ref="K1" r:id="rId44" location="interactive-map-" xr:uid="{00000000-0004-0000-1900-00002B000000}"/>
    <hyperlink ref="L78" r:id="rId45" xr:uid="{00000000-0004-0000-1900-00002C000000}"/>
    <hyperlink ref="L30" r:id="rId46" xr:uid="{00000000-0004-0000-1900-00002D000000}"/>
    <hyperlink ref="H40" r:id="rId47" xr:uid="{00000000-0004-0000-1900-00002E000000}"/>
    <hyperlink ref="J36:J44" r:id="rId48" display="Yes" xr:uid="{00000000-0004-0000-1900-00002F000000}"/>
    <hyperlink ref="J46:J54" r:id="rId49" display="Yes" xr:uid="{00000000-0004-0000-1900-000030000000}"/>
    <hyperlink ref="H13" r:id="rId50" xr:uid="{00000000-0004-0000-1900-000031000000}"/>
    <hyperlink ref="H14" r:id="rId51" xr:uid="{00000000-0004-0000-1900-000032000000}"/>
    <hyperlink ref="H15" r:id="rId52" xr:uid="{00000000-0004-0000-1900-000033000000}"/>
    <hyperlink ref="H41" r:id="rId53" xr:uid="{00000000-0004-0000-1900-000034000000}"/>
    <hyperlink ref="H42" r:id="rId54" xr:uid="{00000000-0004-0000-1900-000035000000}"/>
    <hyperlink ref="H43" r:id="rId55" xr:uid="{00000000-0004-0000-1900-000036000000}"/>
    <hyperlink ref="H44" r:id="rId56" xr:uid="{00000000-0004-0000-1900-000037000000}"/>
    <hyperlink ref="H45" r:id="rId57" xr:uid="{00000000-0004-0000-1900-000038000000}"/>
    <hyperlink ref="H46" r:id="rId58" xr:uid="{00000000-0004-0000-1900-000039000000}"/>
    <hyperlink ref="H47" r:id="rId59" xr:uid="{00000000-0004-0000-1900-00003A000000}"/>
    <hyperlink ref="H48" r:id="rId60" xr:uid="{00000000-0004-0000-1900-00003B000000}"/>
    <hyperlink ref="H49" r:id="rId61" xr:uid="{00000000-0004-0000-1900-00003C000000}"/>
    <hyperlink ref="H50" r:id="rId62" xr:uid="{00000000-0004-0000-1900-00003D000000}"/>
    <hyperlink ref="H51" r:id="rId63" xr:uid="{00000000-0004-0000-1900-00003E000000}"/>
    <hyperlink ref="H52" r:id="rId64" xr:uid="{00000000-0004-0000-1900-00003F000000}"/>
    <hyperlink ref="H53" r:id="rId65" xr:uid="{00000000-0004-0000-1900-000040000000}"/>
    <hyperlink ref="H54" r:id="rId66" xr:uid="{00000000-0004-0000-1900-000041000000}"/>
    <hyperlink ref="H78" r:id="rId67" xr:uid="{00000000-0004-0000-1900-000042000000}"/>
    <hyperlink ref="J76" r:id="rId68" xr:uid="{00000000-0004-0000-1900-000043000000}"/>
    <hyperlink ref="H32" r:id="rId69" xr:uid="{00000000-0004-0000-1900-000044000000}"/>
    <hyperlink ref="H33:H34" r:id="rId70" display="Andrew Oguma and Michael Bankson" xr:uid="{00000000-0004-0000-1900-000045000000}"/>
    <hyperlink ref="H65" r:id="rId71" xr:uid="{00000000-0004-0000-1900-000046000000}"/>
    <hyperlink ref="H66:H68" r:id="rId72" display="Lee Michalopoulos " xr:uid="{00000000-0004-0000-1900-000047000000}"/>
    <hyperlink ref="J65" r:id="rId73" xr:uid="{00000000-0004-0000-1900-000048000000}"/>
    <hyperlink ref="J66:J68" r:id="rId74" display="Yes" xr:uid="{00000000-0004-0000-1900-000049000000}"/>
  </hyperlinks>
  <pageMargins left="0.7" right="0.7" top="0.75" bottom="0.75" header="0.3" footer="0.3"/>
  <legacyDrawing r:id="rId7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900-000000000000}">
          <x14:formula1>
            <xm:f>'/Users/twigjib/Library/Containers/com.microsoft.Excel/Data/Documents/Users/twigjib/Library/Containers/com.microsoft.Excel/Data/Documents/W:/LBE/Agency-Campus Annual Data Reporting/Tracking/Sustainable Landscaping/[Sustainable Landscapes Data Tracking.xlsx]_'!#REF!</xm:f>
          </x14:formula1>
          <xm:sqref>C79:C1048576 C1 F20:F29 F32:F54 F1:F18 F56:F1048576</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7">
    <tabColor rgb="FF92D050"/>
  </sheetPr>
  <dimension ref="A1:AZ55"/>
  <sheetViews>
    <sheetView topLeftCell="A26" workbookViewId="0">
      <selection activeCell="G53" sqref="G53"/>
    </sheetView>
  </sheetViews>
  <sheetFormatPr baseColWidth="10" defaultColWidth="8.83203125" defaultRowHeight="15" x14ac:dyDescent="0.2"/>
  <cols>
    <col min="1" max="1" width="50.6640625" bestFit="1" customWidth="1"/>
    <col min="2" max="2" width="50.6640625" customWidth="1"/>
    <col min="4" max="4" width="13.1640625" bestFit="1" customWidth="1"/>
    <col min="6" max="6" width="37.6640625" bestFit="1" customWidth="1"/>
    <col min="7" max="7" width="16.33203125" style="154" bestFit="1" customWidth="1"/>
    <col min="9" max="9" width="26.5" bestFit="1" customWidth="1"/>
    <col min="18" max="18" width="9.1640625" style="85"/>
    <col min="19" max="19" width="14.33203125" bestFit="1" customWidth="1"/>
    <col min="20" max="20" width="29" bestFit="1" customWidth="1"/>
    <col min="21" max="22" width="49" bestFit="1" customWidth="1"/>
    <col min="24" max="24" width="44.1640625" bestFit="1" customWidth="1"/>
    <col min="26" max="26" width="44.1640625" bestFit="1" customWidth="1"/>
    <col min="28" max="28" width="44.1640625" bestFit="1" customWidth="1"/>
    <col min="30" max="30" width="39.1640625" style="85" bestFit="1" customWidth="1"/>
    <col min="33" max="33" width="43.83203125" bestFit="1" customWidth="1"/>
    <col min="35" max="35" width="32.6640625" bestFit="1" customWidth="1"/>
    <col min="37" max="37" width="37.33203125" bestFit="1" customWidth="1"/>
    <col min="39" max="39" width="26.1640625" bestFit="1" customWidth="1"/>
    <col min="43" max="43" width="18.1640625" bestFit="1" customWidth="1"/>
    <col min="48" max="48" width="12.33203125" bestFit="1" customWidth="1"/>
  </cols>
  <sheetData>
    <row r="1" spans="1:52" ht="15" customHeight="1" x14ac:dyDescent="0.2">
      <c r="A1" s="2" t="s">
        <v>420</v>
      </c>
      <c r="B1" s="2" t="s">
        <v>420</v>
      </c>
      <c r="C1" s="85"/>
      <c r="D1" s="2" t="s">
        <v>477</v>
      </c>
      <c r="E1" s="85"/>
      <c r="F1" s="30" t="s">
        <v>445</v>
      </c>
      <c r="G1" s="152" t="s">
        <v>8</v>
      </c>
      <c r="H1" s="85"/>
      <c r="I1" s="30" t="s">
        <v>364</v>
      </c>
      <c r="J1" s="85"/>
      <c r="K1" s="85"/>
      <c r="L1" s="2" t="s">
        <v>1416</v>
      </c>
      <c r="M1" s="2" t="s">
        <v>1417</v>
      </c>
      <c r="N1" s="2" t="s">
        <v>493</v>
      </c>
      <c r="O1" s="2" t="s">
        <v>1418</v>
      </c>
      <c r="P1" s="3" t="s">
        <v>1419</v>
      </c>
      <c r="Q1" s="3" t="s">
        <v>1420</v>
      </c>
      <c r="S1" s="2" t="s">
        <v>364</v>
      </c>
      <c r="T1" s="2" t="s">
        <v>364</v>
      </c>
      <c r="U1" s="2" t="s">
        <v>364</v>
      </c>
      <c r="V1" s="2" t="s">
        <v>364</v>
      </c>
      <c r="W1" s="2" t="s">
        <v>364</v>
      </c>
      <c r="X1" s="2" t="s">
        <v>364</v>
      </c>
      <c r="Y1" s="85"/>
      <c r="Z1" s="2" t="s">
        <v>543</v>
      </c>
      <c r="AA1" s="85"/>
      <c r="AB1" s="2" t="s">
        <v>364</v>
      </c>
      <c r="AC1" s="85"/>
      <c r="AD1" s="30" t="s">
        <v>364</v>
      </c>
      <c r="AE1" s="85"/>
      <c r="AF1" s="85"/>
      <c r="AG1" s="30" t="s">
        <v>444</v>
      </c>
      <c r="AH1" s="85"/>
      <c r="AI1" s="30" t="s">
        <v>543</v>
      </c>
      <c r="AJ1" s="85"/>
      <c r="AK1" s="30" t="s">
        <v>1421</v>
      </c>
      <c r="AL1" s="85"/>
      <c r="AM1" s="30" t="s">
        <v>444</v>
      </c>
      <c r="AN1" s="85"/>
      <c r="AO1" s="30" t="s">
        <v>364</v>
      </c>
      <c r="AQ1" s="30" t="s">
        <v>1480</v>
      </c>
      <c r="AS1" s="30" t="s">
        <v>364</v>
      </c>
      <c r="AV1" s="30" t="s">
        <v>364</v>
      </c>
      <c r="AZ1" s="30" t="s">
        <v>364</v>
      </c>
    </row>
    <row r="2" spans="1:52" ht="16" x14ac:dyDescent="0.2">
      <c r="A2" s="86" t="s">
        <v>1422</v>
      </c>
      <c r="B2" s="86" t="s">
        <v>1423</v>
      </c>
      <c r="C2" s="85"/>
      <c r="D2" s="86" t="s">
        <v>1424</v>
      </c>
      <c r="E2" s="85"/>
      <c r="F2" s="30" t="s">
        <v>29</v>
      </c>
      <c r="G2" s="153" t="s">
        <v>50</v>
      </c>
      <c r="H2" s="85"/>
      <c r="I2" s="86" t="s">
        <v>1277</v>
      </c>
      <c r="J2" s="85"/>
      <c r="K2" s="85"/>
      <c r="L2" s="86" t="s">
        <v>464</v>
      </c>
      <c r="M2" s="86" t="s">
        <v>466</v>
      </c>
      <c r="N2" s="86" t="s">
        <v>466</v>
      </c>
      <c r="O2" s="86" t="s">
        <v>474</v>
      </c>
      <c r="P2" s="86" t="s">
        <v>472</v>
      </c>
      <c r="Q2" s="86" t="s">
        <v>464</v>
      </c>
      <c r="R2" s="87"/>
      <c r="S2" s="61" t="s">
        <v>1425</v>
      </c>
      <c r="T2" s="86" t="s">
        <v>1277</v>
      </c>
      <c r="U2" s="86" t="s">
        <v>1426</v>
      </c>
      <c r="V2" s="86" t="s">
        <v>1427</v>
      </c>
      <c r="W2" s="86" t="s">
        <v>1096</v>
      </c>
      <c r="X2" s="86" t="s">
        <v>1428</v>
      </c>
      <c r="Y2" s="85"/>
      <c r="Z2" s="86" t="s">
        <v>1429</v>
      </c>
      <c r="AA2" s="85"/>
      <c r="AB2" s="116" t="s">
        <v>1053</v>
      </c>
      <c r="AC2" s="85"/>
      <c r="AD2" s="61" t="s">
        <v>1430</v>
      </c>
      <c r="AE2" s="85"/>
      <c r="AF2" s="85"/>
      <c r="AG2" s="86" t="s">
        <v>1431</v>
      </c>
      <c r="AH2" s="85"/>
      <c r="AI2" s="86" t="s">
        <v>1432</v>
      </c>
      <c r="AJ2" s="85"/>
      <c r="AK2" s="86" t="s">
        <v>538</v>
      </c>
      <c r="AL2" s="85"/>
      <c r="AM2" s="86" t="s">
        <v>1433</v>
      </c>
      <c r="AN2" s="85"/>
      <c r="AO2" s="85" t="s">
        <v>1434</v>
      </c>
      <c r="AQ2" t="s">
        <v>1482</v>
      </c>
      <c r="AS2" t="s">
        <v>1277</v>
      </c>
      <c r="AV2" t="s">
        <v>1275</v>
      </c>
      <c r="AZ2" s="587" t="s">
        <v>538</v>
      </c>
    </row>
    <row r="3" spans="1:52" ht="16" x14ac:dyDescent="0.2">
      <c r="A3" s="86" t="s">
        <v>1435</v>
      </c>
      <c r="B3" s="86" t="s">
        <v>971</v>
      </c>
      <c r="C3" s="85"/>
      <c r="D3" s="86" t="s">
        <v>1436</v>
      </c>
      <c r="E3" s="85"/>
      <c r="F3" s="596" t="s">
        <v>51</v>
      </c>
      <c r="G3" s="597">
        <v>293072</v>
      </c>
      <c r="H3" s="85"/>
      <c r="I3" s="86" t="s">
        <v>1276</v>
      </c>
      <c r="J3" s="85"/>
      <c r="K3" s="85"/>
      <c r="L3" s="86" t="s">
        <v>1437</v>
      </c>
      <c r="M3" s="86" t="s">
        <v>1438</v>
      </c>
      <c r="N3" s="86" t="s">
        <v>1420</v>
      </c>
      <c r="O3" s="86" t="s">
        <v>1439</v>
      </c>
      <c r="P3" s="86" t="s">
        <v>1439</v>
      </c>
      <c r="Q3" s="86" t="s">
        <v>1437</v>
      </c>
      <c r="R3" s="87"/>
      <c r="S3" s="61" t="s">
        <v>1276</v>
      </c>
      <c r="T3" s="86" t="s">
        <v>1276</v>
      </c>
      <c r="U3" s="86" t="s">
        <v>1440</v>
      </c>
      <c r="V3" s="61" t="s">
        <v>1441</v>
      </c>
      <c r="W3" s="86" t="s">
        <v>1054</v>
      </c>
      <c r="X3" s="86" t="s">
        <v>1442</v>
      </c>
      <c r="Y3" s="85"/>
      <c r="Z3" s="86" t="s">
        <v>1443</v>
      </c>
      <c r="AA3" s="85"/>
      <c r="AB3" s="116" t="s">
        <v>1117</v>
      </c>
      <c r="AC3" s="85"/>
      <c r="AD3" s="86" t="s">
        <v>1444</v>
      </c>
      <c r="AE3" s="85"/>
      <c r="AF3" s="85"/>
      <c r="AG3" s="86" t="s">
        <v>1445</v>
      </c>
      <c r="AH3" s="85"/>
      <c r="AI3" s="86" t="s">
        <v>1446</v>
      </c>
      <c r="AJ3" s="85"/>
      <c r="AK3" s="86" t="s">
        <v>539</v>
      </c>
      <c r="AL3" s="85"/>
      <c r="AM3" s="86" t="s">
        <v>1447</v>
      </c>
      <c r="AN3" s="85"/>
      <c r="AO3" s="85" t="s">
        <v>1448</v>
      </c>
      <c r="AQ3" t="s">
        <v>1483</v>
      </c>
      <c r="AS3" t="s">
        <v>1276</v>
      </c>
      <c r="AV3" t="s">
        <v>1280</v>
      </c>
      <c r="AZ3" s="587" t="s">
        <v>539</v>
      </c>
    </row>
    <row r="4" spans="1:52" ht="16" x14ac:dyDescent="0.2">
      <c r="A4" s="86" t="s">
        <v>403</v>
      </c>
      <c r="B4" s="86" t="s">
        <v>1449</v>
      </c>
      <c r="C4" s="85"/>
      <c r="D4" s="86" t="s">
        <v>974</v>
      </c>
      <c r="E4" s="85"/>
      <c r="F4" s="596" t="s">
        <v>56</v>
      </c>
      <c r="G4" s="597">
        <v>1916312</v>
      </c>
      <c r="H4" s="85"/>
      <c r="I4" s="85" t="s">
        <v>1450</v>
      </c>
      <c r="J4" s="85"/>
      <c r="K4" s="85"/>
      <c r="L4" s="86" t="s">
        <v>1439</v>
      </c>
      <c r="M4" s="86" t="s">
        <v>1420</v>
      </c>
      <c r="N4" s="85"/>
      <c r="O4" s="86" t="s">
        <v>1424</v>
      </c>
      <c r="P4" s="86" t="s">
        <v>1424</v>
      </c>
      <c r="Q4" s="86" t="s">
        <v>1439</v>
      </c>
      <c r="R4" s="87"/>
      <c r="S4" s="61" t="s">
        <v>1451</v>
      </c>
      <c r="T4" s="86" t="s">
        <v>1452</v>
      </c>
      <c r="U4" s="86" t="s">
        <v>1453</v>
      </c>
      <c r="V4" s="86"/>
      <c r="W4" s="86" t="s">
        <v>1454</v>
      </c>
      <c r="X4" s="86" t="s">
        <v>497</v>
      </c>
      <c r="Y4" s="85"/>
      <c r="Z4" s="86" t="s">
        <v>497</v>
      </c>
      <c r="AA4" s="85"/>
      <c r="AB4" s="116" t="s">
        <v>497</v>
      </c>
      <c r="AC4" s="85"/>
      <c r="AD4" s="86" t="s">
        <v>1455</v>
      </c>
      <c r="AE4" s="85"/>
      <c r="AF4" s="85"/>
      <c r="AG4" s="86" t="s">
        <v>1456</v>
      </c>
      <c r="AH4" s="85"/>
      <c r="AI4" s="86" t="s">
        <v>1457</v>
      </c>
      <c r="AJ4" s="85"/>
      <c r="AK4" s="86" t="s">
        <v>540</v>
      </c>
      <c r="AL4" s="85"/>
      <c r="AM4" s="86" t="s">
        <v>1458</v>
      </c>
      <c r="AN4" s="85"/>
      <c r="AO4" s="85" t="s">
        <v>497</v>
      </c>
      <c r="AQ4" t="s">
        <v>1484</v>
      </c>
      <c r="AS4" t="s">
        <v>1556</v>
      </c>
      <c r="AV4" t="s">
        <v>1340</v>
      </c>
      <c r="AZ4" s="587" t="s">
        <v>540</v>
      </c>
    </row>
    <row r="5" spans="1:52" ht="16" x14ac:dyDescent="0.2">
      <c r="A5" s="86" t="s">
        <v>402</v>
      </c>
      <c r="B5" s="86" t="s">
        <v>1459</v>
      </c>
      <c r="C5" s="85"/>
      <c r="D5" s="86" t="s">
        <v>1460</v>
      </c>
      <c r="E5" s="85"/>
      <c r="F5" s="596" t="s">
        <v>69</v>
      </c>
      <c r="G5" s="597">
        <v>409405</v>
      </c>
      <c r="H5" s="85"/>
      <c r="I5" s="85"/>
      <c r="J5" s="85"/>
      <c r="K5" s="85"/>
      <c r="L5" s="86" t="s">
        <v>1424</v>
      </c>
      <c r="M5" s="85"/>
      <c r="N5" s="85"/>
      <c r="O5" s="86" t="s">
        <v>974</v>
      </c>
      <c r="P5" s="86" t="s">
        <v>1420</v>
      </c>
      <c r="Q5" s="86" t="s">
        <v>1424</v>
      </c>
      <c r="R5" s="87"/>
      <c r="S5" s="61" t="s">
        <v>1461</v>
      </c>
      <c r="T5" s="86" t="s">
        <v>1462</v>
      </c>
      <c r="U5" s="86" t="s">
        <v>1463</v>
      </c>
      <c r="V5" s="86" t="s">
        <v>497</v>
      </c>
      <c r="W5" s="86" t="s">
        <v>497</v>
      </c>
      <c r="X5" s="86"/>
      <c r="Y5" s="85"/>
      <c r="Z5" s="85"/>
      <c r="AA5" s="85"/>
      <c r="AB5" s="85"/>
      <c r="AC5" s="85"/>
      <c r="AE5" s="85"/>
      <c r="AF5" s="85"/>
      <c r="AG5" s="86" t="s">
        <v>497</v>
      </c>
      <c r="AH5" s="85"/>
      <c r="AI5" s="85"/>
      <c r="AJ5" s="85"/>
      <c r="AK5" s="86" t="s">
        <v>541</v>
      </c>
      <c r="AL5" s="85"/>
      <c r="AM5" s="85"/>
      <c r="AN5" s="85"/>
      <c r="AO5" s="85"/>
      <c r="AQ5" t="s">
        <v>493</v>
      </c>
      <c r="AS5" t="s">
        <v>1557</v>
      </c>
      <c r="AV5" t="s">
        <v>1591</v>
      </c>
      <c r="AZ5" s="587" t="s">
        <v>541</v>
      </c>
    </row>
    <row r="6" spans="1:52" ht="17" thickBot="1" x14ac:dyDescent="0.25">
      <c r="A6" s="86" t="s">
        <v>569</v>
      </c>
      <c r="B6" s="86" t="s">
        <v>949</v>
      </c>
      <c r="C6" s="85"/>
      <c r="D6" s="86" t="s">
        <v>1464</v>
      </c>
      <c r="E6" s="85"/>
      <c r="F6" s="596" t="s">
        <v>78</v>
      </c>
      <c r="G6" s="597">
        <v>487260</v>
      </c>
      <c r="H6" s="85"/>
      <c r="I6" s="85"/>
      <c r="J6" s="85"/>
      <c r="K6" s="85"/>
      <c r="L6" s="86" t="s">
        <v>466</v>
      </c>
      <c r="M6" s="85"/>
      <c r="N6" s="85"/>
      <c r="O6" s="86" t="s">
        <v>1420</v>
      </c>
      <c r="P6" s="85"/>
      <c r="Q6" s="86" t="s">
        <v>466</v>
      </c>
      <c r="R6" s="87"/>
      <c r="S6" s="85"/>
      <c r="T6" s="85"/>
      <c r="U6" s="85"/>
      <c r="V6" s="85"/>
      <c r="W6" s="85"/>
      <c r="X6" s="85"/>
      <c r="Y6" s="85"/>
      <c r="Z6" s="85"/>
      <c r="AA6" s="85"/>
      <c r="AB6" s="85"/>
      <c r="AC6" s="85"/>
      <c r="AE6" s="85"/>
      <c r="AF6" s="85"/>
      <c r="AG6" s="85"/>
      <c r="AH6" s="85"/>
      <c r="AI6" s="85"/>
      <c r="AJ6" s="85"/>
      <c r="AK6" s="86" t="s">
        <v>497</v>
      </c>
      <c r="AL6" s="85"/>
      <c r="AM6" s="85"/>
      <c r="AN6" s="85"/>
      <c r="AO6" s="85"/>
      <c r="AQ6" t="s">
        <v>1485</v>
      </c>
      <c r="AZ6" s="588" t="s">
        <v>1608</v>
      </c>
    </row>
    <row r="7" spans="1:52" ht="16" x14ac:dyDescent="0.2">
      <c r="A7" s="86" t="s">
        <v>611</v>
      </c>
      <c r="B7" s="86" t="s">
        <v>497</v>
      </c>
      <c r="C7" s="85"/>
      <c r="D7" s="86" t="s">
        <v>497</v>
      </c>
      <c r="E7" s="85"/>
      <c r="F7" s="420" t="s">
        <v>83</v>
      </c>
      <c r="G7" s="597">
        <v>2097959</v>
      </c>
      <c r="H7" s="85"/>
      <c r="I7" s="85"/>
      <c r="J7" s="85"/>
      <c r="K7" s="85"/>
      <c r="L7" s="86" t="s">
        <v>1420</v>
      </c>
      <c r="M7" s="85"/>
      <c r="N7" s="85"/>
      <c r="O7" s="85"/>
      <c r="P7" s="85"/>
      <c r="Q7" s="86" t="s">
        <v>1438</v>
      </c>
      <c r="R7" s="87"/>
      <c r="S7" s="85"/>
      <c r="T7" s="85"/>
      <c r="U7" s="85"/>
      <c r="V7" s="85"/>
      <c r="W7" s="85"/>
      <c r="X7" s="85"/>
      <c r="Y7" s="85"/>
      <c r="Z7" s="85"/>
      <c r="AA7" s="85"/>
      <c r="AB7" s="85"/>
      <c r="AC7" s="85"/>
      <c r="AE7" s="85"/>
      <c r="AF7" s="85"/>
      <c r="AG7" s="85"/>
      <c r="AH7" s="85"/>
      <c r="AI7" s="85"/>
      <c r="AJ7" s="85"/>
      <c r="AK7" s="85"/>
      <c r="AL7" s="85"/>
      <c r="AM7" s="85"/>
      <c r="AN7" s="85"/>
      <c r="AO7" s="85"/>
      <c r="AZ7" s="587"/>
    </row>
    <row r="8" spans="1:52" ht="16" x14ac:dyDescent="0.2">
      <c r="A8" s="86" t="s">
        <v>598</v>
      </c>
      <c r="B8" s="85"/>
      <c r="C8" s="85"/>
      <c r="D8" s="85"/>
      <c r="E8" s="85"/>
      <c r="F8" s="596" t="s">
        <v>84</v>
      </c>
      <c r="G8" s="597">
        <v>325819</v>
      </c>
      <c r="H8" s="85"/>
      <c r="I8" s="85"/>
      <c r="J8" s="85"/>
      <c r="K8" s="85"/>
      <c r="L8" s="85"/>
      <c r="M8" s="85"/>
      <c r="N8" s="85"/>
      <c r="O8" s="85"/>
      <c r="P8" s="85"/>
      <c r="Q8" s="86" t="s">
        <v>1420</v>
      </c>
      <c r="R8" s="87"/>
      <c r="S8" s="85"/>
      <c r="T8" s="85"/>
      <c r="U8" s="85"/>
      <c r="V8" s="85"/>
      <c r="W8" s="85"/>
      <c r="X8" s="85"/>
      <c r="Y8" s="85"/>
      <c r="Z8" s="85"/>
      <c r="AA8" s="85"/>
      <c r="AB8" s="85"/>
      <c r="AC8" s="85"/>
      <c r="AE8" s="85"/>
      <c r="AF8" s="85"/>
      <c r="AG8" s="85"/>
      <c r="AH8" s="85"/>
      <c r="AI8" s="85"/>
      <c r="AJ8" s="85"/>
      <c r="AK8" s="85"/>
      <c r="AL8" s="85"/>
      <c r="AM8" s="85"/>
      <c r="AN8" s="85"/>
      <c r="AO8" s="85"/>
    </row>
    <row r="9" spans="1:52" ht="14.25" customHeight="1" x14ac:dyDescent="0.2">
      <c r="A9" s="86" t="s">
        <v>497</v>
      </c>
      <c r="B9" s="85"/>
      <c r="C9" s="85"/>
      <c r="D9" s="85"/>
      <c r="E9" s="85"/>
      <c r="F9" s="596" t="s">
        <v>97</v>
      </c>
      <c r="G9" s="597">
        <v>544620</v>
      </c>
      <c r="H9" s="85"/>
      <c r="I9" s="85"/>
      <c r="J9" s="85"/>
      <c r="K9" s="85"/>
      <c r="L9" s="85"/>
      <c r="M9" s="85"/>
      <c r="N9" s="85"/>
      <c r="O9" s="85"/>
      <c r="P9" s="85"/>
      <c r="Q9" s="85"/>
      <c r="S9" s="85"/>
      <c r="T9" s="85"/>
      <c r="U9" s="85"/>
      <c r="V9" s="85"/>
      <c r="W9" s="85"/>
      <c r="X9" s="85"/>
      <c r="Y9" s="85"/>
      <c r="Z9" s="85"/>
      <c r="AA9" s="85"/>
      <c r="AB9" s="85"/>
      <c r="AC9" s="85"/>
      <c r="AE9" s="85"/>
      <c r="AF9" s="85"/>
      <c r="AG9" s="85"/>
      <c r="AH9" s="85"/>
      <c r="AI9" s="85"/>
      <c r="AJ9" s="85"/>
      <c r="AK9" s="85"/>
      <c r="AL9" s="85"/>
      <c r="AM9" s="85"/>
      <c r="AN9" s="85"/>
      <c r="AO9" s="85"/>
    </row>
    <row r="10" spans="1:52" ht="16" x14ac:dyDescent="0.2">
      <c r="A10" s="85"/>
      <c r="B10" s="85"/>
      <c r="C10" s="85"/>
      <c r="D10" s="85"/>
      <c r="E10" s="85"/>
      <c r="F10" s="596" t="s">
        <v>98</v>
      </c>
      <c r="G10" s="597" t="s">
        <v>857</v>
      </c>
      <c r="H10" s="85"/>
      <c r="I10" s="85"/>
      <c r="J10" s="85"/>
      <c r="K10" s="85"/>
      <c r="L10" s="85"/>
      <c r="M10" s="85"/>
      <c r="N10" s="85"/>
      <c r="O10" s="85"/>
      <c r="P10" s="85"/>
      <c r="Q10" s="85"/>
      <c r="S10" s="85"/>
      <c r="T10" s="85"/>
      <c r="U10" s="85"/>
      <c r="V10" s="85"/>
      <c r="W10" s="85"/>
      <c r="X10" s="85"/>
      <c r="Y10" s="85"/>
      <c r="Z10" s="85"/>
      <c r="AA10" s="85"/>
      <c r="AB10" s="85"/>
      <c r="AC10" s="85"/>
      <c r="AE10" s="85"/>
      <c r="AF10" s="85"/>
      <c r="AG10" s="85"/>
      <c r="AH10" s="85"/>
      <c r="AI10" s="85"/>
      <c r="AJ10" s="85"/>
      <c r="AK10" s="85"/>
      <c r="AL10" s="85"/>
      <c r="AM10" s="85"/>
      <c r="AN10" s="85"/>
      <c r="AO10" s="85"/>
    </row>
    <row r="11" spans="1:52" ht="16" x14ac:dyDescent="0.2">
      <c r="A11" s="85"/>
      <c r="B11" s="85"/>
      <c r="C11" s="85"/>
      <c r="D11" s="85"/>
      <c r="E11" s="85"/>
      <c r="F11" s="596" t="s">
        <v>99</v>
      </c>
      <c r="G11" s="597">
        <v>5994261</v>
      </c>
      <c r="H11" s="85"/>
      <c r="I11" s="85"/>
      <c r="J11" s="85"/>
      <c r="K11" s="85"/>
      <c r="L11" s="85"/>
      <c r="M11" s="85"/>
      <c r="N11" s="85"/>
      <c r="O11" s="85"/>
      <c r="P11" s="85"/>
      <c r="Q11" s="85"/>
      <c r="S11" s="85"/>
      <c r="T11" s="85"/>
      <c r="U11" s="85"/>
      <c r="V11" s="85"/>
      <c r="W11" s="85"/>
      <c r="X11" s="85"/>
      <c r="Y11" s="85"/>
      <c r="Z11" s="85"/>
      <c r="AA11" s="85"/>
      <c r="AB11" s="85"/>
      <c r="AC11" s="85"/>
      <c r="AE11" s="85"/>
      <c r="AF11" s="85"/>
      <c r="AG11" s="85"/>
      <c r="AH11" s="85"/>
      <c r="AI11" s="85"/>
      <c r="AJ11" s="85"/>
      <c r="AK11" s="85"/>
      <c r="AL11" s="85"/>
      <c r="AM11" s="85"/>
      <c r="AN11" s="85"/>
      <c r="AO11" s="85"/>
    </row>
    <row r="12" spans="1:52" ht="16" x14ac:dyDescent="0.2">
      <c r="A12" s="85"/>
      <c r="B12" s="85"/>
      <c r="C12" s="85"/>
      <c r="D12" s="85"/>
      <c r="E12" s="85"/>
      <c r="F12" s="596" t="s">
        <v>108</v>
      </c>
      <c r="G12" s="597">
        <v>1145464</v>
      </c>
      <c r="H12" s="85"/>
      <c r="I12" s="85"/>
      <c r="J12" s="85"/>
      <c r="K12" s="85"/>
      <c r="L12" s="85"/>
      <c r="M12" s="85"/>
      <c r="N12" s="85"/>
      <c r="O12" s="85"/>
      <c r="P12" s="85"/>
      <c r="Q12" s="85"/>
      <c r="S12" s="85"/>
      <c r="T12" s="85"/>
      <c r="U12" s="85"/>
      <c r="V12" s="85"/>
      <c r="W12" s="85"/>
      <c r="X12" s="85"/>
      <c r="Y12" s="85"/>
      <c r="Z12" s="85"/>
      <c r="AA12" s="85"/>
      <c r="AB12" s="85"/>
      <c r="AC12" s="85"/>
      <c r="AE12" s="85"/>
      <c r="AF12" s="85"/>
      <c r="AG12" s="85"/>
      <c r="AH12" s="85"/>
      <c r="AI12" s="85"/>
      <c r="AJ12" s="85"/>
      <c r="AK12" s="85"/>
      <c r="AL12" s="85"/>
      <c r="AM12" s="85"/>
      <c r="AN12" s="85"/>
      <c r="AO12" s="85"/>
    </row>
    <row r="13" spans="1:52" ht="16" x14ac:dyDescent="0.2">
      <c r="A13" s="85"/>
      <c r="B13" s="85"/>
      <c r="C13" s="85"/>
      <c r="D13" s="85"/>
      <c r="E13" s="85"/>
      <c r="F13" s="596" t="s">
        <v>109</v>
      </c>
      <c r="G13" s="597">
        <v>145304</v>
      </c>
      <c r="H13" s="85"/>
      <c r="I13" s="85"/>
      <c r="J13" s="85"/>
      <c r="K13" s="85"/>
      <c r="L13" s="85"/>
      <c r="M13" s="85"/>
      <c r="N13" s="85"/>
      <c r="O13" s="85"/>
      <c r="P13" s="85"/>
      <c r="Q13" s="85"/>
      <c r="S13" s="85"/>
      <c r="T13" s="85"/>
      <c r="U13" s="85"/>
      <c r="V13" s="85"/>
      <c r="W13" s="85"/>
      <c r="X13" s="85"/>
      <c r="Y13" s="85"/>
      <c r="Z13" s="85"/>
      <c r="AA13" s="85"/>
      <c r="AB13" s="85"/>
      <c r="AC13" s="85"/>
      <c r="AE13" s="85"/>
      <c r="AF13" s="85"/>
      <c r="AG13" s="85"/>
      <c r="AH13" s="85"/>
      <c r="AI13" s="85"/>
      <c r="AJ13" s="85"/>
      <c r="AK13" s="85"/>
      <c r="AL13" s="85"/>
      <c r="AM13" s="85"/>
      <c r="AN13" s="85"/>
      <c r="AO13" s="85"/>
    </row>
    <row r="14" spans="1:52" ht="16" x14ac:dyDescent="0.2">
      <c r="A14" s="85"/>
      <c r="B14" s="85"/>
      <c r="C14" s="85"/>
      <c r="D14" s="85"/>
      <c r="E14" s="85"/>
      <c r="F14" s="596" t="s">
        <v>110</v>
      </c>
      <c r="G14" s="597" t="s">
        <v>857</v>
      </c>
      <c r="H14" s="85"/>
      <c r="I14" s="85"/>
      <c r="J14" s="85"/>
      <c r="K14" s="85"/>
      <c r="L14" s="85"/>
      <c r="M14" s="85"/>
      <c r="N14" s="85"/>
      <c r="O14" s="85"/>
      <c r="P14" s="85"/>
      <c r="Q14" s="85"/>
      <c r="S14" s="85"/>
      <c r="T14" s="85"/>
      <c r="U14" s="85"/>
      <c r="V14" s="85"/>
      <c r="W14" s="85"/>
      <c r="X14" s="85"/>
      <c r="Y14" s="85"/>
      <c r="Z14" s="85"/>
      <c r="AA14" s="85"/>
      <c r="AB14" s="85"/>
      <c r="AC14" s="85"/>
      <c r="AE14" s="85"/>
      <c r="AF14" s="85"/>
      <c r="AG14" s="85"/>
      <c r="AH14" s="85"/>
      <c r="AI14" s="85"/>
      <c r="AJ14" s="85"/>
      <c r="AK14" s="85"/>
      <c r="AL14" s="85"/>
      <c r="AM14" s="85"/>
      <c r="AN14" s="85"/>
      <c r="AO14" s="85"/>
    </row>
    <row r="15" spans="1:52" ht="16" x14ac:dyDescent="0.2">
      <c r="A15" s="85"/>
      <c r="B15" s="85"/>
      <c r="C15" s="85"/>
      <c r="D15" s="85"/>
      <c r="E15" s="85"/>
      <c r="F15" s="596" t="s">
        <v>111</v>
      </c>
      <c r="G15" s="597">
        <v>1889785</v>
      </c>
      <c r="H15" s="85"/>
      <c r="I15" s="85"/>
      <c r="J15" s="85"/>
      <c r="K15" s="85"/>
      <c r="L15" s="85"/>
      <c r="M15" s="85"/>
      <c r="N15" s="85"/>
      <c r="O15" s="85"/>
      <c r="P15" s="85"/>
      <c r="Q15" s="85"/>
      <c r="S15" s="85"/>
      <c r="T15" s="85"/>
      <c r="U15" s="85"/>
      <c r="V15" s="85"/>
      <c r="W15" s="85"/>
      <c r="X15" s="85"/>
      <c r="Y15" s="85"/>
      <c r="Z15" s="85"/>
      <c r="AA15" s="85"/>
      <c r="AB15" s="85"/>
      <c r="AC15" s="85"/>
      <c r="AE15" s="85"/>
      <c r="AF15" s="85"/>
      <c r="AG15" s="85"/>
      <c r="AH15" s="85"/>
      <c r="AI15" s="85"/>
      <c r="AJ15" s="85"/>
      <c r="AK15" s="85"/>
      <c r="AL15" s="85"/>
      <c r="AM15" s="85"/>
      <c r="AN15" s="85"/>
      <c r="AO15" s="85"/>
    </row>
    <row r="16" spans="1:52" ht="16" x14ac:dyDescent="0.2">
      <c r="A16" s="85"/>
      <c r="B16" s="85"/>
      <c r="C16" s="85"/>
      <c r="D16" s="85"/>
      <c r="E16" s="85"/>
      <c r="F16" s="596" t="s">
        <v>112</v>
      </c>
      <c r="G16" s="597">
        <v>2104802</v>
      </c>
      <c r="H16" s="85"/>
      <c r="I16" s="85"/>
      <c r="J16" s="85"/>
      <c r="K16" s="85"/>
      <c r="L16" s="85"/>
      <c r="M16" s="85"/>
      <c r="N16" s="85"/>
      <c r="O16" s="85"/>
      <c r="P16" s="85"/>
      <c r="Q16" s="85"/>
      <c r="S16" s="85"/>
      <c r="T16" s="85"/>
      <c r="U16" s="85"/>
      <c r="V16" s="85"/>
      <c r="W16" s="85"/>
      <c r="X16" s="85"/>
      <c r="Y16" s="85"/>
      <c r="Z16" s="85"/>
      <c r="AA16" s="85"/>
      <c r="AB16" s="85"/>
      <c r="AC16" s="85"/>
      <c r="AE16" s="85"/>
      <c r="AF16" s="85"/>
      <c r="AG16" s="85"/>
      <c r="AH16" s="85"/>
      <c r="AI16" s="85"/>
      <c r="AJ16" s="85"/>
      <c r="AK16" s="85"/>
      <c r="AL16" s="85"/>
      <c r="AM16" s="85"/>
      <c r="AN16" s="85"/>
      <c r="AO16" s="85"/>
    </row>
    <row r="17" spans="6:7" ht="16" x14ac:dyDescent="0.2">
      <c r="F17" s="596" t="s">
        <v>113</v>
      </c>
      <c r="G17" s="597">
        <v>765119</v>
      </c>
    </row>
    <row r="18" spans="6:7" ht="16" x14ac:dyDescent="0.2">
      <c r="F18" s="596" t="s">
        <v>114</v>
      </c>
      <c r="G18" s="597">
        <v>693238</v>
      </c>
    </row>
    <row r="19" spans="6:7" ht="16" x14ac:dyDescent="0.2">
      <c r="F19" s="596" t="s">
        <v>115</v>
      </c>
      <c r="G19" s="597">
        <v>2214116</v>
      </c>
    </row>
    <row r="20" spans="6:7" ht="16" x14ac:dyDescent="0.2">
      <c r="F20" s="596" t="s">
        <v>116</v>
      </c>
      <c r="G20" s="597" t="s">
        <v>857</v>
      </c>
    </row>
    <row r="21" spans="6:7" ht="16" x14ac:dyDescent="0.2">
      <c r="F21" s="596" t="s">
        <v>117</v>
      </c>
      <c r="G21" s="597">
        <v>1593330</v>
      </c>
    </row>
    <row r="22" spans="6:7" ht="16" x14ac:dyDescent="0.2">
      <c r="F22" s="596" t="s">
        <v>130</v>
      </c>
      <c r="G22" s="597">
        <v>1434954</v>
      </c>
    </row>
    <row r="23" spans="6:7" ht="16" x14ac:dyDescent="0.2">
      <c r="F23" s="596" t="s">
        <v>143</v>
      </c>
      <c r="G23" s="597">
        <v>286651</v>
      </c>
    </row>
    <row r="24" spans="6:7" ht="16" x14ac:dyDescent="0.2">
      <c r="F24" s="596" t="s">
        <v>150</v>
      </c>
      <c r="G24" s="597">
        <v>594146</v>
      </c>
    </row>
    <row r="25" spans="6:7" ht="16" x14ac:dyDescent="0.2">
      <c r="F25" s="596" t="s">
        <v>154</v>
      </c>
      <c r="G25" s="597">
        <v>245231</v>
      </c>
    </row>
    <row r="26" spans="6:7" ht="16" x14ac:dyDescent="0.2">
      <c r="F26" s="596" t="s">
        <v>163</v>
      </c>
      <c r="G26" s="597">
        <v>571984</v>
      </c>
    </row>
    <row r="27" spans="6:7" ht="16" x14ac:dyDescent="0.2">
      <c r="F27" s="596" t="s">
        <v>164</v>
      </c>
      <c r="G27" s="597">
        <v>320822</v>
      </c>
    </row>
    <row r="28" spans="6:7" s="85" customFormat="1" ht="16" x14ac:dyDescent="0.2">
      <c r="F28" s="596" t="s">
        <v>1335</v>
      </c>
      <c r="G28" s="597" t="s">
        <v>857</v>
      </c>
    </row>
    <row r="29" spans="6:7" ht="16" x14ac:dyDescent="0.2">
      <c r="F29" s="596" t="s">
        <v>168</v>
      </c>
      <c r="G29" s="597">
        <v>1158728</v>
      </c>
    </row>
    <row r="30" spans="6:7" ht="16" x14ac:dyDescent="0.2">
      <c r="F30" s="596" t="s">
        <v>173</v>
      </c>
      <c r="G30" s="597">
        <v>797073</v>
      </c>
    </row>
    <row r="31" spans="6:7" ht="16" x14ac:dyDescent="0.2">
      <c r="F31" s="596" t="s">
        <v>182</v>
      </c>
      <c r="G31" s="597">
        <v>964835</v>
      </c>
    </row>
    <row r="32" spans="6:7" ht="16" x14ac:dyDescent="0.2">
      <c r="F32" s="596" t="s">
        <v>191</v>
      </c>
      <c r="G32" s="597" t="s">
        <v>857</v>
      </c>
    </row>
    <row r="33" spans="6:7" ht="16" x14ac:dyDescent="0.2">
      <c r="F33" s="596" t="s">
        <v>200</v>
      </c>
      <c r="G33" s="597">
        <v>556147</v>
      </c>
    </row>
    <row r="34" spans="6:7" ht="16" x14ac:dyDescent="0.2">
      <c r="F34" s="596" t="s">
        <v>213</v>
      </c>
      <c r="G34" s="597">
        <v>0</v>
      </c>
    </row>
    <row r="35" spans="6:7" ht="16" x14ac:dyDescent="0.2">
      <c r="F35" s="596" t="s">
        <v>214</v>
      </c>
      <c r="G35" s="597">
        <v>35000</v>
      </c>
    </row>
    <row r="36" spans="6:7" ht="16" x14ac:dyDescent="0.2">
      <c r="F36" s="596" t="s">
        <v>448</v>
      </c>
      <c r="G36" s="597" t="s">
        <v>857</v>
      </c>
    </row>
    <row r="37" spans="6:7" ht="16" x14ac:dyDescent="0.2">
      <c r="F37" s="596" t="s">
        <v>215</v>
      </c>
      <c r="G37" s="597" t="s">
        <v>857</v>
      </c>
    </row>
    <row r="38" spans="6:7" ht="16" x14ac:dyDescent="0.2">
      <c r="F38" s="596" t="s">
        <v>216</v>
      </c>
      <c r="G38" s="597" t="s">
        <v>857</v>
      </c>
    </row>
    <row r="39" spans="6:7" ht="16" x14ac:dyDescent="0.2">
      <c r="F39" s="596" t="s">
        <v>225</v>
      </c>
      <c r="G39" s="597">
        <v>534602</v>
      </c>
    </row>
    <row r="40" spans="6:7" ht="16" x14ac:dyDescent="0.2">
      <c r="F40" s="596" t="s">
        <v>230</v>
      </c>
      <c r="G40" s="597">
        <v>1621244</v>
      </c>
    </row>
    <row r="41" spans="6:7" ht="16" x14ac:dyDescent="0.2">
      <c r="F41" s="596" t="s">
        <v>231</v>
      </c>
      <c r="G41" s="597">
        <v>429810</v>
      </c>
    </row>
    <row r="42" spans="6:7" ht="16" x14ac:dyDescent="0.2">
      <c r="F42" s="596" t="s">
        <v>240</v>
      </c>
      <c r="G42" s="597">
        <v>497777</v>
      </c>
    </row>
    <row r="43" spans="6:7" ht="16" x14ac:dyDescent="0.2">
      <c r="F43" s="596" t="s">
        <v>252</v>
      </c>
      <c r="G43" s="597">
        <v>469101</v>
      </c>
    </row>
    <row r="44" spans="6:7" ht="16" x14ac:dyDescent="0.2">
      <c r="F44" s="596" t="s">
        <v>256</v>
      </c>
      <c r="G44" s="597">
        <v>368529</v>
      </c>
    </row>
    <row r="45" spans="6:7" ht="16" x14ac:dyDescent="0.2">
      <c r="F45" s="596" t="s">
        <v>261</v>
      </c>
      <c r="G45" s="597">
        <v>431626</v>
      </c>
    </row>
    <row r="46" spans="6:7" ht="16" x14ac:dyDescent="0.2">
      <c r="F46" s="596" t="s">
        <v>272</v>
      </c>
      <c r="G46" s="597">
        <v>1683779</v>
      </c>
    </row>
    <row r="47" spans="6:7" ht="16" x14ac:dyDescent="0.2">
      <c r="F47" s="596" t="s">
        <v>282</v>
      </c>
      <c r="G47" s="597">
        <v>1105132</v>
      </c>
    </row>
    <row r="48" spans="6:7" ht="16" x14ac:dyDescent="0.2">
      <c r="F48" s="596" t="s">
        <v>291</v>
      </c>
      <c r="G48" s="597">
        <v>4839765</v>
      </c>
    </row>
    <row r="49" spans="6:7" ht="16" x14ac:dyDescent="0.2">
      <c r="F49" s="596" t="s">
        <v>299</v>
      </c>
      <c r="G49" s="597">
        <v>13565095</v>
      </c>
    </row>
    <row r="50" spans="6:7" ht="16" x14ac:dyDescent="0.2">
      <c r="F50" s="596" t="s">
        <v>304</v>
      </c>
      <c r="G50" s="597">
        <v>3668302</v>
      </c>
    </row>
    <row r="51" spans="6:7" ht="16" x14ac:dyDescent="0.2">
      <c r="F51" s="596" t="s">
        <v>313</v>
      </c>
      <c r="G51" s="597">
        <v>2917783</v>
      </c>
    </row>
    <row r="52" spans="6:7" ht="16" x14ac:dyDescent="0.2">
      <c r="F52" s="596" t="s">
        <v>326</v>
      </c>
      <c r="G52" s="597">
        <v>4773194</v>
      </c>
    </row>
    <row r="53" spans="6:7" ht="16" x14ac:dyDescent="0.2">
      <c r="F53" s="596" t="s">
        <v>335</v>
      </c>
      <c r="G53" s="597">
        <v>3188275</v>
      </c>
    </row>
    <row r="54" spans="6:7" ht="16" x14ac:dyDescent="0.2">
      <c r="F54" s="596" t="s">
        <v>343</v>
      </c>
      <c r="G54" s="597">
        <v>1560921</v>
      </c>
    </row>
    <row r="55" spans="6:7" ht="16" x14ac:dyDescent="0.2">
      <c r="F55" s="596" t="s">
        <v>352</v>
      </c>
      <c r="G55" s="597">
        <v>1240765</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0DD5B-ABDE-9A41-9B33-0B5C0AE27893}">
  <sheetPr>
    <tabColor rgb="FFC00000"/>
  </sheetPr>
  <dimension ref="A1:Q22"/>
  <sheetViews>
    <sheetView workbookViewId="0">
      <selection activeCell="F28" sqref="F28"/>
    </sheetView>
  </sheetViews>
  <sheetFormatPr baseColWidth="10" defaultColWidth="0" defaultRowHeight="15" customHeight="1" x14ac:dyDescent="0.2"/>
  <cols>
    <col min="1" max="1" width="4.5" style="70" customWidth="1"/>
    <col min="2" max="2" width="9.1640625" style="70" customWidth="1"/>
    <col min="3" max="3" width="14" style="70" customWidth="1"/>
    <col min="4" max="4" width="12.5" style="70" customWidth="1"/>
    <col min="5" max="8" width="9.1640625" style="70" customWidth="1"/>
    <col min="9" max="9" width="10.5" style="70" customWidth="1"/>
    <col min="10" max="10" width="9.1640625" style="70" customWidth="1"/>
    <col min="11" max="11" width="13" style="70" customWidth="1"/>
    <col min="12" max="13" width="9.1640625" style="70" customWidth="1"/>
    <col min="14" max="14" width="15.6640625" style="70" customWidth="1"/>
    <col min="15" max="15" width="26.5" style="70" customWidth="1"/>
    <col min="16" max="16" width="10.83203125" style="70" customWidth="1"/>
    <col min="17" max="17" width="0" style="70" hidden="1" customWidth="1"/>
    <col min="18" max="16384" width="9.1640625" style="70" hidden="1"/>
  </cols>
  <sheetData>
    <row r="1" spans="1:16" s="85" customFormat="1" ht="16" thickBot="1" x14ac:dyDescent="0.25">
      <c r="A1" s="72"/>
      <c r="B1" s="881" t="s">
        <v>23</v>
      </c>
      <c r="C1" s="882"/>
      <c r="D1" s="882"/>
      <c r="E1" s="882"/>
      <c r="F1" s="882"/>
      <c r="G1" s="882"/>
      <c r="H1" s="882"/>
      <c r="I1" s="882"/>
      <c r="J1" s="882"/>
      <c r="K1" s="882"/>
      <c r="L1" s="882"/>
      <c r="M1" s="882"/>
      <c r="N1" s="882"/>
      <c r="O1" s="883"/>
      <c r="P1" s="72"/>
    </row>
    <row r="2" spans="1:16" s="85" customFormat="1" ht="26.25" customHeight="1" x14ac:dyDescent="0.2">
      <c r="A2" s="72"/>
      <c r="B2" s="886" t="s">
        <v>6</v>
      </c>
      <c r="C2" s="872" t="s">
        <v>24</v>
      </c>
      <c r="D2" s="873"/>
      <c r="E2" s="873"/>
      <c r="F2" s="873"/>
      <c r="G2" s="873"/>
      <c r="H2" s="873"/>
      <c r="I2" s="873"/>
      <c r="J2" s="873"/>
      <c r="K2" s="873"/>
      <c r="L2" s="873"/>
      <c r="M2" s="873"/>
      <c r="N2" s="873"/>
      <c r="O2" s="874"/>
      <c r="P2" s="72"/>
    </row>
    <row r="3" spans="1:16" s="85" customFormat="1" ht="9.75" customHeight="1" x14ac:dyDescent="0.2">
      <c r="A3" s="72"/>
      <c r="B3" s="887"/>
      <c r="C3" s="875"/>
      <c r="D3" s="876"/>
      <c r="E3" s="876"/>
      <c r="F3" s="876"/>
      <c r="G3" s="876"/>
      <c r="H3" s="876"/>
      <c r="I3" s="876"/>
      <c r="J3" s="876"/>
      <c r="K3" s="876"/>
      <c r="L3" s="876"/>
      <c r="M3" s="876"/>
      <c r="N3" s="876"/>
      <c r="O3" s="877"/>
      <c r="P3" s="72"/>
    </row>
    <row r="4" spans="1:16" s="85" customFormat="1" ht="21.75" customHeight="1" thickBot="1" x14ac:dyDescent="0.25">
      <c r="A4" s="72"/>
      <c r="B4" s="887"/>
      <c r="C4" s="878" t="s">
        <v>25</v>
      </c>
      <c r="D4" s="879"/>
      <c r="E4" s="879"/>
      <c r="F4" s="879"/>
      <c r="G4" s="879"/>
      <c r="H4" s="879"/>
      <c r="I4" s="879"/>
      <c r="J4" s="879"/>
      <c r="K4" s="879"/>
      <c r="L4" s="879"/>
      <c r="M4" s="879"/>
      <c r="N4" s="879"/>
      <c r="O4" s="880"/>
      <c r="P4" s="72"/>
    </row>
    <row r="5" spans="1:16" s="85" customFormat="1" ht="16.5" customHeight="1" thickBot="1" x14ac:dyDescent="0.25">
      <c r="A5" s="72"/>
      <c r="B5" s="888"/>
      <c r="C5" s="889" t="s">
        <v>26</v>
      </c>
      <c r="D5" s="890"/>
      <c r="E5" s="890"/>
      <c r="F5" s="890"/>
      <c r="G5" s="890"/>
      <c r="H5" s="890"/>
      <c r="I5" s="890"/>
      <c r="J5" s="890"/>
      <c r="K5" s="890"/>
      <c r="L5" s="890"/>
      <c r="M5" s="890"/>
      <c r="N5" s="890"/>
      <c r="O5" s="891"/>
      <c r="P5" s="72"/>
    </row>
    <row r="6" spans="1:16" s="85" customFormat="1" ht="16" thickBot="1" x14ac:dyDescent="0.25">
      <c r="A6" s="72"/>
      <c r="B6" s="72"/>
      <c r="C6" s="72"/>
      <c r="D6" s="72"/>
      <c r="E6" s="72"/>
      <c r="F6" s="72"/>
      <c r="G6" s="72"/>
      <c r="H6" s="72"/>
      <c r="I6" s="72"/>
      <c r="J6" s="72"/>
      <c r="K6" s="72"/>
      <c r="L6" s="72"/>
      <c r="M6" s="72"/>
      <c r="N6" s="72"/>
      <c r="O6" s="72"/>
      <c r="P6" s="72"/>
    </row>
    <row r="7" spans="1:16" s="85" customFormat="1" ht="22" thickBot="1" x14ac:dyDescent="0.25">
      <c r="A7" s="72"/>
      <c r="B7" s="892" t="s">
        <v>27</v>
      </c>
      <c r="C7" s="893"/>
      <c r="D7" s="893"/>
      <c r="E7" s="893"/>
      <c r="F7" s="893"/>
      <c r="G7" s="893"/>
      <c r="H7" s="893"/>
      <c r="I7" s="893"/>
      <c r="J7" s="893"/>
      <c r="K7" s="893"/>
      <c r="L7" s="893"/>
      <c r="M7" s="893"/>
      <c r="N7" s="893"/>
      <c r="O7" s="894"/>
      <c r="P7" s="72"/>
    </row>
    <row r="8" spans="1:16" s="126" customFormat="1" ht="16" x14ac:dyDescent="0.2">
      <c r="A8" s="130"/>
      <c r="J8" s="131"/>
      <c r="K8" s="132"/>
      <c r="L8" s="132"/>
      <c r="M8" s="132"/>
      <c r="N8" s="130"/>
      <c r="O8" s="130"/>
      <c r="P8" s="130"/>
    </row>
    <row r="9" spans="1:16" s="134" customFormat="1" ht="31.5" customHeight="1" x14ac:dyDescent="0.2">
      <c r="A9" s="132"/>
      <c r="D9" s="897" t="s">
        <v>28</v>
      </c>
      <c r="E9" s="897"/>
      <c r="F9" s="897"/>
      <c r="G9" s="897"/>
      <c r="H9" s="897"/>
      <c r="I9" s="898"/>
      <c r="J9" s="895" t="s">
        <v>29</v>
      </c>
      <c r="K9" s="896"/>
      <c r="L9" s="896"/>
      <c r="M9" s="896"/>
      <c r="N9" s="896"/>
      <c r="O9" s="132"/>
      <c r="P9" s="132"/>
    </row>
    <row r="10" spans="1:16" s="134" customFormat="1" ht="16" x14ac:dyDescent="0.2">
      <c r="A10" s="132"/>
      <c r="B10" s="133"/>
      <c r="C10" s="133"/>
      <c r="D10" s="133"/>
      <c r="E10" s="131"/>
      <c r="F10" s="131"/>
      <c r="G10" s="131"/>
      <c r="H10" s="131"/>
      <c r="I10" s="131"/>
      <c r="J10" s="131"/>
      <c r="K10" s="132"/>
      <c r="L10" s="132"/>
      <c r="M10" s="132"/>
      <c r="N10" s="132"/>
      <c r="O10" s="132"/>
      <c r="P10" s="132"/>
    </row>
    <row r="11" spans="1:16" s="127" customFormat="1" ht="18.75" customHeight="1" thickBot="1" x14ac:dyDescent="0.25">
      <c r="A11" s="130"/>
      <c r="B11" s="866" t="s">
        <v>30</v>
      </c>
      <c r="C11" s="866"/>
      <c r="D11" s="885" t="str">
        <f>IFERROR(VLOOKUP($J$9,'Contacts Source'!$A$1:$M$53,2,FALSE),"")</f>
        <v>-</v>
      </c>
      <c r="E11" s="885"/>
      <c r="F11" s="885"/>
      <c r="G11" s="885"/>
      <c r="H11" s="885"/>
      <c r="I11" s="885"/>
      <c r="J11" s="866" t="s">
        <v>31</v>
      </c>
      <c r="K11" s="866"/>
      <c r="L11" s="885" t="str">
        <f>IFERROR(VLOOKUP($J$9,'Contacts Source'!$A$1:$M$53,4,FALSE),"")</f>
        <v>-</v>
      </c>
      <c r="M11" s="885"/>
      <c r="N11" s="885"/>
      <c r="O11" s="885"/>
      <c r="P11" s="130"/>
    </row>
    <row r="12" spans="1:16" s="127" customFormat="1" ht="18.75" customHeight="1" x14ac:dyDescent="0.2">
      <c r="A12" s="130"/>
      <c r="B12" s="869" t="s">
        <v>32</v>
      </c>
      <c r="C12" s="869"/>
      <c r="D12" s="884" t="str">
        <f>IFERROR(VLOOKUP($J$9,'Contacts Source'!$A$1:$M$53,3,FALSE),"")</f>
        <v>-</v>
      </c>
      <c r="E12" s="884"/>
      <c r="F12" s="884"/>
      <c r="G12" s="884"/>
      <c r="H12" s="884"/>
      <c r="I12" s="884"/>
      <c r="J12" s="869" t="s">
        <v>33</v>
      </c>
      <c r="K12" s="869"/>
      <c r="L12" s="884" t="str">
        <f>IFERROR(VLOOKUP($J$9,'Contacts Source'!$A$1:$M$53,5,FALSE),"")</f>
        <v>-</v>
      </c>
      <c r="M12" s="884"/>
      <c r="N12" s="884"/>
      <c r="O12" s="884"/>
      <c r="P12" s="130"/>
    </row>
    <row r="13" spans="1:16" s="127" customFormat="1" ht="18.75" customHeight="1" x14ac:dyDescent="0.2">
      <c r="A13" s="130"/>
      <c r="B13" s="156"/>
      <c r="C13" s="156"/>
      <c r="D13" s="156"/>
      <c r="E13" s="157"/>
      <c r="F13" s="157"/>
      <c r="G13" s="157"/>
      <c r="H13" s="157"/>
      <c r="I13" s="157"/>
      <c r="J13" s="156"/>
      <c r="K13" s="156"/>
      <c r="L13" s="157"/>
      <c r="M13" s="157"/>
      <c r="N13" s="157"/>
      <c r="O13" s="157"/>
      <c r="P13" s="130"/>
    </row>
    <row r="14" spans="1:16" s="127" customFormat="1" ht="18.75" customHeight="1" thickBot="1" x14ac:dyDescent="0.25">
      <c r="A14" s="130"/>
      <c r="B14" s="866" t="s">
        <v>34</v>
      </c>
      <c r="C14" s="866"/>
      <c r="D14" s="885" t="str">
        <f>IFERROR(VLOOKUP($J$9,'Contacts Source'!$A$1:$M$53,6,FALSE),"")</f>
        <v>-</v>
      </c>
      <c r="E14" s="885"/>
      <c r="F14" s="885"/>
      <c r="G14" s="885"/>
      <c r="H14" s="885"/>
      <c r="I14" s="885"/>
      <c r="J14" s="866" t="s">
        <v>31</v>
      </c>
      <c r="K14" s="866"/>
      <c r="L14" s="885" t="str">
        <f>IFERROR(VLOOKUP($J$9,'Contacts Source'!$A$1:$M$53,8,FALSE),"")</f>
        <v>-</v>
      </c>
      <c r="M14" s="885"/>
      <c r="N14" s="885"/>
      <c r="O14" s="885"/>
      <c r="P14" s="130"/>
    </row>
    <row r="15" spans="1:16" s="127" customFormat="1" ht="18.75" customHeight="1" x14ac:dyDescent="0.2">
      <c r="A15" s="130"/>
      <c r="B15" s="869" t="s">
        <v>32</v>
      </c>
      <c r="C15" s="869"/>
      <c r="D15" s="884" t="str">
        <f>IFERROR(VLOOKUP($J$9,'Contacts Source'!$A$1:$M$53,7,FALSE),"")</f>
        <v>-</v>
      </c>
      <c r="E15" s="884"/>
      <c r="F15" s="884"/>
      <c r="G15" s="884"/>
      <c r="H15" s="884"/>
      <c r="I15" s="884"/>
      <c r="J15" s="869" t="s">
        <v>33</v>
      </c>
      <c r="K15" s="869"/>
      <c r="L15" s="884" t="str">
        <f>IFERROR(VLOOKUP($J$9,'Contacts Source'!$A$1:$M$53,9,FALSE),"")</f>
        <v>-</v>
      </c>
      <c r="M15" s="884"/>
      <c r="N15" s="884"/>
      <c r="O15" s="884"/>
      <c r="P15" s="130"/>
    </row>
    <row r="16" spans="1:16" s="126" customFormat="1" ht="18.75" customHeight="1" x14ac:dyDescent="0.2">
      <c r="A16" s="130"/>
      <c r="B16" s="156"/>
      <c r="C16" s="156"/>
      <c r="D16" s="156"/>
      <c r="E16" s="157"/>
      <c r="F16" s="157"/>
      <c r="G16" s="157"/>
      <c r="H16" s="157"/>
      <c r="I16" s="157"/>
      <c r="J16" s="156"/>
      <c r="K16" s="156"/>
      <c r="L16" s="157"/>
      <c r="M16" s="157"/>
      <c r="N16" s="157"/>
      <c r="O16" s="157"/>
      <c r="P16" s="130"/>
    </row>
    <row r="17" spans="1:16" s="126" customFormat="1" ht="18.75" customHeight="1" thickBot="1" x14ac:dyDescent="0.25">
      <c r="A17" s="130"/>
      <c r="B17" s="866" t="s">
        <v>35</v>
      </c>
      <c r="C17" s="866"/>
      <c r="D17" s="885" t="str">
        <f>IFERROR(VLOOKUP($J$9,'Contacts Source'!$A$1:$M$53,10,FALSE),"")</f>
        <v>-</v>
      </c>
      <c r="E17" s="885"/>
      <c r="F17" s="885"/>
      <c r="G17" s="885"/>
      <c r="H17" s="885"/>
      <c r="I17" s="885"/>
      <c r="J17" s="866" t="s">
        <v>31</v>
      </c>
      <c r="K17" s="866"/>
      <c r="L17" s="885" t="str">
        <f>IFERROR(VLOOKUP($J$9,'Contacts Source'!$A$1:$M$53,12,FALSE),"")</f>
        <v>-</v>
      </c>
      <c r="M17" s="885"/>
      <c r="N17" s="885"/>
      <c r="O17" s="885"/>
      <c r="P17" s="130"/>
    </row>
    <row r="18" spans="1:16" s="126" customFormat="1" ht="18.75" customHeight="1" x14ac:dyDescent="0.2">
      <c r="A18" s="130"/>
      <c r="B18" s="869" t="s">
        <v>32</v>
      </c>
      <c r="C18" s="869"/>
      <c r="D18" s="884" t="str">
        <f>IFERROR(VLOOKUP($J$9,'Contacts Source'!$A$1:$M$53,11,FALSE),"")</f>
        <v>-</v>
      </c>
      <c r="E18" s="884"/>
      <c r="F18" s="884"/>
      <c r="G18" s="884"/>
      <c r="H18" s="884"/>
      <c r="I18" s="884"/>
      <c r="J18" s="869" t="s">
        <v>33</v>
      </c>
      <c r="K18" s="869"/>
      <c r="L18" s="884" t="str">
        <f>IFERROR(VLOOKUP($J$9,'Contacts Source'!$A$1:$M$53,13,FALSE),"")</f>
        <v>-</v>
      </c>
      <c r="M18" s="884"/>
      <c r="N18" s="884"/>
      <c r="O18" s="884"/>
      <c r="P18" s="130"/>
    </row>
    <row r="19" spans="1:16" s="126" customFormat="1" ht="18.75" customHeight="1" x14ac:dyDescent="0.2">
      <c r="A19" s="130"/>
      <c r="B19" s="156"/>
      <c r="C19" s="156"/>
      <c r="D19" s="156"/>
      <c r="E19" s="157"/>
      <c r="F19" s="157"/>
      <c r="G19" s="157"/>
      <c r="H19" s="157"/>
      <c r="I19" s="157"/>
      <c r="J19" s="156"/>
      <c r="K19" s="156"/>
      <c r="L19" s="157"/>
      <c r="M19" s="157"/>
      <c r="N19" s="157"/>
      <c r="O19" s="157"/>
      <c r="P19" s="130"/>
    </row>
    <row r="20" spans="1:16" s="126" customFormat="1" ht="18.75" customHeight="1" thickBot="1" x14ac:dyDescent="0.25">
      <c r="B20" s="866" t="s">
        <v>36</v>
      </c>
      <c r="C20" s="866"/>
      <c r="D20" s="867"/>
      <c r="E20" s="867"/>
      <c r="F20" s="867"/>
      <c r="G20" s="867"/>
      <c r="H20" s="867"/>
      <c r="I20" s="867"/>
      <c r="J20" s="866" t="s">
        <v>31</v>
      </c>
      <c r="K20" s="866"/>
      <c r="L20" s="868"/>
      <c r="M20" s="868"/>
      <c r="N20" s="868"/>
      <c r="O20" s="868"/>
    </row>
    <row r="21" spans="1:16" s="126" customFormat="1" ht="18.75" customHeight="1" x14ac:dyDescent="0.2">
      <c r="B21" s="869" t="s">
        <v>32</v>
      </c>
      <c r="C21" s="869"/>
      <c r="D21" s="870"/>
      <c r="E21" s="870"/>
      <c r="F21" s="870"/>
      <c r="G21" s="870"/>
      <c r="H21" s="870"/>
      <c r="I21" s="870"/>
      <c r="J21" s="869" t="s">
        <v>33</v>
      </c>
      <c r="K21" s="869"/>
      <c r="L21" s="871"/>
      <c r="M21" s="871"/>
      <c r="N21" s="871"/>
      <c r="O21" s="871"/>
    </row>
    <row r="22" spans="1:16" x14ac:dyDescent="0.2">
      <c r="B22" s="71"/>
      <c r="C22" s="71"/>
      <c r="D22" s="71"/>
      <c r="E22" s="71"/>
      <c r="F22" s="71"/>
      <c r="G22" s="71"/>
      <c r="H22" s="71"/>
      <c r="I22" s="71"/>
      <c r="J22" s="71"/>
      <c r="K22" s="71"/>
      <c r="L22" s="71"/>
      <c r="M22" s="71"/>
      <c r="N22" s="71"/>
      <c r="O22" s="71"/>
    </row>
  </sheetData>
  <sheetProtection algorithmName="SHA-512" hashValue="CAfvZj1u5zkzr8l9ctfuVwgpRdmfTyKrR8FI3RLRfypmf2miOoCUiLz/n4dLAmoCtfh51F8aXUUZwqLse9TU7g==" saltValue="0uw7ZO/jm4BGEF2FyTVdKA==" spinCount="100000" sheet="1" objects="1" scenarios="1"/>
  <mergeCells count="40">
    <mergeCell ref="B7:O7"/>
    <mergeCell ref="B1:O1"/>
    <mergeCell ref="B2:B5"/>
    <mergeCell ref="C2:O3"/>
    <mergeCell ref="C4:O4"/>
    <mergeCell ref="C5:O5"/>
    <mergeCell ref="D9:I9"/>
    <mergeCell ref="J9:N9"/>
    <mergeCell ref="B11:C11"/>
    <mergeCell ref="D11:I11"/>
    <mergeCell ref="J11:K11"/>
    <mergeCell ref="L11:O11"/>
    <mergeCell ref="B12:C12"/>
    <mergeCell ref="D12:I12"/>
    <mergeCell ref="J12:K12"/>
    <mergeCell ref="L12:O12"/>
    <mergeCell ref="B14:C14"/>
    <mergeCell ref="D14:I14"/>
    <mergeCell ref="J14:K14"/>
    <mergeCell ref="L14:O14"/>
    <mergeCell ref="B15:C15"/>
    <mergeCell ref="D15:I15"/>
    <mergeCell ref="J15:K15"/>
    <mergeCell ref="L15:O15"/>
    <mergeCell ref="B17:C17"/>
    <mergeCell ref="D17:I17"/>
    <mergeCell ref="J17:K17"/>
    <mergeCell ref="L17:O17"/>
    <mergeCell ref="B21:C21"/>
    <mergeCell ref="D21:I21"/>
    <mergeCell ref="J21:K21"/>
    <mergeCell ref="L21:O21"/>
    <mergeCell ref="B18:C18"/>
    <mergeCell ref="D18:I18"/>
    <mergeCell ref="J18:K18"/>
    <mergeCell ref="L18:O18"/>
    <mergeCell ref="B20:C20"/>
    <mergeCell ref="D20:I20"/>
    <mergeCell ref="J20:K20"/>
    <mergeCell ref="L20:O20"/>
  </mergeCells>
  <conditionalFormatting sqref="J9">
    <cfRule type="containsText" dxfId="59" priority="1" operator="containsText" text="please">
      <formula>NOT(ISERROR(SEARCH("please",J9)))</formula>
    </cfRule>
  </conditionalFormatting>
  <dataValidations count="1">
    <dataValidation type="list" errorStyle="warning" allowBlank="1" showInputMessage="1" showErrorMessage="1" errorTitle="Invalid Selection" error="Please select your agency from the dropdown menu, as all subsequent tabs will use this information for autpopulated fields." sqref="J9:N9" xr:uid="{95FB49DC-A8E8-FC4C-9643-4028C54A37AA}">
      <formula1>AgencyCampus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385A0-FD96-8C4D-AC95-DAD26A77DF04}">
  <dimension ref="A1:Q42"/>
  <sheetViews>
    <sheetView workbookViewId="0">
      <selection activeCell="B9" sqref="B9:O9"/>
    </sheetView>
  </sheetViews>
  <sheetFormatPr baseColWidth="10" defaultColWidth="0" defaultRowHeight="15" customHeight="1" zeroHeight="1" x14ac:dyDescent="0.2"/>
  <cols>
    <col min="1" max="1" width="4.5" style="70" customWidth="1"/>
    <col min="2" max="2" width="9.1640625" style="70" customWidth="1"/>
    <col min="3" max="3" width="14" style="70" customWidth="1"/>
    <col min="4" max="4" width="12.5" style="70" customWidth="1"/>
    <col min="5" max="6" width="9.1640625" style="70" customWidth="1"/>
    <col min="7" max="9" width="13.83203125" style="70" customWidth="1"/>
    <col min="10" max="10" width="9.1640625" style="70" customWidth="1"/>
    <col min="11" max="11" width="11.6640625" style="70" customWidth="1"/>
    <col min="12" max="13" width="9.5" style="70" customWidth="1"/>
    <col min="14" max="14" width="19.5" style="70" customWidth="1"/>
    <col min="15" max="15" width="26.5" style="70" customWidth="1"/>
    <col min="16" max="16" width="10.83203125" style="70" customWidth="1"/>
    <col min="17" max="17" width="0" style="70" hidden="1" customWidth="1"/>
    <col min="18" max="16384" width="9.1640625" style="70" hidden="1"/>
  </cols>
  <sheetData>
    <row r="1" spans="1:16" s="85" customFormat="1" ht="16" thickBot="1" x14ac:dyDescent="0.25">
      <c r="A1" s="72"/>
      <c r="B1" s="881" t="s">
        <v>23</v>
      </c>
      <c r="C1" s="882"/>
      <c r="D1" s="882"/>
      <c r="E1" s="882"/>
      <c r="F1" s="882"/>
      <c r="G1" s="882"/>
      <c r="H1" s="882"/>
      <c r="I1" s="882"/>
      <c r="J1" s="882"/>
      <c r="K1" s="882"/>
      <c r="L1" s="882"/>
      <c r="M1" s="882"/>
      <c r="N1" s="882"/>
      <c r="O1" s="883"/>
      <c r="P1" s="72"/>
    </row>
    <row r="2" spans="1:16" s="85" customFormat="1" ht="26.25" customHeight="1" x14ac:dyDescent="0.2">
      <c r="A2" s="72"/>
      <c r="B2" s="886" t="s">
        <v>1540</v>
      </c>
      <c r="C2" s="872" t="s">
        <v>1549</v>
      </c>
      <c r="D2" s="873"/>
      <c r="E2" s="873"/>
      <c r="F2" s="873"/>
      <c r="G2" s="873"/>
      <c r="H2" s="873"/>
      <c r="I2" s="873"/>
      <c r="J2" s="873"/>
      <c r="K2" s="873"/>
      <c r="L2" s="873"/>
      <c r="M2" s="873"/>
      <c r="N2" s="873"/>
      <c r="O2" s="874"/>
      <c r="P2" s="72"/>
    </row>
    <row r="3" spans="1:16" s="85" customFormat="1" ht="9.75" customHeight="1" thickBot="1" x14ac:dyDescent="0.25">
      <c r="A3" s="72"/>
      <c r="B3" s="887"/>
      <c r="C3" s="875"/>
      <c r="D3" s="876"/>
      <c r="E3" s="876"/>
      <c r="F3" s="876"/>
      <c r="G3" s="876"/>
      <c r="H3" s="876"/>
      <c r="I3" s="876"/>
      <c r="J3" s="876"/>
      <c r="K3" s="876"/>
      <c r="L3" s="876"/>
      <c r="M3" s="876"/>
      <c r="N3" s="876"/>
      <c r="O3" s="877"/>
      <c r="P3" s="72"/>
    </row>
    <row r="4" spans="1:16" s="85" customFormat="1" ht="16.5" customHeight="1" thickBot="1" x14ac:dyDescent="0.25">
      <c r="A4" s="72"/>
      <c r="B4" s="888"/>
      <c r="C4" s="889" t="s">
        <v>26</v>
      </c>
      <c r="D4" s="890"/>
      <c r="E4" s="890"/>
      <c r="F4" s="890"/>
      <c r="G4" s="890"/>
      <c r="H4" s="890"/>
      <c r="I4" s="890"/>
      <c r="J4" s="890"/>
      <c r="K4" s="890"/>
      <c r="L4" s="890"/>
      <c r="M4" s="890"/>
      <c r="N4" s="890"/>
      <c r="O4" s="891"/>
      <c r="P4" s="72"/>
    </row>
    <row r="5" spans="1:16" s="85" customFormat="1" ht="16" thickBot="1" x14ac:dyDescent="0.25">
      <c r="A5" s="72"/>
      <c r="B5" s="72"/>
      <c r="C5" s="72"/>
      <c r="D5" s="72"/>
      <c r="E5" s="72"/>
      <c r="F5" s="72"/>
      <c r="G5" s="72"/>
      <c r="H5" s="72"/>
      <c r="I5" s="72"/>
      <c r="J5" s="72"/>
      <c r="K5" s="72"/>
      <c r="L5" s="72"/>
      <c r="M5" s="72"/>
      <c r="N5" s="72"/>
      <c r="O5" s="72"/>
      <c r="P5" s="72"/>
    </row>
    <row r="6" spans="1:16" s="85" customFormat="1" ht="31" customHeight="1" thickBot="1" x14ac:dyDescent="0.25">
      <c r="A6" s="72"/>
      <c r="B6" s="902" t="s">
        <v>1558</v>
      </c>
      <c r="C6" s="903"/>
      <c r="D6" s="903"/>
      <c r="E6" s="903"/>
      <c r="F6" s="903"/>
      <c r="G6" s="903"/>
      <c r="H6" s="903"/>
      <c r="I6" s="903"/>
      <c r="J6" s="903"/>
      <c r="K6" s="903"/>
      <c r="L6" s="903"/>
      <c r="M6" s="903"/>
      <c r="N6" s="903"/>
      <c r="O6" s="904"/>
      <c r="P6" s="72"/>
    </row>
    <row r="7" spans="1:16" s="126" customFormat="1" ht="5" hidden="1" customHeight="1" thickBot="1" x14ac:dyDescent="0.25">
      <c r="A7" s="130"/>
      <c r="J7" s="131"/>
      <c r="K7" s="132"/>
      <c r="L7" s="132"/>
      <c r="M7" s="132"/>
      <c r="N7" s="130"/>
      <c r="O7" s="130"/>
      <c r="P7" s="130"/>
    </row>
    <row r="8" spans="1:16" s="134" customFormat="1" ht="142" customHeight="1" x14ac:dyDescent="0.2">
      <c r="A8" s="132"/>
      <c r="B8" s="899" t="s">
        <v>1643</v>
      </c>
      <c r="C8" s="900"/>
      <c r="D8" s="900"/>
      <c r="E8" s="900"/>
      <c r="F8" s="900"/>
      <c r="G8" s="900"/>
      <c r="H8" s="900"/>
      <c r="I8" s="900"/>
      <c r="J8" s="900"/>
      <c r="K8" s="900"/>
      <c r="L8" s="900"/>
      <c r="M8" s="900"/>
      <c r="N8" s="900"/>
      <c r="O8" s="901"/>
      <c r="P8" s="132"/>
    </row>
    <row r="9" spans="1:16" s="512" customFormat="1" ht="23" customHeight="1" thickBot="1" x14ac:dyDescent="0.25">
      <c r="B9" s="907" t="s">
        <v>1541</v>
      </c>
      <c r="C9" s="908"/>
      <c r="D9" s="908"/>
      <c r="E9" s="908"/>
      <c r="F9" s="908"/>
      <c r="G9" s="908"/>
      <c r="H9" s="908"/>
      <c r="I9" s="908"/>
      <c r="J9" s="908"/>
      <c r="K9" s="908"/>
      <c r="L9" s="908"/>
      <c r="M9" s="908"/>
      <c r="N9" s="908"/>
      <c r="O9" s="909"/>
    </row>
    <row r="10" spans="1:16" ht="15" customHeight="1" thickBot="1" x14ac:dyDescent="0.25"/>
    <row r="11" spans="1:16" ht="19" customHeight="1" thickBot="1" x14ac:dyDescent="0.25">
      <c r="B11" s="727">
        <v>1</v>
      </c>
      <c r="C11" s="777" t="s">
        <v>1551</v>
      </c>
      <c r="D11" s="730"/>
      <c r="E11" s="730"/>
      <c r="F11" s="730"/>
      <c r="G11" s="730"/>
      <c r="H11" s="730"/>
      <c r="I11" s="730"/>
      <c r="J11" s="730"/>
      <c r="K11" s="730"/>
      <c r="L11" s="730"/>
      <c r="M11" s="730"/>
      <c r="N11" s="730"/>
      <c r="O11" s="778" t="s">
        <v>364</v>
      </c>
    </row>
    <row r="12" spans="1:16" ht="15" customHeight="1" x14ac:dyDescent="0.2">
      <c r="B12" s="905" t="s">
        <v>1552</v>
      </c>
      <c r="C12" s="906"/>
      <c r="D12" s="906"/>
      <c r="E12" s="906"/>
      <c r="F12" s="906"/>
      <c r="G12" s="906"/>
      <c r="H12" s="906"/>
      <c r="I12" s="906"/>
      <c r="J12" s="906"/>
      <c r="K12" s="906"/>
      <c r="L12" s="906"/>
      <c r="M12" s="906"/>
      <c r="N12" s="906"/>
      <c r="O12" s="906"/>
    </row>
    <row r="13" spans="1:16" ht="15" customHeight="1" x14ac:dyDescent="0.2">
      <c r="B13" s="906"/>
      <c r="C13" s="906"/>
      <c r="D13" s="906"/>
      <c r="E13" s="906"/>
      <c r="F13" s="906"/>
      <c r="G13" s="906"/>
      <c r="H13" s="906"/>
      <c r="I13" s="906"/>
      <c r="J13" s="906"/>
      <c r="K13" s="906"/>
      <c r="L13" s="906"/>
      <c r="M13" s="906"/>
      <c r="N13" s="906"/>
      <c r="O13" s="906"/>
    </row>
    <row r="14" spans="1:16" ht="15" customHeight="1" x14ac:dyDescent="0.2">
      <c r="B14" s="906"/>
      <c r="C14" s="906"/>
      <c r="D14" s="906"/>
      <c r="E14" s="906"/>
      <c r="F14" s="906"/>
      <c r="G14" s="906"/>
      <c r="H14" s="906"/>
      <c r="I14" s="906"/>
      <c r="J14" s="906"/>
      <c r="K14" s="906"/>
      <c r="L14" s="906"/>
      <c r="M14" s="906"/>
      <c r="N14" s="906"/>
      <c r="O14" s="906"/>
    </row>
    <row r="15" spans="1:16" ht="15" customHeight="1" x14ac:dyDescent="0.2">
      <c r="B15" s="906"/>
      <c r="C15" s="906"/>
      <c r="D15" s="906"/>
      <c r="E15" s="906"/>
      <c r="F15" s="906"/>
      <c r="G15" s="906"/>
      <c r="H15" s="906"/>
      <c r="I15" s="906"/>
      <c r="J15" s="906"/>
      <c r="K15" s="906"/>
      <c r="L15" s="906"/>
      <c r="M15" s="906"/>
      <c r="N15" s="906"/>
      <c r="O15" s="906"/>
    </row>
    <row r="16" spans="1:16" ht="15" customHeight="1" x14ac:dyDescent="0.2">
      <c r="B16" s="906"/>
      <c r="C16" s="906"/>
      <c r="D16" s="906"/>
      <c r="E16" s="906"/>
      <c r="F16" s="906"/>
      <c r="G16" s="906"/>
      <c r="H16" s="906"/>
      <c r="I16" s="906"/>
      <c r="J16" s="906"/>
      <c r="K16" s="906"/>
      <c r="L16" s="906"/>
      <c r="M16" s="906"/>
      <c r="N16" s="906"/>
      <c r="O16" s="906"/>
    </row>
    <row r="17" spans="2:15" ht="15" customHeight="1" x14ac:dyDescent="0.2">
      <c r="B17" s="906"/>
      <c r="C17" s="906"/>
      <c r="D17" s="906"/>
      <c r="E17" s="906"/>
      <c r="F17" s="906"/>
      <c r="G17" s="906"/>
      <c r="H17" s="906"/>
      <c r="I17" s="906"/>
      <c r="J17" s="906"/>
      <c r="K17" s="906"/>
      <c r="L17" s="906"/>
      <c r="M17" s="906"/>
      <c r="N17" s="906"/>
      <c r="O17" s="906"/>
    </row>
    <row r="18" spans="2:15" ht="15" customHeight="1" x14ac:dyDescent="0.2">
      <c r="B18" s="906"/>
      <c r="C18" s="906"/>
      <c r="D18" s="906"/>
      <c r="E18" s="906"/>
      <c r="F18" s="906"/>
      <c r="G18" s="906"/>
      <c r="H18" s="906"/>
      <c r="I18" s="906"/>
      <c r="J18" s="906"/>
      <c r="K18" s="906"/>
      <c r="L18" s="906"/>
      <c r="M18" s="906"/>
      <c r="N18" s="906"/>
      <c r="O18" s="906"/>
    </row>
    <row r="19" spans="2:15" ht="15" customHeight="1" thickBot="1" x14ac:dyDescent="0.25"/>
    <row r="20" spans="2:15" ht="22" customHeight="1" thickBot="1" x14ac:dyDescent="0.25">
      <c r="B20" s="727">
        <v>2</v>
      </c>
      <c r="C20" s="799" t="s">
        <v>1553</v>
      </c>
      <c r="D20" s="730"/>
      <c r="E20" s="730"/>
      <c r="F20" s="730"/>
      <c r="G20" s="730"/>
      <c r="H20" s="730"/>
      <c r="I20" s="730"/>
      <c r="J20" s="730"/>
      <c r="K20" s="730"/>
      <c r="L20" s="730"/>
      <c r="M20" s="730"/>
      <c r="N20" s="730"/>
      <c r="O20" s="778" t="s">
        <v>364</v>
      </c>
    </row>
    <row r="21" spans="2:15" ht="15" customHeight="1" x14ac:dyDescent="0.2">
      <c r="B21" s="905" t="s">
        <v>1554</v>
      </c>
      <c r="C21" s="906"/>
      <c r="D21" s="906"/>
      <c r="E21" s="906"/>
      <c r="F21" s="906"/>
      <c r="G21" s="906"/>
      <c r="H21" s="906"/>
      <c r="I21" s="906"/>
      <c r="J21" s="906"/>
      <c r="K21" s="906"/>
      <c r="L21" s="906"/>
      <c r="M21" s="906"/>
      <c r="N21" s="906"/>
      <c r="O21" s="906"/>
    </row>
    <row r="22" spans="2:15" ht="15" customHeight="1" x14ac:dyDescent="0.2">
      <c r="B22" s="906"/>
      <c r="C22" s="906"/>
      <c r="D22" s="906"/>
      <c r="E22" s="906"/>
      <c r="F22" s="906"/>
      <c r="G22" s="906"/>
      <c r="H22" s="906"/>
      <c r="I22" s="906"/>
      <c r="J22" s="906"/>
      <c r="K22" s="906"/>
      <c r="L22" s="906"/>
      <c r="M22" s="906"/>
      <c r="N22" s="906"/>
      <c r="O22" s="906"/>
    </row>
    <row r="23" spans="2:15" ht="15" customHeight="1" x14ac:dyDescent="0.2">
      <c r="B23" s="906"/>
      <c r="C23" s="906"/>
      <c r="D23" s="906"/>
      <c r="E23" s="906"/>
      <c r="F23" s="906"/>
      <c r="G23" s="906"/>
      <c r="H23" s="906"/>
      <c r="I23" s="906"/>
      <c r="J23" s="906"/>
      <c r="K23" s="906"/>
      <c r="L23" s="906"/>
      <c r="M23" s="906"/>
      <c r="N23" s="906"/>
      <c r="O23" s="906"/>
    </row>
    <row r="24" spans="2:15" ht="15" customHeight="1" x14ac:dyDescent="0.2">
      <c r="B24" s="906"/>
      <c r="C24" s="906"/>
      <c r="D24" s="906"/>
      <c r="E24" s="906"/>
      <c r="F24" s="906"/>
      <c r="G24" s="906"/>
      <c r="H24" s="906"/>
      <c r="I24" s="906"/>
      <c r="J24" s="906"/>
      <c r="K24" s="906"/>
      <c r="L24" s="906"/>
      <c r="M24" s="906"/>
      <c r="N24" s="906"/>
      <c r="O24" s="906"/>
    </row>
    <row r="25" spans="2:15" ht="15" customHeight="1" x14ac:dyDescent="0.2">
      <c r="B25" s="906"/>
      <c r="C25" s="906"/>
      <c r="D25" s="906"/>
      <c r="E25" s="906"/>
      <c r="F25" s="906"/>
      <c r="G25" s="906"/>
      <c r="H25" s="906"/>
      <c r="I25" s="906"/>
      <c r="J25" s="906"/>
      <c r="K25" s="906"/>
      <c r="L25" s="906"/>
      <c r="M25" s="906"/>
      <c r="N25" s="906"/>
      <c r="O25" s="906"/>
    </row>
    <row r="26" spans="2:15" s="71" customFormat="1" ht="15" customHeight="1" x14ac:dyDescent="0.2">
      <c r="B26" s="906"/>
      <c r="C26" s="906"/>
      <c r="D26" s="906"/>
      <c r="E26" s="906"/>
      <c r="F26" s="906"/>
      <c r="G26" s="906"/>
      <c r="H26" s="906"/>
      <c r="I26" s="906"/>
      <c r="J26" s="906"/>
      <c r="K26" s="906"/>
      <c r="L26" s="906"/>
      <c r="M26" s="906"/>
      <c r="N26" s="906"/>
      <c r="O26" s="906"/>
    </row>
    <row r="27" spans="2:15" s="71" customFormat="1" ht="15" customHeight="1" x14ac:dyDescent="0.2">
      <c r="B27" s="906"/>
      <c r="C27" s="906"/>
      <c r="D27" s="906"/>
      <c r="E27" s="906"/>
      <c r="F27" s="906"/>
      <c r="G27" s="906"/>
      <c r="H27" s="906"/>
      <c r="I27" s="906"/>
      <c r="J27" s="906"/>
      <c r="K27" s="906"/>
      <c r="L27" s="906"/>
      <c r="M27" s="906"/>
      <c r="N27" s="906"/>
      <c r="O27" s="906"/>
    </row>
    <row r="28" spans="2:15" s="71" customFormat="1" ht="15" customHeight="1" thickBot="1" x14ac:dyDescent="0.25">
      <c r="B28" s="776"/>
      <c r="C28" s="776"/>
      <c r="D28" s="776"/>
      <c r="E28" s="776"/>
      <c r="F28" s="776"/>
      <c r="G28" s="776"/>
      <c r="H28" s="776"/>
      <c r="I28" s="776"/>
      <c r="J28" s="776"/>
      <c r="K28" s="776"/>
      <c r="L28" s="776"/>
      <c r="M28" s="776"/>
      <c r="N28" s="776"/>
      <c r="O28" s="776"/>
    </row>
    <row r="29" spans="2:15" s="71" customFormat="1" ht="20" customHeight="1" thickBot="1" x14ac:dyDescent="0.25">
      <c r="B29" s="727">
        <v>3</v>
      </c>
      <c r="C29" s="777" t="s">
        <v>1550</v>
      </c>
      <c r="D29" s="730"/>
      <c r="E29" s="730"/>
      <c r="F29" s="730"/>
      <c r="G29" s="730"/>
      <c r="H29" s="730"/>
      <c r="I29" s="730"/>
      <c r="J29" s="730"/>
      <c r="K29" s="730"/>
      <c r="L29" s="730"/>
      <c r="M29" s="730"/>
      <c r="N29" s="730"/>
      <c r="O29" s="778" t="s">
        <v>364</v>
      </c>
    </row>
    <row r="30" spans="2:15" s="71" customFormat="1" ht="15" customHeight="1" x14ac:dyDescent="0.2">
      <c r="B30" s="905" t="s">
        <v>1555</v>
      </c>
      <c r="C30" s="906"/>
      <c r="D30" s="906"/>
      <c r="E30" s="906"/>
      <c r="F30" s="906"/>
      <c r="G30" s="906"/>
      <c r="H30" s="906"/>
      <c r="I30" s="906"/>
      <c r="J30" s="906"/>
      <c r="K30" s="906"/>
      <c r="L30" s="906"/>
      <c r="M30" s="906"/>
      <c r="N30" s="906"/>
      <c r="O30" s="906"/>
    </row>
    <row r="31" spans="2:15" s="71" customFormat="1" ht="15" customHeight="1" x14ac:dyDescent="0.2">
      <c r="B31" s="906"/>
      <c r="C31" s="906"/>
      <c r="D31" s="906"/>
      <c r="E31" s="906"/>
      <c r="F31" s="906"/>
      <c r="G31" s="906"/>
      <c r="H31" s="906"/>
      <c r="I31" s="906"/>
      <c r="J31" s="906"/>
      <c r="K31" s="906"/>
      <c r="L31" s="906"/>
      <c r="M31" s="906"/>
      <c r="N31" s="906"/>
      <c r="O31" s="906"/>
    </row>
    <row r="32" spans="2:15" s="71" customFormat="1" ht="15" customHeight="1" x14ac:dyDescent="0.2">
      <c r="B32" s="906"/>
      <c r="C32" s="906"/>
      <c r="D32" s="906"/>
      <c r="E32" s="906"/>
      <c r="F32" s="906"/>
      <c r="G32" s="906"/>
      <c r="H32" s="906"/>
      <c r="I32" s="906"/>
      <c r="J32" s="906"/>
      <c r="K32" s="906"/>
      <c r="L32" s="906"/>
      <c r="M32" s="906"/>
      <c r="N32" s="906"/>
      <c r="O32" s="906"/>
    </row>
    <row r="33" spans="2:15" s="71" customFormat="1" ht="15" customHeight="1" x14ac:dyDescent="0.2">
      <c r="B33" s="906"/>
      <c r="C33" s="906"/>
      <c r="D33" s="906"/>
      <c r="E33" s="906"/>
      <c r="F33" s="906"/>
      <c r="G33" s="906"/>
      <c r="H33" s="906"/>
      <c r="I33" s="906"/>
      <c r="J33" s="906"/>
      <c r="K33" s="906"/>
      <c r="L33" s="906"/>
      <c r="M33" s="906"/>
      <c r="N33" s="906"/>
      <c r="O33" s="906"/>
    </row>
    <row r="34" spans="2:15" s="71" customFormat="1" x14ac:dyDescent="0.2">
      <c r="B34" s="906"/>
      <c r="C34" s="906"/>
      <c r="D34" s="906"/>
      <c r="E34" s="906"/>
      <c r="F34" s="906"/>
      <c r="G34" s="906"/>
      <c r="H34" s="906"/>
      <c r="I34" s="906"/>
      <c r="J34" s="906"/>
      <c r="K34" s="906"/>
      <c r="L34" s="906"/>
      <c r="M34" s="906"/>
      <c r="N34" s="906"/>
      <c r="O34" s="906"/>
    </row>
    <row r="35" spans="2:15" s="71" customFormat="1" ht="15" customHeight="1" x14ac:dyDescent="0.2">
      <c r="B35" s="906"/>
      <c r="C35" s="906"/>
      <c r="D35" s="906"/>
      <c r="E35" s="906"/>
      <c r="F35" s="906"/>
      <c r="G35" s="906"/>
      <c r="H35" s="906"/>
      <c r="I35" s="906"/>
      <c r="J35" s="906"/>
      <c r="K35" s="906"/>
      <c r="L35" s="906"/>
      <c r="M35" s="906"/>
      <c r="N35" s="906"/>
      <c r="O35" s="906"/>
    </row>
    <row r="36" spans="2:15" s="71" customFormat="1" ht="15" customHeight="1" x14ac:dyDescent="0.2">
      <c r="B36" s="906"/>
      <c r="C36" s="906"/>
      <c r="D36" s="906"/>
      <c r="E36" s="906"/>
      <c r="F36" s="906"/>
      <c r="G36" s="906"/>
      <c r="H36" s="906"/>
      <c r="I36" s="906"/>
      <c r="J36" s="906"/>
      <c r="K36" s="906"/>
      <c r="L36" s="906"/>
      <c r="M36" s="906"/>
      <c r="N36" s="906"/>
      <c r="O36" s="906"/>
    </row>
    <row r="37" spans="2:15" s="71" customFormat="1" ht="15" customHeight="1" x14ac:dyDescent="0.2">
      <c r="B37" s="776"/>
      <c r="C37" s="776"/>
      <c r="D37" s="776"/>
      <c r="E37" s="776"/>
      <c r="F37" s="776"/>
      <c r="G37" s="776"/>
      <c r="H37" s="776"/>
      <c r="I37" s="776"/>
      <c r="J37" s="776"/>
      <c r="K37" s="776"/>
      <c r="L37" s="776"/>
      <c r="M37" s="776"/>
      <c r="N37" s="776"/>
      <c r="O37" s="776"/>
    </row>
    <row r="38" spans="2:15" s="71" customFormat="1" ht="15" customHeight="1" x14ac:dyDescent="0.2">
      <c r="C38" s="70"/>
    </row>
    <row r="39" spans="2:15" s="71" customFormat="1" ht="15" customHeight="1" x14ac:dyDescent="0.2">
      <c r="C39" s="70"/>
      <c r="D39" s="910"/>
      <c r="E39" s="910"/>
      <c r="F39" s="910"/>
      <c r="G39" s="910"/>
      <c r="H39" s="910"/>
      <c r="I39" s="910"/>
      <c r="J39" s="910"/>
      <c r="K39" s="910"/>
      <c r="L39" s="910"/>
      <c r="M39" s="910"/>
    </row>
    <row r="40" spans="2:15" s="71" customFormat="1" ht="15" customHeight="1" x14ac:dyDescent="0.2">
      <c r="C40" s="70"/>
    </row>
    <row r="41" spans="2:15" s="71" customFormat="1" ht="15" customHeight="1" x14ac:dyDescent="0.2"/>
    <row r="42" spans="2:15" s="71" customFormat="1" ht="15" hidden="1" customHeight="1" x14ac:dyDescent="0.2"/>
  </sheetData>
  <sheetProtection algorithmName="SHA-512" hashValue="x//Z4e1Jxx7wBpMfGD1OBr5UNP55MkOwc8HL0cRDXJ1zm0gvzsxzcGkLKC7zlJBkqDKv8PyLIixmZCK/jSxifQ==" saltValue="+P8+VnvHpkSOV69ndraIeQ==" spinCount="100000" sheet="1" objects="1" scenarios="1"/>
  <mergeCells count="11">
    <mergeCell ref="B30:O36"/>
    <mergeCell ref="B9:O9"/>
    <mergeCell ref="D39:M39"/>
    <mergeCell ref="B12:O18"/>
    <mergeCell ref="B21:O27"/>
    <mergeCell ref="B8:O8"/>
    <mergeCell ref="B1:O1"/>
    <mergeCell ref="B2:B4"/>
    <mergeCell ref="C2:O3"/>
    <mergeCell ref="C4:O4"/>
    <mergeCell ref="B6:O6"/>
  </mergeCells>
  <hyperlinks>
    <hyperlink ref="B9:O9" r:id="rId1" display="To learn more, please visit the Leading by Example Executive Order 594 website or reach out to the LBE Program team with any questions. " xr:uid="{155B292D-5096-414F-9AF0-C7559924EAA2}"/>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0795FA-D96E-E648-8A21-041DEBC3AF8E}">
          <x14:formula1>
            <xm:f>Source!$T$1:$T$4</xm:f>
          </x14:formula1>
          <xm:sqref>O20 O11</xm:sqref>
        </x14:dataValidation>
        <x14:dataValidation type="list" allowBlank="1" showInputMessage="1" showErrorMessage="1" xr:uid="{5C7E30C2-12AC-954F-AE6F-B263C207AFB9}">
          <x14:formula1>
            <xm:f>Source!$AS$1:$AS$5</xm:f>
          </x14:formula1>
          <xm:sqref>O29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3"/>
  <sheetViews>
    <sheetView topLeftCell="C25" workbookViewId="0">
      <selection activeCell="N49" sqref="N49"/>
    </sheetView>
  </sheetViews>
  <sheetFormatPr baseColWidth="10" defaultColWidth="33.1640625" defaultRowHeight="15" x14ac:dyDescent="0.2"/>
  <cols>
    <col min="1" max="1" width="42" customWidth="1"/>
    <col min="2" max="2" width="18.5" bestFit="1" customWidth="1"/>
    <col min="3" max="3" width="43.33203125" bestFit="1" customWidth="1"/>
    <col min="4" max="4" width="37.6640625" bestFit="1" customWidth="1"/>
    <col min="5" max="5" width="18.1640625" bestFit="1" customWidth="1"/>
    <col min="6" max="6" width="16.6640625" style="85" bestFit="1" customWidth="1"/>
    <col min="7" max="7" width="23.6640625" style="85" bestFit="1" customWidth="1"/>
    <col min="8" max="8" width="23.83203125" style="85" bestFit="1" customWidth="1"/>
    <col min="9" max="9" width="18.1640625" style="85" bestFit="1" customWidth="1"/>
  </cols>
  <sheetData>
    <row r="1" spans="1:13" s="85" customFormat="1" x14ac:dyDescent="0.2">
      <c r="A1" s="128" t="s">
        <v>37</v>
      </c>
      <c r="B1" s="128" t="s">
        <v>38</v>
      </c>
      <c r="C1" s="128" t="s">
        <v>39</v>
      </c>
      <c r="D1" s="128" t="s">
        <v>40</v>
      </c>
      <c r="E1" s="128" t="s">
        <v>41</v>
      </c>
      <c r="F1" s="128" t="s">
        <v>42</v>
      </c>
      <c r="G1" s="128" t="s">
        <v>43</v>
      </c>
      <c r="H1" s="128" t="s">
        <v>44</v>
      </c>
      <c r="I1" s="128" t="s">
        <v>45</v>
      </c>
      <c r="J1" s="128" t="s">
        <v>46</v>
      </c>
      <c r="K1" s="128" t="s">
        <v>47</v>
      </c>
      <c r="L1" s="128" t="s">
        <v>48</v>
      </c>
      <c r="M1" s="128" t="s">
        <v>49</v>
      </c>
    </row>
    <row r="2" spans="1:13" s="85" customFormat="1" x14ac:dyDescent="0.2">
      <c r="A2" s="86" t="s">
        <v>29</v>
      </c>
      <c r="B2" s="86" t="s">
        <v>50</v>
      </c>
      <c r="C2" s="86" t="s">
        <v>50</v>
      </c>
      <c r="D2" s="86" t="s">
        <v>50</v>
      </c>
      <c r="E2" s="86" t="s">
        <v>50</v>
      </c>
      <c r="F2" s="86" t="s">
        <v>50</v>
      </c>
      <c r="G2" s="86" t="s">
        <v>50</v>
      </c>
      <c r="H2" s="86" t="s">
        <v>50</v>
      </c>
      <c r="I2" s="86" t="s">
        <v>50</v>
      </c>
      <c r="J2" s="86" t="s">
        <v>50</v>
      </c>
      <c r="K2" s="86" t="s">
        <v>50</v>
      </c>
      <c r="L2" s="86" t="s">
        <v>50</v>
      </c>
      <c r="M2" s="86" t="s">
        <v>50</v>
      </c>
    </row>
    <row r="3" spans="1:13" s="430" customFormat="1" ht="16" x14ac:dyDescent="0.2">
      <c r="A3" s="467" t="s">
        <v>51</v>
      </c>
      <c r="B3" s="417" t="s">
        <v>52</v>
      </c>
      <c r="C3" s="417" t="s">
        <v>1559</v>
      </c>
      <c r="D3" s="417" t="s">
        <v>54</v>
      </c>
      <c r="E3" s="417" t="s">
        <v>55</v>
      </c>
      <c r="F3" s="417" t="s">
        <v>1560</v>
      </c>
      <c r="G3" s="800" t="s">
        <v>1562</v>
      </c>
      <c r="H3" s="417" t="s">
        <v>1561</v>
      </c>
      <c r="I3" s="417" t="s">
        <v>1563</v>
      </c>
      <c r="J3" s="417" t="s">
        <v>50</v>
      </c>
      <c r="K3" s="417" t="s">
        <v>50</v>
      </c>
      <c r="L3" s="417" t="s">
        <v>50</v>
      </c>
      <c r="M3" s="417" t="s">
        <v>50</v>
      </c>
    </row>
    <row r="4" spans="1:13" s="430" customFormat="1" ht="16" x14ac:dyDescent="0.2">
      <c r="A4" s="467" t="s">
        <v>56</v>
      </c>
      <c r="B4" s="417" t="s">
        <v>57</v>
      </c>
      <c r="C4" s="417" t="s">
        <v>58</v>
      </c>
      <c r="D4" s="417" t="s">
        <v>59</v>
      </c>
      <c r="E4" s="417" t="s">
        <v>60</v>
      </c>
      <c r="F4" s="417" t="s">
        <v>61</v>
      </c>
      <c r="G4" s="417" t="s">
        <v>62</v>
      </c>
      <c r="H4" s="434" t="s">
        <v>63</v>
      </c>
      <c r="I4" s="417" t="s">
        <v>64</v>
      </c>
      <c r="J4" s="417" t="s">
        <v>65</v>
      </c>
      <c r="K4" s="417" t="s">
        <v>66</v>
      </c>
      <c r="L4" s="434" t="s">
        <v>67</v>
      </c>
      <c r="M4" s="417" t="s">
        <v>68</v>
      </c>
    </row>
    <row r="5" spans="1:13" s="430" customFormat="1" ht="16" x14ac:dyDescent="0.2">
      <c r="A5" s="467" t="s">
        <v>69</v>
      </c>
      <c r="B5" s="417" t="s">
        <v>70</v>
      </c>
      <c r="C5" s="417" t="s">
        <v>71</v>
      </c>
      <c r="D5" s="417" t="s">
        <v>72</v>
      </c>
      <c r="E5" s="417" t="s">
        <v>73</v>
      </c>
      <c r="F5" s="417" t="s">
        <v>74</v>
      </c>
      <c r="G5" s="417" t="s">
        <v>75</v>
      </c>
      <c r="H5" s="434" t="s">
        <v>76</v>
      </c>
      <c r="I5" s="417" t="s">
        <v>77</v>
      </c>
      <c r="J5" s="417" t="s">
        <v>50</v>
      </c>
      <c r="K5" s="417" t="s">
        <v>50</v>
      </c>
      <c r="L5" s="417" t="s">
        <v>50</v>
      </c>
      <c r="M5" s="417" t="s">
        <v>50</v>
      </c>
    </row>
    <row r="6" spans="1:13" s="430" customFormat="1" ht="16" x14ac:dyDescent="0.2">
      <c r="A6" s="467" t="s">
        <v>78</v>
      </c>
      <c r="B6" s="417" t="s">
        <v>79</v>
      </c>
      <c r="C6" s="417" t="s">
        <v>80</v>
      </c>
      <c r="D6" s="417" t="s">
        <v>81</v>
      </c>
      <c r="E6" s="417" t="s">
        <v>82</v>
      </c>
      <c r="F6" s="417" t="s">
        <v>50</v>
      </c>
      <c r="G6" s="417" t="s">
        <v>50</v>
      </c>
      <c r="H6" s="417" t="s">
        <v>50</v>
      </c>
      <c r="I6" s="417" t="s">
        <v>50</v>
      </c>
      <c r="J6" s="417" t="s">
        <v>50</v>
      </c>
      <c r="K6" s="417" t="s">
        <v>50</v>
      </c>
      <c r="L6" s="417" t="s">
        <v>50</v>
      </c>
      <c r="M6" s="417" t="s">
        <v>50</v>
      </c>
    </row>
    <row r="7" spans="1:13" x14ac:dyDescent="0.2">
      <c r="A7" s="40" t="s">
        <v>83</v>
      </c>
      <c r="B7" s="86" t="s">
        <v>50</v>
      </c>
      <c r="C7" s="86" t="s">
        <v>50</v>
      </c>
      <c r="D7" s="86" t="s">
        <v>50</v>
      </c>
      <c r="E7" s="86" t="s">
        <v>50</v>
      </c>
      <c r="F7" s="86" t="s">
        <v>50</v>
      </c>
      <c r="G7" s="86" t="s">
        <v>50</v>
      </c>
      <c r="H7" s="86" t="s">
        <v>50</v>
      </c>
      <c r="I7" s="86" t="s">
        <v>50</v>
      </c>
      <c r="J7" s="86" t="s">
        <v>50</v>
      </c>
      <c r="K7" s="86" t="s">
        <v>50</v>
      </c>
      <c r="L7" s="86" t="s">
        <v>50</v>
      </c>
      <c r="M7" s="86" t="s">
        <v>50</v>
      </c>
    </row>
    <row r="8" spans="1:13" s="430" customFormat="1" ht="16" x14ac:dyDescent="0.2">
      <c r="A8" s="467" t="s">
        <v>84</v>
      </c>
      <c r="B8" s="417" t="s">
        <v>85</v>
      </c>
      <c r="C8" s="417" t="s">
        <v>86</v>
      </c>
      <c r="D8" s="417" t="s">
        <v>87</v>
      </c>
      <c r="E8" s="417" t="s">
        <v>88</v>
      </c>
      <c r="F8" s="417" t="s">
        <v>89</v>
      </c>
      <c r="G8" s="417" t="s">
        <v>90</v>
      </c>
      <c r="H8" s="417" t="s">
        <v>91</v>
      </c>
      <c r="I8" s="417" t="s">
        <v>92</v>
      </c>
      <c r="J8" s="417" t="s">
        <v>93</v>
      </c>
      <c r="K8" s="417" t="s">
        <v>94</v>
      </c>
      <c r="L8" s="434" t="s">
        <v>95</v>
      </c>
      <c r="M8" s="417" t="s">
        <v>96</v>
      </c>
    </row>
    <row r="9" spans="1:13" ht="16" x14ac:dyDescent="0.2">
      <c r="A9" s="604" t="s">
        <v>97</v>
      </c>
      <c r="B9" s="86" t="s">
        <v>50</v>
      </c>
      <c r="C9" s="86" t="s">
        <v>50</v>
      </c>
      <c r="D9" s="86" t="s">
        <v>50</v>
      </c>
      <c r="E9" s="86" t="s">
        <v>50</v>
      </c>
      <c r="F9" s="86" t="s">
        <v>50</v>
      </c>
      <c r="G9" s="86" t="s">
        <v>50</v>
      </c>
      <c r="H9" s="86" t="s">
        <v>50</v>
      </c>
      <c r="I9" s="86" t="s">
        <v>50</v>
      </c>
      <c r="J9" s="86" t="s">
        <v>50</v>
      </c>
      <c r="K9" s="86" t="s">
        <v>50</v>
      </c>
      <c r="L9" s="86" t="s">
        <v>50</v>
      </c>
      <c r="M9" s="86" t="s">
        <v>50</v>
      </c>
    </row>
    <row r="10" spans="1:13" ht="16" x14ac:dyDescent="0.2">
      <c r="A10" s="604" t="s">
        <v>98</v>
      </c>
      <c r="B10" s="86" t="s">
        <v>50</v>
      </c>
      <c r="C10" s="86" t="s">
        <v>50</v>
      </c>
      <c r="D10" s="86" t="s">
        <v>50</v>
      </c>
      <c r="E10" s="86" t="s">
        <v>50</v>
      </c>
      <c r="F10" s="86" t="s">
        <v>50</v>
      </c>
      <c r="G10" s="86" t="s">
        <v>50</v>
      </c>
      <c r="H10" s="86" t="s">
        <v>50</v>
      </c>
      <c r="I10" s="86" t="s">
        <v>50</v>
      </c>
      <c r="J10" s="86" t="s">
        <v>50</v>
      </c>
      <c r="K10" s="86" t="s">
        <v>50</v>
      </c>
      <c r="L10" s="86" t="s">
        <v>50</v>
      </c>
      <c r="M10" s="86" t="s">
        <v>50</v>
      </c>
    </row>
    <row r="11" spans="1:13" s="430" customFormat="1" ht="16" x14ac:dyDescent="0.2">
      <c r="A11" s="467" t="s">
        <v>99</v>
      </c>
      <c r="B11" s="417" t="s">
        <v>100</v>
      </c>
      <c r="C11" s="417" t="s">
        <v>101</v>
      </c>
      <c r="D11" s="417" t="s">
        <v>102</v>
      </c>
      <c r="E11" s="417" t="s">
        <v>103</v>
      </c>
      <c r="F11" s="417" t="s">
        <v>104</v>
      </c>
      <c r="G11" s="465" t="s">
        <v>105</v>
      </c>
      <c r="H11" s="417" t="s">
        <v>106</v>
      </c>
      <c r="I11" s="417" t="s">
        <v>107</v>
      </c>
      <c r="J11" s="417" t="s">
        <v>50</v>
      </c>
      <c r="K11" s="417" t="s">
        <v>50</v>
      </c>
      <c r="L11" s="417" t="s">
        <v>50</v>
      </c>
      <c r="M11" s="417" t="s">
        <v>50</v>
      </c>
    </row>
    <row r="12" spans="1:13" ht="16" x14ac:dyDescent="0.2">
      <c r="A12" s="604" t="s">
        <v>108</v>
      </c>
      <c r="B12" s="86" t="s">
        <v>50</v>
      </c>
      <c r="C12" s="86" t="s">
        <v>50</v>
      </c>
      <c r="D12" s="86" t="s">
        <v>50</v>
      </c>
      <c r="E12" s="86" t="s">
        <v>50</v>
      </c>
      <c r="F12" s="86" t="s">
        <v>50</v>
      </c>
      <c r="G12" s="86" t="s">
        <v>50</v>
      </c>
      <c r="H12" s="86" t="s">
        <v>50</v>
      </c>
      <c r="I12" s="86" t="s">
        <v>50</v>
      </c>
      <c r="J12" s="86" t="s">
        <v>50</v>
      </c>
      <c r="K12" s="86" t="s">
        <v>50</v>
      </c>
      <c r="L12" s="86" t="s">
        <v>50</v>
      </c>
      <c r="M12" s="86" t="s">
        <v>50</v>
      </c>
    </row>
    <row r="13" spans="1:13" ht="16" x14ac:dyDescent="0.2">
      <c r="A13" s="604" t="s">
        <v>109</v>
      </c>
      <c r="B13" s="86" t="s">
        <v>50</v>
      </c>
      <c r="C13" s="86" t="s">
        <v>50</v>
      </c>
      <c r="D13" s="86" t="s">
        <v>50</v>
      </c>
      <c r="E13" s="86" t="s">
        <v>50</v>
      </c>
      <c r="F13" s="86" t="s">
        <v>50</v>
      </c>
      <c r="G13" s="86" t="s">
        <v>50</v>
      </c>
      <c r="H13" s="86" t="s">
        <v>50</v>
      </c>
      <c r="I13" s="86" t="s">
        <v>50</v>
      </c>
      <c r="J13" s="86" t="s">
        <v>50</v>
      </c>
      <c r="K13" s="86" t="s">
        <v>50</v>
      </c>
      <c r="L13" s="86" t="s">
        <v>50</v>
      </c>
      <c r="M13" s="86" t="s">
        <v>50</v>
      </c>
    </row>
    <row r="14" spans="1:13" ht="16" x14ac:dyDescent="0.2">
      <c r="A14" s="604" t="s">
        <v>110</v>
      </c>
      <c r="B14" s="86" t="s">
        <v>50</v>
      </c>
      <c r="C14" s="86" t="s">
        <v>50</v>
      </c>
      <c r="D14" s="86" t="s">
        <v>50</v>
      </c>
      <c r="E14" s="86" t="s">
        <v>50</v>
      </c>
      <c r="F14" s="86" t="s">
        <v>50</v>
      </c>
      <c r="G14" s="86" t="s">
        <v>50</v>
      </c>
      <c r="H14" s="86" t="s">
        <v>50</v>
      </c>
      <c r="I14" s="86" t="s">
        <v>50</v>
      </c>
      <c r="J14" s="86" t="s">
        <v>50</v>
      </c>
      <c r="K14" s="86" t="s">
        <v>50</v>
      </c>
      <c r="L14" s="86" t="s">
        <v>50</v>
      </c>
      <c r="M14" s="86" t="s">
        <v>50</v>
      </c>
    </row>
    <row r="15" spans="1:13" ht="16" x14ac:dyDescent="0.2">
      <c r="A15" s="604" t="s">
        <v>111</v>
      </c>
      <c r="B15" s="86" t="s">
        <v>50</v>
      </c>
      <c r="C15" s="86" t="s">
        <v>50</v>
      </c>
      <c r="D15" s="86" t="s">
        <v>50</v>
      </c>
      <c r="E15" s="86" t="s">
        <v>50</v>
      </c>
      <c r="F15" s="86" t="s">
        <v>50</v>
      </c>
      <c r="G15" s="86" t="s">
        <v>50</v>
      </c>
      <c r="H15" s="86" t="s">
        <v>50</v>
      </c>
      <c r="I15" s="86" t="s">
        <v>50</v>
      </c>
      <c r="J15" s="86" t="s">
        <v>50</v>
      </c>
      <c r="K15" s="86" t="s">
        <v>50</v>
      </c>
      <c r="L15" s="86" t="s">
        <v>50</v>
      </c>
      <c r="M15" s="86" t="s">
        <v>50</v>
      </c>
    </row>
    <row r="16" spans="1:13" ht="16" x14ac:dyDescent="0.2">
      <c r="A16" s="604" t="s">
        <v>112</v>
      </c>
      <c r="B16" s="86" t="s">
        <v>50</v>
      </c>
      <c r="C16" s="86" t="s">
        <v>50</v>
      </c>
      <c r="D16" s="86" t="s">
        <v>50</v>
      </c>
      <c r="E16" s="86" t="s">
        <v>50</v>
      </c>
      <c r="F16" s="86" t="s">
        <v>50</v>
      </c>
      <c r="G16" s="86" t="s">
        <v>50</v>
      </c>
      <c r="H16" s="86" t="s">
        <v>50</v>
      </c>
      <c r="I16" s="86" t="s">
        <v>50</v>
      </c>
      <c r="J16" s="86" t="s">
        <v>50</v>
      </c>
      <c r="K16" s="86" t="s">
        <v>50</v>
      </c>
      <c r="L16" s="86" t="s">
        <v>50</v>
      </c>
      <c r="M16" s="86" t="s">
        <v>50</v>
      </c>
    </row>
    <row r="17" spans="1:13" ht="16" x14ac:dyDescent="0.2">
      <c r="A17" s="604" t="s">
        <v>113</v>
      </c>
      <c r="B17" s="86" t="s">
        <v>50</v>
      </c>
      <c r="C17" s="86" t="s">
        <v>50</v>
      </c>
      <c r="D17" s="86" t="s">
        <v>50</v>
      </c>
      <c r="E17" s="86" t="s">
        <v>50</v>
      </c>
      <c r="F17" s="86" t="s">
        <v>50</v>
      </c>
      <c r="G17" s="86" t="s">
        <v>50</v>
      </c>
      <c r="H17" s="86" t="s">
        <v>50</v>
      </c>
      <c r="I17" s="86" t="s">
        <v>50</v>
      </c>
      <c r="J17" s="86" t="s">
        <v>50</v>
      </c>
      <c r="K17" s="86" t="s">
        <v>50</v>
      </c>
      <c r="L17" s="86" t="s">
        <v>50</v>
      </c>
      <c r="M17" s="86" t="s">
        <v>50</v>
      </c>
    </row>
    <row r="18" spans="1:13" ht="16" x14ac:dyDescent="0.2">
      <c r="A18" s="604" t="s">
        <v>114</v>
      </c>
      <c r="B18" s="86" t="s">
        <v>50</v>
      </c>
      <c r="C18" s="86" t="s">
        <v>50</v>
      </c>
      <c r="D18" s="86" t="s">
        <v>50</v>
      </c>
      <c r="E18" s="86" t="s">
        <v>50</v>
      </c>
      <c r="F18" s="86" t="s">
        <v>50</v>
      </c>
      <c r="G18" s="86" t="s">
        <v>50</v>
      </c>
      <c r="H18" s="86" t="s">
        <v>50</v>
      </c>
      <c r="I18" s="86" t="s">
        <v>50</v>
      </c>
      <c r="J18" s="86" t="s">
        <v>50</v>
      </c>
      <c r="K18" s="86" t="s">
        <v>50</v>
      </c>
      <c r="L18" s="86" t="s">
        <v>50</v>
      </c>
      <c r="M18" s="86" t="s">
        <v>50</v>
      </c>
    </row>
    <row r="19" spans="1:13" ht="16" x14ac:dyDescent="0.2">
      <c r="A19" s="604" t="s">
        <v>115</v>
      </c>
      <c r="B19" s="86" t="s">
        <v>50</v>
      </c>
      <c r="C19" s="86" t="s">
        <v>50</v>
      </c>
      <c r="D19" s="86" t="s">
        <v>50</v>
      </c>
      <c r="E19" s="86" t="s">
        <v>50</v>
      </c>
      <c r="F19" s="86" t="s">
        <v>50</v>
      </c>
      <c r="G19" s="86" t="s">
        <v>50</v>
      </c>
      <c r="H19" s="86" t="s">
        <v>50</v>
      </c>
      <c r="I19" s="86" t="s">
        <v>50</v>
      </c>
      <c r="J19" s="86" t="s">
        <v>50</v>
      </c>
      <c r="K19" s="86" t="s">
        <v>50</v>
      </c>
      <c r="L19" s="86" t="s">
        <v>50</v>
      </c>
      <c r="M19" s="86" t="s">
        <v>50</v>
      </c>
    </row>
    <row r="20" spans="1:13" ht="16" x14ac:dyDescent="0.2">
      <c r="A20" s="604" t="s">
        <v>116</v>
      </c>
      <c r="B20" s="86" t="s">
        <v>50</v>
      </c>
      <c r="C20" s="86" t="s">
        <v>50</v>
      </c>
      <c r="D20" s="86" t="s">
        <v>50</v>
      </c>
      <c r="E20" s="86" t="s">
        <v>50</v>
      </c>
      <c r="F20" s="86" t="s">
        <v>50</v>
      </c>
      <c r="G20" s="86" t="s">
        <v>50</v>
      </c>
      <c r="H20" s="86" t="s">
        <v>50</v>
      </c>
      <c r="I20" s="86" t="s">
        <v>50</v>
      </c>
      <c r="J20" s="86" t="s">
        <v>50</v>
      </c>
      <c r="K20" s="86" t="s">
        <v>50</v>
      </c>
      <c r="L20" s="86" t="s">
        <v>50</v>
      </c>
      <c r="M20" s="86" t="s">
        <v>50</v>
      </c>
    </row>
    <row r="21" spans="1:13" s="430" customFormat="1" ht="16" x14ac:dyDescent="0.2">
      <c r="A21" s="467" t="s">
        <v>117</v>
      </c>
      <c r="B21" s="417" t="s">
        <v>118</v>
      </c>
      <c r="C21" s="417" t="s">
        <v>119</v>
      </c>
      <c r="D21" s="417" t="s">
        <v>120</v>
      </c>
      <c r="E21" s="417" t="s">
        <v>121</v>
      </c>
      <c r="F21" s="417" t="s">
        <v>122</v>
      </c>
      <c r="G21" s="417" t="s">
        <v>123</v>
      </c>
      <c r="H21" s="417" t="s">
        <v>124</v>
      </c>
      <c r="I21" s="417" t="s">
        <v>125</v>
      </c>
      <c r="J21" s="417" t="s">
        <v>126</v>
      </c>
      <c r="K21" s="417" t="s">
        <v>127</v>
      </c>
      <c r="L21" s="434" t="s">
        <v>128</v>
      </c>
      <c r="M21" s="417" t="s">
        <v>129</v>
      </c>
    </row>
    <row r="22" spans="1:13" s="430" customFormat="1" ht="16" x14ac:dyDescent="0.2">
      <c r="A22" s="467" t="s">
        <v>130</v>
      </c>
      <c r="B22" s="417" t="s">
        <v>131</v>
      </c>
      <c r="C22" s="417" t="s">
        <v>132</v>
      </c>
      <c r="D22" s="417" t="s">
        <v>133</v>
      </c>
      <c r="E22" s="417" t="s">
        <v>134</v>
      </c>
      <c r="F22" s="417" t="s">
        <v>135</v>
      </c>
      <c r="G22" s="417" t="s">
        <v>136</v>
      </c>
      <c r="H22" s="417" t="s">
        <v>137</v>
      </c>
      <c r="I22" s="417" t="s">
        <v>138</v>
      </c>
      <c r="J22" s="417" t="s">
        <v>139</v>
      </c>
      <c r="K22" s="417" t="s">
        <v>140</v>
      </c>
      <c r="L22" s="417" t="s">
        <v>141</v>
      </c>
      <c r="M22" s="417" t="s">
        <v>142</v>
      </c>
    </row>
    <row r="23" spans="1:13" s="430" customFormat="1" ht="16" x14ac:dyDescent="0.2">
      <c r="A23" s="467" t="s">
        <v>143</v>
      </c>
      <c r="B23" s="417" t="s">
        <v>144</v>
      </c>
      <c r="C23" s="417" t="s">
        <v>53</v>
      </c>
      <c r="D23" s="417" t="s">
        <v>145</v>
      </c>
      <c r="E23" s="417" t="s">
        <v>146</v>
      </c>
      <c r="F23" s="417" t="s">
        <v>147</v>
      </c>
      <c r="G23" s="417" t="s">
        <v>148</v>
      </c>
      <c r="H23" s="417" t="s">
        <v>149</v>
      </c>
      <c r="I23" s="417" t="s">
        <v>146</v>
      </c>
      <c r="J23" s="417" t="s">
        <v>50</v>
      </c>
      <c r="K23" s="417" t="s">
        <v>50</v>
      </c>
      <c r="L23" s="417" t="s">
        <v>50</v>
      </c>
      <c r="M23" s="417" t="s">
        <v>50</v>
      </c>
    </row>
    <row r="24" spans="1:13" s="430" customFormat="1" ht="16" x14ac:dyDescent="0.2">
      <c r="A24" s="467" t="s">
        <v>150</v>
      </c>
      <c r="B24" s="417" t="s">
        <v>151</v>
      </c>
      <c r="C24" s="417" t="s">
        <v>53</v>
      </c>
      <c r="D24" s="417" t="s">
        <v>152</v>
      </c>
      <c r="E24" s="417" t="s">
        <v>153</v>
      </c>
      <c r="F24" s="417" t="s">
        <v>50</v>
      </c>
      <c r="G24" s="417" t="s">
        <v>50</v>
      </c>
      <c r="H24" s="417" t="s">
        <v>50</v>
      </c>
      <c r="I24" s="417" t="s">
        <v>50</v>
      </c>
      <c r="J24" s="417" t="s">
        <v>50</v>
      </c>
      <c r="K24" s="417" t="s">
        <v>50</v>
      </c>
      <c r="L24" s="417" t="s">
        <v>50</v>
      </c>
      <c r="M24" s="417" t="s">
        <v>50</v>
      </c>
    </row>
    <row r="25" spans="1:13" ht="16" x14ac:dyDescent="0.2">
      <c r="A25" s="604" t="s">
        <v>154</v>
      </c>
      <c r="B25" s="86" t="s">
        <v>155</v>
      </c>
      <c r="C25" s="86" t="s">
        <v>156</v>
      </c>
      <c r="D25" s="85" t="s">
        <v>157</v>
      </c>
      <c r="E25" s="86" t="s">
        <v>158</v>
      </c>
      <c r="F25" s="86" t="s">
        <v>159</v>
      </c>
      <c r="G25" s="86" t="s">
        <v>160</v>
      </c>
      <c r="H25" s="86" t="s">
        <v>161</v>
      </c>
      <c r="I25" s="86" t="s">
        <v>162</v>
      </c>
      <c r="J25" s="86" t="s">
        <v>50</v>
      </c>
      <c r="K25" s="86" t="s">
        <v>50</v>
      </c>
      <c r="L25" s="86" t="s">
        <v>50</v>
      </c>
      <c r="M25" s="86" t="s">
        <v>50</v>
      </c>
    </row>
    <row r="26" spans="1:13" ht="16" x14ac:dyDescent="0.2">
      <c r="A26" s="604" t="s">
        <v>163</v>
      </c>
      <c r="B26" s="86" t="s">
        <v>50</v>
      </c>
      <c r="C26" s="86" t="s">
        <v>50</v>
      </c>
      <c r="D26" s="86" t="s">
        <v>50</v>
      </c>
      <c r="E26" s="86" t="s">
        <v>50</v>
      </c>
      <c r="F26" s="86" t="s">
        <v>50</v>
      </c>
      <c r="G26" s="86" t="s">
        <v>50</v>
      </c>
      <c r="H26" s="86" t="s">
        <v>50</v>
      </c>
      <c r="I26" s="86" t="s">
        <v>50</v>
      </c>
      <c r="J26" s="86" t="s">
        <v>50</v>
      </c>
      <c r="K26" s="86" t="s">
        <v>50</v>
      </c>
      <c r="L26" s="86" t="s">
        <v>50</v>
      </c>
      <c r="M26" s="86" t="s">
        <v>50</v>
      </c>
    </row>
    <row r="27" spans="1:13" ht="16" x14ac:dyDescent="0.2">
      <c r="A27" s="604" t="s">
        <v>164</v>
      </c>
      <c r="B27" s="86" t="s">
        <v>165</v>
      </c>
      <c r="C27" s="86" t="s">
        <v>53</v>
      </c>
      <c r="D27" s="86" t="s">
        <v>166</v>
      </c>
      <c r="E27" s="86" t="s">
        <v>167</v>
      </c>
      <c r="F27" s="86" t="s">
        <v>50</v>
      </c>
      <c r="G27" s="86" t="s">
        <v>50</v>
      </c>
      <c r="H27" s="86" t="s">
        <v>50</v>
      </c>
      <c r="I27" s="86" t="s">
        <v>50</v>
      </c>
      <c r="J27" s="86" t="s">
        <v>50</v>
      </c>
      <c r="K27" s="86" t="s">
        <v>50</v>
      </c>
      <c r="L27" s="86" t="s">
        <v>50</v>
      </c>
      <c r="M27" s="86" t="s">
        <v>50</v>
      </c>
    </row>
    <row r="28" spans="1:13" s="430" customFormat="1" ht="16" x14ac:dyDescent="0.2">
      <c r="A28" s="467" t="s">
        <v>168</v>
      </c>
      <c r="B28" s="417" t="s">
        <v>169</v>
      </c>
      <c r="C28" s="417" t="s">
        <v>170</v>
      </c>
      <c r="D28" s="417" t="s">
        <v>171</v>
      </c>
      <c r="E28" s="417" t="s">
        <v>172</v>
      </c>
      <c r="H28" s="417" t="s">
        <v>50</v>
      </c>
      <c r="I28" s="417" t="s">
        <v>50</v>
      </c>
      <c r="J28" s="417" t="s">
        <v>50</v>
      </c>
      <c r="K28" s="417" t="s">
        <v>50</v>
      </c>
      <c r="L28" s="417" t="s">
        <v>50</v>
      </c>
      <c r="M28" s="417" t="s">
        <v>50</v>
      </c>
    </row>
    <row r="29" spans="1:13" s="430" customFormat="1" ht="16" x14ac:dyDescent="0.2">
      <c r="A29" s="467" t="s">
        <v>173</v>
      </c>
      <c r="B29" s="417" t="s">
        <v>174</v>
      </c>
      <c r="C29" s="417" t="s">
        <v>175</v>
      </c>
      <c r="D29" s="417" t="s">
        <v>176</v>
      </c>
      <c r="E29" s="417" t="s">
        <v>177</v>
      </c>
      <c r="F29" s="417" t="s">
        <v>178</v>
      </c>
      <c r="G29" s="417" t="s">
        <v>179</v>
      </c>
      <c r="H29" s="417" t="s">
        <v>180</v>
      </c>
      <c r="I29" s="417" t="s">
        <v>181</v>
      </c>
      <c r="J29" s="417" t="s">
        <v>50</v>
      </c>
      <c r="K29" s="417" t="s">
        <v>50</v>
      </c>
      <c r="L29" s="417" t="s">
        <v>50</v>
      </c>
      <c r="M29" s="417" t="s">
        <v>50</v>
      </c>
    </row>
    <row r="30" spans="1:13" s="430" customFormat="1" ht="16" x14ac:dyDescent="0.2">
      <c r="A30" s="467" t="s">
        <v>182</v>
      </c>
      <c r="B30" s="417" t="s">
        <v>183</v>
      </c>
      <c r="C30" s="417" t="s">
        <v>184</v>
      </c>
      <c r="D30" s="417" t="s">
        <v>185</v>
      </c>
      <c r="E30" s="417" t="s">
        <v>186</v>
      </c>
      <c r="F30" s="417" t="s">
        <v>187</v>
      </c>
      <c r="G30" s="417" t="s">
        <v>188</v>
      </c>
      <c r="H30" s="417" t="s">
        <v>189</v>
      </c>
      <c r="I30" s="417" t="s">
        <v>190</v>
      </c>
      <c r="J30" s="417" t="s">
        <v>1610</v>
      </c>
      <c r="K30" s="417" t="s">
        <v>188</v>
      </c>
      <c r="L30" s="434" t="s">
        <v>1611</v>
      </c>
      <c r="M30" s="417" t="s">
        <v>1612</v>
      </c>
    </row>
    <row r="31" spans="1:13" s="430" customFormat="1" ht="16" x14ac:dyDescent="0.2">
      <c r="A31" s="467" t="s">
        <v>191</v>
      </c>
      <c r="B31" s="417" t="s">
        <v>192</v>
      </c>
      <c r="C31" s="417" t="s">
        <v>193</v>
      </c>
      <c r="D31" s="417" t="s">
        <v>194</v>
      </c>
      <c r="E31" s="417" t="s">
        <v>195</v>
      </c>
      <c r="F31" s="417" t="s">
        <v>196</v>
      </c>
      <c r="G31" s="417" t="s">
        <v>197</v>
      </c>
      <c r="H31" s="417" t="s">
        <v>198</v>
      </c>
      <c r="I31" s="417" t="s">
        <v>199</v>
      </c>
      <c r="J31" s="417" t="s">
        <v>1566</v>
      </c>
      <c r="K31" s="417" t="s">
        <v>1567</v>
      </c>
      <c r="L31" s="434" t="s">
        <v>1568</v>
      </c>
      <c r="M31" s="417" t="s">
        <v>1569</v>
      </c>
    </row>
    <row r="32" spans="1:13" s="430" customFormat="1" ht="16" x14ac:dyDescent="0.2">
      <c r="A32" s="467" t="s">
        <v>200</v>
      </c>
      <c r="B32" s="417" t="s">
        <v>201</v>
      </c>
      <c r="C32" s="417" t="s">
        <v>202</v>
      </c>
      <c r="D32" s="417" t="s">
        <v>203</v>
      </c>
      <c r="E32" s="417" t="s">
        <v>204</v>
      </c>
      <c r="F32" s="417" t="s">
        <v>205</v>
      </c>
      <c r="G32" s="417" t="s">
        <v>206</v>
      </c>
      <c r="H32" s="417" t="s">
        <v>207</v>
      </c>
      <c r="I32" s="417" t="s">
        <v>208</v>
      </c>
      <c r="J32" s="417" t="s">
        <v>209</v>
      </c>
      <c r="K32" s="430" t="s">
        <v>210</v>
      </c>
      <c r="L32" s="434" t="s">
        <v>211</v>
      </c>
      <c r="M32" s="417" t="s">
        <v>212</v>
      </c>
    </row>
    <row r="33" spans="1:16" ht="16" x14ac:dyDescent="0.2">
      <c r="A33" s="604" t="s">
        <v>213</v>
      </c>
      <c r="B33" s="86" t="s">
        <v>50</v>
      </c>
      <c r="C33" s="86" t="s">
        <v>50</v>
      </c>
      <c r="D33" s="86" t="s">
        <v>50</v>
      </c>
      <c r="E33" s="86" t="s">
        <v>50</v>
      </c>
      <c r="F33" s="86" t="s">
        <v>50</v>
      </c>
      <c r="G33" s="86" t="s">
        <v>50</v>
      </c>
      <c r="H33" s="86" t="s">
        <v>50</v>
      </c>
      <c r="I33" s="86" t="s">
        <v>50</v>
      </c>
      <c r="J33" s="86" t="s">
        <v>50</v>
      </c>
      <c r="K33" s="86" t="s">
        <v>50</v>
      </c>
      <c r="L33" s="86" t="s">
        <v>50</v>
      </c>
      <c r="M33" s="86" t="s">
        <v>50</v>
      </c>
      <c r="N33" s="85"/>
      <c r="O33" s="85"/>
      <c r="P33" s="85"/>
    </row>
    <row r="34" spans="1:16" ht="16" x14ac:dyDescent="0.2">
      <c r="A34" s="604" t="s">
        <v>214</v>
      </c>
      <c r="B34" s="86" t="s">
        <v>50</v>
      </c>
      <c r="C34" s="86" t="s">
        <v>50</v>
      </c>
      <c r="D34" s="86" t="s">
        <v>50</v>
      </c>
      <c r="E34" s="86" t="s">
        <v>50</v>
      </c>
      <c r="F34" s="86" t="s">
        <v>50</v>
      </c>
      <c r="G34" s="86" t="s">
        <v>50</v>
      </c>
      <c r="H34" s="86" t="s">
        <v>50</v>
      </c>
      <c r="I34" s="86" t="s">
        <v>50</v>
      </c>
      <c r="J34" s="86" t="s">
        <v>50</v>
      </c>
      <c r="K34" s="86" t="s">
        <v>50</v>
      </c>
      <c r="L34" s="86" t="s">
        <v>50</v>
      </c>
      <c r="M34" s="86" t="s">
        <v>50</v>
      </c>
      <c r="N34" s="85"/>
      <c r="O34" s="85"/>
      <c r="P34" s="85"/>
    </row>
    <row r="35" spans="1:16" ht="16" x14ac:dyDescent="0.2">
      <c r="A35" s="604" t="s">
        <v>215</v>
      </c>
      <c r="B35" s="86" t="s">
        <v>50</v>
      </c>
      <c r="C35" s="86" t="s">
        <v>50</v>
      </c>
      <c r="D35" s="86" t="s">
        <v>50</v>
      </c>
      <c r="E35" s="86" t="s">
        <v>50</v>
      </c>
      <c r="F35" s="86" t="s">
        <v>50</v>
      </c>
      <c r="G35" s="86" t="s">
        <v>50</v>
      </c>
      <c r="H35" s="86" t="s">
        <v>50</v>
      </c>
      <c r="I35" s="86" t="s">
        <v>50</v>
      </c>
      <c r="J35" s="86" t="s">
        <v>50</v>
      </c>
      <c r="K35" s="86" t="s">
        <v>50</v>
      </c>
      <c r="L35" s="86" t="s">
        <v>50</v>
      </c>
      <c r="M35" s="86" t="s">
        <v>50</v>
      </c>
      <c r="N35" s="85"/>
      <c r="O35" s="85"/>
      <c r="P35" s="85"/>
    </row>
    <row r="36" spans="1:16" s="430" customFormat="1" ht="16" x14ac:dyDescent="0.2">
      <c r="A36" s="467" t="s">
        <v>216</v>
      </c>
      <c r="B36" s="417" t="s">
        <v>217</v>
      </c>
      <c r="C36" s="417" t="s">
        <v>218</v>
      </c>
      <c r="D36" s="417" t="s">
        <v>219</v>
      </c>
      <c r="E36" s="417" t="s">
        <v>220</v>
      </c>
      <c r="F36" s="465" t="s">
        <v>221</v>
      </c>
      <c r="G36" s="417" t="s">
        <v>222</v>
      </c>
      <c r="H36" s="417" t="s">
        <v>223</v>
      </c>
      <c r="I36" s="417" t="s">
        <v>224</v>
      </c>
      <c r="J36" s="417" t="s">
        <v>50</v>
      </c>
      <c r="K36" s="417" t="s">
        <v>50</v>
      </c>
      <c r="L36" s="417" t="s">
        <v>50</v>
      </c>
      <c r="M36" s="417" t="s">
        <v>50</v>
      </c>
    </row>
    <row r="37" spans="1:16" s="430" customFormat="1" ht="16" x14ac:dyDescent="0.2">
      <c r="A37" s="467" t="s">
        <v>225</v>
      </c>
      <c r="B37" s="417" t="s">
        <v>226</v>
      </c>
      <c r="C37" s="417" t="s">
        <v>227</v>
      </c>
      <c r="D37" s="417" t="s">
        <v>228</v>
      </c>
      <c r="E37" s="417" t="s">
        <v>229</v>
      </c>
      <c r="F37" s="417"/>
      <c r="G37" s="417"/>
      <c r="H37" s="417"/>
      <c r="I37" s="417"/>
      <c r="J37" s="417" t="s">
        <v>50</v>
      </c>
      <c r="K37" s="417" t="s">
        <v>50</v>
      </c>
      <c r="L37" s="417" t="s">
        <v>50</v>
      </c>
      <c r="M37" s="417" t="s">
        <v>50</v>
      </c>
    </row>
    <row r="38" spans="1:16" ht="16" x14ac:dyDescent="0.2">
      <c r="A38" s="604" t="s">
        <v>230</v>
      </c>
      <c r="B38" s="86" t="s">
        <v>50</v>
      </c>
      <c r="C38" s="86" t="s">
        <v>50</v>
      </c>
      <c r="D38" s="86" t="s">
        <v>50</v>
      </c>
      <c r="E38" s="86" t="s">
        <v>50</v>
      </c>
      <c r="F38" s="86" t="s">
        <v>50</v>
      </c>
      <c r="G38" s="86" t="s">
        <v>50</v>
      </c>
      <c r="H38" s="86" t="s">
        <v>50</v>
      </c>
      <c r="I38" s="86" t="s">
        <v>50</v>
      </c>
      <c r="J38" s="86" t="s">
        <v>50</v>
      </c>
      <c r="K38" s="86" t="s">
        <v>50</v>
      </c>
      <c r="L38" s="86" t="s">
        <v>50</v>
      </c>
      <c r="M38" s="86" t="s">
        <v>50</v>
      </c>
      <c r="N38" s="85"/>
      <c r="O38" s="85"/>
      <c r="P38" s="85"/>
    </row>
    <row r="39" spans="1:16" s="430" customFormat="1" ht="16" x14ac:dyDescent="0.2">
      <c r="A39" s="467" t="s">
        <v>231</v>
      </c>
      <c r="B39" s="417" t="s">
        <v>232</v>
      </c>
      <c r="C39" s="417" t="s">
        <v>233</v>
      </c>
      <c r="D39" s="417" t="s">
        <v>234</v>
      </c>
      <c r="E39" s="417" t="s">
        <v>235</v>
      </c>
      <c r="F39" s="417" t="s">
        <v>236</v>
      </c>
      <c r="G39" s="417" t="s">
        <v>237</v>
      </c>
      <c r="H39" s="417" t="s">
        <v>238</v>
      </c>
      <c r="I39" s="417" t="s">
        <v>239</v>
      </c>
      <c r="J39" s="417" t="s">
        <v>50</v>
      </c>
      <c r="K39" s="417" t="s">
        <v>50</v>
      </c>
      <c r="L39" s="417" t="s">
        <v>50</v>
      </c>
      <c r="M39" s="417" t="s">
        <v>50</v>
      </c>
    </row>
    <row r="40" spans="1:16" s="430" customFormat="1" ht="16" x14ac:dyDescent="0.2">
      <c r="A40" s="467" t="s">
        <v>240</v>
      </c>
      <c r="B40" s="417" t="s">
        <v>241</v>
      </c>
      <c r="C40" s="417" t="s">
        <v>242</v>
      </c>
      <c r="D40" s="417" t="s">
        <v>243</v>
      </c>
      <c r="E40" s="417" t="s">
        <v>244</v>
      </c>
      <c r="F40" s="417" t="s">
        <v>245</v>
      </c>
      <c r="G40" s="465" t="s">
        <v>246</v>
      </c>
      <c r="H40" s="417" t="s">
        <v>247</v>
      </c>
      <c r="I40" s="417" t="s">
        <v>248</v>
      </c>
      <c r="J40" s="465" t="s">
        <v>249</v>
      </c>
      <c r="K40" s="465" t="s">
        <v>175</v>
      </c>
      <c r="L40" s="651" t="s">
        <v>250</v>
      </c>
      <c r="M40" s="417" t="s">
        <v>251</v>
      </c>
      <c r="N40" s="465"/>
      <c r="O40" s="465"/>
      <c r="P40" s="651"/>
    </row>
    <row r="41" spans="1:16" s="430" customFormat="1" ht="16" x14ac:dyDescent="0.2">
      <c r="A41" s="467" t="s">
        <v>252</v>
      </c>
      <c r="B41" s="417" t="s">
        <v>253</v>
      </c>
      <c r="C41" s="417" t="s">
        <v>53</v>
      </c>
      <c r="D41" s="417" t="s">
        <v>254</v>
      </c>
      <c r="E41" s="417" t="s">
        <v>255</v>
      </c>
      <c r="F41" s="417" t="s">
        <v>50</v>
      </c>
      <c r="G41" s="417" t="s">
        <v>50</v>
      </c>
      <c r="H41" s="417" t="s">
        <v>50</v>
      </c>
      <c r="I41" s="417" t="s">
        <v>50</v>
      </c>
      <c r="J41" s="417" t="s">
        <v>50</v>
      </c>
      <c r="K41" s="417" t="s">
        <v>50</v>
      </c>
      <c r="L41" s="417" t="s">
        <v>50</v>
      </c>
      <c r="M41" s="417" t="s">
        <v>50</v>
      </c>
    </row>
    <row r="42" spans="1:16" s="430" customFormat="1" ht="16" x14ac:dyDescent="0.2">
      <c r="A42" s="467" t="s">
        <v>256</v>
      </c>
      <c r="B42" s="417" t="s">
        <v>257</v>
      </c>
      <c r="C42" s="417" t="s">
        <v>258</v>
      </c>
      <c r="D42" s="417" t="s">
        <v>259</v>
      </c>
      <c r="E42" s="417" t="s">
        <v>260</v>
      </c>
      <c r="F42" s="417" t="s">
        <v>50</v>
      </c>
      <c r="G42" s="417" t="s">
        <v>50</v>
      </c>
      <c r="H42" s="417" t="s">
        <v>50</v>
      </c>
      <c r="I42" s="417" t="s">
        <v>50</v>
      </c>
      <c r="J42" s="417" t="s">
        <v>50</v>
      </c>
      <c r="K42" s="417" t="s">
        <v>50</v>
      </c>
      <c r="L42" s="417" t="s">
        <v>50</v>
      </c>
      <c r="M42" s="417" t="s">
        <v>50</v>
      </c>
    </row>
    <row r="43" spans="1:16" s="430" customFormat="1" ht="16" x14ac:dyDescent="0.2">
      <c r="A43" s="467" t="s">
        <v>261</v>
      </c>
      <c r="B43" s="417" t="s">
        <v>262</v>
      </c>
      <c r="C43" s="417" t="s">
        <v>233</v>
      </c>
      <c r="D43" s="417" t="s">
        <v>263</v>
      </c>
      <c r="E43" s="417" t="s">
        <v>264</v>
      </c>
      <c r="F43" s="417" t="s">
        <v>265</v>
      </c>
      <c r="G43" s="417" t="s">
        <v>266</v>
      </c>
      <c r="H43" s="417" t="s">
        <v>267</v>
      </c>
      <c r="I43" s="417" t="s">
        <v>268</v>
      </c>
      <c r="J43" s="417" t="s">
        <v>269</v>
      </c>
      <c r="K43" s="417" t="s">
        <v>53</v>
      </c>
      <c r="L43" s="434" t="s">
        <v>270</v>
      </c>
      <c r="M43" s="417" t="s">
        <v>271</v>
      </c>
    </row>
    <row r="44" spans="1:16" s="430" customFormat="1" ht="16" x14ac:dyDescent="0.2">
      <c r="A44" s="467" t="s">
        <v>272</v>
      </c>
      <c r="B44" s="417" t="s">
        <v>273</v>
      </c>
      <c r="C44" s="417" t="s">
        <v>274</v>
      </c>
      <c r="D44" s="417" t="s">
        <v>275</v>
      </c>
      <c r="E44" s="417" t="s">
        <v>276</v>
      </c>
      <c r="F44" s="417" t="s">
        <v>277</v>
      </c>
      <c r="G44" s="417" t="s">
        <v>278</v>
      </c>
      <c r="H44" s="417" t="s">
        <v>279</v>
      </c>
      <c r="I44" s="417" t="s">
        <v>280</v>
      </c>
      <c r="J44" s="465" t="s">
        <v>249</v>
      </c>
      <c r="K44" s="465" t="s">
        <v>175</v>
      </c>
      <c r="L44" s="417" t="s">
        <v>281</v>
      </c>
      <c r="M44" s="417" t="s">
        <v>251</v>
      </c>
    </row>
    <row r="45" spans="1:16" s="430" customFormat="1" ht="16" x14ac:dyDescent="0.2">
      <c r="A45" s="467" t="s">
        <v>282</v>
      </c>
      <c r="B45" s="417" t="s">
        <v>283</v>
      </c>
      <c r="C45" s="417" t="s">
        <v>284</v>
      </c>
      <c r="D45" s="417" t="s">
        <v>285</v>
      </c>
      <c r="E45" s="417" t="s">
        <v>286</v>
      </c>
      <c r="F45" s="465" t="s">
        <v>287</v>
      </c>
      <c r="G45" s="465" t="s">
        <v>288</v>
      </c>
      <c r="H45" s="430" t="s">
        <v>289</v>
      </c>
      <c r="I45" s="430" t="s">
        <v>290</v>
      </c>
      <c r="J45" s="417" t="s">
        <v>50</v>
      </c>
      <c r="K45" s="417" t="s">
        <v>50</v>
      </c>
      <c r="L45" s="417" t="s">
        <v>50</v>
      </c>
      <c r="M45" s="417" t="s">
        <v>50</v>
      </c>
    </row>
    <row r="46" spans="1:16" ht="16" x14ac:dyDescent="0.2">
      <c r="A46" s="604" t="s">
        <v>291</v>
      </c>
      <c r="B46" s="86" t="s">
        <v>292</v>
      </c>
      <c r="C46" s="86" t="s">
        <v>293</v>
      </c>
      <c r="D46" s="86" t="s">
        <v>294</v>
      </c>
      <c r="E46" s="86" t="s">
        <v>295</v>
      </c>
      <c r="F46" s="86" t="s">
        <v>296</v>
      </c>
      <c r="G46" s="86" t="s">
        <v>297</v>
      </c>
      <c r="H46" s="86" t="s">
        <v>298</v>
      </c>
      <c r="I46" s="86" t="s">
        <v>295</v>
      </c>
      <c r="J46" s="86" t="s">
        <v>1564</v>
      </c>
      <c r="K46" s="86"/>
      <c r="L46" s="801" t="s">
        <v>1565</v>
      </c>
      <c r="M46" s="86" t="s">
        <v>50</v>
      </c>
      <c r="N46" s="85"/>
      <c r="O46" s="85"/>
      <c r="P46" s="85"/>
    </row>
    <row r="47" spans="1:16" s="430" customFormat="1" ht="16" x14ac:dyDescent="0.2">
      <c r="A47" s="467" t="s">
        <v>299</v>
      </c>
      <c r="B47" s="417" t="s">
        <v>300</v>
      </c>
      <c r="C47" s="417" t="s">
        <v>301</v>
      </c>
      <c r="D47" s="417" t="s">
        <v>302</v>
      </c>
      <c r="E47" s="417" t="s">
        <v>303</v>
      </c>
      <c r="F47" s="417" t="s">
        <v>50</v>
      </c>
      <c r="G47" s="417" t="s">
        <v>50</v>
      </c>
      <c r="H47" s="417" t="s">
        <v>50</v>
      </c>
      <c r="I47" s="417" t="s">
        <v>50</v>
      </c>
      <c r="J47" s="417" t="s">
        <v>50</v>
      </c>
      <c r="K47" s="417" t="s">
        <v>50</v>
      </c>
      <c r="L47" s="417" t="s">
        <v>50</v>
      </c>
      <c r="M47" s="417" t="s">
        <v>50</v>
      </c>
    </row>
    <row r="48" spans="1:16" s="430" customFormat="1" ht="16" x14ac:dyDescent="0.2">
      <c r="A48" s="467" t="s">
        <v>304</v>
      </c>
      <c r="B48" s="417" t="s">
        <v>305</v>
      </c>
      <c r="C48" s="417" t="s">
        <v>306</v>
      </c>
      <c r="D48" s="417" t="s">
        <v>307</v>
      </c>
      <c r="E48" s="417" t="s">
        <v>308</v>
      </c>
      <c r="F48" s="417" t="s">
        <v>309</v>
      </c>
      <c r="G48" s="417" t="s">
        <v>310</v>
      </c>
      <c r="H48" s="417" t="s">
        <v>311</v>
      </c>
      <c r="I48" s="417" t="s">
        <v>312</v>
      </c>
      <c r="J48" s="417" t="s">
        <v>50</v>
      </c>
      <c r="K48" s="417" t="s">
        <v>50</v>
      </c>
      <c r="L48" s="417" t="s">
        <v>50</v>
      </c>
      <c r="M48" s="417" t="s">
        <v>50</v>
      </c>
    </row>
    <row r="49" spans="1:13" s="430" customFormat="1" ht="16" x14ac:dyDescent="0.2">
      <c r="A49" s="467" t="s">
        <v>313</v>
      </c>
      <c r="B49" s="417" t="s">
        <v>314</v>
      </c>
      <c r="C49" s="417" t="s">
        <v>315</v>
      </c>
      <c r="D49" s="434" t="s">
        <v>316</v>
      </c>
      <c r="E49" s="417" t="s">
        <v>317</v>
      </c>
      <c r="F49" s="417" t="s">
        <v>318</v>
      </c>
      <c r="G49" s="417" t="s">
        <v>319</v>
      </c>
      <c r="H49" s="417" t="s">
        <v>320</v>
      </c>
      <c r="I49" s="417" t="s">
        <v>321</v>
      </c>
      <c r="J49" s="417" t="s">
        <v>322</v>
      </c>
      <c r="K49" s="417" t="s">
        <v>323</v>
      </c>
      <c r="L49" s="434" t="s">
        <v>324</v>
      </c>
      <c r="M49" s="417" t="s">
        <v>325</v>
      </c>
    </row>
    <row r="50" spans="1:13" s="430" customFormat="1" ht="16" x14ac:dyDescent="0.2">
      <c r="A50" s="467" t="s">
        <v>326</v>
      </c>
      <c r="B50" s="417" t="s">
        <v>327</v>
      </c>
      <c r="C50" s="417" t="s">
        <v>328</v>
      </c>
      <c r="D50" s="417" t="s">
        <v>329</v>
      </c>
      <c r="E50" s="417" t="s">
        <v>330</v>
      </c>
      <c r="F50" s="417" t="s">
        <v>331</v>
      </c>
      <c r="G50" s="417" t="s">
        <v>332</v>
      </c>
      <c r="H50" s="417" t="s">
        <v>333</v>
      </c>
      <c r="I50" s="417" t="s">
        <v>334</v>
      </c>
      <c r="J50" s="417" t="s">
        <v>50</v>
      </c>
      <c r="K50" s="417" t="s">
        <v>50</v>
      </c>
      <c r="L50" s="417" t="s">
        <v>50</v>
      </c>
      <c r="M50" s="417" t="s">
        <v>50</v>
      </c>
    </row>
    <row r="51" spans="1:13" s="430" customFormat="1" ht="16" x14ac:dyDescent="0.2">
      <c r="A51" s="467" t="s">
        <v>335</v>
      </c>
      <c r="B51" s="417" t="s">
        <v>336</v>
      </c>
      <c r="C51" s="417" t="s">
        <v>337</v>
      </c>
      <c r="D51" s="417" t="s">
        <v>338</v>
      </c>
      <c r="E51" s="417" t="s">
        <v>339</v>
      </c>
      <c r="F51" s="417" t="s">
        <v>340</v>
      </c>
      <c r="G51" s="417" t="s">
        <v>341</v>
      </c>
      <c r="H51" s="417" t="s">
        <v>342</v>
      </c>
      <c r="I51" s="417" t="s">
        <v>50</v>
      </c>
      <c r="J51" s="417" t="s">
        <v>50</v>
      </c>
      <c r="K51" s="417" t="s">
        <v>50</v>
      </c>
      <c r="L51" s="417" t="s">
        <v>50</v>
      </c>
      <c r="M51" s="417" t="s">
        <v>50</v>
      </c>
    </row>
    <row r="52" spans="1:13" s="430" customFormat="1" ht="16" x14ac:dyDescent="0.2">
      <c r="A52" s="467" t="s">
        <v>343</v>
      </c>
      <c r="B52" s="417" t="s">
        <v>344</v>
      </c>
      <c r="C52" s="417" t="s">
        <v>345</v>
      </c>
      <c r="D52" s="417" t="s">
        <v>346</v>
      </c>
      <c r="E52" s="417" t="s">
        <v>347</v>
      </c>
      <c r="F52" s="417" t="s">
        <v>348</v>
      </c>
      <c r="G52" s="417" t="s">
        <v>349</v>
      </c>
      <c r="H52" s="417" t="s">
        <v>350</v>
      </c>
      <c r="I52" s="417" t="s">
        <v>351</v>
      </c>
      <c r="J52" s="417" t="s">
        <v>50</v>
      </c>
      <c r="K52" s="417" t="s">
        <v>50</v>
      </c>
      <c r="L52" s="417" t="s">
        <v>50</v>
      </c>
      <c r="M52" s="417" t="s">
        <v>50</v>
      </c>
    </row>
    <row r="53" spans="1:13" s="430" customFormat="1" ht="16" x14ac:dyDescent="0.2">
      <c r="A53" s="467" t="s">
        <v>352</v>
      </c>
      <c r="B53" s="417" t="s">
        <v>353</v>
      </c>
      <c r="C53" s="417" t="s">
        <v>354</v>
      </c>
      <c r="D53" s="417" t="s">
        <v>355</v>
      </c>
      <c r="E53" s="417" t="s">
        <v>356</v>
      </c>
      <c r="F53" s="417" t="s">
        <v>357</v>
      </c>
      <c r="G53" s="417" t="s">
        <v>358</v>
      </c>
      <c r="H53" s="417" t="s">
        <v>359</v>
      </c>
      <c r="I53" s="417" t="s">
        <v>360</v>
      </c>
      <c r="J53" s="417" t="s">
        <v>50</v>
      </c>
      <c r="K53" s="417" t="s">
        <v>50</v>
      </c>
      <c r="L53" s="417" t="s">
        <v>50</v>
      </c>
      <c r="M53" s="417" t="s">
        <v>50</v>
      </c>
    </row>
  </sheetData>
  <autoFilter ref="A1:M53" xr:uid="{00000000-0009-0000-0000-000001000000}"/>
  <hyperlinks>
    <hyperlink ref="H4" r:id="rId1" xr:uid="{00000000-0004-0000-0100-000000000000}"/>
    <hyperlink ref="L4" r:id="rId2" xr:uid="{00000000-0004-0000-0100-000001000000}"/>
    <hyperlink ref="H5" r:id="rId3" xr:uid="{00000000-0004-0000-0100-000002000000}"/>
    <hyperlink ref="L21" r:id="rId4" xr:uid="{00000000-0004-0000-0100-000003000000}"/>
    <hyperlink ref="L49" r:id="rId5" xr:uid="{00000000-0004-0000-0100-000004000000}"/>
    <hyperlink ref="L8" r:id="rId6" xr:uid="{6F144358-E08E-4245-956B-55C1775720D4}"/>
    <hyperlink ref="H21" r:id="rId7" xr:uid="{37F027B9-7C39-F940-BE6E-048F684FD2D3}"/>
    <hyperlink ref="D28" r:id="rId8" xr:uid="{30AF63CE-03C3-274E-8458-77B1E6157F28}"/>
    <hyperlink ref="L32" r:id="rId9" xr:uid="{CC966ECF-83D7-3F46-A4DA-77E7FEE37CB0}"/>
    <hyperlink ref="L40" r:id="rId10" xr:uid="{0F80A221-FE36-A442-BD53-BC0787A0D04A}"/>
    <hyperlink ref="L43" r:id="rId11" xr:uid="{ADBC7285-A1D9-2A48-99CB-349F785014F9}"/>
    <hyperlink ref="D49" r:id="rId12" xr:uid="{3711447E-9E31-A244-8F6B-945B9BD136A8}"/>
    <hyperlink ref="D22" r:id="rId13" xr:uid="{F2DEB8BD-9AD2-46FF-A760-C89D4AE2FC2A}"/>
    <hyperlink ref="L46" r:id="rId14" xr:uid="{674C667F-CEB5-5242-8FF3-54181AC72947}"/>
    <hyperlink ref="L31" r:id="rId15" xr:uid="{FF58C6C7-26BF-F946-9E14-55616FC029EF}"/>
    <hyperlink ref="L30" r:id="rId16" xr:uid="{1DAEE47E-7906-D544-BCD7-F67B10B1A8D4}"/>
  </hyperlinks>
  <pageMargins left="0.7" right="0.7" top="0.75" bottom="0.75" header="0.3" footer="0.3"/>
  <pageSetup orientation="portrait" r:id="rId1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AE41"/>
  <sheetViews>
    <sheetView showGridLines="0" zoomScale="105" zoomScaleNormal="100" workbookViewId="0">
      <selection activeCell="B29" sqref="B29:O32"/>
    </sheetView>
  </sheetViews>
  <sheetFormatPr baseColWidth="10" defaultColWidth="0" defaultRowHeight="15" zeroHeight="1" x14ac:dyDescent="0.2"/>
  <cols>
    <col min="1" max="1" width="2.6640625" style="4" customWidth="1"/>
    <col min="2" max="2" width="6.6640625" style="4" customWidth="1"/>
    <col min="3" max="3" width="9.1640625" style="4" customWidth="1"/>
    <col min="4" max="4" width="14.83203125" style="4" customWidth="1"/>
    <col min="5" max="5" width="16.5" style="4" customWidth="1"/>
    <col min="6" max="6" width="9.1640625" style="4" customWidth="1"/>
    <col min="7" max="7" width="12" style="4" customWidth="1"/>
    <col min="8" max="8" width="9" style="4" customWidth="1"/>
    <col min="9" max="9" width="12.5" style="4" customWidth="1"/>
    <col min="10" max="10" width="9.33203125" style="4" customWidth="1"/>
    <col min="11" max="12" width="9.1640625" style="4" customWidth="1"/>
    <col min="13" max="13" width="14.5" style="4" customWidth="1"/>
    <col min="14" max="14" width="6.5" style="4" customWidth="1"/>
    <col min="15" max="15" width="26.5" style="4" customWidth="1"/>
    <col min="16" max="16" width="14.83203125" style="142" customWidth="1"/>
    <col min="17" max="31" width="0" style="4" hidden="1" customWidth="1"/>
    <col min="32" max="16384" width="9.1640625" style="4" hidden="1"/>
  </cols>
  <sheetData>
    <row r="1" spans="1:16" ht="15" customHeight="1" thickBot="1" x14ac:dyDescent="0.25">
      <c r="B1" s="948" t="s">
        <v>23</v>
      </c>
      <c r="C1" s="948"/>
      <c r="D1" s="948"/>
      <c r="E1" s="948"/>
      <c r="F1" s="948"/>
      <c r="G1" s="948"/>
      <c r="H1" s="948"/>
      <c r="I1" s="948"/>
      <c r="J1" s="948"/>
      <c r="K1" s="948"/>
      <c r="L1" s="948"/>
      <c r="M1" s="948"/>
      <c r="N1" s="948"/>
      <c r="O1" s="948"/>
      <c r="P1" s="138"/>
    </row>
    <row r="2" spans="1:16" ht="15" customHeight="1" thickBot="1" x14ac:dyDescent="0.25">
      <c r="B2" s="952" t="s">
        <v>8</v>
      </c>
      <c r="C2" s="952"/>
      <c r="D2" s="952"/>
      <c r="E2" s="950" t="s">
        <v>361</v>
      </c>
      <c r="F2" s="950"/>
      <c r="G2" s="950"/>
      <c r="H2" s="950"/>
      <c r="I2" s="950"/>
      <c r="J2" s="950"/>
      <c r="K2" s="950"/>
      <c r="L2" s="950"/>
      <c r="M2" s="950"/>
      <c r="N2" s="950"/>
      <c r="O2" s="950"/>
      <c r="P2" s="137"/>
    </row>
    <row r="3" spans="1:16" ht="16" thickBot="1" x14ac:dyDescent="0.25">
      <c r="B3" s="952"/>
      <c r="C3" s="952"/>
      <c r="D3" s="952"/>
      <c r="E3" s="950"/>
      <c r="F3" s="950"/>
      <c r="G3" s="950"/>
      <c r="H3" s="950"/>
      <c r="I3" s="950"/>
      <c r="J3" s="950"/>
      <c r="K3" s="950"/>
      <c r="L3" s="950"/>
      <c r="M3" s="950"/>
      <c r="N3" s="950"/>
      <c r="O3" s="950"/>
      <c r="P3" s="137"/>
    </row>
    <row r="4" spans="1:16" ht="16" thickBot="1" x14ac:dyDescent="0.25">
      <c r="B4" s="952"/>
      <c r="C4" s="952"/>
      <c r="D4" s="952"/>
      <c r="E4" s="950"/>
      <c r="F4" s="950"/>
      <c r="G4" s="950"/>
      <c r="H4" s="950"/>
      <c r="I4" s="950"/>
      <c r="J4" s="950"/>
      <c r="K4" s="950"/>
      <c r="L4" s="950"/>
      <c r="M4" s="950"/>
      <c r="N4" s="950"/>
      <c r="O4" s="950"/>
      <c r="P4" s="137"/>
    </row>
    <row r="5" spans="1:16" ht="17.25" customHeight="1" thickBot="1" x14ac:dyDescent="0.25">
      <c r="B5" s="952"/>
      <c r="C5" s="952"/>
      <c r="D5" s="952"/>
      <c r="E5" s="951" t="s">
        <v>362</v>
      </c>
      <c r="F5" s="951"/>
      <c r="G5" s="951"/>
      <c r="H5" s="951"/>
      <c r="I5" s="951"/>
      <c r="J5" s="951"/>
      <c r="K5" s="951"/>
      <c r="L5" s="951"/>
      <c r="M5" s="951"/>
      <c r="N5" s="951"/>
      <c r="O5" s="951"/>
      <c r="P5" s="137"/>
    </row>
    <row r="6" spans="1:16" ht="16" thickBot="1" x14ac:dyDescent="0.25"/>
    <row r="7" spans="1:16" s="8" customFormat="1" ht="22" thickBot="1" x14ac:dyDescent="0.3">
      <c r="B7" s="949" t="s">
        <v>363</v>
      </c>
      <c r="C7" s="949"/>
      <c r="D7" s="949"/>
      <c r="E7" s="949"/>
      <c r="F7" s="949"/>
      <c r="G7" s="949"/>
      <c r="H7" s="949"/>
      <c r="I7" s="949"/>
      <c r="J7" s="949"/>
      <c r="K7" s="949"/>
      <c r="L7" s="949"/>
      <c r="M7" s="949"/>
      <c r="N7" s="949"/>
      <c r="O7" s="949"/>
      <c r="P7" s="139"/>
    </row>
    <row r="8" spans="1:16" x14ac:dyDescent="0.2">
      <c r="B8" s="931" t="s">
        <v>1508</v>
      </c>
      <c r="C8" s="932"/>
      <c r="D8" s="932"/>
      <c r="E8" s="932"/>
      <c r="F8" s="932"/>
      <c r="G8" s="932"/>
      <c r="H8" s="932"/>
      <c r="I8" s="932"/>
      <c r="J8" s="932"/>
      <c r="K8" s="932"/>
      <c r="L8" s="932"/>
      <c r="M8" s="932"/>
      <c r="N8" s="932"/>
      <c r="O8" s="933"/>
      <c r="P8" s="137"/>
    </row>
    <row r="9" spans="1:16" x14ac:dyDescent="0.2">
      <c r="A9" s="121"/>
      <c r="B9" s="934"/>
      <c r="C9" s="935"/>
      <c r="D9" s="935"/>
      <c r="E9" s="935"/>
      <c r="F9" s="935"/>
      <c r="G9" s="935"/>
      <c r="H9" s="935"/>
      <c r="I9" s="935"/>
      <c r="J9" s="935"/>
      <c r="K9" s="935"/>
      <c r="L9" s="935"/>
      <c r="M9" s="935"/>
      <c r="N9" s="935"/>
      <c r="O9" s="936"/>
      <c r="P9" s="137"/>
    </row>
    <row r="10" spans="1:16" ht="16" thickBot="1" x14ac:dyDescent="0.25">
      <c r="B10" s="937"/>
      <c r="C10" s="938"/>
      <c r="D10" s="938"/>
      <c r="E10" s="938"/>
      <c r="F10" s="938"/>
      <c r="G10" s="938"/>
      <c r="H10" s="938"/>
      <c r="I10" s="938"/>
      <c r="J10" s="938"/>
      <c r="K10" s="938"/>
      <c r="L10" s="938"/>
      <c r="M10" s="938"/>
      <c r="N10" s="938"/>
      <c r="O10" s="939"/>
      <c r="P10" s="137"/>
    </row>
    <row r="11" spans="1:16" x14ac:dyDescent="0.2">
      <c r="B11" s="677"/>
      <c r="C11" s="266"/>
      <c r="D11" s="266"/>
      <c r="E11" s="266"/>
      <c r="F11" s="266"/>
      <c r="G11" s="266"/>
      <c r="H11" s="266"/>
      <c r="I11" s="266"/>
      <c r="J11" s="266"/>
      <c r="K11" s="677"/>
      <c r="L11" s="677"/>
      <c r="M11" s="677"/>
      <c r="N11" s="677"/>
      <c r="O11" s="677"/>
      <c r="P11" s="137"/>
    </row>
    <row r="12" spans="1:16" s="120" customFormat="1" ht="42.75" hidden="1" customHeight="1" thickBot="1" x14ac:dyDescent="0.25">
      <c r="E12" s="946" t="s">
        <v>28</v>
      </c>
      <c r="F12" s="946"/>
      <c r="G12" s="946"/>
      <c r="H12" s="946"/>
      <c r="I12" s="947" t="str">
        <f>'Contact Information '!J9</f>
        <v>Please select your answer from the dropdown</v>
      </c>
      <c r="J12" s="947"/>
      <c r="K12" s="947"/>
      <c r="L12" s="947"/>
      <c r="M12" s="947"/>
      <c r="N12" s="947"/>
      <c r="P12" s="143"/>
    </row>
    <row r="13" spans="1:16" s="5" customFormat="1" ht="1.5" customHeight="1" thickBot="1" x14ac:dyDescent="0.25">
      <c r="J13" s="22"/>
      <c r="P13" s="73"/>
    </row>
    <row r="14" spans="1:16" s="120" customFormat="1" ht="31.5" customHeight="1" thickBot="1" x14ac:dyDescent="0.25">
      <c r="B14" s="148">
        <v>1</v>
      </c>
      <c r="C14" s="943" t="s">
        <v>1506</v>
      </c>
      <c r="D14" s="944"/>
      <c r="E14" s="944"/>
      <c r="F14" s="944"/>
      <c r="G14" s="944"/>
      <c r="H14" s="944"/>
      <c r="I14" s="944"/>
      <c r="J14" s="944"/>
      <c r="K14" s="945"/>
      <c r="L14" s="940" t="str">
        <f>IFERROR(VLOOKUP($I$12,Source!$F$3:$G$55,2,FALSE), "Please Select Your Agency/Campus on Contact Tab")</f>
        <v>Please Select Your Agency/Campus on Contact Tab</v>
      </c>
      <c r="M14" s="941"/>
      <c r="N14" s="941"/>
      <c r="O14" s="942"/>
      <c r="P14" s="151"/>
    </row>
    <row r="15" spans="1:16" s="136" customFormat="1" x14ac:dyDescent="0.2">
      <c r="P15" s="73"/>
    </row>
    <row r="16" spans="1:16" s="120" customFormat="1" ht="20" thickBot="1" x14ac:dyDescent="0.25">
      <c r="B16" s="920">
        <v>2</v>
      </c>
      <c r="C16" s="927" t="s">
        <v>1507</v>
      </c>
      <c r="D16" s="928"/>
      <c r="E16" s="928"/>
      <c r="F16" s="928"/>
      <c r="G16" s="928"/>
      <c r="H16" s="928"/>
      <c r="I16" s="928"/>
      <c r="J16" s="928"/>
      <c r="K16" s="928"/>
      <c r="L16" s="923" t="s">
        <v>364</v>
      </c>
      <c r="M16" s="924"/>
      <c r="N16" s="924"/>
      <c r="O16" s="924"/>
      <c r="P16" s="267"/>
    </row>
    <row r="17" spans="1:19" s="268" customFormat="1" ht="16" x14ac:dyDescent="0.2">
      <c r="B17" s="920"/>
      <c r="C17" s="925" t="str">
        <f>IF(L16="no","Please provide updated FY21 square footage here --&gt;","")</f>
        <v/>
      </c>
      <c r="D17" s="926"/>
      <c r="E17" s="926"/>
      <c r="F17" s="926"/>
      <c r="G17" s="926"/>
      <c r="H17" s="926"/>
      <c r="I17" s="926"/>
      <c r="J17" s="926"/>
      <c r="K17" s="926"/>
      <c r="L17" s="929"/>
      <c r="M17" s="929"/>
      <c r="N17" s="929"/>
      <c r="O17" s="929"/>
      <c r="P17" s="132"/>
    </row>
    <row r="18" spans="1:19" s="68" customFormat="1" x14ac:dyDescent="0.2">
      <c r="P18" s="140"/>
    </row>
    <row r="19" spans="1:19" s="68" customFormat="1" ht="16" x14ac:dyDescent="0.2">
      <c r="B19" s="921" t="s">
        <v>1548</v>
      </c>
      <c r="C19" s="922"/>
      <c r="D19" s="922"/>
      <c r="E19" s="922"/>
      <c r="F19" s="922"/>
      <c r="G19" s="922"/>
      <c r="H19" s="922"/>
      <c r="I19" s="922"/>
      <c r="J19" s="922"/>
      <c r="K19" s="922"/>
      <c r="L19" s="922"/>
      <c r="M19" s="922"/>
      <c r="N19" s="922"/>
      <c r="O19" s="922"/>
      <c r="P19" s="140"/>
    </row>
    <row r="20" spans="1:19" s="120" customFormat="1" ht="17.25" customHeight="1" thickBot="1" x14ac:dyDescent="0.25">
      <c r="B20" s="930" t="s">
        <v>365</v>
      </c>
      <c r="C20" s="930"/>
      <c r="D20" s="930"/>
      <c r="E20" s="930"/>
      <c r="F20" s="930" t="s">
        <v>366</v>
      </c>
      <c r="G20" s="930"/>
      <c r="H20" s="930"/>
      <c r="I20" s="930" t="s">
        <v>8</v>
      </c>
      <c r="J20" s="930"/>
      <c r="K20" s="930"/>
      <c r="L20" s="930" t="s">
        <v>367</v>
      </c>
      <c r="M20" s="930"/>
      <c r="N20" s="930"/>
      <c r="O20" s="661" t="s">
        <v>368</v>
      </c>
      <c r="P20" s="141"/>
      <c r="R20" s="960" t="s">
        <v>369</v>
      </c>
      <c r="S20" s="961"/>
    </row>
    <row r="21" spans="1:19" ht="15.75" customHeight="1" thickBot="1" x14ac:dyDescent="0.25">
      <c r="B21" s="918"/>
      <c r="C21" s="918"/>
      <c r="D21" s="918"/>
      <c r="E21" s="919"/>
      <c r="F21" s="957"/>
      <c r="G21" s="958"/>
      <c r="H21" s="958"/>
      <c r="I21" s="957"/>
      <c r="J21" s="958"/>
      <c r="K21" s="959"/>
      <c r="L21" s="957"/>
      <c r="M21" s="958"/>
      <c r="N21" s="959"/>
      <c r="O21" s="664"/>
      <c r="P21" s="144"/>
      <c r="Q21" s="135"/>
      <c r="R21" s="913"/>
      <c r="S21" s="913"/>
    </row>
    <row r="22" spans="1:19" ht="15.75" customHeight="1" thickBot="1" x14ac:dyDescent="0.25">
      <c r="B22" s="912"/>
      <c r="C22" s="912"/>
      <c r="D22" s="912"/>
      <c r="E22" s="917"/>
      <c r="F22" s="294"/>
      <c r="G22" s="295"/>
      <c r="H22" s="295"/>
      <c r="I22" s="914"/>
      <c r="J22" s="915"/>
      <c r="K22" s="916"/>
      <c r="L22" s="914"/>
      <c r="M22" s="915"/>
      <c r="N22" s="916"/>
      <c r="O22" s="664"/>
      <c r="P22" s="145"/>
      <c r="Q22" s="663"/>
      <c r="R22" s="662"/>
      <c r="S22" s="663"/>
    </row>
    <row r="23" spans="1:19" ht="15.75" customHeight="1" thickBot="1" x14ac:dyDescent="0.25">
      <c r="B23" s="912"/>
      <c r="C23" s="912"/>
      <c r="D23" s="912"/>
      <c r="E23" s="917"/>
      <c r="F23" s="294"/>
      <c r="G23" s="295"/>
      <c r="H23" s="295"/>
      <c r="I23" s="914"/>
      <c r="J23" s="915"/>
      <c r="K23" s="916"/>
      <c r="L23" s="914"/>
      <c r="M23" s="915"/>
      <c r="N23" s="916"/>
      <c r="O23" s="664"/>
      <c r="P23" s="144"/>
      <c r="Q23" s="135"/>
      <c r="R23" s="955"/>
      <c r="S23" s="956"/>
    </row>
    <row r="24" spans="1:19" ht="15.75" customHeight="1" thickBot="1" x14ac:dyDescent="0.25">
      <c r="B24" s="912"/>
      <c r="C24" s="912"/>
      <c r="D24" s="912"/>
      <c r="E24" s="917"/>
      <c r="F24" s="914"/>
      <c r="G24" s="915"/>
      <c r="H24" s="915"/>
      <c r="I24" s="914"/>
      <c r="J24" s="915"/>
      <c r="K24" s="916"/>
      <c r="L24" s="914"/>
      <c r="M24" s="915"/>
      <c r="N24" s="916"/>
      <c r="O24" s="660"/>
      <c r="P24" s="144"/>
      <c r="Q24" s="135"/>
      <c r="R24" s="913"/>
      <c r="S24" s="913"/>
    </row>
    <row r="25" spans="1:19" ht="15.75" customHeight="1" x14ac:dyDescent="0.2">
      <c r="A25" s="121"/>
      <c r="B25" s="912"/>
      <c r="C25" s="912"/>
      <c r="D25" s="912"/>
      <c r="E25" s="912"/>
      <c r="F25" s="911"/>
      <c r="G25" s="912"/>
      <c r="H25" s="912"/>
      <c r="I25" s="911"/>
      <c r="J25" s="912"/>
      <c r="K25" s="912"/>
      <c r="L25" s="911"/>
      <c r="M25" s="912"/>
      <c r="N25" s="912"/>
      <c r="O25" s="659"/>
      <c r="P25" s="144"/>
      <c r="Q25" s="135"/>
      <c r="R25" s="913"/>
      <c r="S25" s="913"/>
    </row>
    <row r="26" spans="1:19" s="136" customFormat="1" ht="12" customHeight="1" x14ac:dyDescent="0.2">
      <c r="P26" s="73"/>
    </row>
    <row r="27" spans="1:19" s="38" customFormat="1" x14ac:dyDescent="0.2">
      <c r="B27" s="67"/>
      <c r="C27" s="74"/>
      <c r="D27" s="74"/>
      <c r="E27" s="74"/>
      <c r="F27" s="74"/>
      <c r="G27" s="74"/>
      <c r="H27" s="74"/>
      <c r="I27" s="74"/>
      <c r="J27" s="74"/>
      <c r="K27" s="74"/>
      <c r="L27" s="74"/>
      <c r="M27" s="74"/>
      <c r="N27" s="74"/>
      <c r="O27" s="74"/>
      <c r="P27" s="145"/>
    </row>
    <row r="28" spans="1:19" s="38" customFormat="1" ht="15" customHeight="1" thickBot="1" x14ac:dyDescent="0.25">
      <c r="B28" s="953" t="s">
        <v>370</v>
      </c>
      <c r="C28" s="953"/>
      <c r="D28" s="953"/>
      <c r="E28" s="953"/>
      <c r="F28" s="953"/>
      <c r="G28" s="953"/>
      <c r="H28" s="953"/>
      <c r="I28" s="953"/>
      <c r="J28" s="953"/>
      <c r="K28" s="953"/>
      <c r="L28" s="953"/>
      <c r="M28" s="953"/>
      <c r="N28" s="953"/>
      <c r="O28" s="953"/>
      <c r="P28" s="146"/>
    </row>
    <row r="29" spans="1:19" s="38" customFormat="1" x14ac:dyDescent="0.2">
      <c r="B29" s="954"/>
      <c r="C29" s="954"/>
      <c r="D29" s="954"/>
      <c r="E29" s="954"/>
      <c r="F29" s="954"/>
      <c r="G29" s="954"/>
      <c r="H29" s="954"/>
      <c r="I29" s="954"/>
      <c r="J29" s="954"/>
      <c r="K29" s="954"/>
      <c r="L29" s="954"/>
      <c r="M29" s="954"/>
      <c r="N29" s="954"/>
      <c r="O29" s="954"/>
      <c r="P29" s="147"/>
    </row>
    <row r="30" spans="1:19" x14ac:dyDescent="0.2">
      <c r="B30" s="954"/>
      <c r="C30" s="954"/>
      <c r="D30" s="954"/>
      <c r="E30" s="954"/>
      <c r="F30" s="954"/>
      <c r="G30" s="954"/>
      <c r="H30" s="954"/>
      <c r="I30" s="954"/>
      <c r="J30" s="954"/>
      <c r="K30" s="954"/>
      <c r="L30" s="954"/>
      <c r="M30" s="954"/>
      <c r="N30" s="954"/>
      <c r="O30" s="954"/>
      <c r="P30" s="147"/>
    </row>
    <row r="31" spans="1:19" x14ac:dyDescent="0.2">
      <c r="B31" s="954"/>
      <c r="C31" s="954"/>
      <c r="D31" s="954"/>
      <c r="E31" s="954"/>
      <c r="F31" s="954"/>
      <c r="G31" s="954"/>
      <c r="H31" s="954"/>
      <c r="I31" s="954"/>
      <c r="J31" s="954"/>
      <c r="K31" s="954"/>
      <c r="L31" s="954"/>
      <c r="M31" s="954"/>
      <c r="N31" s="954"/>
      <c r="O31" s="954"/>
      <c r="P31" s="147"/>
    </row>
    <row r="32" spans="1:19" x14ac:dyDescent="0.2">
      <c r="B32" s="954"/>
      <c r="C32" s="954"/>
      <c r="D32" s="954"/>
      <c r="E32" s="954"/>
      <c r="F32" s="954"/>
      <c r="G32" s="954"/>
      <c r="H32" s="954"/>
      <c r="I32" s="954"/>
      <c r="J32" s="954"/>
      <c r="K32" s="954"/>
      <c r="L32" s="954"/>
      <c r="M32" s="954"/>
      <c r="N32" s="954"/>
      <c r="O32" s="954"/>
      <c r="P32" s="147"/>
    </row>
    <row r="33" x14ac:dyDescent="0.2"/>
    <row r="34" x14ac:dyDescent="0.2"/>
    <row r="35" x14ac:dyDescent="0.2"/>
    <row r="36" x14ac:dyDescent="0.2"/>
    <row r="37" x14ac:dyDescent="0.2"/>
    <row r="38" x14ac:dyDescent="0.2"/>
    <row r="39" x14ac:dyDescent="0.2"/>
    <row r="40" x14ac:dyDescent="0.2"/>
    <row r="41" x14ac:dyDescent="0.2"/>
  </sheetData>
  <sheetProtection algorithmName="SHA-512" hashValue="Kh6p7ZKveNxWelCHD2XnxpRHZqDy7M9NwTcw/QN7PTqktT+r2SzYpOXxyKnflWkuqCpPp5KMKcif3/dt+k4AKA==" saltValue="zMh1rirDSJ2tT2PWsvz/9w==" spinCount="100000" sheet="1" selectLockedCells="1"/>
  <mergeCells count="45">
    <mergeCell ref="B28:O28"/>
    <mergeCell ref="B29:O32"/>
    <mergeCell ref="R23:S23"/>
    <mergeCell ref="F20:H20"/>
    <mergeCell ref="F21:H21"/>
    <mergeCell ref="I25:K25"/>
    <mergeCell ref="L20:N20"/>
    <mergeCell ref="L21:N21"/>
    <mergeCell ref="L22:N22"/>
    <mergeCell ref="R20:S20"/>
    <mergeCell ref="R21:S21"/>
    <mergeCell ref="R24:S24"/>
    <mergeCell ref="F24:H24"/>
    <mergeCell ref="I20:K20"/>
    <mergeCell ref="I21:K21"/>
    <mergeCell ref="I22:K22"/>
    <mergeCell ref="B1:O1"/>
    <mergeCell ref="B7:O7"/>
    <mergeCell ref="E2:O4"/>
    <mergeCell ref="E5:O5"/>
    <mergeCell ref="B2:D5"/>
    <mergeCell ref="B8:O10"/>
    <mergeCell ref="L14:O14"/>
    <mergeCell ref="C14:K14"/>
    <mergeCell ref="E12:H12"/>
    <mergeCell ref="I12:N12"/>
    <mergeCell ref="B21:E21"/>
    <mergeCell ref="B22:E22"/>
    <mergeCell ref="B23:E23"/>
    <mergeCell ref="L23:N23"/>
    <mergeCell ref="B16:B17"/>
    <mergeCell ref="B19:O19"/>
    <mergeCell ref="I23:K23"/>
    <mergeCell ref="L16:O16"/>
    <mergeCell ref="C17:K17"/>
    <mergeCell ref="C16:K16"/>
    <mergeCell ref="L17:O17"/>
    <mergeCell ref="B20:E20"/>
    <mergeCell ref="L25:N25"/>
    <mergeCell ref="R25:S25"/>
    <mergeCell ref="B25:E25"/>
    <mergeCell ref="F25:H25"/>
    <mergeCell ref="I24:K24"/>
    <mergeCell ref="B24:E24"/>
    <mergeCell ref="L24:N24"/>
  </mergeCells>
  <conditionalFormatting sqref="B19 L17">
    <cfRule type="expression" dxfId="58" priority="2">
      <formula>$L$16="no"</formula>
    </cfRule>
  </conditionalFormatting>
  <conditionalFormatting sqref="L17">
    <cfRule type="expression" dxfId="57" priority="1">
      <formula>$L$16="no"</formula>
    </cfRule>
  </conditionalFormatting>
  <pageMargins left="0.7" right="0.7" top="0.75" bottom="0.75" header="0.3" footer="0.3"/>
  <pageSetup scale="6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Source!$I$1:$I$3</xm:f>
          </x14:formula1>
          <xm:sqref>L16:P16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I170"/>
  <sheetViews>
    <sheetView showGridLines="0" topLeftCell="A19" zoomScale="90" zoomScaleNormal="90" workbookViewId="0">
      <selection activeCell="C19" sqref="C19"/>
    </sheetView>
  </sheetViews>
  <sheetFormatPr baseColWidth="10" defaultColWidth="0" defaultRowHeight="16" zeroHeight="1" x14ac:dyDescent="0.2"/>
  <cols>
    <col min="1" max="1" width="2.5" style="11" customWidth="1"/>
    <col min="2" max="2" width="29.5" style="11" customWidth="1"/>
    <col min="3" max="3" width="24.33203125" style="11" customWidth="1"/>
    <col min="4" max="4" width="8.1640625" style="11" customWidth="1"/>
    <col min="5" max="6" width="27.5" style="13" customWidth="1"/>
    <col min="7" max="7" width="31" style="13" customWidth="1"/>
    <col min="8" max="8" width="52.33203125" style="11" customWidth="1"/>
    <col min="9" max="9" width="13.6640625" style="483" customWidth="1"/>
    <col min="10" max="16384" width="31" style="296" hidden="1"/>
  </cols>
  <sheetData>
    <row r="1" spans="2:9" ht="17" thickBot="1" x14ac:dyDescent="0.25">
      <c r="B1" s="972" t="s">
        <v>23</v>
      </c>
      <c r="C1" s="972"/>
      <c r="D1" s="972"/>
      <c r="E1" s="972"/>
      <c r="F1" s="972"/>
      <c r="G1" s="972"/>
      <c r="H1" s="972"/>
    </row>
    <row r="2" spans="2:9" ht="15.75" customHeight="1" x14ac:dyDescent="0.2">
      <c r="B2" s="980" t="s">
        <v>371</v>
      </c>
      <c r="C2" s="974" t="s">
        <v>372</v>
      </c>
      <c r="D2" s="975"/>
      <c r="E2" s="975"/>
      <c r="F2" s="975"/>
      <c r="G2" s="975"/>
      <c r="H2" s="975"/>
    </row>
    <row r="3" spans="2:9" x14ac:dyDescent="0.2">
      <c r="B3" s="981"/>
      <c r="C3" s="976"/>
      <c r="D3" s="977"/>
      <c r="E3" s="977"/>
      <c r="F3" s="977"/>
      <c r="G3" s="977"/>
      <c r="H3" s="977"/>
    </row>
    <row r="4" spans="2:9" ht="90" customHeight="1" x14ac:dyDescent="0.2">
      <c r="B4" s="981"/>
      <c r="C4" s="976"/>
      <c r="D4" s="977"/>
      <c r="E4" s="977"/>
      <c r="F4" s="977"/>
      <c r="G4" s="977"/>
      <c r="H4" s="977"/>
    </row>
    <row r="5" spans="2:9" x14ac:dyDescent="0.2">
      <c r="B5" s="981"/>
      <c r="C5" s="978" t="s">
        <v>373</v>
      </c>
      <c r="D5" s="979"/>
      <c r="E5" s="979"/>
      <c r="F5" s="979"/>
      <c r="G5" s="979"/>
      <c r="H5" s="979"/>
      <c r="I5" s="484"/>
    </row>
    <row r="6" spans="2:9" x14ac:dyDescent="0.2">
      <c r="B6" s="691"/>
      <c r="C6" s="691"/>
      <c r="D6" s="691"/>
      <c r="E6" s="692"/>
      <c r="F6" s="692"/>
      <c r="G6" s="692"/>
      <c r="H6" s="691"/>
    </row>
    <row r="7" spans="2:9" ht="22" thickBot="1" x14ac:dyDescent="0.25">
      <c r="B7" s="482" t="s">
        <v>374</v>
      </c>
      <c r="C7" s="482"/>
      <c r="D7" s="482"/>
      <c r="E7" s="482"/>
      <c r="F7" s="482"/>
      <c r="G7" s="482"/>
      <c r="H7" s="482"/>
    </row>
    <row r="8" spans="2:9" ht="16.5" customHeight="1" x14ac:dyDescent="0.2">
      <c r="B8" s="984" t="s">
        <v>375</v>
      </c>
      <c r="C8" s="984"/>
      <c r="D8" s="984"/>
      <c r="E8" s="984"/>
      <c r="F8" s="984"/>
      <c r="G8" s="984"/>
      <c r="H8" s="984"/>
    </row>
    <row r="9" spans="2:9" ht="16.5" customHeight="1" x14ac:dyDescent="0.2">
      <c r="B9" s="985" t="s">
        <v>376</v>
      </c>
      <c r="C9" s="985"/>
      <c r="D9" s="985"/>
      <c r="E9" s="985"/>
      <c r="F9" s="985"/>
      <c r="G9" s="985"/>
      <c r="H9" s="985"/>
    </row>
    <row r="10" spans="2:9" ht="24.75" customHeight="1" x14ac:dyDescent="0.2">
      <c r="B10" s="193" t="s">
        <v>377</v>
      </c>
      <c r="C10" s="193"/>
      <c r="D10" s="193"/>
      <c r="E10" s="193"/>
      <c r="F10" s="193"/>
      <c r="G10" s="193"/>
      <c r="H10" s="193"/>
    </row>
    <row r="11" spans="2:9" ht="24.75" customHeight="1" x14ac:dyDescent="0.2">
      <c r="B11" s="194" t="s">
        <v>378</v>
      </c>
      <c r="C11" s="194"/>
      <c r="D11" s="194"/>
      <c r="E11" s="194"/>
      <c r="F11" s="194"/>
      <c r="G11" s="194"/>
      <c r="H11" s="194"/>
    </row>
    <row r="12" spans="2:9" ht="24.75" customHeight="1" x14ac:dyDescent="0.2">
      <c r="B12" s="193" t="s">
        <v>379</v>
      </c>
      <c r="C12" s="193"/>
      <c r="D12" s="193"/>
      <c r="E12" s="193"/>
      <c r="F12" s="193"/>
      <c r="G12" s="193"/>
      <c r="H12" s="193"/>
    </row>
    <row r="13" spans="2:9" ht="24.75" customHeight="1" x14ac:dyDescent="0.2">
      <c r="B13" s="194" t="s">
        <v>380</v>
      </c>
      <c r="C13" s="194"/>
      <c r="D13" s="194"/>
      <c r="E13" s="194"/>
      <c r="F13" s="194"/>
      <c r="G13" s="194"/>
      <c r="H13" s="194"/>
    </row>
    <row r="14" spans="2:9" x14ac:dyDescent="0.2">
      <c r="B14" s="691"/>
      <c r="C14" s="691"/>
      <c r="D14" s="691"/>
      <c r="E14" s="692"/>
      <c r="F14" s="692"/>
      <c r="G14" s="692"/>
      <c r="H14" s="691"/>
    </row>
    <row r="15" spans="2:9" ht="21" hidden="1" x14ac:dyDescent="0.2">
      <c r="B15" s="973" t="s">
        <v>381</v>
      </c>
      <c r="C15" s="973"/>
      <c r="D15" s="973"/>
      <c r="E15" s="973"/>
      <c r="F15" s="973"/>
      <c r="G15" s="973"/>
      <c r="H15" s="973"/>
    </row>
    <row r="16" spans="2:9" ht="21" hidden="1" x14ac:dyDescent="0.2">
      <c r="B16" s="973" t="s">
        <v>382</v>
      </c>
      <c r="C16" s="973"/>
      <c r="D16" s="973"/>
      <c r="E16" s="973"/>
      <c r="F16" s="973"/>
      <c r="G16" s="973"/>
      <c r="H16" s="973"/>
    </row>
    <row r="17" spans="2:9" ht="27.75" customHeight="1" x14ac:dyDescent="0.2">
      <c r="B17" s="966" t="s">
        <v>383</v>
      </c>
      <c r="C17" s="966" t="s">
        <v>1509</v>
      </c>
      <c r="D17" s="966" t="s">
        <v>384</v>
      </c>
      <c r="E17" s="964" t="s">
        <v>385</v>
      </c>
      <c r="F17" s="964" t="s">
        <v>386</v>
      </c>
      <c r="G17" s="966" t="s">
        <v>387</v>
      </c>
      <c r="H17" s="966"/>
    </row>
    <row r="18" spans="2:9" ht="27.75" customHeight="1" thickBot="1" x14ac:dyDescent="0.25">
      <c r="B18" s="966"/>
      <c r="C18" s="966"/>
      <c r="D18" s="966"/>
      <c r="E18" s="965"/>
      <c r="F18" s="964"/>
      <c r="G18" s="966"/>
      <c r="H18" s="966"/>
    </row>
    <row r="19" spans="2:9" ht="25.5" customHeight="1" x14ac:dyDescent="0.2">
      <c r="B19" s="195" t="s">
        <v>388</v>
      </c>
      <c r="C19" s="196"/>
      <c r="D19" s="197" t="s">
        <v>389</v>
      </c>
      <c r="E19" s="198"/>
      <c r="F19" s="199">
        <f>IFERROR(E19/C19,0)</f>
        <v>0</v>
      </c>
      <c r="G19" s="982"/>
      <c r="H19" s="982"/>
      <c r="I19" s="483">
        <v>1</v>
      </c>
    </row>
    <row r="20" spans="2:9" x14ac:dyDescent="0.2">
      <c r="B20" s="691"/>
      <c r="C20" s="691"/>
      <c r="D20" s="691"/>
      <c r="E20" s="692"/>
      <c r="F20" s="692"/>
      <c r="G20" s="692"/>
      <c r="H20" s="691"/>
      <c r="I20" s="483">
        <v>2</v>
      </c>
    </row>
    <row r="21" spans="2:9" ht="21" x14ac:dyDescent="0.2">
      <c r="B21" s="973" t="s">
        <v>390</v>
      </c>
      <c r="C21" s="973"/>
      <c r="D21" s="973"/>
      <c r="E21" s="973"/>
      <c r="F21" s="973"/>
      <c r="G21" s="973"/>
      <c r="H21" s="973"/>
      <c r="I21" s="483">
        <v>3</v>
      </c>
    </row>
    <row r="22" spans="2:9" ht="21" x14ac:dyDescent="0.2">
      <c r="B22" s="973" t="s">
        <v>391</v>
      </c>
      <c r="C22" s="973"/>
      <c r="D22" s="973"/>
      <c r="E22" s="973"/>
      <c r="F22" s="973"/>
      <c r="G22" s="973"/>
      <c r="H22" s="973"/>
      <c r="I22" s="483">
        <v>4</v>
      </c>
    </row>
    <row r="23" spans="2:9" x14ac:dyDescent="0.2">
      <c r="B23" s="986" t="s">
        <v>392</v>
      </c>
      <c r="C23" s="986"/>
      <c r="D23" s="986"/>
      <c r="E23" s="986"/>
      <c r="F23" s="986"/>
      <c r="G23" s="986"/>
      <c r="H23" s="986"/>
      <c r="I23" s="483">
        <v>5</v>
      </c>
    </row>
    <row r="24" spans="2:9" ht="18.75" customHeight="1" x14ac:dyDescent="0.2">
      <c r="B24" s="966" t="s">
        <v>383</v>
      </c>
      <c r="C24" s="964" t="s">
        <v>1510</v>
      </c>
      <c r="D24" s="966" t="s">
        <v>384</v>
      </c>
      <c r="E24" s="964" t="s">
        <v>393</v>
      </c>
      <c r="F24" s="964"/>
      <c r="G24" s="964" t="s">
        <v>387</v>
      </c>
      <c r="H24" s="964"/>
      <c r="I24" s="483">
        <v>6</v>
      </c>
    </row>
    <row r="25" spans="2:9" ht="18.75" customHeight="1" x14ac:dyDescent="0.2">
      <c r="B25" s="966"/>
      <c r="C25" s="964"/>
      <c r="D25" s="966"/>
      <c r="E25" s="964"/>
      <c r="F25" s="964"/>
      <c r="G25" s="964"/>
      <c r="H25" s="964"/>
      <c r="I25" s="483">
        <v>7</v>
      </c>
    </row>
    <row r="26" spans="2:9" ht="18.75" customHeight="1" thickBot="1" x14ac:dyDescent="0.25">
      <c r="B26" s="983"/>
      <c r="C26" s="965"/>
      <c r="D26" s="983"/>
      <c r="E26" s="965"/>
      <c r="F26" s="965"/>
      <c r="G26" s="965"/>
      <c r="H26" s="965"/>
      <c r="I26" s="483">
        <v>8</v>
      </c>
    </row>
    <row r="27" spans="2:9" ht="24" customHeight="1" x14ac:dyDescent="0.2">
      <c r="B27" s="962" t="s">
        <v>394</v>
      </c>
      <c r="C27" s="962"/>
      <c r="D27" s="962"/>
      <c r="E27" s="962"/>
      <c r="F27" s="962"/>
      <c r="G27" s="962"/>
      <c r="H27" s="962"/>
      <c r="I27" s="483">
        <v>9</v>
      </c>
    </row>
    <row r="28" spans="2:9" ht="17" thickBot="1" x14ac:dyDescent="0.25">
      <c r="B28" s="212" t="s">
        <v>395</v>
      </c>
      <c r="C28" s="213">
        <v>0</v>
      </c>
      <c r="D28" s="214" t="s">
        <v>389</v>
      </c>
      <c r="E28" s="971" t="s">
        <v>396</v>
      </c>
      <c r="F28" s="971"/>
      <c r="G28" s="968"/>
      <c r="H28" s="968"/>
      <c r="I28" s="483">
        <v>10</v>
      </c>
    </row>
    <row r="29" spans="2:9" x14ac:dyDescent="0.2">
      <c r="B29" s="215" t="s">
        <v>397</v>
      </c>
      <c r="C29" s="216">
        <v>0</v>
      </c>
      <c r="D29" s="217" t="s">
        <v>398</v>
      </c>
      <c r="E29" s="963"/>
      <c r="F29" s="963"/>
      <c r="G29" s="967"/>
      <c r="H29" s="967"/>
      <c r="I29" s="483">
        <v>11</v>
      </c>
    </row>
    <row r="30" spans="2:9" ht="24" customHeight="1" x14ac:dyDescent="0.2">
      <c r="B30" s="962" t="s">
        <v>399</v>
      </c>
      <c r="C30" s="962"/>
      <c r="D30" s="962"/>
      <c r="E30" s="962"/>
      <c r="F30" s="962"/>
      <c r="G30" s="962"/>
      <c r="H30" s="962"/>
      <c r="I30" s="483">
        <v>12</v>
      </c>
    </row>
    <row r="31" spans="2:9" ht="17" thickBot="1" x14ac:dyDescent="0.25">
      <c r="B31" s="212" t="s">
        <v>400</v>
      </c>
      <c r="C31" s="216">
        <v>0</v>
      </c>
      <c r="D31" s="214" t="s">
        <v>389</v>
      </c>
      <c r="E31" s="969"/>
      <c r="F31" s="969"/>
      <c r="G31" s="968"/>
      <c r="H31" s="968"/>
      <c r="I31" s="483">
        <v>13</v>
      </c>
    </row>
    <row r="32" spans="2:9" x14ac:dyDescent="0.2">
      <c r="B32" s="215" t="s">
        <v>401</v>
      </c>
      <c r="C32" s="216">
        <v>0</v>
      </c>
      <c r="D32" s="217" t="s">
        <v>389</v>
      </c>
      <c r="E32" s="963"/>
      <c r="F32" s="963"/>
      <c r="G32" s="967"/>
      <c r="H32" s="967"/>
      <c r="I32" s="483">
        <v>14</v>
      </c>
    </row>
    <row r="33" spans="2:9" ht="24" customHeight="1" x14ac:dyDescent="0.2">
      <c r="B33" s="962" t="s">
        <v>402</v>
      </c>
      <c r="C33" s="962"/>
      <c r="D33" s="962"/>
      <c r="E33" s="962"/>
      <c r="F33" s="962"/>
      <c r="G33" s="962"/>
      <c r="H33" s="962"/>
      <c r="I33" s="483">
        <v>15</v>
      </c>
    </row>
    <row r="34" spans="2:9" ht="17" thickBot="1" x14ac:dyDescent="0.25">
      <c r="B34" s="212" t="s">
        <v>400</v>
      </c>
      <c r="C34" s="216">
        <v>0</v>
      </c>
      <c r="D34" s="214" t="s">
        <v>389</v>
      </c>
      <c r="E34" s="969"/>
      <c r="F34" s="969"/>
      <c r="G34" s="968"/>
      <c r="H34" s="968"/>
      <c r="I34" s="483">
        <v>16</v>
      </c>
    </row>
    <row r="35" spans="2:9" x14ac:dyDescent="0.2">
      <c r="B35" s="215" t="s">
        <v>401</v>
      </c>
      <c r="C35" s="216">
        <v>0</v>
      </c>
      <c r="D35" s="217" t="s">
        <v>389</v>
      </c>
      <c r="E35" s="963"/>
      <c r="F35" s="963"/>
      <c r="G35" s="967"/>
      <c r="H35" s="967"/>
      <c r="I35" s="483">
        <v>17</v>
      </c>
    </row>
    <row r="36" spans="2:9" ht="24" customHeight="1" x14ac:dyDescent="0.2">
      <c r="B36" s="962" t="s">
        <v>403</v>
      </c>
      <c r="C36" s="962"/>
      <c r="D36" s="962"/>
      <c r="E36" s="962"/>
      <c r="F36" s="962"/>
      <c r="G36" s="962"/>
      <c r="H36" s="962"/>
      <c r="I36" s="483">
        <v>18</v>
      </c>
    </row>
    <row r="37" spans="2:9" ht="17" thickBot="1" x14ac:dyDescent="0.25">
      <c r="B37" s="212" t="s">
        <v>400</v>
      </c>
      <c r="C37" s="216">
        <v>0</v>
      </c>
      <c r="D37" s="214" t="s">
        <v>389</v>
      </c>
      <c r="E37" s="969"/>
      <c r="F37" s="969"/>
      <c r="G37" s="968"/>
      <c r="H37" s="968"/>
      <c r="I37" s="483">
        <v>19</v>
      </c>
    </row>
    <row r="38" spans="2:9" x14ac:dyDescent="0.2">
      <c r="B38" s="215" t="s">
        <v>401</v>
      </c>
      <c r="C38" s="216">
        <v>0</v>
      </c>
      <c r="D38" s="217" t="s">
        <v>389</v>
      </c>
      <c r="E38" s="963"/>
      <c r="F38" s="963"/>
      <c r="G38" s="967"/>
      <c r="H38" s="967"/>
      <c r="I38" s="483">
        <v>20</v>
      </c>
    </row>
    <row r="39" spans="2:9" ht="24" customHeight="1" x14ac:dyDescent="0.2">
      <c r="B39" s="962" t="s">
        <v>404</v>
      </c>
      <c r="C39" s="962"/>
      <c r="D39" s="962"/>
      <c r="E39" s="962"/>
      <c r="F39" s="962"/>
      <c r="G39" s="962"/>
      <c r="H39" s="962"/>
      <c r="I39" s="483">
        <v>21</v>
      </c>
    </row>
    <row r="40" spans="2:9" ht="17" thickBot="1" x14ac:dyDescent="0.25">
      <c r="B40" s="212" t="s">
        <v>400</v>
      </c>
      <c r="C40" s="216">
        <v>0</v>
      </c>
      <c r="D40" s="214" t="s">
        <v>389</v>
      </c>
      <c r="E40" s="969"/>
      <c r="F40" s="969"/>
      <c r="G40" s="968"/>
      <c r="H40" s="968"/>
      <c r="I40" s="483">
        <v>22</v>
      </c>
    </row>
    <row r="41" spans="2:9" x14ac:dyDescent="0.2">
      <c r="B41" s="215" t="s">
        <v>401</v>
      </c>
      <c r="C41" s="216">
        <v>0</v>
      </c>
      <c r="D41" s="217" t="s">
        <v>389</v>
      </c>
      <c r="E41" s="963"/>
      <c r="F41" s="963"/>
      <c r="G41" s="967"/>
      <c r="H41" s="967"/>
      <c r="I41" s="483">
        <v>23</v>
      </c>
    </row>
    <row r="42" spans="2:9" ht="24" customHeight="1" x14ac:dyDescent="0.2">
      <c r="B42" s="962" t="s">
        <v>405</v>
      </c>
      <c r="C42" s="962"/>
      <c r="D42" s="962"/>
      <c r="E42" s="962"/>
      <c r="F42" s="962"/>
      <c r="G42" s="962"/>
      <c r="H42" s="962"/>
      <c r="I42" s="483">
        <v>24</v>
      </c>
    </row>
    <row r="43" spans="2:9" ht="17" thickBot="1" x14ac:dyDescent="0.25">
      <c r="B43" s="212" t="s">
        <v>400</v>
      </c>
      <c r="C43" s="213">
        <v>0</v>
      </c>
      <c r="D43" s="214" t="s">
        <v>389</v>
      </c>
      <c r="E43" s="971" t="s">
        <v>406</v>
      </c>
      <c r="F43" s="971"/>
      <c r="G43" s="968"/>
      <c r="H43" s="968"/>
      <c r="I43" s="483">
        <v>25</v>
      </c>
    </row>
    <row r="44" spans="2:9" x14ac:dyDescent="0.2">
      <c r="B44" s="215" t="s">
        <v>401</v>
      </c>
      <c r="C44" s="216">
        <v>0</v>
      </c>
      <c r="D44" s="217" t="s">
        <v>389</v>
      </c>
      <c r="E44" s="963"/>
      <c r="F44" s="963"/>
      <c r="G44" s="967"/>
      <c r="H44" s="967"/>
      <c r="I44" s="483">
        <v>26</v>
      </c>
    </row>
    <row r="45" spans="2:9" x14ac:dyDescent="0.2">
      <c r="B45" s="12"/>
      <c r="C45" s="12"/>
      <c r="D45" s="12"/>
      <c r="E45" s="12"/>
      <c r="F45" s="12"/>
      <c r="G45" s="12"/>
      <c r="H45" s="12"/>
      <c r="I45" s="483">
        <v>27</v>
      </c>
    </row>
    <row r="46" spans="2:9" ht="21" x14ac:dyDescent="0.2">
      <c r="B46" s="973" t="s">
        <v>407</v>
      </c>
      <c r="C46" s="973"/>
      <c r="D46" s="973"/>
      <c r="E46" s="973"/>
      <c r="F46" s="973"/>
      <c r="G46" s="973"/>
      <c r="H46" s="973"/>
      <c r="I46" s="483">
        <v>28</v>
      </c>
    </row>
    <row r="47" spans="2:9" ht="21" x14ac:dyDescent="0.2">
      <c r="B47" s="973" t="s">
        <v>408</v>
      </c>
      <c r="C47" s="973"/>
      <c r="D47" s="973"/>
      <c r="E47" s="973"/>
      <c r="F47" s="973"/>
      <c r="G47" s="973"/>
      <c r="H47" s="973"/>
      <c r="I47" s="483">
        <v>29</v>
      </c>
    </row>
    <row r="48" spans="2:9" x14ac:dyDescent="0.2">
      <c r="B48" s="986" t="s">
        <v>409</v>
      </c>
      <c r="C48" s="986"/>
      <c r="D48" s="986" t="s">
        <v>389</v>
      </c>
      <c r="E48" s="986">
        <v>0</v>
      </c>
      <c r="F48" s="986"/>
      <c r="G48" s="986"/>
      <c r="H48" s="986"/>
      <c r="I48" s="483">
        <v>30</v>
      </c>
    </row>
    <row r="49" spans="2:9" ht="15.75" customHeight="1" x14ac:dyDescent="0.2">
      <c r="B49" s="966" t="s">
        <v>383</v>
      </c>
      <c r="C49" s="964" t="s">
        <v>1510</v>
      </c>
      <c r="D49" s="966" t="s">
        <v>384</v>
      </c>
      <c r="E49" s="990" t="s">
        <v>410</v>
      </c>
      <c r="F49" s="964" t="s">
        <v>411</v>
      </c>
      <c r="G49" s="964" t="s">
        <v>393</v>
      </c>
      <c r="H49" s="966" t="s">
        <v>387</v>
      </c>
      <c r="I49" s="483">
        <v>31</v>
      </c>
    </row>
    <row r="50" spans="2:9" x14ac:dyDescent="0.2">
      <c r="B50" s="966"/>
      <c r="C50" s="966"/>
      <c r="D50" s="966"/>
      <c r="E50" s="990"/>
      <c r="F50" s="964"/>
      <c r="G50" s="964"/>
      <c r="H50" s="966"/>
      <c r="I50" s="483">
        <v>32</v>
      </c>
    </row>
    <row r="51" spans="2:9" ht="17" thickBot="1" x14ac:dyDescent="0.25">
      <c r="B51" s="966"/>
      <c r="C51" s="966"/>
      <c r="D51" s="966"/>
      <c r="E51" s="990"/>
      <c r="F51" s="964"/>
      <c r="G51" s="964"/>
      <c r="H51" s="966"/>
      <c r="I51" s="483">
        <v>33</v>
      </c>
    </row>
    <row r="52" spans="2:9" ht="24" customHeight="1" x14ac:dyDescent="0.2">
      <c r="B52" s="970" t="s">
        <v>394</v>
      </c>
      <c r="C52" s="970"/>
      <c r="D52" s="970"/>
      <c r="E52" s="970"/>
      <c r="F52" s="970"/>
      <c r="G52" s="970"/>
      <c r="H52" s="970"/>
      <c r="I52" s="483">
        <v>34</v>
      </c>
    </row>
    <row r="53" spans="2:9" ht="17" thickBot="1" x14ac:dyDescent="0.25">
      <c r="B53" s="209" t="s">
        <v>395</v>
      </c>
      <c r="C53" s="210">
        <v>0</v>
      </c>
      <c r="D53" s="211" t="s">
        <v>389</v>
      </c>
      <c r="E53" s="603">
        <f>IFERROR(F53/C53,)</f>
        <v>0</v>
      </c>
      <c r="F53" s="223">
        <v>0</v>
      </c>
      <c r="G53" s="224" t="s">
        <v>396</v>
      </c>
      <c r="H53" s="225"/>
      <c r="I53" s="483">
        <v>35</v>
      </c>
    </row>
    <row r="54" spans="2:9" x14ac:dyDescent="0.2">
      <c r="B54" s="207" t="s">
        <v>397</v>
      </c>
      <c r="C54" s="206">
        <v>0</v>
      </c>
      <c r="D54" s="208" t="s">
        <v>398</v>
      </c>
      <c r="E54" s="603">
        <f>IFERROR(F54/C54,)</f>
        <v>0</v>
      </c>
      <c r="F54" s="218">
        <v>0</v>
      </c>
      <c r="G54" s="220"/>
      <c r="H54" s="220"/>
      <c r="I54" s="483">
        <v>36</v>
      </c>
    </row>
    <row r="55" spans="2:9" ht="24" customHeight="1" x14ac:dyDescent="0.2">
      <c r="B55" s="962" t="s">
        <v>399</v>
      </c>
      <c r="C55" s="962"/>
      <c r="D55" s="962"/>
      <c r="E55" s="962"/>
      <c r="F55" s="962"/>
      <c r="G55" s="962"/>
      <c r="H55" s="962"/>
      <c r="I55" s="483">
        <v>37</v>
      </c>
    </row>
    <row r="56" spans="2:9" ht="17" thickBot="1" x14ac:dyDescent="0.25">
      <c r="B56" s="209" t="s">
        <v>400</v>
      </c>
      <c r="C56" s="210">
        <v>0</v>
      </c>
      <c r="D56" s="211" t="s">
        <v>389</v>
      </c>
      <c r="E56" s="603">
        <f>IFERROR(F56/C56,)</f>
        <v>0</v>
      </c>
      <c r="F56" s="218">
        <v>0</v>
      </c>
      <c r="G56" s="225"/>
      <c r="H56" s="225"/>
      <c r="I56" s="483">
        <v>38</v>
      </c>
    </row>
    <row r="57" spans="2:9" x14ac:dyDescent="0.2">
      <c r="B57" s="207" t="s">
        <v>401</v>
      </c>
      <c r="C57" s="206">
        <v>0</v>
      </c>
      <c r="D57" s="208" t="s">
        <v>389</v>
      </c>
      <c r="E57" s="603">
        <f>IFERROR(F57/C57,)</f>
        <v>0</v>
      </c>
      <c r="F57" s="218">
        <v>0</v>
      </c>
      <c r="G57" s="221"/>
      <c r="H57" s="222"/>
      <c r="I57" s="483">
        <v>39</v>
      </c>
    </row>
    <row r="58" spans="2:9" ht="24" customHeight="1" x14ac:dyDescent="0.2">
      <c r="B58" s="962" t="s">
        <v>402</v>
      </c>
      <c r="C58" s="962"/>
      <c r="D58" s="962"/>
      <c r="E58" s="962"/>
      <c r="F58" s="962"/>
      <c r="G58" s="962"/>
      <c r="H58" s="962"/>
      <c r="I58" s="483">
        <v>40</v>
      </c>
    </row>
    <row r="59" spans="2:9" ht="17" thickBot="1" x14ac:dyDescent="0.25">
      <c r="B59" s="209" t="s">
        <v>400</v>
      </c>
      <c r="C59" s="210">
        <v>0</v>
      </c>
      <c r="D59" s="211" t="s">
        <v>389</v>
      </c>
      <c r="E59" s="603">
        <f>IFERROR(F59/C59,)</f>
        <v>0</v>
      </c>
      <c r="F59" s="223">
        <v>0</v>
      </c>
      <c r="G59" s="226"/>
      <c r="H59" s="227"/>
      <c r="I59" s="483">
        <v>41</v>
      </c>
    </row>
    <row r="60" spans="2:9" x14ac:dyDescent="0.2">
      <c r="B60" s="207" t="s">
        <v>401</v>
      </c>
      <c r="C60" s="206">
        <v>0</v>
      </c>
      <c r="D60" s="208" t="s">
        <v>389</v>
      </c>
      <c r="E60" s="603">
        <f>IFERROR(F60/C60,)</f>
        <v>0</v>
      </c>
      <c r="F60" s="218">
        <v>0</v>
      </c>
      <c r="G60" s="221"/>
      <c r="H60" s="220"/>
      <c r="I60" s="483">
        <v>42</v>
      </c>
    </row>
    <row r="61" spans="2:9" ht="24" customHeight="1" x14ac:dyDescent="0.2">
      <c r="B61" s="962" t="s">
        <v>403</v>
      </c>
      <c r="C61" s="962"/>
      <c r="D61" s="962"/>
      <c r="E61" s="962"/>
      <c r="F61" s="962"/>
      <c r="G61" s="962"/>
      <c r="H61" s="962"/>
      <c r="I61" s="483">
        <v>43</v>
      </c>
    </row>
    <row r="62" spans="2:9" ht="17" thickBot="1" x14ac:dyDescent="0.25">
      <c r="B62" s="209" t="s">
        <v>400</v>
      </c>
      <c r="C62" s="210">
        <v>0</v>
      </c>
      <c r="D62" s="211" t="s">
        <v>389</v>
      </c>
      <c r="E62" s="603">
        <f>IFERROR(F62/C62,)</f>
        <v>0</v>
      </c>
      <c r="F62" s="223">
        <v>0</v>
      </c>
      <c r="G62" s="226"/>
      <c r="H62" s="225"/>
      <c r="I62" s="483">
        <v>44</v>
      </c>
    </row>
    <row r="63" spans="2:9" x14ac:dyDescent="0.2">
      <c r="B63" s="207" t="s">
        <v>401</v>
      </c>
      <c r="C63" s="206">
        <v>0</v>
      </c>
      <c r="D63" s="208" t="s">
        <v>389</v>
      </c>
      <c r="E63" s="603">
        <f>IFERROR(F63/C63,)</f>
        <v>0</v>
      </c>
      <c r="F63" s="218">
        <v>0</v>
      </c>
      <c r="G63" s="221"/>
      <c r="H63" s="220"/>
      <c r="I63" s="483">
        <v>45</v>
      </c>
    </row>
    <row r="64" spans="2:9" ht="24" customHeight="1" x14ac:dyDescent="0.2">
      <c r="B64" s="962" t="s">
        <v>404</v>
      </c>
      <c r="C64" s="962"/>
      <c r="D64" s="962"/>
      <c r="E64" s="962"/>
      <c r="F64" s="962"/>
      <c r="G64" s="962"/>
      <c r="H64" s="962"/>
      <c r="I64" s="483">
        <v>46</v>
      </c>
    </row>
    <row r="65" spans="2:9" ht="17" thickBot="1" x14ac:dyDescent="0.25">
      <c r="B65" s="209" t="s">
        <v>400</v>
      </c>
      <c r="C65" s="206">
        <v>0</v>
      </c>
      <c r="D65" s="211" t="s">
        <v>389</v>
      </c>
      <c r="E65" s="603">
        <f>IFERROR(F65/C65,)</f>
        <v>0</v>
      </c>
      <c r="F65" s="223">
        <v>0</v>
      </c>
      <c r="G65" s="226"/>
      <c r="H65" s="225"/>
      <c r="I65" s="483">
        <v>47</v>
      </c>
    </row>
    <row r="66" spans="2:9" x14ac:dyDescent="0.2">
      <c r="B66" s="207" t="s">
        <v>401</v>
      </c>
      <c r="C66" s="206">
        <v>0</v>
      </c>
      <c r="D66" s="208" t="s">
        <v>389</v>
      </c>
      <c r="E66" s="603">
        <f>IFERROR(F66/C66,)</f>
        <v>0</v>
      </c>
      <c r="F66" s="218">
        <v>0</v>
      </c>
      <c r="G66" s="221"/>
      <c r="H66" s="220"/>
      <c r="I66" s="483">
        <v>48</v>
      </c>
    </row>
    <row r="67" spans="2:9" ht="24" customHeight="1" x14ac:dyDescent="0.2">
      <c r="B67" s="962" t="s">
        <v>405</v>
      </c>
      <c r="C67" s="962"/>
      <c r="D67" s="962"/>
      <c r="E67" s="962"/>
      <c r="F67" s="962"/>
      <c r="G67" s="962"/>
      <c r="H67" s="962"/>
      <c r="I67" s="483">
        <v>49</v>
      </c>
    </row>
    <row r="68" spans="2:9" ht="17" thickBot="1" x14ac:dyDescent="0.25">
      <c r="B68" s="209" t="s">
        <v>400</v>
      </c>
      <c r="C68" s="210">
        <v>0</v>
      </c>
      <c r="D68" s="211" t="s">
        <v>389</v>
      </c>
      <c r="E68" s="603">
        <f>IFERROR(F68/C68,)</f>
        <v>0</v>
      </c>
      <c r="F68" s="223">
        <v>0</v>
      </c>
      <c r="G68" s="224" t="s">
        <v>406</v>
      </c>
      <c r="H68" s="225"/>
      <c r="I68" s="483">
        <v>50</v>
      </c>
    </row>
    <row r="69" spans="2:9" x14ac:dyDescent="0.2">
      <c r="B69" s="207" t="s">
        <v>401</v>
      </c>
      <c r="C69" s="206">
        <v>0</v>
      </c>
      <c r="D69" s="208" t="s">
        <v>389</v>
      </c>
      <c r="E69" s="603">
        <f>IFERROR(F69/C69,)</f>
        <v>0</v>
      </c>
      <c r="F69" s="218">
        <v>0</v>
      </c>
      <c r="G69" s="219" t="s">
        <v>406</v>
      </c>
      <c r="H69" s="220"/>
      <c r="I69" s="483">
        <v>51</v>
      </c>
    </row>
    <row r="70" spans="2:9" x14ac:dyDescent="0.2">
      <c r="B70" s="691"/>
      <c r="C70" s="691"/>
      <c r="D70" s="691"/>
      <c r="E70" s="692"/>
      <c r="F70" s="692"/>
      <c r="G70" s="692"/>
      <c r="H70" s="691"/>
      <c r="I70" s="483">
        <v>52</v>
      </c>
    </row>
    <row r="71" spans="2:9" ht="18.75" customHeight="1" x14ac:dyDescent="0.2">
      <c r="B71" s="973" t="s">
        <v>412</v>
      </c>
      <c r="C71" s="973"/>
      <c r="D71" s="973"/>
      <c r="E71" s="973"/>
      <c r="F71" s="973"/>
      <c r="G71" s="973"/>
      <c r="H71" s="973"/>
      <c r="I71" s="483">
        <v>53</v>
      </c>
    </row>
    <row r="72" spans="2:9" ht="21" x14ac:dyDescent="0.2">
      <c r="B72" s="973" t="s">
        <v>413</v>
      </c>
      <c r="C72" s="973"/>
      <c r="D72" s="973" t="s">
        <v>389</v>
      </c>
      <c r="E72" s="973">
        <v>0</v>
      </c>
      <c r="F72" s="973"/>
      <c r="G72" s="973"/>
      <c r="H72" s="973"/>
      <c r="I72" s="483">
        <v>54</v>
      </c>
    </row>
    <row r="73" spans="2:9" x14ac:dyDescent="0.2">
      <c r="B73" s="964" t="s">
        <v>414</v>
      </c>
      <c r="C73" s="964" t="s">
        <v>415</v>
      </c>
      <c r="D73" s="964"/>
      <c r="E73" s="964" t="s">
        <v>416</v>
      </c>
      <c r="F73" s="964" t="s">
        <v>417</v>
      </c>
      <c r="G73" s="964" t="s">
        <v>418</v>
      </c>
      <c r="H73" s="964" t="s">
        <v>419</v>
      </c>
      <c r="I73" s="483">
        <v>55</v>
      </c>
    </row>
    <row r="74" spans="2:9" ht="15.75" customHeight="1" thickBot="1" x14ac:dyDescent="0.25">
      <c r="B74" s="965"/>
      <c r="C74" s="965"/>
      <c r="D74" s="965"/>
      <c r="E74" s="965"/>
      <c r="F74" s="965"/>
      <c r="G74" s="965"/>
      <c r="H74" s="965"/>
      <c r="I74" s="483">
        <v>56</v>
      </c>
    </row>
    <row r="75" spans="2:9" ht="20.25" customHeight="1" thickBot="1" x14ac:dyDescent="0.25">
      <c r="B75" s="584"/>
      <c r="C75" s="991">
        <v>0</v>
      </c>
      <c r="D75" s="992"/>
      <c r="E75" s="499">
        <v>0</v>
      </c>
      <c r="F75" s="583">
        <f>IFERROR(E75/C75,0)</f>
        <v>0</v>
      </c>
      <c r="G75" s="492" t="s">
        <v>420</v>
      </c>
      <c r="H75" s="490"/>
      <c r="I75" s="483">
        <v>57</v>
      </c>
    </row>
    <row r="76" spans="2:9" ht="0.75" customHeight="1" thickBot="1" x14ac:dyDescent="0.25">
      <c r="B76" s="987" t="str">
        <f>IF(G75="other","Please provide 'Other' technology details here","")</f>
        <v/>
      </c>
      <c r="C76" s="987"/>
      <c r="D76" s="987"/>
      <c r="E76" s="987"/>
      <c r="F76" s="987"/>
      <c r="G76" s="987"/>
      <c r="H76" s="987"/>
      <c r="I76" s="483">
        <v>59</v>
      </c>
    </row>
    <row r="77" spans="2:9" ht="20.25" customHeight="1" thickBot="1" x14ac:dyDescent="0.25">
      <c r="B77" s="585"/>
      <c r="C77" s="993">
        <v>0</v>
      </c>
      <c r="D77" s="994"/>
      <c r="E77" s="500">
        <v>0</v>
      </c>
      <c r="F77" s="583">
        <f>IFERROR(E77/C77,0)</f>
        <v>0</v>
      </c>
      <c r="G77" s="491" t="s">
        <v>420</v>
      </c>
      <c r="H77" s="496"/>
      <c r="I77" s="483">
        <v>61</v>
      </c>
    </row>
    <row r="78" spans="2:9" ht="0.75" customHeight="1" thickBot="1" x14ac:dyDescent="0.25">
      <c r="B78" s="987" t="str">
        <f>IF(G77="other","Please provide 'Other' technology details here","")</f>
        <v/>
      </c>
      <c r="C78" s="987"/>
      <c r="D78" s="987"/>
      <c r="E78" s="987"/>
      <c r="F78" s="987"/>
      <c r="G78" s="987"/>
      <c r="H78" s="987"/>
      <c r="I78" s="483">
        <v>63</v>
      </c>
    </row>
    <row r="79" spans="2:9" ht="20.25" customHeight="1" thickBot="1" x14ac:dyDescent="0.25">
      <c r="B79" s="585"/>
      <c r="C79" s="993">
        <v>0</v>
      </c>
      <c r="D79" s="994"/>
      <c r="E79" s="500">
        <v>0</v>
      </c>
      <c r="F79" s="583">
        <f>IFERROR(E79/C79,0)</f>
        <v>0</v>
      </c>
      <c r="G79" s="491" t="s">
        <v>420</v>
      </c>
      <c r="H79" s="496"/>
      <c r="I79" s="483">
        <v>61</v>
      </c>
    </row>
    <row r="80" spans="2:9" s="485" customFormat="1" ht="0.75" customHeight="1" thickBot="1" x14ac:dyDescent="0.25">
      <c r="B80" s="997"/>
      <c r="C80" s="997"/>
      <c r="D80" s="997"/>
      <c r="E80" s="997"/>
      <c r="F80" s="997"/>
      <c r="G80" s="997"/>
      <c r="H80" s="997"/>
      <c r="I80" s="483"/>
    </row>
    <row r="81" spans="1:9" ht="20.25" customHeight="1" thickBot="1" x14ac:dyDescent="0.25">
      <c r="A81" s="691"/>
      <c r="B81" s="585"/>
      <c r="C81" s="993">
        <v>0</v>
      </c>
      <c r="D81" s="994"/>
      <c r="E81" s="500">
        <v>0</v>
      </c>
      <c r="F81" s="583">
        <f>IFERROR(E81/C81,0)</f>
        <v>0</v>
      </c>
      <c r="G81" s="491" t="s">
        <v>420</v>
      </c>
      <c r="H81" s="496"/>
      <c r="I81" s="483">
        <v>65</v>
      </c>
    </row>
    <row r="82" spans="1:9" ht="12.75" customHeight="1" x14ac:dyDescent="0.2">
      <c r="A82" s="691"/>
      <c r="B82" s="998"/>
      <c r="C82" s="998"/>
      <c r="D82" s="998"/>
      <c r="E82" s="998"/>
      <c r="F82" s="998"/>
      <c r="G82" s="998"/>
      <c r="H82" s="998"/>
      <c r="I82" s="483">
        <v>68</v>
      </c>
    </row>
    <row r="83" spans="1:9" ht="21" x14ac:dyDescent="0.2">
      <c r="A83" s="691"/>
      <c r="B83" s="665" t="s">
        <v>421</v>
      </c>
      <c r="C83" s="665"/>
      <c r="D83" s="665"/>
      <c r="E83" s="665"/>
      <c r="F83" s="665"/>
      <c r="G83" s="665"/>
      <c r="H83" s="665"/>
      <c r="I83" s="483">
        <v>69</v>
      </c>
    </row>
    <row r="84" spans="1:9" ht="21" x14ac:dyDescent="0.2">
      <c r="A84" s="691"/>
      <c r="B84" s="665" t="s">
        <v>422</v>
      </c>
      <c r="C84" s="665"/>
      <c r="D84" s="665"/>
      <c r="E84" s="665"/>
      <c r="F84" s="665"/>
      <c r="G84" s="665"/>
      <c r="H84" s="665"/>
      <c r="I84" s="483">
        <v>70</v>
      </c>
    </row>
    <row r="85" spans="1:9" x14ac:dyDescent="0.2">
      <c r="A85" s="691"/>
      <c r="B85" s="996" t="s">
        <v>423</v>
      </c>
      <c r="C85" s="996"/>
      <c r="D85" s="996"/>
      <c r="E85" s="996"/>
      <c r="F85" s="996"/>
      <c r="G85" s="996"/>
      <c r="H85" s="996"/>
    </row>
    <row r="86" spans="1:9" ht="15" customHeight="1" x14ac:dyDescent="0.2">
      <c r="A86" s="691"/>
      <c r="B86" s="996" t="s">
        <v>424</v>
      </c>
      <c r="C86" s="996"/>
      <c r="D86" s="996"/>
      <c r="E86" s="996"/>
      <c r="F86" s="996"/>
      <c r="G86" s="996"/>
      <c r="H86" s="996"/>
    </row>
    <row r="87" spans="1:9" x14ac:dyDescent="0.2">
      <c r="A87" s="691"/>
      <c r="B87" s="966" t="s">
        <v>425</v>
      </c>
      <c r="C87" s="964" t="s">
        <v>1511</v>
      </c>
      <c r="D87" s="966" t="s">
        <v>384</v>
      </c>
      <c r="E87" s="964" t="s">
        <v>426</v>
      </c>
      <c r="F87" s="964" t="s">
        <v>427</v>
      </c>
      <c r="G87" s="964"/>
      <c r="H87" s="964"/>
      <c r="I87" s="483">
        <v>71</v>
      </c>
    </row>
    <row r="88" spans="1:9" x14ac:dyDescent="0.2">
      <c r="A88" s="691"/>
      <c r="B88" s="966"/>
      <c r="C88" s="964"/>
      <c r="D88" s="966"/>
      <c r="E88" s="964"/>
      <c r="F88" s="964"/>
      <c r="G88" s="964"/>
      <c r="H88" s="964"/>
      <c r="I88" s="483">
        <v>72</v>
      </c>
    </row>
    <row r="89" spans="1:9" ht="1.5" customHeight="1" thickBot="1" x14ac:dyDescent="0.25">
      <c r="A89" s="691"/>
      <c r="B89" s="966"/>
      <c r="C89" s="964"/>
      <c r="D89" s="966"/>
      <c r="E89" s="964"/>
      <c r="F89" s="965"/>
      <c r="G89" s="965"/>
      <c r="H89" s="965"/>
      <c r="I89" s="483">
        <v>73</v>
      </c>
    </row>
    <row r="90" spans="1:9" s="486" customFormat="1" ht="23.25" customHeight="1" x14ac:dyDescent="0.2">
      <c r="A90" s="693"/>
      <c r="B90" s="989" t="s">
        <v>428</v>
      </c>
      <c r="C90" s="989"/>
      <c r="D90" s="989"/>
      <c r="E90" s="989"/>
      <c r="F90" s="989"/>
      <c r="G90" s="989"/>
      <c r="H90" s="989"/>
      <c r="I90" s="483">
        <v>74</v>
      </c>
    </row>
    <row r="91" spans="1:9" ht="18" customHeight="1" x14ac:dyDescent="0.2">
      <c r="A91" s="691"/>
      <c r="B91" s="232" t="s">
        <v>429</v>
      </c>
      <c r="C91" s="206">
        <v>0</v>
      </c>
      <c r="D91" s="208" t="s">
        <v>430</v>
      </c>
      <c r="E91" s="218">
        <v>0</v>
      </c>
      <c r="F91" s="995"/>
      <c r="G91" s="995"/>
      <c r="H91" s="995"/>
      <c r="I91" s="483">
        <v>75</v>
      </c>
    </row>
    <row r="92" spans="1:9" ht="23.25" customHeight="1" x14ac:dyDescent="0.2">
      <c r="A92" s="691"/>
      <c r="B92" s="988" t="s">
        <v>431</v>
      </c>
      <c r="C92" s="988"/>
      <c r="D92" s="988"/>
      <c r="E92" s="988"/>
      <c r="F92" s="988"/>
      <c r="G92" s="988"/>
      <c r="H92" s="988"/>
      <c r="I92" s="12"/>
    </row>
    <row r="93" spans="1:9" ht="17.25" customHeight="1" thickBot="1" x14ac:dyDescent="0.25">
      <c r="A93" s="691"/>
      <c r="B93" s="209" t="s">
        <v>432</v>
      </c>
      <c r="C93" s="210">
        <v>0</v>
      </c>
      <c r="D93" s="304" t="s">
        <v>433</v>
      </c>
      <c r="E93" s="223">
        <v>0</v>
      </c>
      <c r="F93" s="1002"/>
      <c r="G93" s="1002"/>
      <c r="H93" s="1002"/>
    </row>
    <row r="94" spans="1:9" ht="17.25" customHeight="1" thickBot="1" x14ac:dyDescent="0.25">
      <c r="A94" s="691"/>
      <c r="B94" s="209" t="s">
        <v>434</v>
      </c>
      <c r="C94" s="210">
        <v>0</v>
      </c>
      <c r="D94" s="304" t="s">
        <v>433</v>
      </c>
      <c r="E94" s="223">
        <v>0</v>
      </c>
      <c r="F94" s="1003"/>
      <c r="G94" s="1003"/>
      <c r="H94" s="1003"/>
    </row>
    <row r="95" spans="1:9" ht="17.25" customHeight="1" thickBot="1" x14ac:dyDescent="0.25">
      <c r="A95" s="691"/>
      <c r="B95" s="231" t="s">
        <v>435</v>
      </c>
      <c r="C95" s="228">
        <v>0</v>
      </c>
      <c r="D95" s="305" t="s">
        <v>433</v>
      </c>
      <c r="E95" s="229">
        <v>0</v>
      </c>
      <c r="F95" s="1003"/>
      <c r="G95" s="1003"/>
      <c r="H95" s="1003"/>
    </row>
    <row r="96" spans="1:9" ht="16.5" customHeight="1" x14ac:dyDescent="0.2">
      <c r="A96" s="691"/>
      <c r="B96" s="207" t="s">
        <v>436</v>
      </c>
      <c r="C96" s="206">
        <v>0</v>
      </c>
      <c r="D96" s="501" t="s">
        <v>433</v>
      </c>
      <c r="E96" s="218">
        <v>0</v>
      </c>
      <c r="F96" s="1004"/>
      <c r="G96" s="1004"/>
      <c r="H96" s="1004"/>
    </row>
    <row r="97" spans="2:9" ht="21.75" customHeight="1" x14ac:dyDescent="0.2">
      <c r="B97" s="988" t="s">
        <v>437</v>
      </c>
      <c r="C97" s="988"/>
      <c r="D97" s="988"/>
      <c r="E97" s="988"/>
      <c r="F97" s="988"/>
      <c r="G97" s="988"/>
      <c r="H97" s="988"/>
    </row>
    <row r="98" spans="2:9" ht="17.25" customHeight="1" x14ac:dyDescent="0.2">
      <c r="B98" s="586"/>
      <c r="C98" s="493">
        <v>0</v>
      </c>
      <c r="D98" s="494" t="s">
        <v>433</v>
      </c>
      <c r="E98" s="495">
        <v>0</v>
      </c>
      <c r="F98" s="1000" t="s">
        <v>438</v>
      </c>
      <c r="G98" s="1001"/>
      <c r="H98" s="306"/>
    </row>
    <row r="99" spans="2:9" ht="15.75" customHeight="1" x14ac:dyDescent="0.2">
      <c r="B99" s="1005" t="s">
        <v>414</v>
      </c>
      <c r="C99" s="1005" t="s">
        <v>1512</v>
      </c>
      <c r="D99" s="1005"/>
      <c r="E99" s="1005" t="s">
        <v>439</v>
      </c>
      <c r="F99" s="1005" t="s">
        <v>440</v>
      </c>
      <c r="G99" s="1005" t="s">
        <v>441</v>
      </c>
      <c r="H99" s="1005" t="s">
        <v>427</v>
      </c>
      <c r="I99" s="483">
        <v>71</v>
      </c>
    </row>
    <row r="100" spans="2:9" ht="17" thickBot="1" x14ac:dyDescent="0.25">
      <c r="B100" s="965"/>
      <c r="C100" s="965"/>
      <c r="D100" s="965"/>
      <c r="E100" s="965"/>
      <c r="F100" s="965"/>
      <c r="G100" s="965"/>
      <c r="H100" s="965"/>
      <c r="I100" s="483">
        <v>72</v>
      </c>
    </row>
    <row r="101" spans="2:9" ht="23.25" customHeight="1" thickBot="1" x14ac:dyDescent="0.25">
      <c r="B101" s="988" t="s">
        <v>442</v>
      </c>
      <c r="C101" s="988"/>
      <c r="D101" s="988"/>
      <c r="E101" s="988"/>
      <c r="F101" s="988"/>
      <c r="G101" s="988"/>
      <c r="H101" s="988"/>
    </row>
    <row r="102" spans="2:9" ht="17" thickBot="1" x14ac:dyDescent="0.25">
      <c r="B102" s="502" t="s">
        <v>443</v>
      </c>
      <c r="C102" s="999">
        <v>0</v>
      </c>
      <c r="D102" s="999"/>
      <c r="E102" s="499">
        <v>0</v>
      </c>
      <c r="F102" s="503"/>
      <c r="G102" s="504" t="s">
        <v>444</v>
      </c>
      <c r="H102" s="666"/>
    </row>
    <row r="103" spans="2:9" ht="17" thickBot="1" x14ac:dyDescent="0.25">
      <c r="B103" s="502"/>
      <c r="C103" s="999">
        <v>0</v>
      </c>
      <c r="D103" s="999"/>
      <c r="E103" s="499">
        <v>0</v>
      </c>
      <c r="F103" s="502"/>
      <c r="G103" s="505" t="s">
        <v>444</v>
      </c>
      <c r="H103" s="667"/>
    </row>
    <row r="104" spans="2:9" ht="17" thickBot="1" x14ac:dyDescent="0.25">
      <c r="B104" s="502"/>
      <c r="C104" s="999">
        <v>0</v>
      </c>
      <c r="D104" s="999"/>
      <c r="E104" s="499">
        <v>0</v>
      </c>
      <c r="F104" s="502"/>
      <c r="G104" s="505" t="s">
        <v>444</v>
      </c>
      <c r="H104" s="667"/>
    </row>
    <row r="105" spans="2:9" x14ac:dyDescent="0.2">
      <c r="B105" s="691"/>
      <c r="C105" s="691"/>
      <c r="D105" s="691"/>
      <c r="E105" s="692"/>
      <c r="F105" s="692"/>
      <c r="G105" s="692"/>
      <c r="H105" s="691"/>
    </row>
    <row r="106" spans="2:9" x14ac:dyDescent="0.2">
      <c r="B106" s="691"/>
      <c r="C106" s="691"/>
      <c r="D106" s="691"/>
      <c r="E106" s="692"/>
      <c r="F106" s="692"/>
      <c r="G106" s="692"/>
      <c r="H106" s="691"/>
    </row>
    <row r="107" spans="2:9" x14ac:dyDescent="0.2">
      <c r="B107" s="691"/>
      <c r="C107" s="691"/>
      <c r="D107" s="691"/>
      <c r="E107" s="692"/>
      <c r="F107" s="692"/>
      <c r="G107" s="692"/>
      <c r="H107" s="691"/>
    </row>
    <row r="108" spans="2:9" x14ac:dyDescent="0.2">
      <c r="B108" s="691"/>
      <c r="C108" s="691"/>
      <c r="D108" s="691"/>
      <c r="E108" s="692"/>
      <c r="F108" s="692"/>
      <c r="G108" s="692"/>
      <c r="H108" s="691"/>
    </row>
    <row r="109" spans="2:9" x14ac:dyDescent="0.2">
      <c r="B109" s="691"/>
      <c r="C109" s="691"/>
      <c r="D109" s="691"/>
      <c r="E109" s="692"/>
      <c r="F109" s="692"/>
      <c r="G109" s="692"/>
      <c r="H109" s="691"/>
    </row>
    <row r="110" spans="2:9" x14ac:dyDescent="0.2">
      <c r="B110" s="691"/>
      <c r="C110" s="691"/>
      <c r="D110" s="691"/>
      <c r="E110" s="691"/>
      <c r="F110" s="691"/>
      <c r="G110" s="691"/>
      <c r="H110" s="691"/>
    </row>
    <row r="111" spans="2:9" x14ac:dyDescent="0.2">
      <c r="B111" s="691"/>
      <c r="C111" s="691"/>
      <c r="D111" s="691"/>
      <c r="E111" s="691"/>
      <c r="F111" s="691"/>
      <c r="G111" s="691"/>
      <c r="H111" s="691"/>
    </row>
    <row r="112" spans="2:9" x14ac:dyDescent="0.2">
      <c r="B112" s="691"/>
      <c r="C112" s="691"/>
      <c r="D112" s="691"/>
      <c r="E112" s="691"/>
      <c r="F112" s="691"/>
      <c r="G112" s="691"/>
      <c r="H112" s="691"/>
    </row>
    <row r="113" spans="5:7" x14ac:dyDescent="0.2">
      <c r="E113" s="691"/>
      <c r="F113" s="691"/>
      <c r="G113" s="691"/>
    </row>
    <row r="114" spans="5:7" x14ac:dyDescent="0.2">
      <c r="E114" s="691"/>
      <c r="F114" s="691"/>
      <c r="G114" s="691"/>
    </row>
    <row r="115" spans="5:7" x14ac:dyDescent="0.2">
      <c r="E115" s="691"/>
      <c r="F115" s="691"/>
      <c r="G115" s="691"/>
    </row>
    <row r="116" spans="5:7" x14ac:dyDescent="0.2">
      <c r="E116" s="691"/>
      <c r="F116" s="691"/>
      <c r="G116" s="691"/>
    </row>
    <row r="117" spans="5:7" x14ac:dyDescent="0.2">
      <c r="E117" s="691"/>
      <c r="F117" s="691"/>
      <c r="G117" s="691"/>
    </row>
    <row r="118" spans="5:7" x14ac:dyDescent="0.2">
      <c r="E118" s="691"/>
      <c r="F118" s="691"/>
      <c r="G118" s="691"/>
    </row>
    <row r="119" spans="5:7" x14ac:dyDescent="0.2">
      <c r="E119" s="691"/>
      <c r="F119" s="691"/>
      <c r="G119" s="691"/>
    </row>
    <row r="120" spans="5:7" x14ac:dyDescent="0.2">
      <c r="E120" s="691"/>
      <c r="F120" s="691"/>
      <c r="G120" s="691"/>
    </row>
    <row r="121" spans="5:7" x14ac:dyDescent="0.2">
      <c r="E121" s="691"/>
      <c r="F121" s="691"/>
      <c r="G121" s="691"/>
    </row>
    <row r="122" spans="5:7" x14ac:dyDescent="0.2">
      <c r="E122" s="691"/>
      <c r="F122" s="691"/>
      <c r="G122" s="691"/>
    </row>
    <row r="123" spans="5:7" x14ac:dyDescent="0.2">
      <c r="E123" s="691"/>
      <c r="F123" s="691"/>
      <c r="G123" s="691"/>
    </row>
    <row r="124" spans="5:7" x14ac:dyDescent="0.2">
      <c r="E124" s="691"/>
      <c r="F124" s="691"/>
      <c r="G124" s="691"/>
    </row>
    <row r="125" spans="5:7" x14ac:dyDescent="0.2">
      <c r="E125" s="691"/>
      <c r="F125" s="691"/>
      <c r="G125" s="691"/>
    </row>
    <row r="126" spans="5:7" x14ac:dyDescent="0.2">
      <c r="E126" s="691"/>
      <c r="F126" s="691"/>
      <c r="G126" s="691"/>
    </row>
    <row r="127" spans="5:7" x14ac:dyDescent="0.2">
      <c r="E127" s="691"/>
      <c r="F127" s="691"/>
      <c r="G127" s="691"/>
    </row>
    <row r="128" spans="5:7" x14ac:dyDescent="0.2">
      <c r="E128" s="691"/>
      <c r="F128" s="691"/>
      <c r="G128" s="691"/>
    </row>
    <row r="129" spans="5:7" x14ac:dyDescent="0.2">
      <c r="E129" s="691"/>
      <c r="F129" s="691"/>
      <c r="G129" s="691"/>
    </row>
    <row r="130" spans="5:7" hidden="1" x14ac:dyDescent="0.2">
      <c r="E130" s="691"/>
      <c r="F130" s="691"/>
      <c r="G130" s="691"/>
    </row>
    <row r="131" spans="5:7" hidden="1" x14ac:dyDescent="0.2">
      <c r="E131" s="691"/>
      <c r="F131" s="691"/>
      <c r="G131" s="691"/>
    </row>
    <row r="132" spans="5:7" x14ac:dyDescent="0.2">
      <c r="E132" s="691"/>
      <c r="F132" s="691"/>
      <c r="G132" s="691"/>
    </row>
    <row r="133" spans="5:7" x14ac:dyDescent="0.2">
      <c r="E133" s="691"/>
      <c r="F133" s="691"/>
      <c r="G133" s="691"/>
    </row>
    <row r="134" spans="5:7" x14ac:dyDescent="0.2">
      <c r="E134" s="691"/>
      <c r="F134" s="691"/>
      <c r="G134" s="691"/>
    </row>
    <row r="135" spans="5:7" x14ac:dyDescent="0.2">
      <c r="E135" s="691"/>
      <c r="F135" s="691"/>
      <c r="G135" s="691"/>
    </row>
    <row r="136" spans="5:7" x14ac:dyDescent="0.2">
      <c r="E136" s="691"/>
      <c r="F136" s="691"/>
      <c r="G136" s="691"/>
    </row>
    <row r="137" spans="5:7" x14ac:dyDescent="0.2">
      <c r="E137" s="691"/>
      <c r="F137" s="691"/>
      <c r="G137" s="691"/>
    </row>
    <row r="138" spans="5:7" x14ac:dyDescent="0.2">
      <c r="E138" s="691"/>
      <c r="F138" s="691"/>
      <c r="G138" s="691"/>
    </row>
    <row r="139" spans="5:7" x14ac:dyDescent="0.2">
      <c r="E139" s="691"/>
      <c r="F139" s="691"/>
      <c r="G139" s="691"/>
    </row>
    <row r="140" spans="5:7" x14ac:dyDescent="0.2">
      <c r="E140" s="691"/>
      <c r="F140" s="691"/>
      <c r="G140" s="691"/>
    </row>
    <row r="141" spans="5:7" x14ac:dyDescent="0.2">
      <c r="E141" s="691"/>
      <c r="F141" s="691"/>
      <c r="G141" s="691"/>
    </row>
    <row r="142" spans="5:7" x14ac:dyDescent="0.2">
      <c r="E142" s="691"/>
      <c r="F142" s="691"/>
      <c r="G142" s="691"/>
    </row>
    <row r="143" spans="5:7" x14ac:dyDescent="0.2">
      <c r="E143" s="691"/>
      <c r="F143" s="691"/>
      <c r="G143" s="691"/>
    </row>
    <row r="144" spans="5:7" x14ac:dyDescent="0.2">
      <c r="E144" s="691"/>
      <c r="F144" s="691"/>
      <c r="G144" s="691"/>
    </row>
    <row r="145" spans="5:7" x14ac:dyDescent="0.2">
      <c r="E145" s="691"/>
      <c r="F145" s="691"/>
      <c r="G145" s="691"/>
    </row>
    <row r="146" spans="5:7" x14ac:dyDescent="0.2">
      <c r="E146" s="691"/>
      <c r="F146" s="691"/>
      <c r="G146" s="691"/>
    </row>
    <row r="147" spans="5:7" x14ac:dyDescent="0.2">
      <c r="E147" s="691"/>
      <c r="F147" s="691"/>
      <c r="G147" s="691"/>
    </row>
    <row r="148" spans="5:7" x14ac:dyDescent="0.2">
      <c r="E148" s="691"/>
      <c r="F148" s="691"/>
      <c r="G148" s="691"/>
    </row>
    <row r="149" spans="5:7" x14ac:dyDescent="0.2">
      <c r="E149" s="691"/>
      <c r="F149" s="691"/>
      <c r="G149" s="691"/>
    </row>
    <row r="150" spans="5:7" x14ac:dyDescent="0.2">
      <c r="E150" s="692"/>
      <c r="F150" s="692"/>
      <c r="G150" s="692"/>
    </row>
    <row r="151" spans="5:7" x14ac:dyDescent="0.2">
      <c r="E151" s="692"/>
      <c r="F151" s="692"/>
      <c r="G151" s="692"/>
    </row>
    <row r="152" spans="5:7" x14ac:dyDescent="0.2">
      <c r="E152" s="692"/>
      <c r="F152" s="692"/>
      <c r="G152" s="692"/>
    </row>
    <row r="153" spans="5:7" x14ac:dyDescent="0.2">
      <c r="E153" s="692"/>
      <c r="F153" s="692"/>
      <c r="G153" s="692"/>
    </row>
    <row r="154" spans="5:7" x14ac:dyDescent="0.2">
      <c r="E154" s="692"/>
      <c r="F154" s="692"/>
      <c r="G154" s="692"/>
    </row>
    <row r="155" spans="5:7" x14ac:dyDescent="0.2">
      <c r="E155" s="692"/>
      <c r="F155" s="692"/>
      <c r="G155" s="692"/>
    </row>
    <row r="156" spans="5:7" x14ac:dyDescent="0.2">
      <c r="E156" s="692"/>
      <c r="F156" s="692"/>
      <c r="G156" s="692"/>
    </row>
    <row r="157" spans="5:7" x14ac:dyDescent="0.2">
      <c r="E157" s="692"/>
      <c r="F157" s="692"/>
      <c r="G157" s="692"/>
    </row>
    <row r="158" spans="5:7" x14ac:dyDescent="0.2">
      <c r="E158" s="692"/>
      <c r="F158" s="692"/>
      <c r="G158" s="692"/>
    </row>
    <row r="159" spans="5:7" x14ac:dyDescent="0.2">
      <c r="E159" s="692"/>
      <c r="F159" s="692"/>
      <c r="G159" s="692"/>
    </row>
    <row r="160" spans="5:7" x14ac:dyDescent="0.2">
      <c r="E160" s="692"/>
      <c r="F160" s="692"/>
      <c r="G160" s="692"/>
    </row>
    <row r="161" x14ac:dyDescent="0.2"/>
    <row r="162" x14ac:dyDescent="0.2"/>
    <row r="163" x14ac:dyDescent="0.2"/>
    <row r="164" x14ac:dyDescent="0.2"/>
    <row r="165" x14ac:dyDescent="0.2"/>
    <row r="166" x14ac:dyDescent="0.2"/>
    <row r="167" x14ac:dyDescent="0.2"/>
    <row r="168" x14ac:dyDescent="0.2"/>
    <row r="169" x14ac:dyDescent="0.2"/>
    <row r="170" x14ac:dyDescent="0.2"/>
  </sheetData>
  <sheetProtection algorithmName="SHA-512" hashValue="P3iuHb6ZIHmOUM7lXQuCQRBDGbfTbT0CKPeGNg5BdGZVbEsOvFSjl6XKgRDPowAOzrQU8/0mLxcKttOoR6/Lnw==" saltValue="KJ+YYEl5yHhRqC4KUIWfDQ==" spinCount="100000" sheet="1" selectLockedCells="1"/>
  <mergeCells count="111">
    <mergeCell ref="B80:H80"/>
    <mergeCell ref="B82:H82"/>
    <mergeCell ref="C102:D102"/>
    <mergeCell ref="C103:D103"/>
    <mergeCell ref="C104:D104"/>
    <mergeCell ref="B97:H97"/>
    <mergeCell ref="F98:G98"/>
    <mergeCell ref="F93:H93"/>
    <mergeCell ref="F94:H94"/>
    <mergeCell ref="F95:H95"/>
    <mergeCell ref="F96:H96"/>
    <mergeCell ref="B99:B100"/>
    <mergeCell ref="E99:E100"/>
    <mergeCell ref="F99:F100"/>
    <mergeCell ref="G99:G100"/>
    <mergeCell ref="H99:H100"/>
    <mergeCell ref="C99:D100"/>
    <mergeCell ref="B101:H101"/>
    <mergeCell ref="B27:H27"/>
    <mergeCell ref="G31:H31"/>
    <mergeCell ref="B30:H30"/>
    <mergeCell ref="G40:H40"/>
    <mergeCell ref="B42:H42"/>
    <mergeCell ref="E32:F32"/>
    <mergeCell ref="E34:F34"/>
    <mergeCell ref="E44:F44"/>
    <mergeCell ref="B61:H61"/>
    <mergeCell ref="E41:F41"/>
    <mergeCell ref="B46:H46"/>
    <mergeCell ref="B47:H47"/>
    <mergeCell ref="B49:B51"/>
    <mergeCell ref="C49:C51"/>
    <mergeCell ref="H49:H51"/>
    <mergeCell ref="G49:G51"/>
    <mergeCell ref="B48:H48"/>
    <mergeCell ref="E35:F35"/>
    <mergeCell ref="E37:F37"/>
    <mergeCell ref="G32:H32"/>
    <mergeCell ref="G28:H28"/>
    <mergeCell ref="G29:H29"/>
    <mergeCell ref="G35:H35"/>
    <mergeCell ref="G37:H37"/>
    <mergeCell ref="B78:H78"/>
    <mergeCell ref="B92:H92"/>
    <mergeCell ref="B90:H90"/>
    <mergeCell ref="E87:E89"/>
    <mergeCell ref="B87:B89"/>
    <mergeCell ref="C87:C89"/>
    <mergeCell ref="D87:D89"/>
    <mergeCell ref="B76:H76"/>
    <mergeCell ref="E49:E51"/>
    <mergeCell ref="F49:F51"/>
    <mergeCell ref="E73:E74"/>
    <mergeCell ref="F73:F74"/>
    <mergeCell ref="G73:G74"/>
    <mergeCell ref="C75:D75"/>
    <mergeCell ref="C77:D77"/>
    <mergeCell ref="C79:D79"/>
    <mergeCell ref="C81:D81"/>
    <mergeCell ref="C73:D74"/>
    <mergeCell ref="F87:H89"/>
    <mergeCell ref="F91:H91"/>
    <mergeCell ref="B72:H72"/>
    <mergeCell ref="B71:H71"/>
    <mergeCell ref="B85:H85"/>
    <mergeCell ref="B86:H86"/>
    <mergeCell ref="B1:H1"/>
    <mergeCell ref="B15:H15"/>
    <mergeCell ref="B16:H16"/>
    <mergeCell ref="C2:H4"/>
    <mergeCell ref="C5:H5"/>
    <mergeCell ref="B2:B5"/>
    <mergeCell ref="E24:F26"/>
    <mergeCell ref="G19:H19"/>
    <mergeCell ref="B17:B18"/>
    <mergeCell ref="C17:C18"/>
    <mergeCell ref="D17:D18"/>
    <mergeCell ref="G17:H18"/>
    <mergeCell ref="F17:F18"/>
    <mergeCell ref="B24:B26"/>
    <mergeCell ref="C24:C26"/>
    <mergeCell ref="B8:H8"/>
    <mergeCell ref="B9:H9"/>
    <mergeCell ref="E17:E18"/>
    <mergeCell ref="B23:H23"/>
    <mergeCell ref="D24:D26"/>
    <mergeCell ref="B21:H21"/>
    <mergeCell ref="G24:H26"/>
    <mergeCell ref="B22:H22"/>
    <mergeCell ref="E28:F28"/>
    <mergeCell ref="E29:F29"/>
    <mergeCell ref="E31:F31"/>
    <mergeCell ref="G34:H34"/>
    <mergeCell ref="B33:H33"/>
    <mergeCell ref="B36:H36"/>
    <mergeCell ref="B39:H39"/>
    <mergeCell ref="G38:H38"/>
    <mergeCell ref="B64:H64"/>
    <mergeCell ref="B67:H67"/>
    <mergeCell ref="E38:F38"/>
    <mergeCell ref="B73:B74"/>
    <mergeCell ref="D49:D51"/>
    <mergeCell ref="G41:H41"/>
    <mergeCell ref="G43:H43"/>
    <mergeCell ref="G44:H44"/>
    <mergeCell ref="H73:H74"/>
    <mergeCell ref="E40:F40"/>
    <mergeCell ref="B52:H52"/>
    <mergeCell ref="B55:H55"/>
    <mergeCell ref="B58:H58"/>
    <mergeCell ref="E43:F43"/>
  </mergeCells>
  <conditionalFormatting sqref="B76 B78">
    <cfRule type="containsText" dxfId="56" priority="10" operator="containsText" text="Please provide 'Other' technology details here">
      <formula>NOT(ISERROR(SEARCH("Please provide 'Other' technology details here",B76)))</formula>
    </cfRule>
  </conditionalFormatting>
  <pageMargins left="0.7" right="0.7" top="0.75" bottom="0.75" header="0.3" footer="0.3"/>
  <pageSetup scale="45" fitToHeight="0"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Source!$A$1:$A$9</xm:f>
          </x14:formula1>
          <xm:sqref>G77 G75 G79 G81</xm:sqref>
        </x14:dataValidation>
        <x14:dataValidation type="list" allowBlank="1" showInputMessage="1" showErrorMessage="1" xr:uid="{00000000-0002-0000-0600-000001000000}">
          <x14:formula1>
            <xm:f>Source!$AM$1:$AM$4</xm:f>
          </x14:formula1>
          <xm:sqref>G102:G104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A1:I35"/>
  <sheetViews>
    <sheetView showGridLines="0" topLeftCell="A7" zoomScaleNormal="100" workbookViewId="0">
      <selection activeCell="H12" sqref="H12"/>
    </sheetView>
  </sheetViews>
  <sheetFormatPr baseColWidth="10" defaultColWidth="0" defaultRowHeight="16" zeroHeight="1" x14ac:dyDescent="0.2"/>
  <cols>
    <col min="1" max="1" width="2.83203125" style="14" customWidth="1"/>
    <col min="2" max="2" width="51" style="14" customWidth="1"/>
    <col min="3" max="3" width="19.33203125" style="14" bestFit="1" customWidth="1"/>
    <col min="4" max="4" width="12.33203125" style="14" customWidth="1"/>
    <col min="5" max="5" width="18.5" style="14" customWidth="1"/>
    <col min="6" max="6" width="13.5" style="14" customWidth="1"/>
    <col min="7" max="7" width="34.83203125" style="14" customWidth="1"/>
    <col min="8" max="8" width="48.5" style="14" customWidth="1"/>
    <col min="9" max="9" width="5" style="14" customWidth="1"/>
    <col min="10" max="16384" width="9.1640625" style="14" hidden="1"/>
  </cols>
  <sheetData>
    <row r="1" spans="1:9" ht="17" thickBot="1" x14ac:dyDescent="0.25">
      <c r="A1" s="695"/>
      <c r="B1" s="972" t="s">
        <v>23</v>
      </c>
      <c r="C1" s="972"/>
      <c r="D1" s="972"/>
      <c r="E1" s="972"/>
      <c r="F1" s="972"/>
      <c r="G1" s="972"/>
      <c r="H1" s="972"/>
      <c r="I1" s="695"/>
    </row>
    <row r="2" spans="1:9" ht="15.75" customHeight="1" x14ac:dyDescent="0.2">
      <c r="A2" s="695"/>
      <c r="B2" s="1008" t="s">
        <v>455</v>
      </c>
      <c r="C2" s="1009" t="s">
        <v>456</v>
      </c>
      <c r="D2" s="1010"/>
      <c r="E2" s="1010"/>
      <c r="F2" s="1010"/>
      <c r="G2" s="1010"/>
      <c r="H2" s="1010"/>
      <c r="I2" s="695"/>
    </row>
    <row r="3" spans="1:9" x14ac:dyDescent="0.2">
      <c r="A3" s="695"/>
      <c r="B3" s="1008"/>
      <c r="C3" s="1011"/>
      <c r="D3" s="1012"/>
      <c r="E3" s="1012"/>
      <c r="F3" s="1012"/>
      <c r="G3" s="1012"/>
      <c r="H3" s="1012"/>
      <c r="I3" s="695"/>
    </row>
    <row r="4" spans="1:9" x14ac:dyDescent="0.2">
      <c r="A4" s="695"/>
      <c r="B4" s="1008"/>
      <c r="C4" s="1011"/>
      <c r="D4" s="1012"/>
      <c r="E4" s="1012"/>
      <c r="F4" s="1012"/>
      <c r="G4" s="1012"/>
      <c r="H4" s="1012"/>
      <c r="I4" s="695"/>
    </row>
    <row r="5" spans="1:9" ht="19.5" customHeight="1" thickBot="1" x14ac:dyDescent="0.25">
      <c r="A5" s="695"/>
      <c r="B5" s="1008"/>
      <c r="C5" s="1016" t="s">
        <v>457</v>
      </c>
      <c r="D5" s="1017"/>
      <c r="E5" s="1017"/>
      <c r="F5" s="1017"/>
      <c r="G5" s="1017"/>
      <c r="H5" s="1017"/>
      <c r="I5" s="695"/>
    </row>
    <row r="6" spans="1:9" ht="28.5" customHeight="1" x14ac:dyDescent="0.2">
      <c r="A6" s="695"/>
      <c r="B6" s="695"/>
      <c r="C6" s="695"/>
      <c r="D6" s="695"/>
      <c r="E6" s="695"/>
      <c r="F6" s="695"/>
      <c r="G6" s="695"/>
      <c r="H6" s="695"/>
      <c r="I6" s="695"/>
    </row>
    <row r="7" spans="1:9" s="163" customFormat="1" ht="25.5" customHeight="1" x14ac:dyDescent="0.2">
      <c r="A7" s="696"/>
      <c r="B7" s="1013" t="s">
        <v>458</v>
      </c>
      <c r="C7" s="1013"/>
      <c r="D7" s="1013"/>
      <c r="E7" s="1013"/>
      <c r="F7" s="1013"/>
      <c r="G7" s="1013"/>
      <c r="H7" s="1013"/>
      <c r="I7" s="696"/>
    </row>
    <row r="8" spans="1:9" s="171" customFormat="1" ht="18.75" customHeight="1" x14ac:dyDescent="0.25">
      <c r="A8" s="9"/>
      <c r="B8" s="1014" t="s">
        <v>383</v>
      </c>
      <c r="C8" s="1015" t="s">
        <v>1513</v>
      </c>
      <c r="D8" s="1014" t="s">
        <v>459</v>
      </c>
      <c r="E8" s="1015" t="s">
        <v>460</v>
      </c>
      <c r="F8" s="1015" t="s">
        <v>461</v>
      </c>
      <c r="G8" s="1015" t="s">
        <v>462</v>
      </c>
      <c r="H8" s="1014" t="s">
        <v>387</v>
      </c>
    </row>
    <row r="9" spans="1:9" s="171" customFormat="1" ht="19" x14ac:dyDescent="0.25">
      <c r="A9" s="9"/>
      <c r="B9" s="1014"/>
      <c r="C9" s="1015"/>
      <c r="D9" s="1014"/>
      <c r="E9" s="1015"/>
      <c r="F9" s="1015"/>
      <c r="G9" s="1015"/>
      <c r="H9" s="1014"/>
    </row>
    <row r="10" spans="1:9" s="171" customFormat="1" ht="20" thickBot="1" x14ac:dyDescent="0.3">
      <c r="A10" s="164"/>
      <c r="B10" s="1014"/>
      <c r="C10" s="1015"/>
      <c r="D10" s="1014"/>
      <c r="E10" s="1015"/>
      <c r="F10" s="1015"/>
      <c r="G10" s="1015"/>
      <c r="H10" s="1014"/>
    </row>
    <row r="11" spans="1:9" s="163" customFormat="1" ht="19.5" customHeight="1" x14ac:dyDescent="0.2">
      <c r="A11" s="696"/>
      <c r="B11" s="631" t="s">
        <v>463</v>
      </c>
      <c r="C11" s="200">
        <v>0</v>
      </c>
      <c r="D11" s="618" t="s">
        <v>464</v>
      </c>
      <c r="E11" s="203">
        <v>0</v>
      </c>
      <c r="F11" s="621">
        <f>IFERROR(E11/C11,0)</f>
        <v>0</v>
      </c>
      <c r="G11" s="622"/>
      <c r="H11" s="623"/>
      <c r="I11" s="165">
        <f>IFERROR((E11/C11)&lt;3,0)</f>
        <v>0</v>
      </c>
    </row>
    <row r="12" spans="1:9" s="163" customFormat="1" ht="19.5" customHeight="1" x14ac:dyDescent="0.2">
      <c r="A12" s="696"/>
      <c r="B12" s="632" t="s">
        <v>465</v>
      </c>
      <c r="C12" s="200">
        <v>0</v>
      </c>
      <c r="D12" s="619" t="s">
        <v>464</v>
      </c>
      <c r="E12" s="201">
        <v>0</v>
      </c>
      <c r="F12" s="624">
        <f t="shared" ref="F12:F24" si="0">IFERROR(E12/C12,0)</f>
        <v>0</v>
      </c>
      <c r="G12" s="625"/>
      <c r="H12" s="625"/>
      <c r="I12" s="165">
        <f>IFERROR((E12/C12)&lt;3,0)</f>
        <v>0</v>
      </c>
    </row>
    <row r="13" spans="1:9" s="163" customFormat="1" ht="19.5" customHeight="1" x14ac:dyDescent="0.2">
      <c r="A13" s="696"/>
      <c r="B13" s="633"/>
      <c r="C13" s="166"/>
      <c r="D13" s="697"/>
      <c r="E13" s="166"/>
      <c r="F13" s="166"/>
      <c r="G13" s="698"/>
      <c r="H13" s="698"/>
      <c r="I13" s="165"/>
    </row>
    <row r="14" spans="1:9" s="167" customFormat="1" ht="19.5" customHeight="1" thickBot="1" x14ac:dyDescent="0.25">
      <c r="A14" s="699"/>
      <c r="B14" s="634" t="s">
        <v>1530</v>
      </c>
      <c r="C14" s="202">
        <v>0</v>
      </c>
      <c r="D14" s="618" t="s">
        <v>466</v>
      </c>
      <c r="E14" s="203">
        <v>0</v>
      </c>
      <c r="F14" s="621">
        <f t="shared" si="0"/>
        <v>0</v>
      </c>
      <c r="G14" s="622"/>
      <c r="H14" s="623"/>
      <c r="I14" s="168">
        <f t="shared" ref="I14:I19" si="1">IFERROR((E14/C14)&lt;5,0)</f>
        <v>0</v>
      </c>
    </row>
    <row r="15" spans="1:9" s="169" customFormat="1" ht="19.5" customHeight="1" thickBot="1" x14ac:dyDescent="0.25">
      <c r="A15" s="700"/>
      <c r="B15" s="635" t="s">
        <v>1531</v>
      </c>
      <c r="C15" s="202">
        <v>0</v>
      </c>
      <c r="D15" s="620" t="s">
        <v>466</v>
      </c>
      <c r="E15" s="205">
        <v>0</v>
      </c>
      <c r="F15" s="626">
        <f t="shared" si="0"/>
        <v>0</v>
      </c>
      <c r="G15" s="622"/>
      <c r="H15" s="630"/>
      <c r="I15" s="170">
        <f t="shared" si="1"/>
        <v>0</v>
      </c>
    </row>
    <row r="16" spans="1:9" s="169" customFormat="1" ht="19.5" customHeight="1" thickBot="1" x14ac:dyDescent="0.25">
      <c r="A16" s="700"/>
      <c r="B16" s="636" t="s">
        <v>467</v>
      </c>
      <c r="C16" s="204">
        <v>0</v>
      </c>
      <c r="D16" s="620" t="s">
        <v>466</v>
      </c>
      <c r="E16" s="205">
        <v>0</v>
      </c>
      <c r="F16" s="626">
        <f>IFERROR(E16/C16,0)</f>
        <v>0</v>
      </c>
      <c r="G16" s="627"/>
      <c r="H16" s="628"/>
      <c r="I16" s="170">
        <f t="shared" si="1"/>
        <v>0</v>
      </c>
    </row>
    <row r="17" spans="1:9" s="169" customFormat="1" ht="19.5" customHeight="1" thickBot="1" x14ac:dyDescent="0.25">
      <c r="A17" s="700"/>
      <c r="B17" s="635" t="s">
        <v>468</v>
      </c>
      <c r="C17" s="204">
        <v>0</v>
      </c>
      <c r="D17" s="620" t="s">
        <v>466</v>
      </c>
      <c r="E17" s="205">
        <v>0</v>
      </c>
      <c r="F17" s="626">
        <f t="shared" si="0"/>
        <v>0</v>
      </c>
      <c r="G17" s="627"/>
      <c r="H17" s="628"/>
      <c r="I17" s="170">
        <f t="shared" si="1"/>
        <v>0</v>
      </c>
    </row>
    <row r="18" spans="1:9" s="169" customFormat="1" ht="19.5" customHeight="1" thickBot="1" x14ac:dyDescent="0.25">
      <c r="A18" s="700"/>
      <c r="B18" s="635" t="s">
        <v>469</v>
      </c>
      <c r="C18" s="204">
        <v>0</v>
      </c>
      <c r="D18" s="620" t="s">
        <v>466</v>
      </c>
      <c r="E18" s="205">
        <v>0</v>
      </c>
      <c r="F18" s="626">
        <f t="shared" si="0"/>
        <v>0</v>
      </c>
      <c r="G18" s="627"/>
      <c r="H18" s="628"/>
      <c r="I18" s="170">
        <f t="shared" si="1"/>
        <v>0</v>
      </c>
    </row>
    <row r="19" spans="1:9" s="163" customFormat="1" ht="19.5" customHeight="1" x14ac:dyDescent="0.2">
      <c r="A19" s="696"/>
      <c r="B19" s="637" t="s">
        <v>470</v>
      </c>
      <c r="C19" s="200">
        <v>0</v>
      </c>
      <c r="D19" s="619" t="s">
        <v>466</v>
      </c>
      <c r="E19" s="201">
        <v>0</v>
      </c>
      <c r="F19" s="624">
        <f t="shared" si="0"/>
        <v>0</v>
      </c>
      <c r="G19" s="629"/>
      <c r="H19" s="625"/>
      <c r="I19" s="165">
        <f t="shared" si="1"/>
        <v>0</v>
      </c>
    </row>
    <row r="20" spans="1:9" s="163" customFormat="1" ht="19.5" customHeight="1" x14ac:dyDescent="0.2">
      <c r="A20" s="696"/>
      <c r="B20" s="633"/>
      <c r="C20" s="697"/>
      <c r="D20" s="697"/>
      <c r="E20" s="166"/>
      <c r="F20" s="166"/>
      <c r="G20" s="697"/>
      <c r="H20" s="697"/>
      <c r="I20" s="696"/>
    </row>
    <row r="21" spans="1:9" s="167" customFormat="1" ht="19.5" customHeight="1" thickBot="1" x14ac:dyDescent="0.25">
      <c r="A21" s="699"/>
      <c r="B21" s="634" t="s">
        <v>471</v>
      </c>
      <c r="C21" s="202">
        <v>0</v>
      </c>
      <c r="D21" s="618" t="s">
        <v>472</v>
      </c>
      <c r="E21" s="203">
        <v>0</v>
      </c>
      <c r="F21" s="621">
        <f t="shared" si="0"/>
        <v>0</v>
      </c>
      <c r="G21" s="625"/>
      <c r="H21" s="623"/>
      <c r="I21" s="699"/>
    </row>
    <row r="22" spans="1:9" s="169" customFormat="1" ht="19.5" customHeight="1" thickBot="1" x14ac:dyDescent="0.25">
      <c r="A22" s="700"/>
      <c r="B22" s="635" t="s">
        <v>473</v>
      </c>
      <c r="C22" s="204">
        <v>0</v>
      </c>
      <c r="D22" s="620" t="s">
        <v>474</v>
      </c>
      <c r="E22" s="205">
        <v>0</v>
      </c>
      <c r="F22" s="626">
        <f t="shared" si="0"/>
        <v>0</v>
      </c>
      <c r="G22" s="628"/>
      <c r="H22" s="628"/>
      <c r="I22" s="700"/>
    </row>
    <row r="23" spans="1:9" s="169" customFormat="1" ht="19.5" customHeight="1" thickBot="1" x14ac:dyDescent="0.25">
      <c r="A23" s="700"/>
      <c r="B23" s="635" t="s">
        <v>475</v>
      </c>
      <c r="C23" s="204">
        <v>0</v>
      </c>
      <c r="D23" s="620" t="s">
        <v>474</v>
      </c>
      <c r="E23" s="205">
        <v>0</v>
      </c>
      <c r="F23" s="626">
        <f t="shared" si="0"/>
        <v>0</v>
      </c>
      <c r="G23" s="628"/>
      <c r="H23" s="628"/>
      <c r="I23" s="700"/>
    </row>
    <row r="24" spans="1:9" s="163" customFormat="1" ht="19.5" customHeight="1" x14ac:dyDescent="0.2">
      <c r="A24" s="696"/>
      <c r="B24" s="638" t="s">
        <v>476</v>
      </c>
      <c r="C24" s="200">
        <v>0</v>
      </c>
      <c r="D24" s="701" t="s">
        <v>477</v>
      </c>
      <c r="E24" s="201">
        <v>0</v>
      </c>
      <c r="F24" s="624">
        <f t="shared" si="0"/>
        <v>0</v>
      </c>
      <c r="G24" s="629"/>
      <c r="H24" s="625"/>
      <c r="I24" s="696"/>
    </row>
    <row r="25" spans="1:9" x14ac:dyDescent="0.2">
      <c r="A25" s="695"/>
      <c r="B25" s="695"/>
      <c r="C25" s="695"/>
      <c r="D25" s="695"/>
      <c r="E25" s="29"/>
      <c r="F25" s="29"/>
      <c r="G25" s="695"/>
      <c r="H25" s="695"/>
      <c r="I25" s="695"/>
    </row>
    <row r="26" spans="1:9" s="298" customFormat="1" ht="18.5" customHeight="1" x14ac:dyDescent="0.2">
      <c r="A26" s="301"/>
      <c r="B26" s="1007" t="s">
        <v>478</v>
      </c>
      <c r="C26" s="1007"/>
      <c r="D26" s="1007"/>
      <c r="E26" s="1007"/>
      <c r="F26" s="1007"/>
      <c r="G26" s="1007"/>
      <c r="H26" s="1007"/>
      <c r="I26" s="301"/>
    </row>
    <row r="27" spans="1:9" s="298" customFormat="1" ht="18.5" customHeight="1" x14ac:dyDescent="0.2">
      <c r="A27" s="301"/>
      <c r="B27" s="653" t="s">
        <v>479</v>
      </c>
      <c r="C27" s="1006"/>
      <c r="D27" s="1006"/>
      <c r="E27" s="1006"/>
      <c r="F27" s="1006"/>
      <c r="G27" s="1006"/>
      <c r="H27" s="1006"/>
      <c r="I27" s="301"/>
    </row>
    <row r="28" spans="1:9" s="298" customFormat="1" ht="18.5" customHeight="1" x14ac:dyDescent="0.2">
      <c r="A28" s="301"/>
      <c r="B28" s="654" t="s">
        <v>480</v>
      </c>
      <c r="C28" s="1006"/>
      <c r="D28" s="1006"/>
      <c r="E28" s="1006"/>
      <c r="F28" s="1006"/>
      <c r="G28" s="1006"/>
      <c r="H28" s="1006"/>
      <c r="I28" s="301"/>
    </row>
    <row r="29" spans="1:9" s="298" customFormat="1" ht="15.75" customHeight="1" x14ac:dyDescent="0.2">
      <c r="A29" s="301"/>
      <c r="B29" s="654" t="s">
        <v>481</v>
      </c>
      <c r="C29" s="1006"/>
      <c r="D29" s="1006"/>
      <c r="E29" s="1006"/>
      <c r="F29" s="1006"/>
      <c r="G29" s="1006"/>
      <c r="H29" s="1006"/>
      <c r="I29" s="301"/>
    </row>
    <row r="30" spans="1:9" s="298" customFormat="1" ht="19.5" customHeight="1" x14ac:dyDescent="0.2">
      <c r="A30" s="301"/>
      <c r="B30" s="654" t="s">
        <v>482</v>
      </c>
      <c r="C30" s="1006"/>
      <c r="D30" s="1006"/>
      <c r="E30" s="1006"/>
      <c r="F30" s="1006"/>
      <c r="G30" s="1006"/>
      <c r="H30" s="1006"/>
      <c r="I30" s="301"/>
    </row>
    <row r="31" spans="1:9" ht="34.5" customHeight="1" x14ac:dyDescent="0.2">
      <c r="A31" s="695"/>
      <c r="B31" s="766" t="s">
        <v>483</v>
      </c>
      <c r="C31" s="1006"/>
      <c r="D31" s="1006"/>
      <c r="E31" s="1006"/>
      <c r="F31" s="1006"/>
      <c r="G31" s="1006"/>
      <c r="H31" s="1006"/>
      <c r="I31" s="695"/>
    </row>
    <row r="32" spans="1:9" x14ac:dyDescent="0.2">
      <c r="A32" s="695"/>
      <c r="B32" s="695"/>
      <c r="C32" s="695"/>
      <c r="D32" s="695"/>
      <c r="E32" s="29"/>
      <c r="F32" s="29"/>
      <c r="G32" s="695"/>
      <c r="H32" s="695"/>
      <c r="I32" s="695"/>
    </row>
    <row r="33" spans="2:9" x14ac:dyDescent="0.2">
      <c r="B33" s="695"/>
      <c r="C33" s="695"/>
      <c r="D33" s="695"/>
      <c r="E33" s="695"/>
      <c r="F33" s="695"/>
      <c r="G33" s="695"/>
      <c r="H33" s="695"/>
      <c r="I33" s="695"/>
    </row>
    <row r="34" spans="2:9" x14ac:dyDescent="0.2">
      <c r="B34" s="695"/>
      <c r="C34" s="695"/>
      <c r="D34" s="695"/>
      <c r="E34" s="695"/>
      <c r="F34" s="695"/>
      <c r="G34" s="695"/>
      <c r="H34" s="695"/>
      <c r="I34" s="695"/>
    </row>
    <row r="35" spans="2:9" x14ac:dyDescent="0.2">
      <c r="B35" s="695"/>
      <c r="C35" s="695"/>
      <c r="D35" s="695"/>
      <c r="E35" s="695"/>
      <c r="F35" s="695"/>
      <c r="G35" s="695"/>
      <c r="H35" s="695"/>
      <c r="I35" s="695"/>
    </row>
  </sheetData>
  <sheetProtection algorithmName="SHA-512" hashValue="CgH2bz93Xl+Boy9vAPEvqgeNBGOtmNgLVSc0PwKrgqP6vSpnToZV0aZ6e1EODcCcv5dN/vGwHC1e8KbZQzgBWg==" saltValue="JKUioN1P5KaPFbPkFZWo5Q==" spinCount="100000" sheet="1" selectLockedCells="1"/>
  <mergeCells count="18">
    <mergeCell ref="B1:H1"/>
    <mergeCell ref="B7:H7"/>
    <mergeCell ref="B8:B10"/>
    <mergeCell ref="C8:C10"/>
    <mergeCell ref="D8:D10"/>
    <mergeCell ref="E8:E10"/>
    <mergeCell ref="H8:H10"/>
    <mergeCell ref="C5:H5"/>
    <mergeCell ref="F8:F10"/>
    <mergeCell ref="G8:G10"/>
    <mergeCell ref="C29:H29"/>
    <mergeCell ref="C30:H30"/>
    <mergeCell ref="C31:H31"/>
    <mergeCell ref="B26:H26"/>
    <mergeCell ref="B2:B5"/>
    <mergeCell ref="C2:H4"/>
    <mergeCell ref="C28:H28"/>
    <mergeCell ref="C27:H27"/>
  </mergeCells>
  <conditionalFormatting sqref="F11">
    <cfRule type="expression" dxfId="55" priority="17">
      <formula>$I11=FALSE</formula>
    </cfRule>
  </conditionalFormatting>
  <conditionalFormatting sqref="F12">
    <cfRule type="expression" dxfId="54" priority="16">
      <formula>$I12=FALSE</formula>
    </cfRule>
  </conditionalFormatting>
  <conditionalFormatting sqref="F14">
    <cfRule type="expression" dxfId="53" priority="14">
      <formula>$I14=FALSE</formula>
    </cfRule>
  </conditionalFormatting>
  <conditionalFormatting sqref="F15">
    <cfRule type="expression" dxfId="52" priority="13">
      <formula>$I15=FALSE</formula>
    </cfRule>
  </conditionalFormatting>
  <conditionalFormatting sqref="F17">
    <cfRule type="expression" dxfId="51" priority="11">
      <formula>$I17=FALSE</formula>
    </cfRule>
  </conditionalFormatting>
  <conditionalFormatting sqref="F18">
    <cfRule type="expression" dxfId="50" priority="5">
      <formula>$I18=FALSE</formula>
    </cfRule>
  </conditionalFormatting>
  <conditionalFormatting sqref="F19">
    <cfRule type="expression" dxfId="49" priority="2">
      <formula>$I19=FALSE</formula>
    </cfRule>
  </conditionalFormatting>
  <conditionalFormatting sqref="F16">
    <cfRule type="expression" dxfId="48" priority="12">
      <formula>$I16=FALSE</formula>
    </cfRule>
  </conditionalFormatting>
  <pageMargins left="0.7" right="0.7" top="0.75" bottom="0.75" header="0.3" footer="0.3"/>
  <pageSetup scale="73"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Source!$D$1:$D$7</xm:f>
          </x14:formula1>
          <xm:sqref>D24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pageSetUpPr fitToPage="1"/>
  </sheetPr>
  <dimension ref="A1:P38"/>
  <sheetViews>
    <sheetView showGridLines="0" topLeftCell="A6" zoomScale="95" zoomScaleNormal="115" workbookViewId="0">
      <selection activeCell="C35" sqref="C35:H35"/>
    </sheetView>
  </sheetViews>
  <sheetFormatPr baseColWidth="10" defaultColWidth="0" defaultRowHeight="15" zeroHeight="1" x14ac:dyDescent="0.2"/>
  <cols>
    <col min="1" max="1" width="1.5" style="1" customWidth="1"/>
    <col min="2" max="2" width="51" style="1" bestFit="1" customWidth="1"/>
    <col min="3" max="3" width="19.33203125" style="1" bestFit="1" customWidth="1"/>
    <col min="4" max="4" width="12" style="1" bestFit="1" customWidth="1"/>
    <col min="5" max="5" width="21.83203125" style="1" customWidth="1"/>
    <col min="6" max="6" width="13.6640625" style="1" customWidth="1"/>
    <col min="7" max="7" width="47.6640625" style="1" customWidth="1"/>
    <col min="8" max="8" width="51.1640625" style="1" customWidth="1"/>
    <col min="9" max="9" width="4.83203125" style="1" customWidth="1"/>
    <col min="10" max="16" width="0" style="1" hidden="1" customWidth="1"/>
    <col min="17" max="16384" width="9.1640625" style="1" hidden="1"/>
  </cols>
  <sheetData>
    <row r="1" spans="2:16" ht="16" thickBot="1" x14ac:dyDescent="0.25">
      <c r="B1" s="972" t="s">
        <v>23</v>
      </c>
      <c r="C1" s="972"/>
      <c r="D1" s="972"/>
      <c r="E1" s="972"/>
      <c r="F1" s="972"/>
      <c r="G1" s="972"/>
      <c r="H1" s="972"/>
    </row>
    <row r="2" spans="2:16" ht="15" customHeight="1" x14ac:dyDescent="0.2">
      <c r="B2" s="1008" t="s">
        <v>484</v>
      </c>
      <c r="C2" s="974" t="s">
        <v>485</v>
      </c>
      <c r="D2" s="975"/>
      <c r="E2" s="975"/>
      <c r="F2" s="975"/>
      <c r="G2" s="975"/>
      <c r="H2" s="975"/>
      <c r="I2" s="23"/>
      <c r="J2" s="23"/>
      <c r="K2" s="23"/>
      <c r="L2" s="23"/>
      <c r="M2" s="23"/>
      <c r="N2" s="23"/>
      <c r="O2" s="23"/>
      <c r="P2" s="23"/>
    </row>
    <row r="3" spans="2:16" ht="15" customHeight="1" x14ac:dyDescent="0.2">
      <c r="B3" s="1008"/>
      <c r="C3" s="976"/>
      <c r="D3" s="977"/>
      <c r="E3" s="977"/>
      <c r="F3" s="977"/>
      <c r="G3" s="977"/>
      <c r="H3" s="977"/>
      <c r="I3" s="23"/>
      <c r="J3" s="23"/>
      <c r="K3" s="23"/>
      <c r="L3" s="23"/>
      <c r="M3" s="23"/>
      <c r="N3" s="23"/>
      <c r="O3" s="23"/>
      <c r="P3" s="23"/>
    </row>
    <row r="4" spans="2:16" ht="15" customHeight="1" thickBot="1" x14ac:dyDescent="0.25">
      <c r="B4" s="1008"/>
      <c r="C4" s="1019"/>
      <c r="D4" s="1020"/>
      <c r="E4" s="1020"/>
      <c r="F4" s="1020"/>
      <c r="G4" s="1020"/>
      <c r="H4" s="1020"/>
      <c r="I4" s="23"/>
      <c r="J4" s="23"/>
      <c r="K4" s="23"/>
      <c r="L4" s="23"/>
      <c r="M4" s="23"/>
      <c r="N4" s="23"/>
      <c r="O4" s="23"/>
      <c r="P4" s="23"/>
    </row>
    <row r="5" spans="2:16" ht="21" customHeight="1" thickBot="1" x14ac:dyDescent="0.25">
      <c r="B5" s="1008"/>
      <c r="C5" s="1016" t="s">
        <v>373</v>
      </c>
      <c r="D5" s="1017"/>
      <c r="E5" s="1017"/>
      <c r="F5" s="1017"/>
      <c r="G5" s="1017"/>
      <c r="H5" s="1017"/>
      <c r="I5" s="23"/>
      <c r="J5" s="23"/>
      <c r="K5" s="23"/>
      <c r="L5" s="23"/>
      <c r="M5" s="23"/>
      <c r="N5" s="23"/>
      <c r="O5" s="23"/>
      <c r="P5" s="23"/>
    </row>
    <row r="6" spans="2:16" ht="18.75" customHeight="1" x14ac:dyDescent="0.2"/>
    <row r="7" spans="2:16" ht="23.25" customHeight="1" thickBot="1" x14ac:dyDescent="0.25">
      <c r="B7" s="1018" t="s">
        <v>486</v>
      </c>
      <c r="C7" s="1018"/>
      <c r="D7" s="1018"/>
      <c r="E7" s="1018"/>
      <c r="F7" s="1018"/>
      <c r="G7" s="1018"/>
      <c r="H7" s="1018"/>
    </row>
    <row r="8" spans="2:16" s="15" customFormat="1" ht="19" x14ac:dyDescent="0.25">
      <c r="B8" s="1027" t="s">
        <v>487</v>
      </c>
      <c r="C8" s="1030" t="s">
        <v>1509</v>
      </c>
      <c r="D8" s="1027" t="s">
        <v>459</v>
      </c>
      <c r="E8" s="1030" t="s">
        <v>460</v>
      </c>
      <c r="F8" s="1021" t="s">
        <v>461</v>
      </c>
      <c r="G8" s="1021" t="s">
        <v>462</v>
      </c>
      <c r="H8" s="1027" t="s">
        <v>387</v>
      </c>
    </row>
    <row r="9" spans="2:16" s="15" customFormat="1" ht="15.75" customHeight="1" x14ac:dyDescent="0.25">
      <c r="B9" s="1028"/>
      <c r="C9" s="1031"/>
      <c r="D9" s="1028"/>
      <c r="E9" s="1031"/>
      <c r="F9" s="1022"/>
      <c r="G9" s="1022"/>
      <c r="H9" s="1028"/>
    </row>
    <row r="10" spans="2:16" s="176" customFormat="1" ht="8.25" customHeight="1" thickBot="1" x14ac:dyDescent="0.3">
      <c r="B10" s="1029"/>
      <c r="C10" s="1032"/>
      <c r="D10" s="1029"/>
      <c r="E10" s="1032"/>
      <c r="F10" s="1023"/>
      <c r="G10" s="1023"/>
      <c r="H10" s="1029"/>
    </row>
    <row r="11" spans="2:16" s="174" customFormat="1" ht="19.5" customHeight="1" thickBot="1" x14ac:dyDescent="0.25">
      <c r="B11" s="639" t="s">
        <v>488</v>
      </c>
      <c r="C11" s="185">
        <v>0</v>
      </c>
      <c r="D11" s="640" t="s">
        <v>466</v>
      </c>
      <c r="E11" s="180">
        <v>0</v>
      </c>
      <c r="F11" s="642">
        <f t="shared" ref="F11:F19" si="0">IFERROR(E11/C11,0)</f>
        <v>0</v>
      </c>
      <c r="G11" s="181"/>
      <c r="H11" s="702"/>
      <c r="I11" s="175">
        <f>IFERROR((E11/C11)&lt;10,0)</f>
        <v>0</v>
      </c>
    </row>
    <row r="12" spans="2:16" s="174" customFormat="1" ht="19.5" customHeight="1" thickBot="1" x14ac:dyDescent="0.25">
      <c r="B12" s="639" t="s">
        <v>489</v>
      </c>
      <c r="C12" s="185">
        <v>0</v>
      </c>
      <c r="D12" s="640" t="s">
        <v>466</v>
      </c>
      <c r="E12" s="180">
        <v>0</v>
      </c>
      <c r="F12" s="642">
        <f t="shared" si="0"/>
        <v>0</v>
      </c>
      <c r="G12" s="181"/>
      <c r="H12" s="702"/>
      <c r="I12" s="175">
        <f t="shared" ref="I12:I19" si="1">IFERROR((E12/C12)&lt;10,0)</f>
        <v>0</v>
      </c>
    </row>
    <row r="13" spans="2:16" s="174" customFormat="1" ht="19.5" customHeight="1" thickBot="1" x14ac:dyDescent="0.25">
      <c r="B13" s="639" t="s">
        <v>490</v>
      </c>
      <c r="C13" s="185">
        <v>0</v>
      </c>
      <c r="D13" s="640" t="s">
        <v>466</v>
      </c>
      <c r="E13" s="180">
        <v>0</v>
      </c>
      <c r="F13" s="642">
        <f t="shared" si="0"/>
        <v>0</v>
      </c>
      <c r="G13" s="187"/>
      <c r="H13" s="630"/>
      <c r="I13" s="175">
        <f t="shared" si="1"/>
        <v>0</v>
      </c>
    </row>
    <row r="14" spans="2:16" s="174" customFormat="1" ht="19.5" customHeight="1" thickBot="1" x14ac:dyDescent="0.25">
      <c r="B14" s="639" t="s">
        <v>491</v>
      </c>
      <c r="C14" s="185">
        <v>0</v>
      </c>
      <c r="D14" s="640" t="s">
        <v>466</v>
      </c>
      <c r="E14" s="180">
        <v>0</v>
      </c>
      <c r="F14" s="642">
        <f t="shared" si="0"/>
        <v>0</v>
      </c>
      <c r="G14" s="184"/>
      <c r="H14" s="702"/>
      <c r="I14" s="175">
        <f t="shared" si="1"/>
        <v>0</v>
      </c>
    </row>
    <row r="15" spans="2:16" s="174" customFormat="1" ht="19.5" customHeight="1" thickBot="1" x14ac:dyDescent="0.25">
      <c r="B15" s="639" t="s">
        <v>492</v>
      </c>
      <c r="C15" s="185">
        <v>0</v>
      </c>
      <c r="D15" s="640" t="s">
        <v>466</v>
      </c>
      <c r="E15" s="180">
        <v>0</v>
      </c>
      <c r="F15" s="642">
        <f t="shared" si="0"/>
        <v>0</v>
      </c>
      <c r="G15" s="184"/>
      <c r="H15" s="702"/>
      <c r="I15" s="175">
        <f t="shared" si="1"/>
        <v>0</v>
      </c>
    </row>
    <row r="16" spans="2:16" s="174" customFormat="1" ht="19.5" customHeight="1" thickBot="1" x14ac:dyDescent="0.25">
      <c r="B16" s="639" t="s">
        <v>493</v>
      </c>
      <c r="C16" s="185" t="s">
        <v>443</v>
      </c>
      <c r="D16" s="640" t="s">
        <v>466</v>
      </c>
      <c r="E16" s="180" t="s">
        <v>443</v>
      </c>
      <c r="F16" s="642">
        <f t="shared" si="0"/>
        <v>0</v>
      </c>
      <c r="G16" s="184"/>
      <c r="H16" s="702"/>
      <c r="I16" s="175">
        <f t="shared" si="1"/>
        <v>0</v>
      </c>
    </row>
    <row r="17" spans="1:9" s="174" customFormat="1" ht="19.5" customHeight="1" thickBot="1" x14ac:dyDescent="0.25">
      <c r="B17" s="639" t="s">
        <v>494</v>
      </c>
      <c r="C17" s="185">
        <v>0</v>
      </c>
      <c r="D17" s="640" t="s">
        <v>466</v>
      </c>
      <c r="E17" s="180">
        <v>0</v>
      </c>
      <c r="F17" s="642">
        <f t="shared" si="0"/>
        <v>0</v>
      </c>
      <c r="G17" s="181"/>
      <c r="H17" s="702"/>
      <c r="I17" s="175">
        <f t="shared" si="1"/>
        <v>0</v>
      </c>
    </row>
    <row r="18" spans="1:9" s="174" customFormat="1" ht="19.5" customHeight="1" thickBot="1" x14ac:dyDescent="0.25">
      <c r="B18" s="639" t="s">
        <v>495</v>
      </c>
      <c r="C18" s="185">
        <v>0</v>
      </c>
      <c r="D18" s="640" t="s">
        <v>389</v>
      </c>
      <c r="E18" s="180">
        <v>0</v>
      </c>
      <c r="F18" s="642">
        <f t="shared" si="0"/>
        <v>0</v>
      </c>
      <c r="G18" s="187" t="s">
        <v>496</v>
      </c>
      <c r="H18" s="702"/>
      <c r="I18" s="175">
        <f t="shared" si="1"/>
        <v>0</v>
      </c>
    </row>
    <row r="19" spans="1:9" s="174" customFormat="1" ht="19.5" customHeight="1" thickBot="1" x14ac:dyDescent="0.25">
      <c r="B19" s="639" t="s">
        <v>497</v>
      </c>
      <c r="C19" s="179">
        <v>0</v>
      </c>
      <c r="D19" s="641" t="s">
        <v>477</v>
      </c>
      <c r="E19" s="180">
        <v>0</v>
      </c>
      <c r="F19" s="642">
        <f t="shared" si="0"/>
        <v>0</v>
      </c>
      <c r="G19" s="703"/>
      <c r="H19" s="702"/>
      <c r="I19" s="175">
        <f t="shared" si="1"/>
        <v>0</v>
      </c>
    </row>
    <row r="20" spans="1:9" ht="16.5" customHeight="1" x14ac:dyDescent="0.2">
      <c r="B20" s="691"/>
      <c r="C20" s="691"/>
      <c r="D20" s="691"/>
      <c r="E20" s="691"/>
      <c r="F20" s="691"/>
      <c r="G20" s="691"/>
      <c r="H20" s="691"/>
    </row>
    <row r="21" spans="1:9" s="16" customFormat="1" ht="21" x14ac:dyDescent="0.25">
      <c r="B21" s="1026" t="s">
        <v>498</v>
      </c>
      <c r="C21" s="1026"/>
      <c r="D21" s="1026"/>
      <c r="E21" s="1026"/>
      <c r="F21" s="1026"/>
      <c r="G21" s="1026"/>
      <c r="H21" s="1026"/>
    </row>
    <row r="22" spans="1:9" ht="17.25" customHeight="1" x14ac:dyDescent="0.2">
      <c r="B22" s="1024" t="s">
        <v>499</v>
      </c>
      <c r="C22" s="1024"/>
      <c r="D22" s="1024"/>
      <c r="E22" s="1024"/>
      <c r="F22" s="1024"/>
      <c r="G22" s="1024"/>
      <c r="H22" s="1024"/>
    </row>
    <row r="23" spans="1:9" ht="17.25" customHeight="1" thickBot="1" x14ac:dyDescent="0.25">
      <c r="B23" s="1025"/>
      <c r="C23" s="1025"/>
      <c r="D23" s="1025"/>
      <c r="E23" s="1025"/>
      <c r="F23" s="1025"/>
      <c r="G23" s="1025"/>
      <c r="H23" s="1025"/>
    </row>
    <row r="24" spans="1:9" s="177" customFormat="1" ht="42" customHeight="1" thickBot="1" x14ac:dyDescent="0.25">
      <c r="B24" s="178" t="s">
        <v>500</v>
      </c>
      <c r="C24" s="186" t="s">
        <v>1509</v>
      </c>
      <c r="D24" s="178" t="s">
        <v>459</v>
      </c>
      <c r="E24" s="178" t="s">
        <v>460</v>
      </c>
      <c r="F24" s="186" t="s">
        <v>386</v>
      </c>
      <c r="G24" s="178" t="s">
        <v>501</v>
      </c>
      <c r="H24" s="178" t="s">
        <v>387</v>
      </c>
    </row>
    <row r="25" spans="1:9" ht="17" thickBot="1" x14ac:dyDescent="0.25">
      <c r="B25" s="639"/>
      <c r="C25" s="179">
        <v>0</v>
      </c>
      <c r="D25" s="645"/>
      <c r="E25" s="180">
        <v>0</v>
      </c>
      <c r="F25" s="643">
        <f t="shared" ref="F25:F30" si="2">IFERROR(E25/C25,0)</f>
        <v>0</v>
      </c>
      <c r="G25" s="181"/>
      <c r="H25" s="702"/>
      <c r="I25" s="7">
        <f>IFERROR((E25/C25)&lt;10,0)</f>
        <v>0</v>
      </c>
    </row>
    <row r="26" spans="1:9" s="172" customFormat="1" ht="17" thickBot="1" x14ac:dyDescent="0.25">
      <c r="B26" s="647"/>
      <c r="C26" s="182">
        <v>0</v>
      </c>
      <c r="D26" s="646"/>
      <c r="E26" s="183">
        <v>0</v>
      </c>
      <c r="F26" s="644">
        <f t="shared" si="2"/>
        <v>0</v>
      </c>
      <c r="G26" s="162"/>
      <c r="H26" s="704"/>
      <c r="I26" s="173">
        <f>IFERROR((E26/C26)&lt;10,0)</f>
        <v>0</v>
      </c>
    </row>
    <row r="27" spans="1:9" s="174" customFormat="1" ht="17" thickBot="1" x14ac:dyDescent="0.25">
      <c r="B27" s="639"/>
      <c r="C27" s="179">
        <v>0</v>
      </c>
      <c r="D27" s="645"/>
      <c r="E27" s="180">
        <v>0</v>
      </c>
      <c r="F27" s="643">
        <f t="shared" si="2"/>
        <v>0</v>
      </c>
      <c r="G27" s="181"/>
      <c r="H27" s="702"/>
      <c r="I27" s="175"/>
    </row>
    <row r="28" spans="1:9" s="174" customFormat="1" ht="17" thickBot="1" x14ac:dyDescent="0.25">
      <c r="B28" s="639"/>
      <c r="C28" s="179">
        <v>0</v>
      </c>
      <c r="D28" s="645"/>
      <c r="E28" s="180">
        <v>0</v>
      </c>
      <c r="F28" s="643">
        <f t="shared" si="2"/>
        <v>0</v>
      </c>
      <c r="G28" s="181"/>
      <c r="H28" s="702"/>
      <c r="I28" s="175">
        <f>IFERROR((E28/C28)&lt;10,0)</f>
        <v>0</v>
      </c>
    </row>
    <row r="29" spans="1:9" s="174" customFormat="1" ht="17" thickBot="1" x14ac:dyDescent="0.25">
      <c r="B29" s="648"/>
      <c r="C29" s="179">
        <v>0</v>
      </c>
      <c r="D29" s="645"/>
      <c r="E29" s="180">
        <v>0</v>
      </c>
      <c r="F29" s="643">
        <f t="shared" si="2"/>
        <v>0</v>
      </c>
      <c r="G29" s="181"/>
      <c r="H29" s="702"/>
      <c r="I29" s="175">
        <f>IFERROR((E29/C29)&lt;10,0)</f>
        <v>0</v>
      </c>
    </row>
    <row r="30" spans="1:9" s="174" customFormat="1" ht="17" thickBot="1" x14ac:dyDescent="0.25">
      <c r="B30" s="648"/>
      <c r="C30" s="179">
        <v>0</v>
      </c>
      <c r="D30" s="645"/>
      <c r="E30" s="180">
        <v>0</v>
      </c>
      <c r="F30" s="643">
        <f t="shared" si="2"/>
        <v>0</v>
      </c>
      <c r="G30" s="703"/>
      <c r="H30" s="702"/>
      <c r="I30" s="175">
        <f>IFERROR((E30/C30)&lt;10,0)</f>
        <v>0</v>
      </c>
    </row>
    <row r="31" spans="1:9" s="5" customFormat="1" x14ac:dyDescent="0.2">
      <c r="B31" s="307"/>
    </row>
    <row r="32" spans="1:9" s="298" customFormat="1" ht="18.5" customHeight="1" x14ac:dyDescent="0.2">
      <c r="A32" s="301"/>
      <c r="B32" s="1007" t="s">
        <v>478</v>
      </c>
      <c r="C32" s="1007"/>
      <c r="D32" s="1007"/>
      <c r="E32" s="1007"/>
      <c r="F32" s="1007"/>
      <c r="G32" s="1007"/>
      <c r="H32" s="1007"/>
      <c r="I32" s="301"/>
    </row>
    <row r="33" spans="1:9" s="298" customFormat="1" ht="19" customHeight="1" x14ac:dyDescent="0.2">
      <c r="A33" s="301"/>
      <c r="B33" s="653" t="s">
        <v>479</v>
      </c>
      <c r="C33" s="1006"/>
      <c r="D33" s="1006"/>
      <c r="E33" s="1006"/>
      <c r="F33" s="1006"/>
      <c r="G33" s="1006"/>
      <c r="H33" s="1006"/>
      <c r="I33" s="301"/>
    </row>
    <row r="34" spans="1:9" s="298" customFormat="1" ht="19" customHeight="1" x14ac:dyDescent="0.2">
      <c r="A34" s="301"/>
      <c r="B34" s="654" t="s">
        <v>480</v>
      </c>
      <c r="C34" s="1006"/>
      <c r="D34" s="1006"/>
      <c r="E34" s="1006"/>
      <c r="F34" s="1006"/>
      <c r="G34" s="1006"/>
      <c r="H34" s="1006"/>
      <c r="I34" s="301"/>
    </row>
    <row r="35" spans="1:9" s="298" customFormat="1" ht="19" customHeight="1" x14ac:dyDescent="0.2">
      <c r="A35" s="301"/>
      <c r="B35" s="654" t="s">
        <v>481</v>
      </c>
      <c r="C35" s="1006"/>
      <c r="D35" s="1006"/>
      <c r="E35" s="1006"/>
      <c r="F35" s="1006"/>
      <c r="G35" s="1006"/>
      <c r="H35" s="1006"/>
      <c r="I35" s="301"/>
    </row>
    <row r="36" spans="1:9" s="298" customFormat="1" ht="19" customHeight="1" x14ac:dyDescent="0.2">
      <c r="A36" s="301"/>
      <c r="B36" s="654" t="s">
        <v>482</v>
      </c>
      <c r="C36" s="1006"/>
      <c r="D36" s="1006"/>
      <c r="E36" s="1006"/>
      <c r="F36" s="1006"/>
      <c r="G36" s="1006"/>
      <c r="H36" s="1006"/>
      <c r="I36" s="301"/>
    </row>
    <row r="37" spans="1:9" x14ac:dyDescent="0.2"/>
    <row r="38" spans="1:9" x14ac:dyDescent="0.2"/>
  </sheetData>
  <sheetProtection algorithmName="SHA-512" hashValue="yzektEV2zqmDbq8leQtaEckEw0mYXTtdT80/dYR6kiTQ7pldVmX3BIWBWTCCazpP8FujC2mgxN6Lq3SJ+I2EYQ==" saltValue="dyuQQz2gvK+G9vIAvCXOyg==" spinCount="100000" sheet="1" selectLockedCells="1"/>
  <mergeCells count="19">
    <mergeCell ref="C33:H33"/>
    <mergeCell ref="C34:H34"/>
    <mergeCell ref="C35:H35"/>
    <mergeCell ref="C36:H36"/>
    <mergeCell ref="B32:H32"/>
    <mergeCell ref="F8:F10"/>
    <mergeCell ref="G8:G10"/>
    <mergeCell ref="B22:H23"/>
    <mergeCell ref="B21:H21"/>
    <mergeCell ref="B8:B10"/>
    <mergeCell ref="C8:C10"/>
    <mergeCell ref="D8:D10"/>
    <mergeCell ref="E8:E10"/>
    <mergeCell ref="H8:H10"/>
    <mergeCell ref="B7:H7"/>
    <mergeCell ref="B1:H1"/>
    <mergeCell ref="C2:H4"/>
    <mergeCell ref="B2:B5"/>
    <mergeCell ref="C5:H5"/>
  </mergeCells>
  <conditionalFormatting sqref="F11">
    <cfRule type="expression" dxfId="47" priority="25">
      <formula>$I11=FALSE</formula>
    </cfRule>
  </conditionalFormatting>
  <conditionalFormatting sqref="F12">
    <cfRule type="expression" dxfId="46" priority="24">
      <formula>$I12=FALSE</formula>
    </cfRule>
  </conditionalFormatting>
  <conditionalFormatting sqref="F13">
    <cfRule type="expression" dxfId="45" priority="23">
      <formula>$I13=FALSE</formula>
    </cfRule>
  </conditionalFormatting>
  <conditionalFormatting sqref="F14">
    <cfRule type="expression" dxfId="44" priority="22">
      <formula>$I14=FALSE</formula>
    </cfRule>
  </conditionalFormatting>
  <conditionalFormatting sqref="F15">
    <cfRule type="expression" dxfId="43" priority="21">
      <formula>$I15=FALSE</formula>
    </cfRule>
  </conditionalFormatting>
  <conditionalFormatting sqref="F16">
    <cfRule type="expression" dxfId="42" priority="20">
      <formula>$I16=FALSE</formula>
    </cfRule>
  </conditionalFormatting>
  <conditionalFormatting sqref="F17">
    <cfRule type="expression" dxfId="41" priority="19">
      <formula>$I17=FALSE</formula>
    </cfRule>
  </conditionalFormatting>
  <conditionalFormatting sqref="F18">
    <cfRule type="expression" dxfId="40" priority="18">
      <formula>$I18=FALSE</formula>
    </cfRule>
  </conditionalFormatting>
  <conditionalFormatting sqref="F19">
    <cfRule type="expression" dxfId="39" priority="17">
      <formula>$I19=FALSE</formula>
    </cfRule>
  </conditionalFormatting>
  <conditionalFormatting sqref="F25:F26 F28:F30">
    <cfRule type="expression" dxfId="38" priority="1">
      <formula>$I25=FALSE</formula>
    </cfRule>
  </conditionalFormatting>
  <pageMargins left="0.7" right="0.7" top="0.75" bottom="0.75" header="0.3" footer="0.3"/>
  <pageSetup scale="6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Source!D1:D7</xm:f>
          </x14:formula1>
          <xm:sqref>D19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CE5B1B55FDC6F46992CBD8D384DCF63" ma:contentTypeVersion="10" ma:contentTypeDescription="Create a new document." ma:contentTypeScope="" ma:versionID="c2ab4bddaa5d8d199d66bc8741e41c3a">
  <xsd:schema xmlns:xsd="http://www.w3.org/2001/XMLSchema" xmlns:xs="http://www.w3.org/2001/XMLSchema" xmlns:p="http://schemas.microsoft.com/office/2006/metadata/properties" xmlns:ns2="79499340-b9cf-4458-9368-33036c1b4dc9" xmlns:ns3="a2187807-d16b-4f26-8c23-1ecdc31f3e2b" targetNamespace="http://schemas.microsoft.com/office/2006/metadata/properties" ma:root="true" ma:fieldsID="63ecf18f3a037592d48da28a877557ed" ns2:_="" ns3:_="">
    <xsd:import namespace="79499340-b9cf-4458-9368-33036c1b4dc9"/>
    <xsd:import namespace="a2187807-d16b-4f26-8c23-1ecdc31f3e2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499340-b9cf-4458-9368-33036c1b4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187807-d16b-4f26-8c23-1ecdc31f3e2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931AEB-F73C-4B3A-9CEA-4C5D30F723D5}">
  <ds:schemaRefs>
    <ds:schemaRef ds:uri="http://schemas.microsoft.com/office/2006/documentManagement/types"/>
    <ds:schemaRef ds:uri="http://purl.org/dc/elements/1.1/"/>
    <ds:schemaRef ds:uri="http://purl.org/dc/terms/"/>
    <ds:schemaRef ds:uri="a2187807-d16b-4f26-8c23-1ecdc31f3e2b"/>
    <ds:schemaRef ds:uri="http://purl.org/dc/dcmitype/"/>
    <ds:schemaRef ds:uri="http://www.w3.org/XML/1998/namespace"/>
    <ds:schemaRef ds:uri="http://schemas.microsoft.com/office/infopath/2007/PartnerControls"/>
    <ds:schemaRef ds:uri="http://schemas.openxmlformats.org/package/2006/metadata/core-properties"/>
    <ds:schemaRef ds:uri="79499340-b9cf-4458-9368-33036c1b4dc9"/>
    <ds:schemaRef ds:uri="http://schemas.microsoft.com/office/2006/metadata/properties"/>
  </ds:schemaRefs>
</ds:datastoreItem>
</file>

<file path=customXml/itemProps2.xml><?xml version="1.0" encoding="utf-8"?>
<ds:datastoreItem xmlns:ds="http://schemas.openxmlformats.org/officeDocument/2006/customXml" ds:itemID="{5247FA76-2CB9-491C-810B-C395E6824F5E}">
  <ds:schemaRefs>
    <ds:schemaRef ds:uri="http://schemas.microsoft.com/sharepoint/v3/contenttype/forms"/>
  </ds:schemaRefs>
</ds:datastoreItem>
</file>

<file path=customXml/itemProps3.xml><?xml version="1.0" encoding="utf-8"?>
<ds:datastoreItem xmlns:ds="http://schemas.openxmlformats.org/officeDocument/2006/customXml" ds:itemID="{B92528CA-DE76-4596-8500-131BA295A5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499340-b9cf-4458-9368-33036c1b4dc9"/>
    <ds:schemaRef ds:uri="a2187807-d16b-4f26-8c23-1ecdc31f3e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23</vt:i4>
      </vt:variant>
      <vt:variant>
        <vt:lpstr>Named Ranges</vt:lpstr>
      </vt:variant>
      <vt:variant>
        <vt:i4>2</vt:i4>
      </vt:variant>
    </vt:vector>
  </HeadingPairs>
  <TitlesOfParts>
    <vt:vector size="25" baseType="lpstr">
      <vt:lpstr>Intro &amp; Instructions</vt:lpstr>
      <vt:lpstr>Contact Information</vt:lpstr>
      <vt:lpstr>Contact Information </vt:lpstr>
      <vt:lpstr>EO 594</vt:lpstr>
      <vt:lpstr>Contacts Source</vt:lpstr>
      <vt:lpstr>Square Footage</vt:lpstr>
      <vt:lpstr>Electricity Consumption</vt:lpstr>
      <vt:lpstr>Building Fuel Consumption</vt:lpstr>
      <vt:lpstr>Vehicle&amp;Other Fuel Consumption</vt:lpstr>
      <vt:lpstr>Installed Clean Power &amp; Storage</vt:lpstr>
      <vt:lpstr>Energy Storage Source</vt:lpstr>
      <vt:lpstr>Renewable &amp; Onsite Gen Sites</vt:lpstr>
      <vt:lpstr>Renewable Thermal Sites</vt:lpstr>
      <vt:lpstr>Vehicle Fleet</vt:lpstr>
      <vt:lpstr>EV Charging Stations</vt:lpstr>
      <vt:lpstr>Potential EV Stations source</vt:lpstr>
      <vt:lpstr>EV Charging Stations source</vt:lpstr>
      <vt:lpstr>EE Projects</vt:lpstr>
      <vt:lpstr>Source Water</vt:lpstr>
      <vt:lpstr>Sustainability</vt:lpstr>
      <vt:lpstr>(OLD) Landscaping</vt:lpstr>
      <vt:lpstr>Landscaping Source</vt:lpstr>
      <vt:lpstr>Source</vt:lpstr>
      <vt:lpstr>AgencyCampus</vt:lpstr>
      <vt:lpstr>Names</vt:lpstr>
    </vt:vector>
  </TitlesOfParts>
  <Manager/>
  <Company>Commonwealth of Massachusetts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murrutia;Ckehne@MassMail.State.MA.US</dc:creator>
  <cp:keywords/>
  <dc:description/>
  <cp:lastModifiedBy>Chelsea Kehne</cp:lastModifiedBy>
  <cp:revision/>
  <dcterms:created xsi:type="dcterms:W3CDTF">2013-07-16T13:39:49Z</dcterms:created>
  <dcterms:modified xsi:type="dcterms:W3CDTF">2021-10-18T11:32:39Z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0x010100CCE5B1B55FDC6F46992CBD8D384DCF63</vt:lpwstr>
  </property>
</Properties>
</file>