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massgov-my.sharepoint.com/personal/sophia_vitello_mass_gov/Documents/"/>
    </mc:Choice>
  </mc:AlternateContent>
  <xr:revisionPtr revIDLastSave="0" documentId="8_{5CEC18C7-2C5B-4BE7-8432-2D3D4AF9F381}" xr6:coauthVersionLast="47" xr6:coauthVersionMax="47" xr10:uidLastSave="{00000000-0000-0000-0000-000000000000}"/>
  <workbookProtection workbookAlgorithmName="SHA-512" workbookHashValue="q6Evyui+O0Mgcae+bFOqKxLpsQzddy7r7HEM7pvdNLXm/WX/ukNx6+HkLwAFDuIZXwWTwJAB1mKORENrpTyHMw==" workbookSaltValue="ylLS6bOj22JwVJuQusnKag==" workbookSpinCount="100000" lockStructure="1"/>
  <bookViews>
    <workbookView xWindow="-110" yWindow="-110" windowWidth="19420" windowHeight="10420" tabRatio="893" activeTab="4" xr2:uid="{00000000-000D-0000-FFFF-FFFF00000000}"/>
  </bookViews>
  <sheets>
    <sheet name="Intro &amp; Instructions" sheetId="36" r:id="rId1"/>
    <sheet name="Data Sources" sheetId="47" r:id="rId2"/>
    <sheet name="Contact Information " sheetId="45" r:id="rId3"/>
    <sheet name="Contacts Source" sheetId="34" state="hidden" r:id="rId4"/>
    <sheet name="Square Footage" sheetId="19" r:id="rId5"/>
    <sheet name="Electricity Consumption" sheetId="3" r:id="rId6"/>
    <sheet name="Building Fuel Consumption" sheetId="4" r:id="rId7"/>
    <sheet name="Vehicle&amp;Other Fuel Consumption" sheetId="5" r:id="rId8"/>
    <sheet name="Energy Storage Source" sheetId="43" state="hidden" r:id="rId9"/>
    <sheet name="Renewable &amp; Onsite Gen Sites" sheetId="16" state="hidden" r:id="rId10"/>
    <sheet name="Renewable Thermal Sites" sheetId="17" state="hidden" r:id="rId11"/>
    <sheet name="Vehicle Fleet" sheetId="32" r:id="rId12"/>
    <sheet name="EV Charging Stations" sheetId="23" r:id="rId13"/>
    <sheet name="Potential EV Stations source" sheetId="38" state="hidden" r:id="rId14"/>
    <sheet name="EV Charging Stations source" sheetId="24" state="hidden" r:id="rId15"/>
    <sheet name="Clean Power &amp; Storage" sheetId="15" r:id="rId16"/>
    <sheet name="EE Projects" sheetId="10" r:id="rId17"/>
    <sheet name="Source Water" sheetId="31" state="hidden" r:id="rId18"/>
    <sheet name="Decarb Planning" sheetId="49" r:id="rId19"/>
    <sheet name="Sustainability" sheetId="33" r:id="rId20"/>
    <sheet name="(OLD) Landscaping" sheetId="37" state="hidden" r:id="rId21"/>
    <sheet name="Landscaping Source" sheetId="42" state="hidden" r:id="rId22"/>
    <sheet name="BPLE Source" sheetId="46" state="hidden" r:id="rId23"/>
    <sheet name="Source" sheetId="8" state="hidden" r:id="rId24"/>
  </sheets>
  <externalReferences>
    <externalReference r:id="rId25"/>
  </externalReferences>
  <definedNames>
    <definedName name="_xlnm._FilterDatabase" localSheetId="22" hidden="1">'BPLE Source'!$A$1:$F$135</definedName>
    <definedName name="_xlnm._FilterDatabase" localSheetId="3" hidden="1">'Contacts Source'!$A$1:$Q$53</definedName>
    <definedName name="_xlnm._FilterDatabase" localSheetId="1" hidden="1">'Data Sources'!$A$12:$I$12</definedName>
    <definedName name="_xlnm._FilterDatabase" localSheetId="14" hidden="1">'EV Charging Stations source'!$A$1:$V$199</definedName>
    <definedName name="_xlnm._FilterDatabase" localSheetId="21" hidden="1">'Landscaping Source'!$A$1:$P$104</definedName>
    <definedName name="_xlnm._FilterDatabase" localSheetId="9" hidden="1">'Renewable &amp; Onsite Gen Sites'!$A$1:$AA$155</definedName>
    <definedName name="_xlnm._FilterDatabase" localSheetId="10" hidden="1">'Renewable Thermal Sites'!$A$1:$P$108</definedName>
    <definedName name="_xlnm._FilterDatabase" localSheetId="23" hidden="1">Source!#REF!</definedName>
    <definedName name="_xlnm._FilterDatabase" localSheetId="17" hidden="1">'Source Water'!$A$1:$H$336</definedName>
    <definedName name="AgencyCampus">Source!$F$2:$F$53</definedName>
    <definedName name="Independent_Verifier">'[1]Drop-Down Lists'!$H$2</definedName>
    <definedName name="Names">'EV Charging Stations source'!$H$2:$H$57</definedName>
    <definedName name="Official_Names">'[1]Drop-Down Lists'!$F$2:$F$352</definedName>
    <definedName name="State_Abbreviations">'[1]Drop-Down Lists'!$E$2:$E$51</definedName>
    <definedName name="Utility_Providers">'[1]Drop-Down Lists'!$G$2:$G$6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9" l="1"/>
  <c r="H53" i="32"/>
  <c r="J55" i="32" s="1"/>
  <c r="J40" i="32"/>
  <c r="J42" i="32" s="1"/>
  <c r="P55" i="42" l="1"/>
  <c r="P19" i="42"/>
  <c r="P104" i="42"/>
  <c r="P103" i="42"/>
  <c r="P102" i="42"/>
  <c r="P101" i="42"/>
  <c r="P100" i="42"/>
  <c r="P99" i="42"/>
  <c r="P96" i="42"/>
  <c r="P97" i="42"/>
  <c r="P98" i="42"/>
  <c r="P95" i="42"/>
  <c r="P94" i="42"/>
  <c r="P93" i="42"/>
  <c r="P92" i="42"/>
  <c r="P91" i="42"/>
  <c r="P90" i="42"/>
  <c r="P89" i="42"/>
  <c r="P88" i="42"/>
  <c r="P87" i="42"/>
  <c r="P85" i="42"/>
  <c r="P84" i="42"/>
  <c r="P83" i="42"/>
  <c r="P82" i="42"/>
  <c r="P81" i="42"/>
  <c r="P80" i="42"/>
  <c r="P79" i="42"/>
  <c r="P86" i="42"/>
  <c r="A78" i="42"/>
  <c r="A79" i="42"/>
  <c r="A80" i="42"/>
  <c r="A81" i="42"/>
  <c r="A82" i="42"/>
  <c r="A83" i="42"/>
  <c r="A84" i="42"/>
  <c r="A85" i="42"/>
  <c r="A86" i="42"/>
  <c r="A87" i="42"/>
  <c r="A88" i="42"/>
  <c r="A89" i="42"/>
  <c r="A90" i="42"/>
  <c r="A91" i="42"/>
  <c r="A92" i="42"/>
  <c r="A93" i="42"/>
  <c r="A94" i="42"/>
  <c r="A95" i="42"/>
  <c r="A96" i="42"/>
  <c r="A97" i="42"/>
  <c r="A98" i="42"/>
  <c r="A99" i="42"/>
  <c r="A100" i="42"/>
  <c r="A101" i="42"/>
  <c r="A102" i="42"/>
  <c r="A103" i="42"/>
  <c r="A104" i="42"/>
  <c r="H338" i="31" l="1"/>
  <c r="A338" i="31"/>
  <c r="H328" i="31"/>
  <c r="A328" i="31"/>
  <c r="H320" i="31"/>
  <c r="A320" i="31"/>
  <c r="H309" i="31"/>
  <c r="A309" i="31"/>
  <c r="A310" i="31"/>
  <c r="H298" i="31"/>
  <c r="A298" i="31"/>
  <c r="H287" i="31"/>
  <c r="A287" i="31"/>
  <c r="H276" i="31"/>
  <c r="A276" i="31"/>
  <c r="H265" i="31"/>
  <c r="A265" i="31"/>
  <c r="H254" i="31"/>
  <c r="A254" i="31"/>
  <c r="H243" i="31"/>
  <c r="A243" i="31"/>
  <c r="H233" i="31"/>
  <c r="A233" i="31"/>
  <c r="H225" i="31"/>
  <c r="A225" i="31"/>
  <c r="H215" i="31"/>
  <c r="A215" i="31"/>
  <c r="H204" i="31"/>
  <c r="A204" i="31"/>
  <c r="H193" i="31"/>
  <c r="A193" i="31"/>
  <c r="H182" i="31"/>
  <c r="A182" i="31"/>
  <c r="H171" i="31"/>
  <c r="A171" i="31"/>
  <c r="H160" i="31"/>
  <c r="A160" i="31"/>
  <c r="A150" i="31"/>
  <c r="H150" i="31"/>
  <c r="A139" i="31"/>
  <c r="H139" i="31"/>
  <c r="H128" i="31"/>
  <c r="A128" i="31"/>
  <c r="H117" i="31"/>
  <c r="A117" i="31"/>
  <c r="A106" i="31"/>
  <c r="H106" i="31"/>
  <c r="H96" i="31"/>
  <c r="A96" i="31"/>
  <c r="H85" i="31"/>
  <c r="A85" i="31"/>
  <c r="H74" i="31"/>
  <c r="A74" i="31"/>
  <c r="A61" i="31"/>
  <c r="A62" i="31"/>
  <c r="A63" i="31"/>
  <c r="H60" i="31"/>
  <c r="A60" i="31"/>
  <c r="H49" i="31"/>
  <c r="A49" i="31"/>
  <c r="A42" i="31"/>
  <c r="H42" i="31"/>
  <c r="H31" i="31"/>
  <c r="A31" i="31"/>
  <c r="H23" i="31"/>
  <c r="A23" i="31"/>
  <c r="H12" i="31"/>
  <c r="A12" i="31"/>
  <c r="A55" i="24" l="1"/>
  <c r="A69" i="24"/>
  <c r="A70" i="24"/>
  <c r="A71" i="24"/>
  <c r="A72" i="24"/>
  <c r="A73" i="24"/>
  <c r="A74" i="24"/>
  <c r="A75" i="24"/>
  <c r="A76" i="24"/>
  <c r="A77" i="24"/>
  <c r="A100" i="24"/>
  <c r="A101" i="24"/>
  <c r="A102" i="24"/>
  <c r="A145" i="24"/>
  <c r="A59" i="24"/>
  <c r="A2" i="24"/>
  <c r="A6" i="24"/>
  <c r="A7" i="24"/>
  <c r="A8" i="24"/>
  <c r="A12" i="24"/>
  <c r="A13" i="24"/>
  <c r="A17" i="24"/>
  <c r="A18" i="24"/>
  <c r="A14" i="24"/>
  <c r="A50" i="24"/>
  <c r="A51" i="24"/>
  <c r="A52" i="24"/>
  <c r="A54" i="24"/>
  <c r="A56" i="24"/>
  <c r="A57" i="24"/>
  <c r="A58" i="24"/>
  <c r="A60" i="24"/>
  <c r="A61" i="24"/>
  <c r="A62" i="24"/>
  <c r="A66" i="24"/>
  <c r="A67" i="24"/>
  <c r="A68" i="24"/>
  <c r="A78" i="24"/>
  <c r="A79" i="24"/>
  <c r="A80" i="24"/>
  <c r="A81" i="24"/>
  <c r="A82" i="24"/>
  <c r="A83" i="24"/>
  <c r="A84" i="24"/>
  <c r="A85" i="24"/>
  <c r="A86" i="24"/>
  <c r="A87" i="24"/>
  <c r="A88" i="24"/>
  <c r="A89" i="24"/>
  <c r="A90" i="24"/>
  <c r="A91" i="24"/>
  <c r="A92" i="24"/>
  <c r="A93" i="24"/>
  <c r="A94" i="24"/>
  <c r="A95" i="24"/>
  <c r="A96" i="24"/>
  <c r="A97" i="24"/>
  <c r="A103" i="24"/>
  <c r="A104" i="24"/>
  <c r="A105" i="24"/>
  <c r="A106" i="24"/>
  <c r="A107" i="24"/>
  <c r="A108" i="24"/>
  <c r="A109" i="24"/>
  <c r="A110" i="24"/>
  <c r="A111" i="24"/>
  <c r="A112" i="24"/>
  <c r="A113" i="24"/>
  <c r="A114" i="24"/>
  <c r="A115" i="24"/>
  <c r="A116" i="24"/>
  <c r="A117" i="24"/>
  <c r="A118" i="24"/>
  <c r="A119" i="24"/>
  <c r="A120" i="24"/>
  <c r="A15" i="24"/>
  <c r="A121" i="24"/>
  <c r="A127" i="24"/>
  <c r="A128" i="24"/>
  <c r="A129" i="24"/>
  <c r="A130" i="24"/>
  <c r="A131" i="24"/>
  <c r="A137" i="24"/>
  <c r="A138" i="24"/>
  <c r="A139" i="24"/>
  <c r="A140" i="24"/>
  <c r="A141" i="24"/>
  <c r="A142" i="24"/>
  <c r="A46" i="24"/>
  <c r="A146" i="24"/>
  <c r="A147" i="24"/>
  <c r="A148" i="24"/>
  <c r="A149" i="24"/>
  <c r="A150" i="24"/>
  <c r="A151" i="24"/>
  <c r="A152" i="24"/>
  <c r="A153" i="24"/>
  <c r="A154" i="24"/>
  <c r="A173" i="24"/>
  <c r="A178" i="24"/>
  <c r="A179" i="24"/>
  <c r="A180" i="24"/>
  <c r="A181" i="24"/>
  <c r="A182" i="24"/>
  <c r="A183" i="24"/>
  <c r="A184" i="24"/>
  <c r="A185" i="24"/>
  <c r="A186" i="24"/>
  <c r="A187" i="24"/>
  <c r="A188" i="24"/>
  <c r="A189" i="24"/>
  <c r="A190" i="24"/>
  <c r="A191" i="24"/>
  <c r="A192" i="24"/>
  <c r="A193" i="24"/>
  <c r="A194" i="24"/>
  <c r="A174" i="24"/>
  <c r="A175" i="24"/>
  <c r="A176" i="24"/>
  <c r="A196" i="24"/>
  <c r="A197" i="24"/>
  <c r="A198" i="24"/>
  <c r="A155" i="24"/>
  <c r="A199" i="24"/>
  <c r="A32" i="24"/>
  <c r="A33" i="24"/>
  <c r="A3" i="24"/>
  <c r="A4" i="24"/>
  <c r="A143" i="24"/>
  <c r="A156" i="24"/>
  <c r="A157" i="24"/>
  <c r="A158" i="24"/>
  <c r="A159" i="24"/>
  <c r="A34" i="24"/>
  <c r="A35" i="24"/>
  <c r="A19" i="24"/>
  <c r="A98" i="24"/>
  <c r="A99" i="24"/>
  <c r="A63" i="24"/>
  <c r="A64" i="24"/>
  <c r="A65" i="24"/>
  <c r="A144" i="24"/>
  <c r="A44" i="24"/>
  <c r="A49" i="24"/>
  <c r="A45" i="24"/>
  <c r="A133" i="24"/>
  <c r="A134" i="24"/>
  <c r="A122" i="24"/>
  <c r="A135" i="24"/>
  <c r="A136" i="24"/>
  <c r="A160" i="24"/>
  <c r="A161" i="24"/>
  <c r="A162" i="24"/>
  <c r="A163" i="24"/>
  <c r="A164" i="24"/>
  <c r="A165" i="24"/>
  <c r="A166" i="24"/>
  <c r="A167" i="24"/>
  <c r="A168" i="24"/>
  <c r="A169" i="24"/>
  <c r="A170" i="24"/>
  <c r="A171" i="24"/>
  <c r="A172" i="24"/>
  <c r="A42" i="24"/>
  <c r="A43" i="24"/>
  <c r="A177" i="24"/>
  <c r="A5" i="24"/>
  <c r="A20" i="24"/>
  <c r="A21" i="24"/>
  <c r="A22" i="24"/>
  <c r="A23" i="24"/>
  <c r="A24" i="24"/>
  <c r="A25" i="24"/>
  <c r="A26" i="24"/>
  <c r="A27" i="24"/>
  <c r="A28" i="24"/>
  <c r="A29" i="24"/>
  <c r="A30" i="24"/>
  <c r="A39" i="24"/>
  <c r="A40" i="24"/>
  <c r="A41" i="24"/>
  <c r="A123" i="24"/>
  <c r="A124" i="24"/>
  <c r="A36" i="24"/>
  <c r="A37" i="24"/>
  <c r="A38" i="24"/>
  <c r="A126" i="24"/>
  <c r="A132" i="24"/>
  <c r="A47" i="24"/>
  <c r="A48" i="24"/>
  <c r="A10" i="24"/>
  <c r="A11" i="24"/>
  <c r="A31" i="24"/>
  <c r="A125" i="24"/>
  <c r="A195" i="24"/>
  <c r="A16" i="24"/>
  <c r="A53" i="24"/>
  <c r="A9" i="24"/>
  <c r="A5" i="17" l="1"/>
  <c r="A2" i="17"/>
  <c r="A3" i="17"/>
  <c r="A4" i="17"/>
  <c r="A91" i="17"/>
  <c r="A10" i="17"/>
  <c r="A11" i="17"/>
  <c r="A12" i="17"/>
  <c r="A13" i="17"/>
  <c r="A14" i="17"/>
  <c r="A15" i="17"/>
  <c r="A16" i="17"/>
  <c r="A17" i="17"/>
  <c r="A18" i="17"/>
  <c r="A19" i="17"/>
  <c r="A20" i="17"/>
  <c r="A21" i="17"/>
  <c r="A22" i="17"/>
  <c r="A23" i="17"/>
  <c r="A24" i="17"/>
  <c r="A69" i="17"/>
  <c r="A70" i="17"/>
  <c r="A71" i="17"/>
  <c r="A72" i="17"/>
  <c r="A92" i="17"/>
  <c r="A73" i="17"/>
  <c r="A77" i="17"/>
  <c r="A78" i="17"/>
  <c r="A75" i="17"/>
  <c r="A76" i="17"/>
  <c r="A93" i="17"/>
  <c r="A84" i="17"/>
  <c r="A86" i="17"/>
  <c r="A87" i="17"/>
  <c r="A88" i="17"/>
  <c r="A89" i="17"/>
  <c r="A94" i="17"/>
  <c r="A95" i="17"/>
  <c r="A101" i="17"/>
  <c r="A102" i="17"/>
  <c r="A103" i="17"/>
  <c r="A104" i="17"/>
  <c r="A105" i="17"/>
  <c r="A106" i="17"/>
  <c r="A108" i="17"/>
  <c r="A6" i="17"/>
  <c r="A96" i="17"/>
  <c r="A7" i="17"/>
  <c r="A85" i="17"/>
  <c r="A97" i="17"/>
  <c r="A98" i="17"/>
  <c r="A99" i="17"/>
  <c r="A100" i="17"/>
  <c r="A74" i="17"/>
  <c r="A107" i="17"/>
  <c r="A79" i="17"/>
  <c r="A80" i="17"/>
  <c r="A81" i="17"/>
  <c r="A82" i="17"/>
  <c r="A83" i="17"/>
  <c r="A8" i="17"/>
  <c r="A9"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A3" i="16"/>
  <c r="AA4" i="16"/>
  <c r="AA5" i="16"/>
  <c r="AA6" i="16"/>
  <c r="AA7" i="16"/>
  <c r="AA8" i="16"/>
  <c r="AA9" i="16"/>
  <c r="AA10" i="16"/>
  <c r="AA11" i="16"/>
  <c r="AA12" i="16"/>
  <c r="AA13" i="16"/>
  <c r="AA14" i="16"/>
  <c r="AA15" i="16"/>
  <c r="AA16" i="16"/>
  <c r="AA17" i="16"/>
  <c r="AA18" i="16"/>
  <c r="AA19" i="16"/>
  <c r="AA20" i="16"/>
  <c r="AA21" i="16"/>
  <c r="AA22" i="16"/>
  <c r="AA23" i="16"/>
  <c r="AA24" i="16"/>
  <c r="AA25" i="16"/>
  <c r="AA26" i="16"/>
  <c r="AA27" i="16"/>
  <c r="AA28" i="16"/>
  <c r="AA29" i="16"/>
  <c r="AA30" i="16"/>
  <c r="AA31" i="16"/>
  <c r="AA32" i="16"/>
  <c r="AA33" i="16"/>
  <c r="AA34" i="16"/>
  <c r="AA35" i="16"/>
  <c r="AA36" i="16"/>
  <c r="AA37" i="16"/>
  <c r="AA38" i="16"/>
  <c r="AA39" i="16"/>
  <c r="AA40" i="16"/>
  <c r="AA41" i="16"/>
  <c r="AA42" i="16"/>
  <c r="AA43" i="16"/>
  <c r="AA44" i="16"/>
  <c r="AA45" i="16"/>
  <c r="AA46" i="16"/>
  <c r="AA47" i="16"/>
  <c r="AA48" i="16"/>
  <c r="AA49" i="16"/>
  <c r="AA50" i="16"/>
  <c r="AA51" i="16"/>
  <c r="AA52" i="16"/>
  <c r="AA53" i="16"/>
  <c r="AA54" i="16"/>
  <c r="AA55" i="16"/>
  <c r="AA56" i="16"/>
  <c r="AA57" i="16"/>
  <c r="AA58" i="16"/>
  <c r="AA59" i="16"/>
  <c r="AA60" i="16"/>
  <c r="AA61" i="16"/>
  <c r="AA62" i="16"/>
  <c r="AA63" i="16"/>
  <c r="AA64" i="16"/>
  <c r="AA65" i="16"/>
  <c r="AA66" i="16"/>
  <c r="AA67" i="16"/>
  <c r="AA68" i="16"/>
  <c r="AA69" i="16"/>
  <c r="AA70" i="16"/>
  <c r="AA71" i="16"/>
  <c r="AA72" i="16"/>
  <c r="AA73" i="16"/>
  <c r="AA74" i="16"/>
  <c r="AA75" i="16"/>
  <c r="AA76" i="16"/>
  <c r="AA77" i="16"/>
  <c r="AA78" i="16"/>
  <c r="AA79"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104" i="16"/>
  <c r="AA105" i="16"/>
  <c r="AA106" i="16"/>
  <c r="AA107" i="16"/>
  <c r="AA108" i="16"/>
  <c r="AA109" i="16"/>
  <c r="AA110" i="16"/>
  <c r="AA111" i="16"/>
  <c r="AA112" i="16"/>
  <c r="AA113" i="16"/>
  <c r="AA114" i="16"/>
  <c r="AA115" i="16"/>
  <c r="AA116" i="16"/>
  <c r="AA117" i="16"/>
  <c r="AA118" i="16"/>
  <c r="AA119" i="16"/>
  <c r="AA120" i="16"/>
  <c r="AA121" i="16"/>
  <c r="AA122" i="16"/>
  <c r="AA123" i="16"/>
  <c r="AA124" i="16"/>
  <c r="AA125" i="16"/>
  <c r="AA126" i="16"/>
  <c r="AA127" i="16"/>
  <c r="AA128" i="16"/>
  <c r="AA129" i="16"/>
  <c r="AA130" i="16"/>
  <c r="AA131" i="16"/>
  <c r="AA132" i="16"/>
  <c r="AA133" i="16"/>
  <c r="AA134" i="16"/>
  <c r="AA135" i="16"/>
  <c r="AA136" i="16"/>
  <c r="AA137" i="16"/>
  <c r="AA138" i="16"/>
  <c r="AA139" i="16"/>
  <c r="AA140" i="16"/>
  <c r="AA141" i="16"/>
  <c r="AA142" i="16"/>
  <c r="AA143" i="16"/>
  <c r="AA144" i="16"/>
  <c r="AA145" i="16"/>
  <c r="AA146" i="16"/>
  <c r="AA147" i="16"/>
  <c r="AA148" i="16"/>
  <c r="AA149" i="16"/>
  <c r="AA150" i="16"/>
  <c r="AA151" i="16"/>
  <c r="AA152" i="16"/>
  <c r="AA153" i="16"/>
  <c r="AA154" i="16"/>
  <c r="AA155" i="16"/>
  <c r="AA156" i="16"/>
  <c r="AA157" i="16"/>
  <c r="AA158" i="16"/>
  <c r="AA159" i="16"/>
  <c r="AA160" i="16"/>
  <c r="AA161" i="16"/>
  <c r="AA162" i="16"/>
  <c r="AA163" i="16"/>
  <c r="AA164" i="16"/>
  <c r="AA165" i="16"/>
  <c r="AA166" i="16"/>
  <c r="AA167" i="16"/>
  <c r="AA168" i="16"/>
  <c r="AA169" i="16"/>
  <c r="AA170" i="16"/>
  <c r="AA171" i="16"/>
  <c r="AA172" i="16"/>
  <c r="AA173" i="16"/>
  <c r="AA174" i="16"/>
  <c r="AA175" i="16"/>
  <c r="AA176" i="16"/>
  <c r="AA177" i="16"/>
  <c r="AA178" i="16"/>
  <c r="AA179" i="16"/>
  <c r="AA180" i="16"/>
  <c r="AA181" i="16"/>
  <c r="AA182" i="16"/>
  <c r="AA183" i="16"/>
  <c r="AA184" i="16"/>
  <c r="AA185" i="16"/>
  <c r="AA186" i="16"/>
  <c r="A40" i="16"/>
  <c r="A41" i="16"/>
  <c r="A42" i="16"/>
  <c r="A43" i="16"/>
  <c r="A44" i="16"/>
  <c r="A45" i="16"/>
  <c r="A46" i="16"/>
  <c r="A47" i="16"/>
  <c r="A48" i="16"/>
  <c r="A167" i="16"/>
  <c r="A186" i="16"/>
  <c r="A3" i="16"/>
  <c r="A4" i="16"/>
  <c r="A5" i="16"/>
  <c r="A6" i="16"/>
  <c r="A7" i="16"/>
  <c r="A8" i="16"/>
  <c r="A9" i="16"/>
  <c r="A10" i="16"/>
  <c r="A11" i="16"/>
  <c r="A12" i="16"/>
  <c r="A13" i="16"/>
  <c r="A14" i="16"/>
  <c r="A15" i="16"/>
  <c r="A16" i="16"/>
  <c r="A17" i="16"/>
  <c r="A18" i="16"/>
  <c r="A19" i="16"/>
  <c r="A20" i="16"/>
  <c r="A21" i="16"/>
  <c r="A22" i="16"/>
  <c r="A23" i="16"/>
  <c r="A24" i="16"/>
  <c r="A26" i="16"/>
  <c r="A27" i="16"/>
  <c r="A28" i="16"/>
  <c r="A29" i="16"/>
  <c r="A30" i="16"/>
  <c r="A31" i="16"/>
  <c r="A32" i="16"/>
  <c r="A33" i="16"/>
  <c r="A34" i="16"/>
  <c r="A36" i="16"/>
  <c r="A37" i="16"/>
  <c r="A38" i="16"/>
  <c r="A39" i="16"/>
  <c r="A49" i="16"/>
  <c r="A50" i="16"/>
  <c r="A51" i="16"/>
  <c r="A52" i="16"/>
  <c r="A53" i="16"/>
  <c r="A54" i="16"/>
  <c r="A66" i="16"/>
  <c r="A55" i="16"/>
  <c r="A58" i="16"/>
  <c r="A59" i="16"/>
  <c r="A60" i="16"/>
  <c r="A61" i="16"/>
  <c r="A62" i="16"/>
  <c r="A63" i="16"/>
  <c r="A64" i="16"/>
  <c r="A65" i="16"/>
  <c r="A73" i="16"/>
  <c r="A74" i="16"/>
  <c r="A75" i="16"/>
  <c r="A76" i="16"/>
  <c r="A77" i="16"/>
  <c r="A79" i="16"/>
  <c r="A80" i="16"/>
  <c r="A81" i="16"/>
  <c r="A82" i="16"/>
  <c r="A83" i="16"/>
  <c r="A78"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67" i="16"/>
  <c r="A68" i="16"/>
  <c r="A69" i="16"/>
  <c r="A70" i="16"/>
  <c r="A71" i="16"/>
  <c r="A72" i="16"/>
  <c r="A130" i="16"/>
  <c r="A131" i="16"/>
  <c r="A132" i="16"/>
  <c r="A135" i="16"/>
  <c r="A136" i="16"/>
  <c r="A137" i="16"/>
  <c r="A84" i="16"/>
  <c r="A85" i="16"/>
  <c r="A86" i="16"/>
  <c r="A87" i="16"/>
  <c r="A88" i="16"/>
  <c r="A89" i="16"/>
  <c r="A90" i="16"/>
  <c r="A91" i="16"/>
  <c r="A92" i="16"/>
  <c r="A93" i="16"/>
  <c r="A94" i="16"/>
  <c r="A95" i="16"/>
  <c r="A96" i="16"/>
  <c r="A97" i="16"/>
  <c r="A98" i="16"/>
  <c r="A99" i="16"/>
  <c r="A100" i="16"/>
  <c r="A101" i="16"/>
  <c r="A102"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8" i="16"/>
  <c r="A169" i="16"/>
  <c r="A170" i="16"/>
  <c r="A171" i="16"/>
  <c r="A172" i="16"/>
  <c r="A173" i="16"/>
  <c r="A174" i="16"/>
  <c r="A175" i="16"/>
  <c r="A176" i="16"/>
  <c r="A177" i="16"/>
  <c r="A178" i="16"/>
  <c r="A179" i="16"/>
  <c r="A180" i="16"/>
  <c r="A181" i="16"/>
  <c r="A182" i="16"/>
  <c r="A183" i="16"/>
  <c r="A184" i="16"/>
  <c r="A185" i="16"/>
  <c r="A35" i="16"/>
  <c r="A25" i="16"/>
  <c r="A56" i="16"/>
  <c r="A57" i="16"/>
  <c r="A133" i="16"/>
  <c r="A134" i="16"/>
  <c r="AA2" i="16"/>
  <c r="L21" i="45" l="1"/>
  <c r="L20" i="45"/>
  <c r="D21" i="45"/>
  <c r="D20" i="45"/>
  <c r="L18" i="45"/>
  <c r="L17" i="45"/>
  <c r="D18" i="45"/>
  <c r="D17" i="45"/>
  <c r="D15" i="45"/>
  <c r="L15" i="45"/>
  <c r="L14" i="45"/>
  <c r="D14" i="45"/>
  <c r="L12" i="45"/>
  <c r="L11" i="45"/>
  <c r="D12" i="45"/>
  <c r="D11" i="45"/>
  <c r="E53" i="32"/>
  <c r="F53" i="32"/>
  <c r="G53" i="32"/>
  <c r="I53" i="32"/>
  <c r="D53" i="32"/>
  <c r="H337" i="31" l="1"/>
  <c r="A337" i="31"/>
  <c r="H327" i="31"/>
  <c r="A327" i="31"/>
  <c r="H319" i="31"/>
  <c r="A319" i="31"/>
  <c r="H308" i="31"/>
  <c r="A308" i="31"/>
  <c r="H297" i="31"/>
  <c r="A297" i="31"/>
  <c r="H286" i="31"/>
  <c r="A286" i="31"/>
  <c r="H275" i="31"/>
  <c r="A275" i="31"/>
  <c r="A264" i="31"/>
  <c r="H264" i="31"/>
  <c r="H253" i="31"/>
  <c r="A253" i="31"/>
  <c r="H242" i="31"/>
  <c r="A242" i="31"/>
  <c r="A232" i="31"/>
  <c r="H232" i="31"/>
  <c r="H224" i="31"/>
  <c r="A224" i="31"/>
  <c r="A214" i="31"/>
  <c r="H214" i="31"/>
  <c r="A203" i="31"/>
  <c r="H203" i="31"/>
  <c r="A192" i="31"/>
  <c r="H192" i="31"/>
  <c r="A181" i="31"/>
  <c r="H181" i="31"/>
  <c r="H170" i="31"/>
  <c r="A170" i="31"/>
  <c r="H159" i="31"/>
  <c r="A159" i="31"/>
  <c r="A149" i="31"/>
  <c r="H149" i="31"/>
  <c r="A138" i="31"/>
  <c r="H138" i="31"/>
  <c r="A127" i="31"/>
  <c r="H127" i="31"/>
  <c r="A116" i="31"/>
  <c r="H116" i="31"/>
  <c r="A105" i="31"/>
  <c r="H105" i="31"/>
  <c r="A95" i="31"/>
  <c r="H95" i="31"/>
  <c r="H84" i="31"/>
  <c r="A84" i="31"/>
  <c r="H73" i="31"/>
  <c r="A73" i="31"/>
  <c r="H59" i="31"/>
  <c r="A59" i="31"/>
  <c r="H48" i="31"/>
  <c r="A48" i="31"/>
  <c r="A41" i="31"/>
  <c r="H41" i="31"/>
  <c r="H30" i="31"/>
  <c r="A30" i="31"/>
  <c r="H11" i="31"/>
  <c r="A11" i="31"/>
  <c r="A22" i="31"/>
  <c r="H22" i="31"/>
  <c r="H10" i="31" l="1"/>
  <c r="H336" i="31"/>
  <c r="A336" i="31"/>
  <c r="H326" i="31"/>
  <c r="A326" i="31"/>
  <c r="H318" i="31"/>
  <c r="A318" i="31"/>
  <c r="H307" i="31"/>
  <c r="A307" i="31"/>
  <c r="H296" i="31"/>
  <c r="A296" i="31"/>
  <c r="H285" i="31"/>
  <c r="A285" i="31"/>
  <c r="H274" i="31"/>
  <c r="A274" i="31"/>
  <c r="H263" i="31"/>
  <c r="A263" i="31"/>
  <c r="H252" i="31"/>
  <c r="A252" i="31"/>
  <c r="H241" i="31"/>
  <c r="A241" i="31"/>
  <c r="H231" i="31"/>
  <c r="A231" i="31"/>
  <c r="H223" i="31"/>
  <c r="A223" i="31"/>
  <c r="H213" i="31"/>
  <c r="A213" i="31"/>
  <c r="H202" i="31"/>
  <c r="A202" i="31"/>
  <c r="H191" i="31"/>
  <c r="A191" i="31"/>
  <c r="H180" i="31"/>
  <c r="A180" i="31"/>
  <c r="H169" i="31"/>
  <c r="A169" i="31"/>
  <c r="H158" i="31"/>
  <c r="A158" i="31"/>
  <c r="H148" i="31"/>
  <c r="A148" i="31"/>
  <c r="H137" i="31"/>
  <c r="A137" i="31"/>
  <c r="H126" i="31"/>
  <c r="A126" i="31"/>
  <c r="H115" i="31"/>
  <c r="A115" i="31"/>
  <c r="H104" i="31"/>
  <c r="A104" i="31"/>
  <c r="H94" i="31"/>
  <c r="A94" i="31"/>
  <c r="H83" i="31"/>
  <c r="A83" i="31"/>
  <c r="H72" i="31"/>
  <c r="A72" i="31"/>
  <c r="H58" i="31"/>
  <c r="A58" i="31"/>
  <c r="H47" i="31"/>
  <c r="A47" i="31"/>
  <c r="H40" i="31"/>
  <c r="A40" i="31"/>
  <c r="H29" i="31"/>
  <c r="A29" i="31"/>
  <c r="H21" i="31"/>
  <c r="A21" i="31"/>
  <c r="A10" i="31"/>
  <c r="K6" i="43"/>
  <c r="K7" i="43"/>
  <c r="J15" i="33"/>
  <c r="G7" i="23"/>
  <c r="G7" i="15"/>
  <c r="G68" i="15" s="1"/>
  <c r="I12" i="19"/>
  <c r="P59" i="42"/>
  <c r="A59" i="42"/>
  <c r="A9" i="31"/>
  <c r="A19" i="42"/>
  <c r="P31" i="42"/>
  <c r="A31" i="42"/>
  <c r="P73" i="42"/>
  <c r="P74" i="42"/>
  <c r="A73" i="42"/>
  <c r="A74" i="42"/>
  <c r="K19" i="33"/>
  <c r="A69" i="42"/>
  <c r="A70" i="42"/>
  <c r="A71" i="42"/>
  <c r="B84" i="23"/>
  <c r="H335" i="31"/>
  <c r="H20" i="31"/>
  <c r="H24" i="31"/>
  <c r="H25" i="31"/>
  <c r="H26" i="31"/>
  <c r="H27" i="31"/>
  <c r="H28" i="31"/>
  <c r="H32" i="31"/>
  <c r="H33" i="31"/>
  <c r="H34" i="31"/>
  <c r="H35" i="31"/>
  <c r="H36" i="31"/>
  <c r="H37" i="31"/>
  <c r="H38" i="31"/>
  <c r="H39" i="31"/>
  <c r="H43" i="31"/>
  <c r="H44" i="31"/>
  <c r="H45" i="31"/>
  <c r="H46" i="31"/>
  <c r="H50" i="31"/>
  <c r="H51" i="31"/>
  <c r="H52" i="31"/>
  <c r="H53" i="31"/>
  <c r="H54" i="31"/>
  <c r="H55" i="31"/>
  <c r="H56" i="31"/>
  <c r="H57" i="31"/>
  <c r="H64" i="31"/>
  <c r="H65" i="31"/>
  <c r="H66" i="31"/>
  <c r="H67" i="31"/>
  <c r="H68" i="31"/>
  <c r="H69" i="31"/>
  <c r="H70" i="31"/>
  <c r="H71" i="31"/>
  <c r="H75" i="31"/>
  <c r="H76" i="31"/>
  <c r="H77" i="31"/>
  <c r="H78" i="31"/>
  <c r="H79" i="31"/>
  <c r="H80" i="31"/>
  <c r="H81" i="31"/>
  <c r="H82" i="31"/>
  <c r="H86" i="31"/>
  <c r="H87" i="31"/>
  <c r="H88" i="31"/>
  <c r="H89" i="31"/>
  <c r="H90" i="31"/>
  <c r="H91" i="31"/>
  <c r="H92" i="31"/>
  <c r="H93" i="31"/>
  <c r="H97" i="31"/>
  <c r="H98" i="31"/>
  <c r="H99" i="31"/>
  <c r="H100" i="31"/>
  <c r="H101" i="31"/>
  <c r="H102" i="31"/>
  <c r="H103" i="31"/>
  <c r="H107" i="31"/>
  <c r="H108" i="31"/>
  <c r="H109" i="31"/>
  <c r="H110" i="31"/>
  <c r="H111" i="31"/>
  <c r="H112" i="31"/>
  <c r="H113" i="31"/>
  <c r="H114" i="31"/>
  <c r="H118" i="31"/>
  <c r="H119" i="31"/>
  <c r="H120" i="31"/>
  <c r="H121" i="31"/>
  <c r="H122" i="31"/>
  <c r="H123" i="31"/>
  <c r="H124" i="31"/>
  <c r="H125" i="31"/>
  <c r="H129" i="31"/>
  <c r="H130" i="31"/>
  <c r="H131" i="31"/>
  <c r="H132" i="31"/>
  <c r="H133" i="31"/>
  <c r="H134" i="31"/>
  <c r="H135" i="31"/>
  <c r="H136" i="31"/>
  <c r="H140" i="31"/>
  <c r="H141" i="31"/>
  <c r="H142" i="31"/>
  <c r="H143" i="31"/>
  <c r="H144" i="31"/>
  <c r="H145" i="31"/>
  <c r="H146" i="31"/>
  <c r="H147" i="31"/>
  <c r="H151" i="31"/>
  <c r="H152" i="31"/>
  <c r="H153" i="31"/>
  <c r="H154" i="31"/>
  <c r="H155" i="31"/>
  <c r="H156" i="31"/>
  <c r="H157" i="31"/>
  <c r="H161" i="31"/>
  <c r="H162" i="31"/>
  <c r="H163" i="31"/>
  <c r="H164" i="31"/>
  <c r="H165" i="31"/>
  <c r="H166" i="31"/>
  <c r="H167" i="31"/>
  <c r="H168" i="31"/>
  <c r="H172" i="31"/>
  <c r="H173" i="31"/>
  <c r="H174" i="31"/>
  <c r="H175" i="31"/>
  <c r="H176" i="31"/>
  <c r="H177" i="31"/>
  <c r="H178" i="31"/>
  <c r="H179" i="31"/>
  <c r="H183" i="31"/>
  <c r="H184" i="31"/>
  <c r="H185" i="31"/>
  <c r="H186" i="31"/>
  <c r="H187" i="31"/>
  <c r="H188" i="31"/>
  <c r="H189" i="31"/>
  <c r="H190" i="31"/>
  <c r="H194" i="31"/>
  <c r="H195" i="31"/>
  <c r="H196" i="31"/>
  <c r="H197" i="31"/>
  <c r="H198" i="31"/>
  <c r="H199" i="31"/>
  <c r="H200" i="31"/>
  <c r="H201" i="31"/>
  <c r="H205" i="31"/>
  <c r="H206" i="31"/>
  <c r="H207" i="31"/>
  <c r="H208" i="31"/>
  <c r="H209" i="31"/>
  <c r="H210" i="31"/>
  <c r="H211" i="31"/>
  <c r="H212" i="31"/>
  <c r="H216" i="31"/>
  <c r="H217" i="31"/>
  <c r="H218" i="31"/>
  <c r="H219" i="31"/>
  <c r="H220" i="31"/>
  <c r="H221" i="31"/>
  <c r="H222" i="31"/>
  <c r="H226" i="31"/>
  <c r="H227" i="31"/>
  <c r="H228" i="31"/>
  <c r="H229" i="31"/>
  <c r="H230" i="31"/>
  <c r="H234" i="31"/>
  <c r="H235" i="31"/>
  <c r="H236" i="31"/>
  <c r="H237" i="31"/>
  <c r="H238" i="31"/>
  <c r="H239" i="31"/>
  <c r="H240" i="31"/>
  <c r="H244" i="31"/>
  <c r="H245" i="31"/>
  <c r="H246" i="31"/>
  <c r="H247" i="31"/>
  <c r="H248" i="31"/>
  <c r="H249" i="31"/>
  <c r="H250" i="31"/>
  <c r="H251" i="31"/>
  <c r="H255" i="31"/>
  <c r="H256" i="31"/>
  <c r="H257" i="31"/>
  <c r="H258" i="31"/>
  <c r="H259" i="31"/>
  <c r="H260" i="31"/>
  <c r="H261" i="31"/>
  <c r="H262" i="31"/>
  <c r="H266" i="31"/>
  <c r="H267" i="31"/>
  <c r="H268" i="31"/>
  <c r="H269" i="31"/>
  <c r="H270" i="31"/>
  <c r="H271" i="31"/>
  <c r="H272" i="31"/>
  <c r="H273" i="31"/>
  <c r="H277" i="31"/>
  <c r="H278" i="31"/>
  <c r="H279" i="31"/>
  <c r="H280" i="31"/>
  <c r="H281" i="31"/>
  <c r="H282" i="31"/>
  <c r="H283" i="31"/>
  <c r="H284" i="31"/>
  <c r="H288" i="31"/>
  <c r="H289" i="31"/>
  <c r="H290" i="31"/>
  <c r="H291" i="31"/>
  <c r="H292" i="31"/>
  <c r="H293" i="31"/>
  <c r="H294" i="31"/>
  <c r="H295" i="31"/>
  <c r="H299" i="31"/>
  <c r="H300" i="31"/>
  <c r="H301" i="31"/>
  <c r="H302" i="31"/>
  <c r="H303" i="31"/>
  <c r="H304" i="31"/>
  <c r="H305" i="31"/>
  <c r="H306" i="31"/>
  <c r="H310" i="31"/>
  <c r="H311" i="31"/>
  <c r="H312" i="31"/>
  <c r="H313" i="31"/>
  <c r="H314" i="31"/>
  <c r="H315" i="31"/>
  <c r="H316" i="31"/>
  <c r="H317" i="31"/>
  <c r="H321" i="31"/>
  <c r="H322" i="31"/>
  <c r="H323" i="31"/>
  <c r="H324" i="31"/>
  <c r="H325" i="31"/>
  <c r="H329" i="31"/>
  <c r="H330" i="31"/>
  <c r="H331" i="31"/>
  <c r="H332" i="31"/>
  <c r="H333" i="31"/>
  <c r="H334" i="31"/>
  <c r="H3" i="31"/>
  <c r="H4" i="31"/>
  <c r="H5" i="31"/>
  <c r="H6" i="31"/>
  <c r="H7" i="31"/>
  <c r="H8" i="31"/>
  <c r="H9" i="31"/>
  <c r="H13" i="31"/>
  <c r="H14" i="31"/>
  <c r="H15" i="31"/>
  <c r="H16" i="31"/>
  <c r="H17" i="31"/>
  <c r="H18" i="31"/>
  <c r="H19" i="31"/>
  <c r="A335" i="31"/>
  <c r="A325" i="31"/>
  <c r="A317" i="31"/>
  <c r="A306" i="31"/>
  <c r="A295" i="31"/>
  <c r="A284" i="31"/>
  <c r="A273" i="31"/>
  <c r="A262" i="31"/>
  <c r="A251" i="31"/>
  <c r="A240" i="31"/>
  <c r="A230" i="31"/>
  <c r="A222" i="31"/>
  <c r="A212" i="31"/>
  <c r="A201" i="31"/>
  <c r="A190" i="31"/>
  <c r="A179" i="31"/>
  <c r="A168" i="31"/>
  <c r="A157" i="31"/>
  <c r="A147" i="31"/>
  <c r="A136" i="31"/>
  <c r="A125" i="31"/>
  <c r="A114" i="31"/>
  <c r="A103" i="31"/>
  <c r="A93" i="31"/>
  <c r="A82" i="31"/>
  <c r="A71" i="31"/>
  <c r="A57" i="31"/>
  <c r="A46" i="31"/>
  <c r="A39" i="31"/>
  <c r="A28" i="31"/>
  <c r="A20" i="31"/>
  <c r="A329" i="31"/>
  <c r="A330" i="31"/>
  <c r="A331" i="31"/>
  <c r="A332" i="31"/>
  <c r="A333" i="31"/>
  <c r="A321" i="31"/>
  <c r="A322" i="31"/>
  <c r="A323" i="31"/>
  <c r="A311" i="31"/>
  <c r="A312" i="31"/>
  <c r="A313" i="31"/>
  <c r="A314" i="31"/>
  <c r="A315" i="31"/>
  <c r="A299" i="31"/>
  <c r="A300" i="31"/>
  <c r="A301" i="31"/>
  <c r="A302" i="31"/>
  <c r="A303" i="31"/>
  <c r="A304" i="31"/>
  <c r="A288" i="31"/>
  <c r="A289" i="31"/>
  <c r="A290" i="31"/>
  <c r="A291" i="31"/>
  <c r="A292" i="31"/>
  <c r="A293" i="31"/>
  <c r="A277" i="31"/>
  <c r="A278" i="31"/>
  <c r="A279" i="31"/>
  <c r="A280" i="31"/>
  <c r="A281" i="31"/>
  <c r="A282" i="31"/>
  <c r="A266" i="31"/>
  <c r="A267" i="31"/>
  <c r="A268" i="31"/>
  <c r="A269" i="31"/>
  <c r="A270" i="31"/>
  <c r="A271" i="31"/>
  <c r="A255" i="31"/>
  <c r="A256" i="31"/>
  <c r="A257" i="31"/>
  <c r="A258" i="31"/>
  <c r="A259" i="31"/>
  <c r="A260" i="31"/>
  <c r="A244" i="31"/>
  <c r="A245" i="31"/>
  <c r="A246" i="31"/>
  <c r="A247" i="31"/>
  <c r="A248" i="31"/>
  <c r="A249" i="31"/>
  <c r="A234" i="31"/>
  <c r="A235" i="31"/>
  <c r="A236" i="31"/>
  <c r="A237" i="31"/>
  <c r="A238" i="31"/>
  <c r="A226" i="31"/>
  <c r="A227" i="31"/>
  <c r="A228" i="31"/>
  <c r="A216" i="31"/>
  <c r="A217" i="31"/>
  <c r="A218" i="31"/>
  <c r="A219" i="31"/>
  <c r="A220" i="31"/>
  <c r="A205" i="31"/>
  <c r="A206" i="31"/>
  <c r="A207" i="31"/>
  <c r="A208" i="31"/>
  <c r="A209" i="31"/>
  <c r="A210" i="31"/>
  <c r="A194" i="31"/>
  <c r="A195" i="31"/>
  <c r="A196" i="31"/>
  <c r="A197" i="31"/>
  <c r="A198" i="31"/>
  <c r="A199" i="31"/>
  <c r="A183" i="31"/>
  <c r="A184" i="31"/>
  <c r="A185" i="31"/>
  <c r="A186" i="31"/>
  <c r="A187" i="31"/>
  <c r="A188" i="31"/>
  <c r="A172" i="31"/>
  <c r="A173" i="31"/>
  <c r="A174" i="31"/>
  <c r="A175" i="31"/>
  <c r="A176" i="31"/>
  <c r="A177" i="31"/>
  <c r="A161" i="31"/>
  <c r="A162" i="31"/>
  <c r="A163" i="31"/>
  <c r="A164" i="31"/>
  <c r="A165" i="31"/>
  <c r="A166" i="31"/>
  <c r="A151" i="31"/>
  <c r="A152" i="31"/>
  <c r="A153" i="31"/>
  <c r="A154" i="31"/>
  <c r="A155" i="31"/>
  <c r="A140" i="31"/>
  <c r="A141" i="31"/>
  <c r="A142" i="31"/>
  <c r="A143" i="31"/>
  <c r="A144" i="31"/>
  <c r="A145" i="31"/>
  <c r="A129" i="31"/>
  <c r="A130" i="31"/>
  <c r="A131" i="31"/>
  <c r="A132" i="31"/>
  <c r="A133" i="31"/>
  <c r="A134" i="31"/>
  <c r="A118" i="31"/>
  <c r="A119" i="31"/>
  <c r="A120" i="31"/>
  <c r="A121" i="31"/>
  <c r="A122" i="31"/>
  <c r="A123" i="31"/>
  <c r="A107" i="31"/>
  <c r="A108" i="31"/>
  <c r="A109" i="31"/>
  <c r="A110" i="31"/>
  <c r="A111" i="31"/>
  <c r="A112" i="31"/>
  <c r="A97" i="31"/>
  <c r="A98" i="31"/>
  <c r="A99" i="31"/>
  <c r="A100" i="31"/>
  <c r="A101" i="31"/>
  <c r="A86" i="31"/>
  <c r="A87" i="31"/>
  <c r="A88" i="31"/>
  <c r="A89" i="31"/>
  <c r="A90" i="31"/>
  <c r="A91" i="31"/>
  <c r="A75" i="31"/>
  <c r="A76" i="31"/>
  <c r="A77" i="31"/>
  <c r="A78" i="31"/>
  <c r="A79" i="31"/>
  <c r="A80" i="31"/>
  <c r="A64" i="31"/>
  <c r="A65" i="31"/>
  <c r="A66" i="31"/>
  <c r="A67" i="31"/>
  <c r="A68" i="31"/>
  <c r="A69" i="31"/>
  <c r="A50" i="31"/>
  <c r="A51" i="31"/>
  <c r="A52" i="31"/>
  <c r="A53" i="31"/>
  <c r="A54" i="31"/>
  <c r="A55" i="31"/>
  <c r="A43" i="31"/>
  <c r="A44" i="31"/>
  <c r="A32" i="31"/>
  <c r="A33" i="31"/>
  <c r="A34" i="31"/>
  <c r="A35" i="31"/>
  <c r="A36" i="31"/>
  <c r="A37" i="31"/>
  <c r="A24" i="31"/>
  <c r="A25" i="31"/>
  <c r="A26" i="31"/>
  <c r="A13" i="31"/>
  <c r="A14" i="31"/>
  <c r="A15" i="31"/>
  <c r="A16" i="31"/>
  <c r="A17" i="31"/>
  <c r="A18" i="31"/>
  <c r="A2" i="31"/>
  <c r="H2" i="31"/>
  <c r="A3" i="31"/>
  <c r="A4" i="31"/>
  <c r="A5" i="31"/>
  <c r="A6" i="31"/>
  <c r="A7" i="31"/>
  <c r="I40" i="32"/>
  <c r="P29" i="42"/>
  <c r="G47" i="23" l="1"/>
  <c r="I49" i="23"/>
  <c r="H52" i="23"/>
  <c r="F48" i="23"/>
  <c r="E47" i="23"/>
  <c r="C46" i="23"/>
  <c r="G50" i="23"/>
  <c r="I52" i="23"/>
  <c r="F49" i="23"/>
  <c r="E48" i="23"/>
  <c r="C47" i="23"/>
  <c r="H50" i="23"/>
  <c r="C48" i="23"/>
  <c r="E50" i="23"/>
  <c r="C49" i="23"/>
  <c r="H47" i="23"/>
  <c r="G45" i="23"/>
  <c r="I47" i="23"/>
  <c r="G53" i="23"/>
  <c r="F51" i="23"/>
  <c r="H45" i="23"/>
  <c r="I45" i="23"/>
  <c r="H48" i="23"/>
  <c r="G51" i="23"/>
  <c r="I53" i="23"/>
  <c r="F52" i="23"/>
  <c r="E51" i="23"/>
  <c r="C50" i="23"/>
  <c r="I51" i="23"/>
  <c r="F46" i="23"/>
  <c r="E53" i="23"/>
  <c r="H49" i="23"/>
  <c r="F47" i="23"/>
  <c r="C45" i="23"/>
  <c r="F50" i="23"/>
  <c r="I50" i="23"/>
  <c r="G46" i="23"/>
  <c r="I48" i="23"/>
  <c r="H51" i="23"/>
  <c r="F45" i="23"/>
  <c r="F53" i="23"/>
  <c r="E52" i="23"/>
  <c r="C51" i="23"/>
  <c r="G49" i="23"/>
  <c r="E45" i="23"/>
  <c r="C52" i="23"/>
  <c r="G52" i="23"/>
  <c r="E46" i="23"/>
  <c r="C53" i="23"/>
  <c r="E49" i="23"/>
  <c r="H53" i="23"/>
  <c r="H46" i="23"/>
  <c r="G48" i="23"/>
  <c r="I46" i="23"/>
  <c r="K77" i="33"/>
  <c r="K78" i="33"/>
  <c r="K86" i="33"/>
  <c r="K94" i="33"/>
  <c r="J83" i="33"/>
  <c r="J91" i="33"/>
  <c r="I80" i="33"/>
  <c r="I88" i="33"/>
  <c r="I96" i="33"/>
  <c r="F85" i="33"/>
  <c r="F93" i="33"/>
  <c r="C82" i="33"/>
  <c r="C90" i="33"/>
  <c r="F78" i="33"/>
  <c r="F86" i="33"/>
  <c r="C83" i="33"/>
  <c r="F79" i="33"/>
  <c r="C84" i="33"/>
  <c r="J86" i="33"/>
  <c r="I91" i="33"/>
  <c r="F96" i="33"/>
  <c r="K82" i="33"/>
  <c r="I84" i="33"/>
  <c r="C78" i="33"/>
  <c r="J88" i="33"/>
  <c r="I85" i="33"/>
  <c r="C87" i="33"/>
  <c r="K79" i="33"/>
  <c r="K87" i="33"/>
  <c r="K95" i="33"/>
  <c r="J84" i="33"/>
  <c r="J92" i="33"/>
  <c r="I81" i="33"/>
  <c r="I89" i="33"/>
  <c r="F94" i="33"/>
  <c r="C91" i="33"/>
  <c r="F87" i="33"/>
  <c r="C92" i="33"/>
  <c r="J78" i="33"/>
  <c r="F88" i="33"/>
  <c r="J95" i="33"/>
  <c r="J96" i="33"/>
  <c r="C95" i="33"/>
  <c r="K80" i="33"/>
  <c r="K88" i="33"/>
  <c r="K96" i="33"/>
  <c r="J85" i="33"/>
  <c r="J93" i="33"/>
  <c r="I82" i="33"/>
  <c r="I90" i="33"/>
  <c r="F95" i="33"/>
  <c r="J94" i="33"/>
  <c r="C85" i="33"/>
  <c r="J87" i="33"/>
  <c r="C94" i="33"/>
  <c r="I93" i="33"/>
  <c r="K81" i="33"/>
  <c r="K89" i="33"/>
  <c r="I83" i="33"/>
  <c r="F80" i="33"/>
  <c r="C93" i="33"/>
  <c r="K90" i="33"/>
  <c r="F89" i="33"/>
  <c r="K83" i="33"/>
  <c r="C79" i="33"/>
  <c r="K84" i="33"/>
  <c r="K92" i="33"/>
  <c r="J81" i="33"/>
  <c r="J89" i="33"/>
  <c r="I78" i="33"/>
  <c r="I86" i="33"/>
  <c r="I94" i="33"/>
  <c r="F83" i="33"/>
  <c r="F91" i="33"/>
  <c r="C80" i="33"/>
  <c r="C88" i="33"/>
  <c r="C96" i="33"/>
  <c r="I92" i="33"/>
  <c r="C86" i="33"/>
  <c r="J80" i="33"/>
  <c r="F82" i="33"/>
  <c r="K85" i="33"/>
  <c r="K93" i="33"/>
  <c r="J82" i="33"/>
  <c r="J90" i="33"/>
  <c r="I79" i="33"/>
  <c r="I87" i="33"/>
  <c r="I95" i="33"/>
  <c r="F84" i="33"/>
  <c r="F92" i="33"/>
  <c r="C81" i="33"/>
  <c r="C89" i="33"/>
  <c r="J79" i="33"/>
  <c r="F81" i="33"/>
  <c r="K91" i="33"/>
  <c r="F90" i="33"/>
  <c r="G20" i="23"/>
  <c r="G28" i="23"/>
  <c r="G36" i="23"/>
  <c r="G44" i="23"/>
  <c r="I26" i="23"/>
  <c r="I34" i="23"/>
  <c r="I42" i="23"/>
  <c r="H24" i="23"/>
  <c r="H32" i="23"/>
  <c r="H40" i="23"/>
  <c r="F23" i="23"/>
  <c r="F31" i="23"/>
  <c r="F39" i="23"/>
  <c r="E22" i="23"/>
  <c r="E30" i="23"/>
  <c r="E38" i="23"/>
  <c r="C21" i="23"/>
  <c r="C29" i="23"/>
  <c r="C37" i="23"/>
  <c r="H19" i="23"/>
  <c r="G34" i="23"/>
  <c r="F37" i="23"/>
  <c r="G43" i="23"/>
  <c r="H31" i="23"/>
  <c r="F38" i="23"/>
  <c r="E37" i="23"/>
  <c r="C44" i="23"/>
  <c r="G21" i="23"/>
  <c r="G29" i="23"/>
  <c r="G37" i="23"/>
  <c r="G19" i="23"/>
  <c r="I27" i="23"/>
  <c r="I35" i="23"/>
  <c r="I43" i="23"/>
  <c r="H25" i="23"/>
  <c r="H33" i="23"/>
  <c r="H41" i="23"/>
  <c r="F24" i="23"/>
  <c r="F32" i="23"/>
  <c r="F40" i="23"/>
  <c r="E23" i="23"/>
  <c r="E31" i="23"/>
  <c r="E39" i="23"/>
  <c r="C22" i="23"/>
  <c r="C30" i="23"/>
  <c r="C38" i="23"/>
  <c r="F19" i="23"/>
  <c r="G42" i="23"/>
  <c r="E44" i="23"/>
  <c r="I33" i="23"/>
  <c r="C28" i="23"/>
  <c r="G22" i="23"/>
  <c r="G30" i="23"/>
  <c r="G38" i="23"/>
  <c r="I20" i="23"/>
  <c r="I28" i="23"/>
  <c r="I36" i="23"/>
  <c r="I44" i="23"/>
  <c r="H26" i="23"/>
  <c r="H34" i="23"/>
  <c r="H42" i="23"/>
  <c r="F25" i="23"/>
  <c r="F33" i="23"/>
  <c r="F41" i="23"/>
  <c r="E24" i="23"/>
  <c r="E32" i="23"/>
  <c r="E40" i="23"/>
  <c r="C23" i="23"/>
  <c r="C31" i="23"/>
  <c r="C39" i="23"/>
  <c r="E19" i="23"/>
  <c r="G23" i="23"/>
  <c r="G31" i="23"/>
  <c r="G39" i="23"/>
  <c r="I21" i="23"/>
  <c r="I29" i="23"/>
  <c r="I37" i="23"/>
  <c r="I19" i="23"/>
  <c r="H27" i="23"/>
  <c r="H35" i="23"/>
  <c r="H43" i="23"/>
  <c r="F26" i="23"/>
  <c r="F34" i="23"/>
  <c r="F42" i="23"/>
  <c r="E25" i="23"/>
  <c r="E33" i="23"/>
  <c r="E41" i="23"/>
  <c r="C24" i="23"/>
  <c r="C32" i="23"/>
  <c r="C40" i="23"/>
  <c r="C19" i="23"/>
  <c r="G26" i="23"/>
  <c r="E28" i="23"/>
  <c r="G35" i="23"/>
  <c r="F22" i="23"/>
  <c r="E29" i="23"/>
  <c r="G24" i="23"/>
  <c r="G32" i="23"/>
  <c r="G40" i="23"/>
  <c r="I22" i="23"/>
  <c r="I30" i="23"/>
  <c r="I38" i="23"/>
  <c r="H20" i="23"/>
  <c r="H28" i="23"/>
  <c r="H36" i="23"/>
  <c r="H44" i="23"/>
  <c r="F27" i="23"/>
  <c r="F35" i="23"/>
  <c r="F43" i="23"/>
  <c r="E26" i="23"/>
  <c r="E34" i="23"/>
  <c r="E42" i="23"/>
  <c r="C25" i="23"/>
  <c r="C33" i="23"/>
  <c r="C41" i="23"/>
  <c r="G25" i="23"/>
  <c r="G33" i="23"/>
  <c r="G41" i="23"/>
  <c r="I23" i="23"/>
  <c r="I31" i="23"/>
  <c r="I39" i="23"/>
  <c r="H21" i="23"/>
  <c r="H29" i="23"/>
  <c r="H37" i="23"/>
  <c r="F20" i="23"/>
  <c r="F28" i="23"/>
  <c r="F36" i="23"/>
  <c r="E27" i="23"/>
  <c r="E35" i="23"/>
  <c r="E43" i="23"/>
  <c r="C26" i="23"/>
  <c r="C34" i="23"/>
  <c r="C42" i="23"/>
  <c r="I32" i="23"/>
  <c r="I40" i="23"/>
  <c r="H30" i="23"/>
  <c r="F21" i="23"/>
  <c r="E20" i="23"/>
  <c r="C27" i="23"/>
  <c r="C43" i="23"/>
  <c r="I25" i="23"/>
  <c r="I41" i="23"/>
  <c r="H39" i="23"/>
  <c r="E21" i="23"/>
  <c r="C36" i="23"/>
  <c r="F44" i="23"/>
  <c r="I24" i="23"/>
  <c r="H22" i="23"/>
  <c r="H38" i="23"/>
  <c r="F29" i="23"/>
  <c r="E36" i="23"/>
  <c r="C35" i="23"/>
  <c r="G27" i="23"/>
  <c r="H23" i="23"/>
  <c r="F30" i="23"/>
  <c r="C20" i="23"/>
  <c r="C77" i="33"/>
  <c r="I77" i="33"/>
  <c r="F77" i="33"/>
  <c r="J77" i="33"/>
  <c r="G70" i="15"/>
  <c r="G71" i="15"/>
  <c r="G72" i="15"/>
  <c r="J68" i="15"/>
  <c r="J72" i="15"/>
  <c r="J71" i="15"/>
  <c r="J70" i="15"/>
  <c r="G69" i="15"/>
  <c r="J69" i="15"/>
  <c r="K4" i="43"/>
  <c r="A4" i="43"/>
  <c r="K3" i="43"/>
  <c r="A3" i="43"/>
  <c r="G16" i="37"/>
  <c r="G17" i="37"/>
  <c r="G18" i="37"/>
  <c r="G19" i="37"/>
  <c r="H40" i="32"/>
  <c r="A324" i="31"/>
  <c r="A316" i="31"/>
  <c r="A305" i="31"/>
  <c r="A294" i="31"/>
  <c r="A283" i="31"/>
  <c r="A272" i="31"/>
  <c r="A261" i="31"/>
  <c r="A250" i="31"/>
  <c r="A239" i="31"/>
  <c r="A229" i="31"/>
  <c r="A221" i="31"/>
  <c r="A211" i="31"/>
  <c r="A200" i="31"/>
  <c r="A189" i="31"/>
  <c r="A178" i="31"/>
  <c r="A167" i="31"/>
  <c r="A156" i="31"/>
  <c r="A146" i="31"/>
  <c r="A135" i="31"/>
  <c r="A124" i="31"/>
  <c r="A113" i="31"/>
  <c r="A102" i="31"/>
  <c r="A92" i="31"/>
  <c r="A81" i="31"/>
  <c r="A70" i="31"/>
  <c r="A56" i="31"/>
  <c r="A45" i="31"/>
  <c r="A38" i="31"/>
  <c r="A27" i="31"/>
  <c r="A19" i="31"/>
  <c r="A8" i="31"/>
  <c r="F34" i="33" l="1"/>
  <c r="D34" i="33"/>
  <c r="D35" i="33"/>
  <c r="F35" i="33"/>
  <c r="A334" i="31"/>
  <c r="E68" i="3" l="1"/>
  <c r="E67" i="3"/>
  <c r="E65" i="3"/>
  <c r="E64" i="3"/>
  <c r="E62" i="3"/>
  <c r="E61" i="3"/>
  <c r="E59" i="3"/>
  <c r="E58" i="3"/>
  <c r="E56" i="3"/>
  <c r="E55" i="3"/>
  <c r="E53" i="3"/>
  <c r="E52" i="3"/>
  <c r="A5" i="43" l="1"/>
  <c r="A6" i="43"/>
  <c r="A7" i="43"/>
  <c r="A8" i="43"/>
  <c r="A9" i="43"/>
  <c r="A10" i="43"/>
  <c r="A11" i="43"/>
  <c r="A12" i="43"/>
  <c r="A13" i="43"/>
  <c r="A14" i="43"/>
  <c r="A15" i="43"/>
  <c r="A16" i="43"/>
  <c r="A17" i="43"/>
  <c r="A18" i="43"/>
  <c r="A19" i="43"/>
  <c r="K5" i="43" l="1"/>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5" i="43"/>
  <c r="K46" i="43"/>
  <c r="K47" i="43"/>
  <c r="K48" i="43"/>
  <c r="K49" i="43"/>
  <c r="K50" i="43"/>
  <c r="K51" i="43"/>
  <c r="K52" i="43"/>
  <c r="K53" i="43"/>
  <c r="K54" i="43"/>
  <c r="K55" i="43"/>
  <c r="K56" i="43"/>
  <c r="K57" i="43"/>
  <c r="K58" i="43"/>
  <c r="K2" i="43"/>
  <c r="A2" i="43"/>
  <c r="A3" i="42" l="1"/>
  <c r="A4" i="42"/>
  <c r="A5" i="42"/>
  <c r="A6" i="42"/>
  <c r="A7" i="42"/>
  <c r="A8" i="42"/>
  <c r="A9" i="42"/>
  <c r="A10" i="42"/>
  <c r="A11" i="42"/>
  <c r="A12" i="42"/>
  <c r="A13" i="42"/>
  <c r="A14" i="42"/>
  <c r="A15" i="42"/>
  <c r="A16" i="42"/>
  <c r="A17" i="42"/>
  <c r="A18" i="42"/>
  <c r="A20" i="42"/>
  <c r="A21" i="42"/>
  <c r="A22" i="42"/>
  <c r="A23" i="42"/>
  <c r="A24" i="42"/>
  <c r="A25" i="42"/>
  <c r="A26" i="42"/>
  <c r="A27" i="42"/>
  <c r="A28" i="42"/>
  <c r="A29" i="42"/>
  <c r="A30" i="42"/>
  <c r="A32" i="42"/>
  <c r="A33" i="42"/>
  <c r="A34" i="42"/>
  <c r="A35" i="42"/>
  <c r="A36" i="42"/>
  <c r="A37" i="42"/>
  <c r="A38" i="42"/>
  <c r="A39" i="42"/>
  <c r="A40" i="42"/>
  <c r="A41" i="42"/>
  <c r="A42" i="42"/>
  <c r="A43" i="42"/>
  <c r="A44" i="42"/>
  <c r="A45" i="42"/>
  <c r="A46" i="42"/>
  <c r="A47" i="42"/>
  <c r="A48" i="42"/>
  <c r="A49" i="42"/>
  <c r="A50" i="42"/>
  <c r="A51" i="42"/>
  <c r="A52" i="42"/>
  <c r="A53" i="42"/>
  <c r="A54" i="42"/>
  <c r="A56" i="42"/>
  <c r="A57" i="42"/>
  <c r="A58" i="42"/>
  <c r="A60" i="42"/>
  <c r="A61" i="42"/>
  <c r="A62" i="42"/>
  <c r="A63" i="42"/>
  <c r="A64" i="42"/>
  <c r="A65" i="42"/>
  <c r="A66" i="42"/>
  <c r="A67" i="42"/>
  <c r="A68" i="42"/>
  <c r="A72" i="42"/>
  <c r="A75" i="42"/>
  <c r="A76" i="42"/>
  <c r="A77" i="42"/>
  <c r="O6" i="37"/>
  <c r="P3" i="42"/>
  <c r="P4" i="42"/>
  <c r="P5" i="42"/>
  <c r="P6" i="42"/>
  <c r="P7" i="42"/>
  <c r="P8" i="42"/>
  <c r="P9" i="42"/>
  <c r="P10" i="42"/>
  <c r="P11" i="42"/>
  <c r="P12" i="42"/>
  <c r="P13" i="42"/>
  <c r="P14" i="42"/>
  <c r="P15" i="42"/>
  <c r="P16" i="42"/>
  <c r="P17" i="42"/>
  <c r="P18" i="42"/>
  <c r="P20" i="42"/>
  <c r="P21" i="42"/>
  <c r="P22" i="42"/>
  <c r="P23" i="42"/>
  <c r="P24" i="42"/>
  <c r="P25" i="42"/>
  <c r="P26" i="42"/>
  <c r="P27" i="42"/>
  <c r="P28" i="42"/>
  <c r="P30" i="42"/>
  <c r="P32" i="42"/>
  <c r="P33" i="42"/>
  <c r="P34" i="42"/>
  <c r="P35" i="42"/>
  <c r="P36" i="42"/>
  <c r="P37" i="42"/>
  <c r="P38" i="42"/>
  <c r="P39" i="42"/>
  <c r="P40" i="42"/>
  <c r="P41" i="42"/>
  <c r="P42" i="42"/>
  <c r="P43" i="42"/>
  <c r="P44" i="42"/>
  <c r="P45" i="42"/>
  <c r="P46" i="42"/>
  <c r="P47" i="42"/>
  <c r="P48" i="42"/>
  <c r="P49" i="42"/>
  <c r="P50" i="42"/>
  <c r="P51" i="42"/>
  <c r="P52" i="42"/>
  <c r="P53" i="42"/>
  <c r="P54" i="42"/>
  <c r="P56" i="42"/>
  <c r="P57" i="42"/>
  <c r="P58" i="42"/>
  <c r="P60" i="42"/>
  <c r="P61" i="42"/>
  <c r="P62" i="42"/>
  <c r="P63" i="42"/>
  <c r="P64" i="42"/>
  <c r="P65" i="42"/>
  <c r="P66" i="42"/>
  <c r="P67" i="42"/>
  <c r="P68" i="42"/>
  <c r="P72" i="42"/>
  <c r="P75" i="42"/>
  <c r="P76" i="42"/>
  <c r="P77" i="42"/>
  <c r="P78" i="42"/>
  <c r="P2" i="42"/>
  <c r="A2" i="42"/>
  <c r="D33" i="42"/>
  <c r="D32" i="42"/>
  <c r="J51" i="33" l="1"/>
  <c r="J59" i="33"/>
  <c r="I53" i="33"/>
  <c r="I61" i="33"/>
  <c r="H55" i="33"/>
  <c r="H63" i="33"/>
  <c r="F57" i="33"/>
  <c r="C51" i="33"/>
  <c r="C59" i="33"/>
  <c r="F62" i="33"/>
  <c r="H61" i="33"/>
  <c r="J52" i="33"/>
  <c r="J60" i="33"/>
  <c r="I54" i="33"/>
  <c r="I62" i="33"/>
  <c r="H56" i="33"/>
  <c r="H64" i="33"/>
  <c r="F58" i="33"/>
  <c r="C52" i="33"/>
  <c r="C60" i="33"/>
  <c r="H60" i="33"/>
  <c r="I59" i="33"/>
  <c r="J53" i="33"/>
  <c r="J61" i="33"/>
  <c r="I55" i="33"/>
  <c r="I63" i="33"/>
  <c r="H57" i="33"/>
  <c r="F51" i="33"/>
  <c r="F59" i="33"/>
  <c r="C53" i="33"/>
  <c r="C61" i="33"/>
  <c r="H52" i="33"/>
  <c r="F55" i="33"/>
  <c r="J54" i="33"/>
  <c r="J62" i="33"/>
  <c r="I56" i="33"/>
  <c r="I64" i="33"/>
  <c r="H58" i="33"/>
  <c r="F52" i="33"/>
  <c r="F60" i="33"/>
  <c r="C54" i="33"/>
  <c r="C62" i="33"/>
  <c r="I58" i="33"/>
  <c r="C64" i="33"/>
  <c r="C57" i="33"/>
  <c r="J55" i="33"/>
  <c r="J63" i="33"/>
  <c r="I57" i="33"/>
  <c r="H51" i="33"/>
  <c r="H59" i="33"/>
  <c r="F53" i="33"/>
  <c r="F61" i="33"/>
  <c r="C55" i="33"/>
  <c r="C63" i="33"/>
  <c r="J64" i="33"/>
  <c r="H53" i="33"/>
  <c r="J56" i="33"/>
  <c r="C56" i="33"/>
  <c r="J57" i="33"/>
  <c r="I51" i="33"/>
  <c r="F63" i="33"/>
  <c r="J58" i="33"/>
  <c r="I52" i="33"/>
  <c r="I60" i="33"/>
  <c r="H54" i="33"/>
  <c r="H62" i="33"/>
  <c r="F56" i="33"/>
  <c r="F64" i="33"/>
  <c r="C58" i="33"/>
  <c r="F54" i="33"/>
  <c r="J50" i="33"/>
  <c r="I50" i="33"/>
  <c r="H50" i="33"/>
  <c r="F50" i="33"/>
  <c r="C50" i="33"/>
  <c r="D106" i="42"/>
  <c r="AB16" i="37"/>
  <c r="Q25" i="37"/>
  <c r="Q17" i="37"/>
  <c r="T24" i="37"/>
  <c r="T15" i="37"/>
  <c r="X22" i="37"/>
  <c r="Z15" i="37"/>
  <c r="Z22" i="37"/>
  <c r="AB29" i="37"/>
  <c r="AB21" i="37"/>
  <c r="Q24" i="37"/>
  <c r="Q16" i="37"/>
  <c r="T23" i="37"/>
  <c r="X29" i="37"/>
  <c r="X21" i="37"/>
  <c r="Z29" i="37"/>
  <c r="Z21" i="37"/>
  <c r="AB28" i="37"/>
  <c r="AB20" i="37"/>
  <c r="AB18" i="37"/>
  <c r="Q29" i="37"/>
  <c r="Q21" i="37"/>
  <c r="T28" i="37"/>
  <c r="T20" i="37"/>
  <c r="X26" i="37"/>
  <c r="X18" i="37"/>
  <c r="Z26" i="37"/>
  <c r="Z18" i="37"/>
  <c r="AB25" i="37"/>
  <c r="AB17" i="37"/>
  <c r="Q28" i="37"/>
  <c r="Q20" i="37"/>
  <c r="T27" i="37"/>
  <c r="T19" i="37"/>
  <c r="X25" i="37"/>
  <c r="X17" i="37"/>
  <c r="Z25" i="37"/>
  <c r="Z17" i="37"/>
  <c r="AB24" i="37"/>
  <c r="Q27" i="37"/>
  <c r="Q23" i="37"/>
  <c r="Q19" i="37"/>
  <c r="T16" i="37"/>
  <c r="T26" i="37"/>
  <c r="T22" i="37"/>
  <c r="T18" i="37"/>
  <c r="X28" i="37"/>
  <c r="X24" i="37"/>
  <c r="X20" i="37"/>
  <c r="X16" i="37"/>
  <c r="Z28" i="37"/>
  <c r="Z24" i="37"/>
  <c r="Z20" i="37"/>
  <c r="Z16" i="37"/>
  <c r="AB27" i="37"/>
  <c r="AB23" i="37"/>
  <c r="AB19" i="37"/>
  <c r="Q15" i="37"/>
  <c r="Q26" i="37"/>
  <c r="Q22" i="37"/>
  <c r="Q18" i="37"/>
  <c r="T29" i="37"/>
  <c r="T25" i="37"/>
  <c r="T21" i="37"/>
  <c r="T17" i="37"/>
  <c r="X27" i="37"/>
  <c r="X23" i="37"/>
  <c r="X19" i="37"/>
  <c r="X15" i="37"/>
  <c r="Z27" i="37"/>
  <c r="Z23" i="37"/>
  <c r="Z19" i="37"/>
  <c r="AB15" i="37"/>
  <c r="AB26" i="37"/>
  <c r="AB22" i="37"/>
  <c r="F78" i="3"/>
  <c r="A2" i="38" l="1"/>
  <c r="AB2" i="38"/>
  <c r="I25" i="37" l="1"/>
  <c r="I26" i="37"/>
  <c r="I27" i="37"/>
  <c r="I24" i="37"/>
  <c r="A90" i="17" l="1"/>
  <c r="A1" i="17"/>
  <c r="B23" i="37" l="1"/>
  <c r="B15" i="37"/>
  <c r="B31" i="37"/>
  <c r="B77" i="3" l="1"/>
  <c r="B75" i="3"/>
  <c r="L14" i="19" l="1"/>
  <c r="I69" i="15" l="1"/>
  <c r="E69" i="15"/>
  <c r="E70" i="15"/>
  <c r="E72" i="15"/>
  <c r="I70" i="15"/>
  <c r="I71" i="15"/>
  <c r="E71" i="15"/>
  <c r="I72" i="15"/>
  <c r="H69" i="15"/>
  <c r="F69" i="15"/>
  <c r="C69" i="15"/>
  <c r="F70" i="15"/>
  <c r="C70" i="15"/>
  <c r="F71" i="15"/>
  <c r="C71" i="15"/>
  <c r="C72" i="15"/>
  <c r="H70" i="15"/>
  <c r="F72" i="15"/>
  <c r="H71" i="15"/>
  <c r="H72" i="15"/>
  <c r="I68" i="15"/>
  <c r="C68" i="15"/>
  <c r="F68" i="15"/>
  <c r="E68" i="15"/>
  <c r="H68" i="15"/>
  <c r="C51" i="15"/>
  <c r="C50" i="15"/>
  <c r="E40" i="32" l="1"/>
  <c r="F40" i="32"/>
  <c r="G40" i="32"/>
  <c r="D40" i="32"/>
  <c r="A2" i="16" l="1"/>
  <c r="A1" i="16"/>
  <c r="I30" i="5"/>
  <c r="F30" i="5"/>
  <c r="I29" i="5"/>
  <c r="F29" i="5"/>
  <c r="I28" i="5"/>
  <c r="F28" i="5"/>
  <c r="F27" i="5"/>
  <c r="I26" i="5"/>
  <c r="F26" i="5"/>
  <c r="I25" i="5"/>
  <c r="F25" i="5"/>
  <c r="I19" i="5"/>
  <c r="F19" i="5"/>
  <c r="I18" i="5"/>
  <c r="F18" i="5"/>
  <c r="I17" i="5"/>
  <c r="F17" i="5"/>
  <c r="I16" i="5"/>
  <c r="F16" i="5"/>
  <c r="I15" i="5"/>
  <c r="F15" i="5"/>
  <c r="I14" i="5"/>
  <c r="F14" i="5"/>
  <c r="I13" i="5"/>
  <c r="F13" i="5"/>
  <c r="I12" i="5"/>
  <c r="F12" i="5"/>
  <c r="I11" i="5"/>
  <c r="F11" i="5"/>
  <c r="F24" i="4"/>
  <c r="F23" i="4"/>
  <c r="F22" i="4"/>
  <c r="F21" i="4"/>
  <c r="I19" i="4"/>
  <c r="F19" i="4"/>
  <c r="I18" i="4"/>
  <c r="F18" i="4"/>
  <c r="I17" i="4"/>
  <c r="F17" i="4"/>
  <c r="I16" i="4"/>
  <c r="F16" i="4"/>
  <c r="I15" i="4"/>
  <c r="F15" i="4"/>
  <c r="I14" i="4"/>
  <c r="F14" i="4"/>
  <c r="I12" i="4"/>
  <c r="F12" i="4"/>
  <c r="I11" i="4"/>
  <c r="F11" i="4"/>
  <c r="F80" i="3"/>
  <c r="F76" i="3"/>
  <c r="F74" i="3"/>
  <c r="F18" i="3"/>
  <c r="C23" i="15" l="1"/>
  <c r="H54" i="15"/>
  <c r="H50" i="15"/>
  <c r="F52" i="15"/>
  <c r="C54" i="15"/>
  <c r="F54" i="15"/>
  <c r="H52" i="15"/>
  <c r="G51" i="15"/>
  <c r="E53" i="15"/>
  <c r="F50" i="15"/>
  <c r="C52" i="15"/>
  <c r="G53" i="15"/>
  <c r="E54" i="15"/>
  <c r="E51" i="15"/>
  <c r="F26" i="15"/>
  <c r="F30" i="15"/>
  <c r="F27" i="15"/>
  <c r="F31" i="15"/>
  <c r="F28" i="15"/>
  <c r="F29" i="15"/>
  <c r="G31" i="15"/>
  <c r="F32" i="15"/>
  <c r="C26" i="15"/>
  <c r="C32" i="15"/>
  <c r="C33" i="15"/>
  <c r="J36" i="15"/>
  <c r="J31" i="15"/>
  <c r="H23" i="15"/>
  <c r="C30" i="15"/>
  <c r="C29" i="15"/>
  <c r="C35" i="15"/>
  <c r="J24" i="15"/>
  <c r="J30" i="15"/>
  <c r="C34" i="15"/>
  <c r="C37" i="15"/>
  <c r="C28" i="15"/>
  <c r="J28" i="15"/>
  <c r="J37" i="15"/>
  <c r="J35" i="15"/>
  <c r="C38" i="15"/>
  <c r="C27" i="15"/>
  <c r="C36" i="15"/>
  <c r="J32" i="15"/>
  <c r="J34" i="15"/>
  <c r="J33" i="15"/>
  <c r="J38" i="15"/>
  <c r="C31" i="15"/>
  <c r="J29" i="15"/>
  <c r="J27" i="15"/>
  <c r="J25" i="15"/>
  <c r="C24" i="15"/>
  <c r="G30" i="15"/>
  <c r="C25" i="15"/>
  <c r="H24" i="15"/>
  <c r="G24" i="15"/>
  <c r="F36" i="15"/>
  <c r="E32" i="15"/>
  <c r="H29" i="15"/>
  <c r="G29" i="15"/>
  <c r="F25" i="15"/>
  <c r="E37" i="15"/>
  <c r="H26" i="15"/>
  <c r="G26" i="15"/>
  <c r="F38" i="15"/>
  <c r="H43" i="15"/>
  <c r="G23" i="15"/>
  <c r="F35" i="15"/>
  <c r="E31" i="15"/>
  <c r="F34" i="15"/>
  <c r="E42" i="15"/>
  <c r="H28" i="15"/>
  <c r="G28" i="15"/>
  <c r="F24" i="15"/>
  <c r="E36" i="15"/>
  <c r="H33" i="15"/>
  <c r="G33" i="15"/>
  <c r="E25" i="15"/>
  <c r="H30" i="15"/>
  <c r="E26" i="15"/>
  <c r="H42" i="15"/>
  <c r="H27" i="15"/>
  <c r="G27" i="15"/>
  <c r="F43" i="15"/>
  <c r="F23" i="15"/>
  <c r="E35" i="15"/>
  <c r="G34" i="15"/>
  <c r="H32" i="15"/>
  <c r="G32" i="15"/>
  <c r="E24" i="15"/>
  <c r="H41" i="15"/>
  <c r="H37" i="15"/>
  <c r="G37" i="15"/>
  <c r="F33" i="15"/>
  <c r="E29" i="15"/>
  <c r="H34" i="15"/>
  <c r="G38" i="15"/>
  <c r="E30" i="15"/>
  <c r="H31" i="15"/>
  <c r="E43" i="15"/>
  <c r="E23" i="15"/>
  <c r="E34" i="15"/>
  <c r="H40" i="15"/>
  <c r="H36" i="15"/>
  <c r="G36" i="15"/>
  <c r="E28" i="15"/>
  <c r="H25" i="15"/>
  <c r="G25" i="15"/>
  <c r="F37" i="15"/>
  <c r="E33" i="15"/>
  <c r="H38" i="15"/>
  <c r="E38" i="15"/>
  <c r="H35" i="15"/>
  <c r="G35" i="15"/>
  <c r="E27" i="15"/>
  <c r="F42" i="15"/>
  <c r="G50" i="15"/>
  <c r="F51" i="15"/>
  <c r="E52" i="15"/>
  <c r="C53" i="15"/>
  <c r="H53" i="15"/>
  <c r="G54" i="15"/>
  <c r="E50" i="15"/>
  <c r="H51" i="15"/>
  <c r="G52" i="15"/>
  <c r="F5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Vitello, Sophia (ENE)</author>
  </authors>
  <commentList>
    <comment ref="G15" authorId="0" shapeId="0" xr:uid="{47227477-F216-415D-9FFC-6D944740CD28}">
      <text>
        <r>
          <rPr>
            <sz val="9"/>
            <color indexed="81"/>
            <rFont val="Tahoma"/>
            <family val="2"/>
          </rPr>
          <t>Please specify blend (e.g., B5, B10, B20, etc). If additional blends have been purchased, please provide additional information in "Notes"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Vitello, Sophia (ENE)</author>
  </authors>
  <commentList>
    <comment ref="G13" authorId="0" shapeId="0" xr:uid="{E5DC7E37-10A5-4DE8-B8A4-4C57729F656A}">
      <text>
        <r>
          <rPr>
            <sz val="9"/>
            <color indexed="81"/>
            <rFont val="Tahoma"/>
            <family val="2"/>
          </rPr>
          <t>Please specify blend (e.g., B5, B10, B20, etc). If additional blends have been purchased, please provide additional information in "Notes"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Alisha.Park</author>
    <author>tc={ABA54F30-AD6E-4C97-A315-A04CBDC8FBD5}</author>
    <author>murrutia</author>
  </authors>
  <commentList>
    <comment ref="C91" authorId="0" shapeId="0" xr:uid="{872E87EA-BFDC-48A6-97F2-E20F20019EAD}">
      <text>
        <r>
          <rPr>
            <b/>
            <sz val="9"/>
            <color rgb="FF000000"/>
            <rFont val="Tahoma"/>
            <family val="2"/>
          </rPr>
          <t>Alisha.Park:</t>
        </r>
        <r>
          <rPr>
            <sz val="9"/>
            <color rgb="FF000000"/>
            <rFont val="Tahoma"/>
            <family val="2"/>
          </rPr>
          <t xml:space="preserve">
</t>
        </r>
        <r>
          <rPr>
            <sz val="9"/>
            <color rgb="FF000000"/>
            <rFont val="Tahoma"/>
            <family val="2"/>
          </rPr>
          <t>Already entered into cerp</t>
        </r>
      </text>
    </comment>
    <comment ref="F101" authorId="1" shapeId="0" xr:uid="{ABA54F30-AD6E-4C97-A315-A04CBDC8FBD5}">
      <text>
        <t>[Threaded comment]
Your version of Excel allows you to read this threaded comment; however, any edits to it will get removed if the file is opened in a newer version of Excel. Learn more: https://go.microsoft.com/fwlink/?linkid=870924
Comment:
    @Vitello, Sophia (ENE) Noticed that these two solar PV numbers (MWRA Wachusett) don't match column R, or what we have in other spots. Might just want to check and make sure we have the right number for these two...
Reply:
    Thanks for flagging! Just checked with Denise and updated -- should be 36 &amp; 36 in row H and R</t>
      </text>
    </comment>
    <comment ref="M164" authorId="2" shapeId="0" xr:uid="{CA1039D4-D360-4F03-8DFF-C87FA0DCDF5E}">
      <text>
        <r>
          <rPr>
            <b/>
            <sz val="9"/>
            <color indexed="81"/>
            <rFont val="Tahoma"/>
            <family val="2"/>
          </rPr>
          <t>murrutia:</t>
        </r>
        <r>
          <rPr>
            <sz val="9"/>
            <color indexed="81"/>
            <rFont val="Tahoma"/>
            <family val="2"/>
          </rPr>
          <t xml:space="preserve">
is it 16,000?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tc={745DA904-F801-40A8-B3BA-B7D6D1F7004F}</author>
  </authors>
  <commentList>
    <comment ref="AD31" authorId="0" shapeId="0" xr:uid="{745DA904-F801-40A8-B3BA-B7D6D1F7004F}">
      <text>
        <t>[Threaded comment]
Your version of Excel allows you to read this threaded comment; however, any edits to it will get removed if the file is opened in a newer version of Excel. Learn more: https://go.microsoft.com/fwlink/?linkid=870924
Comment:
    Add "including seed mix or species planted, if applicable"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tc={221ECB09-67B0-462E-8126-B49A172D4D54}</author>
  </authors>
  <commentList>
    <comment ref="D21" authorId="0" shapeId="0" xr:uid="{00000000-0006-0000-1900-000001000000}">
      <text>
        <t>[Threaded comment]
Your version of Excel allows you to read this threaded comment; however, any edits to it will get removed if the file is opened in a newer version of Excel. Learn more: https://go.microsoft.com/fwlink/?linkid=870924
Comment:
    Exact size TBD; likely 4-4.5</t>
      </text>
    </comment>
  </commentList>
</comments>
</file>

<file path=xl/sharedStrings.xml><?xml version="1.0" encoding="utf-8"?>
<sst xmlns="http://schemas.openxmlformats.org/spreadsheetml/2006/main" count="10351" uniqueCount="2593">
  <si>
    <t>EXECUTIVE OFFICE OF ENERGY AND ENVIRONMENTAL AFFAIRS</t>
  </si>
  <si>
    <t>DEPARTMENT OF ENERGY RESOURCES</t>
  </si>
  <si>
    <t>Leading by Example Program</t>
  </si>
  <si>
    <t>General</t>
  </si>
  <si>
    <t xml:space="preserve">Where appropriate, we have automated additional tabs to pre-populate with previously submitted data. As with last year's form, ALL pre-populated fields rely on the selection of your agency/campus from the "Contact Information" tab dropdown. If not selected, no data will pre-populate. Additionally, you will no longer be able to select your agency/campus on individual tabs. We have also condensed or removed some sheets to try simplify the reporting process. </t>
  </si>
  <si>
    <t>Sustainability</t>
  </si>
  <si>
    <t>To the best of your ability, please enter the correct information and energy consumption data in the following tabs:</t>
  </si>
  <si>
    <t>Contact Info</t>
  </si>
  <si>
    <t xml:space="preserve">Select your agency/campus from the dropdown list provided and contact information will autpopulate. Additional fields are available for contact information that is incorrect or not listed. </t>
  </si>
  <si>
    <t>Square Footage</t>
  </si>
  <si>
    <t>Electricity Consumption</t>
  </si>
  <si>
    <t>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and Alternative Energy Credits purchased/sold separate from the DCAMM state contract.</t>
  </si>
  <si>
    <t>Building Fuel Consumption</t>
  </si>
  <si>
    <t xml:space="preserve">This tab includes energy data associated with all building fuels except for electricity and on-site generation at buildings.  Please enter consumption information for all non-electric building energy use in this tab, including natural gas, oil, propane, etc. </t>
  </si>
  <si>
    <t>Vehicle &amp; Other Fuel Consumption</t>
  </si>
  <si>
    <t xml:space="preserve">This tab includes vehicle energy data, as well as energy data associated with any facility operations not attributed to building or vehicle use (e.g. fuel for boats/aircraft, landscaping equipment, etc.). </t>
  </si>
  <si>
    <t>Installed Clean Power</t>
  </si>
  <si>
    <t>On this tab you will find a pre-populated list of renewable, onsite generation, energy storage, and renewable thermal projects that have been reported to LBE for your agency/campus, along with their installed capacity. Please make any corrections, where necessary, and enter any additional renewable projects that you have installed.</t>
  </si>
  <si>
    <t>Vehicle Fleet</t>
  </si>
  <si>
    <t>EV Charging Stations</t>
  </si>
  <si>
    <t>This tab requests information about current and upcoming EV charging stations at your facilities.</t>
  </si>
  <si>
    <t>EE Projects</t>
  </si>
  <si>
    <t xml:space="preserve">This tab requests information on a suite of sustainability efforts at your facilities including, waste diversion, water use &amp; conervation, sustainable lanscaping activities, and other sustainability efforts not captured elsewhere in the tracking form. </t>
  </si>
  <si>
    <t>INSTRUCTIONS ON FILLING OUT TAB</t>
  </si>
  <si>
    <t xml:space="preserve">Note: If your agency/campus is not selected from the dropdown menu below, subsequent tabs will not display any pre-populated data. </t>
  </si>
  <si>
    <t>Please answer all items in yellow, where appropriate.</t>
  </si>
  <si>
    <t>Contact Information</t>
  </si>
  <si>
    <t>Agency/Campus:</t>
  </si>
  <si>
    <t>Bristol Comm. College</t>
  </si>
  <si>
    <t>Contact Name 1:</t>
  </si>
  <si>
    <t xml:space="preserve">Email: </t>
  </si>
  <si>
    <t xml:space="preserve"> Title:</t>
  </si>
  <si>
    <t>Phone:</t>
  </si>
  <si>
    <t>Contact Name 2:</t>
  </si>
  <si>
    <t xml:space="preserve">Contact Name 3: </t>
  </si>
  <si>
    <t xml:space="preserve">Contact Name 4: </t>
  </si>
  <si>
    <t>Framingham State University</t>
  </si>
  <si>
    <t xml:space="preserve">Agency </t>
  </si>
  <si>
    <t>Contact</t>
  </si>
  <si>
    <t>Contact Title</t>
  </si>
  <si>
    <t xml:space="preserve">Email </t>
  </si>
  <si>
    <t>Phone</t>
  </si>
  <si>
    <t>Alternate Contact</t>
  </si>
  <si>
    <t>Alternate Contact Title</t>
  </si>
  <si>
    <t xml:space="preserve">Alternate Email </t>
  </si>
  <si>
    <t>Alternate Phone</t>
  </si>
  <si>
    <t>Alternate Contact 2</t>
  </si>
  <si>
    <t>Alternate Contact Title 2</t>
  </si>
  <si>
    <t>Alternate Email 2</t>
  </si>
  <si>
    <t>Alternate Phone 2</t>
  </si>
  <si>
    <t>Please select your answer from the dropdown</t>
  </si>
  <si>
    <t>-</t>
  </si>
  <si>
    <t>Berkshire Comm. College</t>
  </si>
  <si>
    <t>David Moran</t>
  </si>
  <si>
    <t>Building Maintenance Supervisor</t>
  </si>
  <si>
    <t>dmoran@berkshirecc.edu</t>
  </si>
  <si>
    <t>(413) 236-3028</t>
  </si>
  <si>
    <t>Christopher DeGray</t>
  </si>
  <si>
    <t>Director of Facilites</t>
  </si>
  <si>
    <t>cdegray@berkshirecc.edu</t>
  </si>
  <si>
    <t>413-236-3015</t>
  </si>
  <si>
    <t>Bridgewater State University</t>
  </si>
  <si>
    <t>Patricia Delaney</t>
  </si>
  <si>
    <t>Asst. Director EH&amp;S Officer</t>
  </si>
  <si>
    <t>PDELANEY@bridgew.edu</t>
  </si>
  <si>
    <t>508-531-2751</t>
  </si>
  <si>
    <t>Karen Jason</t>
  </si>
  <si>
    <t>Vice President Operations</t>
  </si>
  <si>
    <t>kjason@bridgew.edu</t>
  </si>
  <si>
    <t>508-531-2750</t>
  </si>
  <si>
    <t>Asst. VP of Administration &amp; Finance</t>
  </si>
  <si>
    <t>508-678-2811 x3058</t>
  </si>
  <si>
    <t>Barbara Cadima</t>
  </si>
  <si>
    <t>Facilities</t>
  </si>
  <si>
    <t>Barbara.Cadima@bristolcc.edu</t>
  </si>
  <si>
    <t>774-357-2533</t>
  </si>
  <si>
    <t>Bunker Hill Comm. College</t>
  </si>
  <si>
    <t>Gary Bigelow</t>
  </si>
  <si>
    <t>Executive Director of Facilities</t>
  </si>
  <si>
    <t>gbigelow@bhcc.mass.edu</t>
  </si>
  <si>
    <t>617-936-1985</t>
  </si>
  <si>
    <t>Bureau of the State House</t>
  </si>
  <si>
    <t>Cape Cod Comm. College</t>
  </si>
  <si>
    <t>Joseph MacKinnon</t>
  </si>
  <si>
    <t>Director, Facilities Management</t>
  </si>
  <si>
    <t>jmackinnon@capecod.edu</t>
  </si>
  <si>
    <t xml:space="preserve"> -</t>
  </si>
  <si>
    <t>Mark Waldruff</t>
  </si>
  <si>
    <t>Facilities Associate</t>
  </si>
  <si>
    <t>mwaldruff@capecod.edu</t>
  </si>
  <si>
    <t>508-362-2131 x4324</t>
  </si>
  <si>
    <t>Steve Zazzera</t>
  </si>
  <si>
    <t>Project Specialist</t>
  </si>
  <si>
    <t>szazzera@capecod.edu</t>
  </si>
  <si>
    <t>774-330-4411</t>
  </si>
  <si>
    <t>Chelsea Soldier's Home</t>
  </si>
  <si>
    <t>Dept. of Conservation and Recreation</t>
  </si>
  <si>
    <t>Dept. of Correction</t>
  </si>
  <si>
    <t>Andy Bakinowski</t>
  </si>
  <si>
    <t>Environmental Consultant</t>
  </si>
  <si>
    <t>Andrew.W.Bakinowski@doc.state.ma.us</t>
  </si>
  <si>
    <t>(508)422-3660</t>
  </si>
  <si>
    <t>Sean Foley</t>
  </si>
  <si>
    <t>Sean.Foley@doc.state.ma.us</t>
  </si>
  <si>
    <t>508-422-3669</t>
  </si>
  <si>
    <t>Dept. of Developmental Services</t>
  </si>
  <si>
    <t>Dept. of Fire Services</t>
  </si>
  <si>
    <t>Dept. of Fish and Game</t>
  </si>
  <si>
    <t>Dept. of Mental Health</t>
  </si>
  <si>
    <t>Dept. of Public Health</t>
  </si>
  <si>
    <t>Dept. of State Police</t>
  </si>
  <si>
    <t>Dept. of Youth Services</t>
  </si>
  <si>
    <t>Div. of Capital Asset Management</t>
  </si>
  <si>
    <t>Environmental Police</t>
  </si>
  <si>
    <t>Fitchburg State University</t>
  </si>
  <si>
    <t>Assistant VP of CPM</t>
  </si>
  <si>
    <t>978-665-4614</t>
  </si>
  <si>
    <t>Mary Beth McKenzie</t>
  </si>
  <si>
    <t>Asst. VP for Finance and Administration</t>
  </si>
  <si>
    <t>memckenzie@fitchburgstate.edu</t>
  </si>
  <si>
    <t>978-665-3123</t>
  </si>
  <si>
    <t>Ken Brasili</t>
  </si>
  <si>
    <t>Director, Power Plant and Support Services</t>
  </si>
  <si>
    <t>kbrasili@framingham.edu</t>
  </si>
  <si>
    <t>508-626-4086</t>
  </si>
  <si>
    <t>Maureen Fowler</t>
  </si>
  <si>
    <t>Director, Environmental Health &amp; Safety Coordinator</t>
  </si>
  <si>
    <t>mfowler@framingham.edu</t>
  </si>
  <si>
    <t>508-626-4633</t>
  </si>
  <si>
    <t>Greenfield Comm. College</t>
  </si>
  <si>
    <t>Jeffrey Marques</t>
  </si>
  <si>
    <t>Director of Facilities</t>
  </si>
  <si>
    <t>marquesj@gcc.mass.edu</t>
  </si>
  <si>
    <t>413-775-1700</t>
  </si>
  <si>
    <t>Holyoke Comm. College</t>
  </si>
  <si>
    <t>Daniel Campbell</t>
  </si>
  <si>
    <t>dcampbell@hcc.edu</t>
  </si>
  <si>
    <t>(413-552-2705)</t>
  </si>
  <si>
    <t>Holyoke Soldier's Home</t>
  </si>
  <si>
    <t>Deputy Superintendent</t>
  </si>
  <si>
    <t>Superintendent</t>
  </si>
  <si>
    <t>MA Data Centers</t>
  </si>
  <si>
    <t>Mass. Bay Comm. College</t>
  </si>
  <si>
    <t>Joe DeLisle</t>
  </si>
  <si>
    <t>jdelisle@massbay.edu</t>
  </si>
  <si>
    <t>781-239-2571</t>
  </si>
  <si>
    <t>Mass. College of Art &amp; Design</t>
  </si>
  <si>
    <t>617-879-7938</t>
  </si>
  <si>
    <t>Mass. College of Liberal Arts</t>
  </si>
  <si>
    <t>413-662-5559</t>
  </si>
  <si>
    <t>413-662-5529</t>
  </si>
  <si>
    <t>Mass. Maritime Academy</t>
  </si>
  <si>
    <t>Kathy Driscoll</t>
  </si>
  <si>
    <t>EH&amp;S / Sustainability</t>
  </si>
  <si>
    <t>kdriscoll@maritime.edu</t>
  </si>
  <si>
    <t>508-830-5235</t>
  </si>
  <si>
    <t>Allen Metcalfe</t>
  </si>
  <si>
    <t>ametcalfe@maritime.edu</t>
  </si>
  <si>
    <t>508-830-5202</t>
  </si>
  <si>
    <t>Mass. Water Resources Authority</t>
  </si>
  <si>
    <t>Jonathan Sycamore</t>
  </si>
  <si>
    <t>Sr. Financial Analyst</t>
  </si>
  <si>
    <t>jonathan.sycamore@mwra.com</t>
  </si>
  <si>
    <t>617 788 2269</t>
  </si>
  <si>
    <t>Denise Breiteneicher</t>
  </si>
  <si>
    <t>Program Energy Management</t>
  </si>
  <si>
    <t>denise.breiteneicher@mwra.com</t>
  </si>
  <si>
    <t>617 305 5927</t>
  </si>
  <si>
    <t>Massasoit Comm. College</t>
  </si>
  <si>
    <t>508-588-9100 x1168</t>
  </si>
  <si>
    <t xml:space="preserve">William Mitchell </t>
  </si>
  <si>
    <t>VP of Administration/CFO</t>
  </si>
  <si>
    <t>wamitchell@massasoit.mass.edu</t>
  </si>
  <si>
    <t>508-588-9100 x1510</t>
  </si>
  <si>
    <t>Jennifer Holbrook</t>
  </si>
  <si>
    <t>Staff Associate to the V.P. for Administration/CFO</t>
  </si>
  <si>
    <t>jholbroo2@massasoit.mass.edu</t>
  </si>
  <si>
    <t>508-588-9100 x1501</t>
  </si>
  <si>
    <t>MassDEP - leased</t>
  </si>
  <si>
    <t>MassDEP - owned</t>
  </si>
  <si>
    <t>MassDOT - Highway &amp; Turnpike Divisions</t>
  </si>
  <si>
    <t>MassPort Authority</t>
  </si>
  <si>
    <t>Peter DeBruin</t>
  </si>
  <si>
    <t>Climate Mitgation &amp; Resiliency Manager</t>
  </si>
  <si>
    <t>pdebruin@massport.com</t>
  </si>
  <si>
    <t>617-568-9583</t>
  </si>
  <si>
    <t>Lauren Laskey</t>
  </si>
  <si>
    <t>Sustainability Planner</t>
  </si>
  <si>
    <t>llaskey@massport.com</t>
  </si>
  <si>
    <t>617-568-3542</t>
  </si>
  <si>
    <t>Middlesex Comm. College</t>
  </si>
  <si>
    <t>Military Division</t>
  </si>
  <si>
    <t>Mount Wachusett Comm. College</t>
  </si>
  <si>
    <t>VP of Administration &amp; Finance</t>
  </si>
  <si>
    <t>978-630-9267</t>
  </si>
  <si>
    <t>North Shore Comm. College</t>
  </si>
  <si>
    <t>Jamieson Wicks</t>
  </si>
  <si>
    <t>Facilities Director</t>
  </si>
  <si>
    <t>jwicks@northshore.edu</t>
  </si>
  <si>
    <t>(617) 879-7939</t>
  </si>
  <si>
    <t>Scott Davidson</t>
  </si>
  <si>
    <t>scott.davidson@northshore.edu</t>
  </si>
  <si>
    <t>978-762-4371</t>
  </si>
  <si>
    <t>Northern Essex Comm. College</t>
  </si>
  <si>
    <t>Quinsigamond Comm. College</t>
  </si>
  <si>
    <t>Stephen Zisk</t>
  </si>
  <si>
    <t>Director of Engineering, Energy &amp; Environment</t>
  </si>
  <si>
    <t>szisk@qcc.mass.edu</t>
  </si>
  <si>
    <t>508.854.4424</t>
  </si>
  <si>
    <t>Roxbury Comm. College</t>
  </si>
  <si>
    <t>Ken Hall</t>
  </si>
  <si>
    <t>Salem State University</t>
  </si>
  <si>
    <t>Tara Gallagher</t>
  </si>
  <si>
    <t>Sustainability &amp; EH&amp;S Coordinator</t>
  </si>
  <si>
    <t>tgallagher@salemstate.edu</t>
  </si>
  <si>
    <t>978-542-3073</t>
  </si>
  <si>
    <t>Springfield Technical Comm. College</t>
  </si>
  <si>
    <t>Debra Avery</t>
  </si>
  <si>
    <t>Senior Director of Facilities</t>
  </si>
  <si>
    <t>ddavery@stcc.edu</t>
  </si>
  <si>
    <t>413-755-4607</t>
  </si>
  <si>
    <t>Trial Court</t>
  </si>
  <si>
    <t>UMass Amherst</t>
  </si>
  <si>
    <t>Ezra Small</t>
  </si>
  <si>
    <t>Campus Sustainability Manager</t>
  </si>
  <si>
    <t>esmall@umass.edu</t>
  </si>
  <si>
    <t>413-545-0799</t>
  </si>
  <si>
    <t>UMass Boston</t>
  </si>
  <si>
    <t>Aditi Pain</t>
  </si>
  <si>
    <t>UMass Dartmouth</t>
  </si>
  <si>
    <t>Jamie Jacquart</t>
  </si>
  <si>
    <t>Asst. Director of Campus Sustainability</t>
  </si>
  <si>
    <t>jjacquart@umassd.edu</t>
  </si>
  <si>
    <t>508-999-8880</t>
  </si>
  <si>
    <t>UMass Lowell</t>
  </si>
  <si>
    <t>Daniel Abrahamson</t>
  </si>
  <si>
    <t>Energy Manager, Facilities Operations &amp; Services</t>
  </si>
  <si>
    <t>Daniel_Abrahamson@uml.edu</t>
  </si>
  <si>
    <t>978-934-4823</t>
  </si>
  <si>
    <t>UMass Medical</t>
  </si>
  <si>
    <t xml:space="preserve">Suzanne Wood </t>
  </si>
  <si>
    <t>Sustainability &amp; Energy Manager</t>
  </si>
  <si>
    <t>suzanne.wood@umassmed.edu</t>
  </si>
  <si>
    <t>508-856-6324</t>
  </si>
  <si>
    <t>Westfield State University</t>
  </si>
  <si>
    <t>Maureen Socha</t>
  </si>
  <si>
    <t>Exec. Director, Facilities &amp; Operations</t>
  </si>
  <si>
    <t>msocha@westfield.ma.edu</t>
  </si>
  <si>
    <t>413-572-5205</t>
  </si>
  <si>
    <t>Worcester State University</t>
  </si>
  <si>
    <t>Robert Daniels</t>
  </si>
  <si>
    <t>Associate Director of Facilities</t>
  </si>
  <si>
    <t>rdaniels@worcester.edu</t>
  </si>
  <si>
    <t>508-929-8099</t>
  </si>
  <si>
    <t xml:space="preserve">Select your agency/campus from a dropdown list provided and provide square footage and space optimization information.  If you have added a new building or demolished an existing building, please provide an occupancy date.  </t>
  </si>
  <si>
    <t>Please answer items in yellow, where applicable.</t>
  </si>
  <si>
    <t>Square Footage &amp; Space Optimization</t>
  </si>
  <si>
    <t>Current square footage in LBE database 
(as reported in your last tracking form submission)</t>
  </si>
  <si>
    <t>Please Select</t>
  </si>
  <si>
    <t>If reporting a different square footage from last year, please indicate the increases or decreases in square footage and provide available details below</t>
  </si>
  <si>
    <t>Name of Building</t>
  </si>
  <si>
    <t>Building Type</t>
  </si>
  <si>
    <t>Type of Change (+/-)</t>
  </si>
  <si>
    <t>Date of Change</t>
  </si>
  <si>
    <t>Approximate Date of Change</t>
  </si>
  <si>
    <t>Please provide any additional notes regarding square footage changes below:</t>
  </si>
  <si>
    <t xml:space="preserve">Electricity </t>
  </si>
  <si>
    <r>
      <t xml:space="preserve">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Alternative Energy Credits and SMART incentives. If these incentives are managed by DCAMM, you do not need to report as part of this tracking form submission. If these incentives are managed by your agency/campus or another entity separate from DCAMM, please report any available information in Section V below. 
</t>
    </r>
    <r>
      <rPr>
        <b/>
        <sz val="11"/>
        <color rgb="FFFF0000"/>
        <rFont val="Calibri"/>
        <family val="2"/>
        <scheme val="minor"/>
      </rPr>
      <t>If "Calculated Rate" cell is highlighted, please verify the total consumption and cost.</t>
    </r>
  </si>
  <si>
    <t>Please answer all items in yellow if applicable.</t>
  </si>
  <si>
    <t>Electricity Purchases, On-site Generation, Net-metering &amp; RECs/AECs</t>
  </si>
  <si>
    <t>Section I: Grid electricity purchases</t>
  </si>
  <si>
    <t>Section II: On-site power generation owned and operated by Commonwealth</t>
  </si>
  <si>
    <t>Section III: On-site power generation through power purchase agreement</t>
  </si>
  <si>
    <t>Section IV: Net metering credit purchase agreements</t>
  </si>
  <si>
    <t>Section V: Energy credits. Please include RECs/AECs sold or purchased through state contract vendors or others</t>
  </si>
  <si>
    <t>Section I(a)</t>
  </si>
  <si>
    <t>Grid Electricity Purchases</t>
  </si>
  <si>
    <t>CATEGORY</t>
  </si>
  <si>
    <t>UNIT*</t>
  </si>
  <si>
    <t>TOTAL COST
(Include Supply + T&amp;D)</t>
  </si>
  <si>
    <t>CALCULATED RATE</t>
  </si>
  <si>
    <t>NOTES</t>
  </si>
  <si>
    <t xml:space="preserve">Grid Electricity </t>
  </si>
  <si>
    <t>kWh</t>
  </si>
  <si>
    <t>Section II</t>
  </si>
  <si>
    <t>OnSite Generation - State Owned</t>
  </si>
  <si>
    <t>On-site power generation owned and operated by Commonwealth</t>
  </si>
  <si>
    <r>
      <t xml:space="preserve">REQUESTED INFORMATION
</t>
    </r>
    <r>
      <rPr>
        <sz val="10"/>
        <color rgb="FFFFFFFF"/>
        <rFont val="Calibri"/>
        <family val="2"/>
        <scheme val="minor"/>
      </rPr>
      <t>(highlighted cells only)</t>
    </r>
  </si>
  <si>
    <t xml:space="preserve">CHP/ Co-Generation </t>
  </si>
  <si>
    <t>Onsite Electricity Generation</t>
  </si>
  <si>
    <t>List fuel used for equipment</t>
  </si>
  <si>
    <t>Onsite Thermal Output</t>
  </si>
  <si>
    <t>kBtu</t>
  </si>
  <si>
    <t>Solar PV</t>
  </si>
  <si>
    <t>Generation consumed on site</t>
  </si>
  <si>
    <t>Excess Generation to Grid</t>
  </si>
  <si>
    <t>Wind</t>
  </si>
  <si>
    <t>Hydro</t>
  </si>
  <si>
    <t>Anaerobic Digestion (AD)</t>
  </si>
  <si>
    <t>Other Renewables</t>
  </si>
  <si>
    <t>List renewable type</t>
  </si>
  <si>
    <t>Section III</t>
  </si>
  <si>
    <t>OnSite Generation - PPA</t>
  </si>
  <si>
    <r>
      <t xml:space="preserve">Power generation through </t>
    </r>
    <r>
      <rPr>
        <b/>
        <sz val="12"/>
        <color rgb="FFFFFFFF"/>
        <rFont val="Calibri"/>
        <family val="2"/>
        <scheme val="minor"/>
      </rPr>
      <t>power purchase agreement</t>
    </r>
  </si>
  <si>
    <t xml:space="preserve"> RATE</t>
  </si>
  <si>
    <r>
      <t xml:space="preserve">TOTAL </t>
    </r>
    <r>
      <rPr>
        <b/>
        <sz val="11"/>
        <color theme="0"/>
        <rFont val="Calibri"/>
        <family val="2"/>
        <scheme val="minor"/>
      </rPr>
      <t>EXPENDITURES</t>
    </r>
  </si>
  <si>
    <t>Section IV</t>
  </si>
  <si>
    <t>Net metering credit purchase agreements (off-take only)</t>
  </si>
  <si>
    <t>Project Name</t>
  </si>
  <si>
    <t>Net Metering Generation (kWh)</t>
  </si>
  <si>
    <t>Net-metering Credit ($)</t>
  </si>
  <si>
    <t>Net Savings (S)</t>
  </si>
  <si>
    <t>Renewable Technology Type</t>
  </si>
  <si>
    <t>Size of Installation 
Off-Take Portion Only (MW)</t>
  </si>
  <si>
    <t>Select Technology</t>
  </si>
  <si>
    <t>Section V</t>
  </si>
  <si>
    <t>AECs, RECs and SMART Incentives</t>
  </si>
  <si>
    <t xml:space="preserve">If incentives are managed by DCAMM, you do not need to report as part of this tracking form submission. </t>
  </si>
  <si>
    <t xml:space="preserve">If managed by your agency/campus or another entity separate from DCAMM, please report any available information below. </t>
  </si>
  <si>
    <t>Category</t>
  </si>
  <si>
    <t>Total Revenue/Cost  (S)</t>
  </si>
  <si>
    <t>Notes</t>
  </si>
  <si>
    <t>Alternative Energy Certificates</t>
  </si>
  <si>
    <t>AECs Sold</t>
  </si>
  <si>
    <t>AEC</t>
  </si>
  <si>
    <t>Renewable Energy Certificates</t>
  </si>
  <si>
    <t>MA Class I Sold</t>
  </si>
  <si>
    <t>REC</t>
  </si>
  <si>
    <t>MA Class II Sold</t>
  </si>
  <si>
    <t>MA SRECs  Sold</t>
  </si>
  <si>
    <t>Other RECs Sold</t>
  </si>
  <si>
    <t>Additional RECs Purchased</t>
  </si>
  <si>
    <t>REC details (certified by, technology, location of installation):</t>
  </si>
  <si>
    <t>Total Revenue ($)</t>
  </si>
  <si>
    <t>Installation Size</t>
  </si>
  <si>
    <t>Project Type</t>
  </si>
  <si>
    <t>SMART Incentives</t>
  </si>
  <si>
    <t xml:space="preserve"> </t>
  </si>
  <si>
    <t>Select System Type</t>
  </si>
  <si>
    <t>Other Building Fuels</t>
  </si>
  <si>
    <r>
      <t xml:space="preserve">This tab includes energy data associated with all building fuels except for electricity and on-site generation at buildings.  Please enter consumption information all non-electric building energy use in this tab, including natural gas, oil, propane, etc. 
</t>
    </r>
    <r>
      <rPr>
        <b/>
        <sz val="11"/>
        <color rgb="FFFF0000"/>
        <rFont val="Calibri"/>
        <family val="2"/>
        <scheme val="minor"/>
      </rPr>
      <t>If "Calculated Rate" cell is highlighted, please verify the total consumption and cost.</t>
    </r>
  </si>
  <si>
    <t>Please answer all items in yellow, if applicable.</t>
  </si>
  <si>
    <t>Building Energy Use (Fuels other than Electricity)</t>
  </si>
  <si>
    <t>UNIT</t>
  </si>
  <si>
    <t>TOTAL COST</t>
  </si>
  <si>
    <t xml:space="preserve">CALCULATED RATE </t>
  </si>
  <si>
    <t>ADDITIONAL INFORMATION</t>
  </si>
  <si>
    <t>Natural Gas</t>
  </si>
  <si>
    <t>therms</t>
  </si>
  <si>
    <t>Liquid Natural Gas</t>
  </si>
  <si>
    <t>Fuel Oil #2 for Buildings</t>
  </si>
  <si>
    <t>gallons</t>
  </si>
  <si>
    <t>Bioheat #2 Heating Oil</t>
  </si>
  <si>
    <t>Diesel/ Fuel Oil #2 for Emergency Generators</t>
  </si>
  <si>
    <t>Fuel Oil #4</t>
  </si>
  <si>
    <t>Fuel Oil #6</t>
  </si>
  <si>
    <t>Propane (cooking and/or heating)</t>
  </si>
  <si>
    <t>Purchased Steam</t>
  </si>
  <si>
    <t>mlbs</t>
  </si>
  <si>
    <t>Wood Chips</t>
  </si>
  <si>
    <t>tons</t>
  </si>
  <si>
    <t>Pellets</t>
  </si>
  <si>
    <t>Other (please list)</t>
  </si>
  <si>
    <t>Select Units</t>
  </si>
  <si>
    <t>For purchased bioheat, please provide any available information below:</t>
  </si>
  <si>
    <t>Vendor Name</t>
  </si>
  <si>
    <t>Blend (e.g. B5, B10, B20, etc.)</t>
  </si>
  <si>
    <t>Bioheat source (e.g. soy, cooking oil, etc.)</t>
  </si>
  <si>
    <t>Associated emission reductions</t>
  </si>
  <si>
    <t>Do you know if the fuel meets APS eligibility requirements?</t>
  </si>
  <si>
    <t>Vehicle &amp; Other Fuels</t>
  </si>
  <si>
    <r>
      <t xml:space="preserve">This tab includes vehicle energy data, as well as energy data associated with any facility operations not attributed to building or vehicle use (e.g. fuel for boats/aircraft, landscaping equipment, etc.). 
</t>
    </r>
    <r>
      <rPr>
        <b/>
        <sz val="11"/>
        <color rgb="FFFF0000"/>
        <rFont val="Calibri"/>
        <family val="2"/>
        <scheme val="minor"/>
      </rPr>
      <t>If an "Calculated Rate" cell is highlighted, please verify the total consumption and cost.</t>
    </r>
  </si>
  <si>
    <t>Vehicle Energy Use</t>
  </si>
  <si>
    <t>FUEL TYPE</t>
  </si>
  <si>
    <t>Gasoline</t>
  </si>
  <si>
    <t xml:space="preserve">Diesel </t>
  </si>
  <si>
    <t>Biodiesel blend</t>
  </si>
  <si>
    <t>Ethanol (E85)</t>
  </si>
  <si>
    <t>Compressed Natural Gas (CNG)</t>
  </si>
  <si>
    <t>Propane</t>
  </si>
  <si>
    <t>Jet Fuel</t>
  </si>
  <si>
    <t>Electric</t>
  </si>
  <si>
    <t>Is this kWh included in your overall grid electricity value?</t>
  </si>
  <si>
    <t>Other</t>
  </si>
  <si>
    <t>Other Fuel Energy Use</t>
  </si>
  <si>
    <t xml:space="preserve">Please provide below consumption data for fuels use to provide power, heat or other energy to needs that are not associated with the day to day operations and building maintenance of state facilities.   Examples of this may include, but are not limited to, fuel used for training, industrial, grounds maintenance, or maritime purposes. </t>
  </si>
  <si>
    <t xml:space="preserve">FUEL TYPE </t>
  </si>
  <si>
    <t>FUEL PURPOSE</t>
  </si>
  <si>
    <t>For purchased biofuel, please provide any available information below:</t>
  </si>
  <si>
    <t>Clean Power</t>
  </si>
  <si>
    <t xml:space="preserve">Formerly "Installed Capacity", on this tab you will find a list of renewable, onsite generation, renewable thermal, and storage projects that have been reported to LBE for your agency/campus, along with their installed capacity. Please make any corrections where necessary and enter any additional renewable projects that you have installed. </t>
  </si>
  <si>
    <t xml:space="preserve">Note: A dropdown list will provide the various technologies that LBE is tracking.  If you have a technology not included in the list, please make a note of this in the "Notes" section. </t>
  </si>
  <si>
    <t>Please answer all items in yellow where applicable.</t>
  </si>
  <si>
    <t>Installed Clean Power &amp; Storage</t>
  </si>
  <si>
    <t>Section I</t>
  </si>
  <si>
    <t xml:space="preserve">Onsite Renewable &amp; Electricity Generation Installed at State Agencies/Campuses: Installations on record with LBE are pre-populated, please verify and correct. If there are additional installations, please enter in the yellow fields below the pre-populated data. </t>
  </si>
  <si>
    <t xml:space="preserve">Section II </t>
  </si>
  <si>
    <t xml:space="preserve">Renewable Thermal Installed at State Agencies/Campuses: Installations on record with LBE are pre-populated, please verify and correct. If there are additional installations, please enter in the yellow fields below the pre-populated data. </t>
  </si>
  <si>
    <t xml:space="preserve">Energy Storage Installed at State Agencies/Campuses: Installations on record with LBE are pre-populated, please verify and correct. If there are additional installations, please enter in the yellow fields below the pre-populated data. </t>
  </si>
  <si>
    <t>SECTION I</t>
  </si>
  <si>
    <t>Onsite Renewable &amp; Electricity Generation Installed at State Agencies/Campuses</t>
  </si>
  <si>
    <t>Please review the pre-populated list, where applicable note corrections in Column H.</t>
  </si>
  <si>
    <t>Installations that LBE has documented as "In Progress" will appear in green. Please correct in "Corrections/Notes" column if status has changed.</t>
  </si>
  <si>
    <t>If you have additional projects that are not in the pre-populated list, please add them in yellow fields below.</t>
  </si>
  <si>
    <t>Site/Facility Name</t>
  </si>
  <si>
    <t>City/Town</t>
  </si>
  <si>
    <t>Capacity (kW)</t>
  </si>
  <si>
    <t>Technology</t>
  </si>
  <si>
    <t>Ownership Model</t>
  </si>
  <si>
    <t>Corrections/Notes</t>
  </si>
  <si>
    <r>
      <t>Please add any installations that are</t>
    </r>
    <r>
      <rPr>
        <b/>
        <sz val="12"/>
        <color rgb="FF00B050"/>
        <rFont val="Calibri"/>
        <family val="2"/>
        <scheme val="minor"/>
      </rPr>
      <t xml:space="preserve"> </t>
    </r>
    <r>
      <rPr>
        <b/>
        <u/>
        <sz val="12"/>
        <color theme="0"/>
        <rFont val="Calibri"/>
        <family val="2"/>
        <scheme val="minor"/>
      </rPr>
      <t>currently installed or in progress</t>
    </r>
    <r>
      <rPr>
        <b/>
        <sz val="12"/>
        <color theme="0"/>
        <rFont val="Calibri"/>
        <family val="2"/>
        <scheme val="minor"/>
      </rPr>
      <t>, bu</t>
    </r>
    <r>
      <rPr>
        <b/>
        <sz val="12"/>
        <color rgb="FFFFFFFF"/>
        <rFont val="Calibri"/>
        <family val="2"/>
        <scheme val="minor"/>
      </rPr>
      <t>t NOT listed above.</t>
    </r>
  </si>
  <si>
    <t>Please enter additional installations</t>
  </si>
  <si>
    <t>SECTION II</t>
  </si>
  <si>
    <r>
      <t>Renewable Thermal Installed at State Agencies/Ca</t>
    </r>
    <r>
      <rPr>
        <b/>
        <sz val="14"/>
        <color theme="0"/>
        <rFont val="Calibri"/>
        <family val="2"/>
        <scheme val="minor"/>
      </rPr>
      <t xml:space="preserve">mpuses (e.g. solar thermal, air-source heat pumps, ground-source heat pumps, </t>
    </r>
    <r>
      <rPr>
        <b/>
        <sz val="14"/>
        <color rgb="FFFFFFFF"/>
        <rFont val="Calibri"/>
        <family val="2"/>
        <scheme val="minor"/>
      </rPr>
      <t>biomass, clean CHP, etc.)</t>
    </r>
  </si>
  <si>
    <t>Please review the pre-populated list, where applicable make corrections in Column I</t>
  </si>
  <si>
    <t>If you have addition projects that are not in the pre-populated list, please add them in yellow fields below.</t>
  </si>
  <si>
    <t>Capacity</t>
  </si>
  <si>
    <t>Capacity Units</t>
  </si>
  <si>
    <r>
      <t xml:space="preserve">Please add any installations that are </t>
    </r>
    <r>
      <rPr>
        <b/>
        <u/>
        <sz val="12"/>
        <color rgb="FFFFFFFF"/>
        <rFont val="Calibri"/>
        <family val="2"/>
        <scheme val="minor"/>
      </rPr>
      <t>currently installed or in progress</t>
    </r>
    <r>
      <rPr>
        <b/>
        <sz val="12"/>
        <color rgb="FFFFFFFF"/>
        <rFont val="Calibri"/>
        <family val="2"/>
        <scheme val="minor"/>
      </rPr>
      <t xml:space="preserve"> but NOT listed above.</t>
    </r>
  </si>
  <si>
    <t>SECTION III</t>
  </si>
  <si>
    <t>Energy Storage Installed at State Agencies/Campuses</t>
  </si>
  <si>
    <t>Please review the pre-populated list, where applicable make corrections in Column K</t>
  </si>
  <si>
    <t xml:space="preserve">Type of System </t>
  </si>
  <si>
    <t>Rated Power Capacity (kW)</t>
  </si>
  <si>
    <t>Useful Energy Capacity (kWh)</t>
  </si>
  <si>
    <t>Expected Cycling per Year</t>
  </si>
  <si>
    <t>Energy Storage Objectives 
(all or any installations)</t>
  </si>
  <si>
    <t>Program Enrollement (e.g., CPS, utility demand response,  ConnectedSolutions)</t>
  </si>
  <si>
    <r>
      <t xml:space="preserve">Please add any installations that are </t>
    </r>
    <r>
      <rPr>
        <b/>
        <u/>
        <sz val="12"/>
        <color rgb="FFFFFFFF"/>
        <rFont val="Calibri"/>
        <family val="2"/>
        <scheme val="minor"/>
      </rPr>
      <t>currently installed, planned or in progress</t>
    </r>
    <r>
      <rPr>
        <b/>
        <sz val="12"/>
        <color rgb="FFFFFFFF"/>
        <rFont val="Calibri"/>
        <family val="2"/>
        <scheme val="minor"/>
      </rPr>
      <t xml:space="preserve"> but NOT listed above.</t>
    </r>
  </si>
  <si>
    <t>Select Ownership Model</t>
  </si>
  <si>
    <t>Agency &amp; Number</t>
  </si>
  <si>
    <t>Expected cycling per year</t>
  </si>
  <si>
    <t>Select All Applicable Objectives</t>
  </si>
  <si>
    <t>Agency</t>
  </si>
  <si>
    <t>#</t>
  </si>
  <si>
    <t>Energy Storage (Standalone)</t>
  </si>
  <si>
    <t>Not reported</t>
  </si>
  <si>
    <t>Energy Storage &amp; Battery Storage</t>
  </si>
  <si>
    <t>Peak demand Mgmt/Energy Cost Savings; Integration with on-site renewables; resilience &amp; power backup</t>
  </si>
  <si>
    <t xml:space="preserve">3rd part-owned &amp; operated </t>
  </si>
  <si>
    <t>Integration with on-site renewables</t>
  </si>
  <si>
    <t>MWRA Chelsea Admin Building</t>
  </si>
  <si>
    <t>Peak demand mgmt/energy cost savings</t>
  </si>
  <si>
    <t>MWRA Brattle Court Water Pump Station</t>
  </si>
  <si>
    <t>System Type</t>
  </si>
  <si>
    <t>PTS ID/ APS ID/ NEPOOL GIS ID</t>
  </si>
  <si>
    <t>Site Name</t>
  </si>
  <si>
    <t>Capacity (kW DC)</t>
  </si>
  <si>
    <t>Address</t>
  </si>
  <si>
    <t>City</t>
  </si>
  <si>
    <t>State</t>
  </si>
  <si>
    <t>Zip</t>
  </si>
  <si>
    <t>COD</t>
  </si>
  <si>
    <t>FY Complete</t>
  </si>
  <si>
    <t>EO</t>
  </si>
  <si>
    <t>Ownerhsip Model</t>
  </si>
  <si>
    <t>Site Details</t>
  </si>
  <si>
    <t>Project Cost ($)</t>
  </si>
  <si>
    <t>Est. Electricity Rate</t>
  </si>
  <si>
    <t>Est. Reduced Annual Energy Costs ($)</t>
  </si>
  <si>
    <t>Status (Comp., Const., Award, Bid, Design, Study)</t>
  </si>
  <si>
    <t>Capacity Factor</t>
  </si>
  <si>
    <t>Potential Annual Generation (kWh)</t>
  </si>
  <si>
    <t>Details</t>
  </si>
  <si>
    <t>Monitoring System?</t>
  </si>
  <si>
    <t>Renewable</t>
  </si>
  <si>
    <t>Solar PV (Building)</t>
  </si>
  <si>
    <t>NFG-NN1981-05161</t>
  </si>
  <si>
    <t>Berkshire Community College - Field /Library/Arts Building</t>
  </si>
  <si>
    <t>1350 West Street</t>
  </si>
  <si>
    <t>Pittsfield</t>
  </si>
  <si>
    <t>MA</t>
  </si>
  <si>
    <t>BHE</t>
  </si>
  <si>
    <t>complete</t>
  </si>
  <si>
    <t>NFG-NN1981-05162</t>
  </si>
  <si>
    <t>Berkshire Community College - Hawthorne Hall</t>
  </si>
  <si>
    <t>NFG-NN1981-05163</t>
  </si>
  <si>
    <t>Berkshire Community College - Melville Hall</t>
  </si>
  <si>
    <t>NFG-NN1981-05165</t>
  </si>
  <si>
    <t>Berkshire Community College - Stanley</t>
  </si>
  <si>
    <t>NFG-NN1981-05164</t>
  </si>
  <si>
    <t>Berkshire Community College - Susan B Anthony College Center</t>
  </si>
  <si>
    <t>NFG-NN1981-04660</t>
  </si>
  <si>
    <t>131 Summer St </t>
  </si>
  <si>
    <t>Bridgewater</t>
  </si>
  <si>
    <t>PPA</t>
  </si>
  <si>
    <t>On-site Generation</t>
  </si>
  <si>
    <t>CHP</t>
  </si>
  <si>
    <t>NON39007</t>
  </si>
  <si>
    <t>777 Elsbree Street</t>
  </si>
  <si>
    <t>Fall River</t>
  </si>
  <si>
    <t>Solar PV (Canopy)</t>
  </si>
  <si>
    <t>NON39415</t>
  </si>
  <si>
    <t>Bunker Hill Community College</t>
  </si>
  <si>
    <t>Boston</t>
  </si>
  <si>
    <t>State House</t>
  </si>
  <si>
    <t>24 Beacon St</t>
  </si>
  <si>
    <t>EOANF</t>
  </si>
  <si>
    <t>CWS-CS1275-01507</t>
  </si>
  <si>
    <t>Cape Cod Community College</t>
  </si>
  <si>
    <t>2240 Iyannough Road</t>
  </si>
  <si>
    <t>Barnstable</t>
  </si>
  <si>
    <t>Solar PV (Ground)</t>
  </si>
  <si>
    <t>NFG-NN1981-10136</t>
  </si>
  <si>
    <t>SRI-PV392-00357</t>
  </si>
  <si>
    <t>Cape Cod Community College1 - PV</t>
  </si>
  <si>
    <t>SRI-RS714-01206</t>
  </si>
  <si>
    <t>Cape Cod Community College2 - PV</t>
  </si>
  <si>
    <t>GBI-JL963-00846</t>
  </si>
  <si>
    <t>NON39009</t>
  </si>
  <si>
    <t>Chelsea Soldiers Home - Solar PV Installation- Crebs 1</t>
  </si>
  <si>
    <t>91 Crest Ave, Chelsea</t>
  </si>
  <si>
    <t>Chelsea</t>
  </si>
  <si>
    <t>EOHHS</t>
  </si>
  <si>
    <t>DCR George's Island</t>
  </si>
  <si>
    <t>Boston Harbor Islands</t>
  </si>
  <si>
    <t>EOEEA</t>
  </si>
  <si>
    <t>DCR Spectacle Island</t>
  </si>
  <si>
    <t xml:space="preserve">DCR Waquoit Bay Reserve </t>
  </si>
  <si>
    <t>149 Waquoit Highway</t>
  </si>
  <si>
    <t>East Falmouth</t>
  </si>
  <si>
    <t>NFG-NN1981-05166</t>
  </si>
  <si>
    <t>Chickatawbut Hill - Mass Dept. of Conservation &amp; Recreation</t>
  </si>
  <si>
    <t>1904 Canton Avenue</t>
  </si>
  <si>
    <t>Milton</t>
  </si>
  <si>
    <t>915 Walden St</t>
  </si>
  <si>
    <t>Concord</t>
  </si>
  <si>
    <t xml:space="preserve">MCI Bridgewater </t>
  </si>
  <si>
    <t>Administration Road</t>
  </si>
  <si>
    <t>EOPS</t>
  </si>
  <si>
    <t xml:space="preserve">MCI Norfolk  </t>
  </si>
  <si>
    <t>10 Old Campbell Road</t>
  </si>
  <si>
    <t>Norfolk</t>
  </si>
  <si>
    <t>NFG-NN1981-04433</t>
  </si>
  <si>
    <t>1486 Harvard Road</t>
  </si>
  <si>
    <t>Shirley</t>
  </si>
  <si>
    <t>NFG-NN1981-04431</t>
  </si>
  <si>
    <t>DOC Cedar Junction - Industries Building (2)</t>
  </si>
  <si>
    <t>Route 1A</t>
  </si>
  <si>
    <t>Walpole</t>
  </si>
  <si>
    <t>2405 Main St</t>
  </si>
  <si>
    <t>NFG-NN1981-04430</t>
  </si>
  <si>
    <t>DOC Northeast Correctional - Barretts Mill</t>
  </si>
  <si>
    <t>1 Barretts Mill Road</t>
  </si>
  <si>
    <t xml:space="preserve">MCI Concord  </t>
  </si>
  <si>
    <t xml:space="preserve"> 965 Elm St</t>
  </si>
  <si>
    <t xml:space="preserve">MCI Framingham </t>
  </si>
  <si>
    <t>99 Loring Dr</t>
  </si>
  <si>
    <t>Framingham</t>
  </si>
  <si>
    <t>135 Western Ave</t>
  </si>
  <si>
    <t>NON38942</t>
  </si>
  <si>
    <t>NCCI Gardner</t>
  </si>
  <si>
    <t xml:space="preserve"> 500 Colony Rd</t>
  </si>
  <si>
    <t>Gardner</t>
  </si>
  <si>
    <t>NFG-NN1981-04429</t>
  </si>
  <si>
    <t>DOC Bay State Correctional</t>
  </si>
  <si>
    <t>28 Clark Street</t>
  </si>
  <si>
    <t>NFG-NN1981-04432</t>
  </si>
  <si>
    <t>DOC Norfolk #1 - Waste Water Treatment Plant</t>
  </si>
  <si>
    <t>NON34523</t>
  </si>
  <si>
    <t>DDS Wrentham Developmental</t>
  </si>
  <si>
    <t>Emerald Street</t>
  </si>
  <si>
    <t>Wrentham</t>
  </si>
  <si>
    <t>NON32888</t>
  </si>
  <si>
    <t xml:space="preserve">DFS Stow </t>
  </si>
  <si>
    <t>1 State Road</t>
  </si>
  <si>
    <t>Stow</t>
  </si>
  <si>
    <t>DFW Headquarters</t>
  </si>
  <si>
    <t>1 Rabbit Hill Road</t>
  </si>
  <si>
    <t>Westborough</t>
  </si>
  <si>
    <t>NON34592</t>
  </si>
  <si>
    <t>Worcester Recovery Center and Hospital</t>
  </si>
  <si>
    <t>309 Belmont Street</t>
  </si>
  <si>
    <t>Worcester</t>
  </si>
  <si>
    <t>NFG-NN1981-07378</t>
  </si>
  <si>
    <t>Canton Housing Authority</t>
  </si>
  <si>
    <t>660 Washington St</t>
  </si>
  <si>
    <t>Canton</t>
  </si>
  <si>
    <t>NFG-NN1981-07348</t>
  </si>
  <si>
    <t>DCAMM Surplus Property Office</t>
  </si>
  <si>
    <t>Lancaster</t>
  </si>
  <si>
    <t>NFG-NN1981-05168</t>
  </si>
  <si>
    <t>Fitchburg State College - Anthony Building</t>
  </si>
  <si>
    <t>160 Pearl Street</t>
  </si>
  <si>
    <t>Fitchburg</t>
  </si>
  <si>
    <t>NFG-NN1981-05167</t>
  </si>
  <si>
    <t>Fitchburg State College - Sanders Admin Building</t>
  </si>
  <si>
    <t>NFG-NN1981-05169</t>
  </si>
  <si>
    <t>Framingham State College - Athletic Center</t>
  </si>
  <si>
    <t>100 State Street</t>
  </si>
  <si>
    <t>NFG-NN1981-05170</t>
  </si>
  <si>
    <t>Framingham State College - McCarthy Student Center</t>
  </si>
  <si>
    <t>NFG-NN1981-07345</t>
  </si>
  <si>
    <t>Greenfield Community College - East Building</t>
  </si>
  <si>
    <t>One College Drive</t>
  </si>
  <si>
    <t>Greenfield</t>
  </si>
  <si>
    <t>375 Church St</t>
  </si>
  <si>
    <t>North Adams</t>
  </si>
  <si>
    <t>CPV-NN18-00276</t>
  </si>
  <si>
    <t>Mass College of Liberal Arts - Science Center</t>
  </si>
  <si>
    <t>NON32626</t>
  </si>
  <si>
    <t>Mass Maritime Academy</t>
  </si>
  <si>
    <t>101 Academy Dr</t>
  </si>
  <si>
    <t>Bourne</t>
  </si>
  <si>
    <t>NON32596</t>
  </si>
  <si>
    <t>Mass Maritime Academy - Wind Turbine Project</t>
  </si>
  <si>
    <t>NON33813</t>
  </si>
  <si>
    <t>AD - Steam Turbine Generator</t>
  </si>
  <si>
    <t>MWRA Deer Island</t>
  </si>
  <si>
    <t>190 Tafts Ave.</t>
  </si>
  <si>
    <t>Winthrop</t>
  </si>
  <si>
    <t>AUTHORITY</t>
  </si>
  <si>
    <t>NON39003</t>
  </si>
  <si>
    <t>MSS1062</t>
  </si>
  <si>
    <t>MWRA Wachusett Reservoir Cosgrove</t>
  </si>
  <si>
    <t>Clinton</t>
  </si>
  <si>
    <t>MSS857</t>
  </si>
  <si>
    <t>MWRA Wachusett Reservoir Oakdale</t>
  </si>
  <si>
    <t>West Boylston</t>
  </si>
  <si>
    <t>NON38939</t>
  </si>
  <si>
    <t>MWRA Loring Road</t>
  </si>
  <si>
    <t>Weston</t>
  </si>
  <si>
    <t>NFG-NN1981-04762</t>
  </si>
  <si>
    <t>NFG-NN1981-04840</t>
  </si>
  <si>
    <t>NFG-NN1981-04761</t>
  </si>
  <si>
    <t>NON38938</t>
  </si>
  <si>
    <t>MWRA J.C. Carroll</t>
  </si>
  <si>
    <t>86 D’Angelo Drive</t>
  </si>
  <si>
    <t>Marlborough</t>
  </si>
  <si>
    <t>NON38970</t>
  </si>
  <si>
    <t>MWRA Charlestown DeLauri</t>
  </si>
  <si>
    <t>172 Alford St</t>
  </si>
  <si>
    <t>NON39006</t>
  </si>
  <si>
    <t>NFG-NN1981-05171</t>
  </si>
  <si>
    <t>Massasoit Community College - Humanities Building</t>
  </si>
  <si>
    <t>One Massasoit Blvd</t>
  </si>
  <si>
    <t>Brockton</t>
  </si>
  <si>
    <t>NFG-NN1981-05172</t>
  </si>
  <si>
    <t>Massasoit Community College - Liberal Arts Building</t>
  </si>
  <si>
    <t>NFG-NN1981-05173</t>
  </si>
  <si>
    <t>Massasoit Community College - Science Building</t>
  </si>
  <si>
    <t>NFG-NN1981-05174</t>
  </si>
  <si>
    <t>Massasoit Community College - Student Center</t>
  </si>
  <si>
    <t>NFG-NN1981-05175</t>
  </si>
  <si>
    <t>Massasoit Community College - Technology Building</t>
  </si>
  <si>
    <t>NON33903</t>
  </si>
  <si>
    <t>DEP Wall Laboratory</t>
  </si>
  <si>
    <t>37 Shattuck Street</t>
  </si>
  <si>
    <t>Lawrence</t>
  </si>
  <si>
    <t>NFG-NN1981-07347</t>
  </si>
  <si>
    <t>Springfield Recycling Facility Complex</t>
  </si>
  <si>
    <t>84 Birnie Avenue</t>
  </si>
  <si>
    <t>Springfield</t>
  </si>
  <si>
    <t>MassDOT District 2 Highway Office</t>
  </si>
  <si>
    <t>811 North King St.</t>
  </si>
  <si>
    <t>Northampton</t>
  </si>
  <si>
    <t>MASSDOT</t>
  </si>
  <si>
    <t>Ground (RoW)</t>
  </si>
  <si>
    <t>Natick</t>
  </si>
  <si>
    <t>Plymouth</t>
  </si>
  <si>
    <t>MassPort Hanscom Civil Air Terminal</t>
  </si>
  <si>
    <t>200 Hanscom Drive</t>
  </si>
  <si>
    <t>Bedford</t>
  </si>
  <si>
    <t>NFG-NN1981-07383</t>
  </si>
  <si>
    <t>1 Harborside Drive </t>
  </si>
  <si>
    <t>NFG-NN1981-07384</t>
  </si>
  <si>
    <t>MassPort Logan Airport  Terminal B Parking Garage</t>
  </si>
  <si>
    <t>MassPort Green Bus Depot</t>
  </si>
  <si>
    <t xml:space="preserve">Boston </t>
  </si>
  <si>
    <t>MassPort Logan Airport</t>
  </si>
  <si>
    <t>1 Harborside Drive</t>
  </si>
  <si>
    <t>MassPort Rental Car Center</t>
  </si>
  <si>
    <t>OFG-JI1239-01150</t>
  </si>
  <si>
    <t>Mt. Wachusett CC</t>
  </si>
  <si>
    <t>444 Green Street</t>
  </si>
  <si>
    <t>NON39005</t>
  </si>
  <si>
    <t>Mt. Wachusett Comm College</t>
  </si>
  <si>
    <t>WasteHeat to Power</t>
  </si>
  <si>
    <t xml:space="preserve">Mount Wachusett Community College  </t>
  </si>
  <si>
    <t>NON39017</t>
  </si>
  <si>
    <t>North Shore Comm College - McGee Building</t>
  </si>
  <si>
    <t>1 Ferncroft Road</t>
  </si>
  <si>
    <t>Danvers</t>
  </si>
  <si>
    <t>NFG-NN1981-08282</t>
  </si>
  <si>
    <t>NFG-NN1981-05176</t>
  </si>
  <si>
    <t>North Shore Community College - Berry Bldg</t>
  </si>
  <si>
    <t>1234 Columbus Ave</t>
  </si>
  <si>
    <t>NFG-NN1981-07346</t>
  </si>
  <si>
    <t>Salem State College - O'Keefe</t>
  </si>
  <si>
    <t>352 Lafayette Street</t>
  </si>
  <si>
    <t>Salem</t>
  </si>
  <si>
    <t>OFG-PF1130-01052</t>
  </si>
  <si>
    <t>71 Loring Avenue</t>
  </si>
  <si>
    <t>N/A</t>
  </si>
  <si>
    <t>OFGI-JI1237-01149</t>
  </si>
  <si>
    <t>1 Armory Square, Building 20</t>
  </si>
  <si>
    <t>NON32845</t>
  </si>
  <si>
    <t>Umass Amherst</t>
  </si>
  <si>
    <t>300 Massachusetts Ave</t>
  </si>
  <si>
    <t>Amherst</t>
  </si>
  <si>
    <t>UMASS</t>
  </si>
  <si>
    <t>UMass Research Farm</t>
  </si>
  <si>
    <t>Deerfield</t>
  </si>
  <si>
    <t>http://www.powerdash.com/systems/1000367/</t>
  </si>
  <si>
    <t>NFG-NN1981-05616</t>
  </si>
  <si>
    <t>UMass Boston -Wheatley Hall</t>
  </si>
  <si>
    <t>100 Morrissey Blvd</t>
  </si>
  <si>
    <t>NFG-NN1981-05177</t>
  </si>
  <si>
    <t>UMass Dartmouth - Tripp Athletic Center</t>
  </si>
  <si>
    <t>285 Old Westport Road</t>
  </si>
  <si>
    <t>Dartmouth</t>
  </si>
  <si>
    <t>NFG-NN1981-05178</t>
  </si>
  <si>
    <t>UMass Dartmouth - Woodland Common Evergreen Dormitory</t>
  </si>
  <si>
    <t>NFG-NN1981-05179</t>
  </si>
  <si>
    <t>UMass Dartmouth - Woodland Common Hickory Dormitory</t>
  </si>
  <si>
    <t>NFG-NN1981-05180</t>
  </si>
  <si>
    <t>UMass Dartmouth - Woodland Common Ivy Dormitory</t>
  </si>
  <si>
    <t>NFG-NN1981-05181</t>
  </si>
  <si>
    <t>UMass Dartmouth - Woodland Common Willow Dormitory</t>
  </si>
  <si>
    <t>NON36166</t>
  </si>
  <si>
    <t>NFG-NN1981-05617</t>
  </si>
  <si>
    <t>UMass Lowell - Bourgeois Hall</t>
  </si>
  <si>
    <t>One University Avenue</t>
  </si>
  <si>
    <t>Lowell</t>
  </si>
  <si>
    <t>NFG-NN1981-05618</t>
  </si>
  <si>
    <t>UMass Lowell - Costello Gym</t>
  </si>
  <si>
    <t>NFG-NN1981-05619</t>
  </si>
  <si>
    <t>UMass Lowell - Dugan</t>
  </si>
  <si>
    <t>NFG-NN1981-05620</t>
  </si>
  <si>
    <t>UMass Lowell - Leitch</t>
  </si>
  <si>
    <t>NON34176</t>
  </si>
  <si>
    <t>55 N Lake Ave</t>
  </si>
  <si>
    <t>NFG-NN1981-05182</t>
  </si>
  <si>
    <t>Westfield State College - Bates Hall</t>
  </si>
  <si>
    <t>577 Western Avenue</t>
  </si>
  <si>
    <t>Westfield</t>
  </si>
  <si>
    <t>NFG-NN1981-05183</t>
  </si>
  <si>
    <t>Westfield State College - Wilson Hall</t>
  </si>
  <si>
    <t>NON32922</t>
  </si>
  <si>
    <t>286 Chandler St</t>
  </si>
  <si>
    <t>NFG-NN1981-05482</t>
  </si>
  <si>
    <t>NON39013</t>
  </si>
  <si>
    <t>MassDOT West Stockbridge RoW</t>
  </si>
  <si>
    <t>West Stockbridge</t>
  </si>
  <si>
    <t>105 Rabbit Road, Depot</t>
  </si>
  <si>
    <t>Salisbury</t>
  </si>
  <si>
    <t>MassDOT Hopkinton Canopy</t>
  </si>
  <si>
    <t>Hopkinton</t>
  </si>
  <si>
    <t>Canopy</t>
  </si>
  <si>
    <t>MassDOT Hopkinton Rooftop</t>
  </si>
  <si>
    <t>Roof</t>
  </si>
  <si>
    <t>4 College Drive</t>
  </si>
  <si>
    <t>Salem State Marsh Hall (PPA)</t>
  </si>
  <si>
    <t>71B Loring Avenue</t>
  </si>
  <si>
    <t>Salem State Gassett Fitness Center (PPA)</t>
  </si>
  <si>
    <t>225 A Canal Street</t>
  </si>
  <si>
    <t>TBD</t>
  </si>
  <si>
    <t>UMass Amherst--Computer Science</t>
  </si>
  <si>
    <t>UMass Amherst--Police Station</t>
  </si>
  <si>
    <t>UMass Amherst--Rec Center</t>
  </si>
  <si>
    <t>Site</t>
  </si>
  <si>
    <t>Location</t>
  </si>
  <si>
    <t>Renewable Thermal</t>
  </si>
  <si>
    <t>Solar Thermal</t>
  </si>
  <si>
    <t>BSU</t>
  </si>
  <si>
    <t>Bridgewater State - Science and Mathematics Center</t>
  </si>
  <si>
    <t>Unknown</t>
  </si>
  <si>
    <t>On North Wing</t>
  </si>
  <si>
    <t>Ground Source Heat Pump</t>
  </si>
  <si>
    <t>BCC</t>
  </si>
  <si>
    <t>Sbrega Health and Sciences Building</t>
  </si>
  <si>
    <t>Air Source Heat Pump</t>
  </si>
  <si>
    <t>BTU</t>
  </si>
  <si>
    <t>GCC</t>
  </si>
  <si>
    <t>125-150 tons cooling</t>
  </si>
  <si>
    <t>HCC</t>
  </si>
  <si>
    <t>Holyoke CC Bartley Center</t>
  </si>
  <si>
    <t>Holyoke</t>
  </si>
  <si>
    <t>MMA</t>
  </si>
  <si>
    <t>kW</t>
  </si>
  <si>
    <t>Authority</t>
  </si>
  <si>
    <t>MWRA</t>
  </si>
  <si>
    <t>geothermal system, Wachusett Aqueduct Pumping Station</t>
  </si>
  <si>
    <t>Biomass</t>
  </si>
  <si>
    <t>MWCC</t>
  </si>
  <si>
    <t>NSCC</t>
  </si>
  <si>
    <t>QCC</t>
  </si>
  <si>
    <t>Quinsigamond Community College</t>
  </si>
  <si>
    <t>RCC</t>
  </si>
  <si>
    <t>RCC Building 3 Roof</t>
  </si>
  <si>
    <t>SSU</t>
  </si>
  <si>
    <t>Salem State Berry Library and Learning Commons</t>
  </si>
  <si>
    <t>MMBtu</t>
  </si>
  <si>
    <t xml:space="preserve">closed-loop geothermal system comprised of 48 6-inch diameter wells </t>
  </si>
  <si>
    <t>STCC</t>
  </si>
  <si>
    <t xml:space="preserve">Building 15 DPS </t>
  </si>
  <si>
    <t>Building 27 Shipping and Receiving</t>
  </si>
  <si>
    <t>Building 19</t>
  </si>
  <si>
    <t>UMass</t>
  </si>
  <si>
    <t>no information on the system provided (not available)</t>
  </si>
  <si>
    <t>UMass Amherst Police Station</t>
  </si>
  <si>
    <t>There are 5 pump units, each ranging from 5 MBH (1.5 kW) to 25 MBH (7.4 kW.)</t>
  </si>
  <si>
    <t>UMass Amherst Crotty Hall</t>
  </si>
  <si>
    <t>2 WW180</t>
  </si>
  <si>
    <t>I am told that we have two Bosch WW180 Heat Pumps. This system is not earning any AEC's.</t>
  </si>
  <si>
    <t>Hadley</t>
  </si>
  <si>
    <t>?</t>
  </si>
  <si>
    <t>UMass Lowell Inn &amp; Conference Center</t>
  </si>
  <si>
    <t xml:space="preserve">Lowell </t>
  </si>
  <si>
    <t>WSU</t>
  </si>
  <si>
    <r>
      <t xml:space="preserve">This tab requests information about vehicle fleets. All LBE partners should respond to Section I. 
Section II is applicable only to those entities that </t>
    </r>
    <r>
      <rPr>
        <i/>
        <u/>
        <sz val="12"/>
        <color theme="3"/>
        <rFont val="Calibri"/>
        <family val="2"/>
        <scheme val="minor"/>
      </rPr>
      <t>do not</t>
    </r>
    <r>
      <rPr>
        <sz val="12"/>
        <color theme="3"/>
        <rFont val="Calibri"/>
        <family val="2"/>
        <scheme val="minor"/>
      </rPr>
      <t xml:space="preserve"> purchase/lease vehicles through the Office of Vehicle Management (OVM). 
Please only include leased and owned on-road vehicles that are operated by your agency or the Commonwealth.</t>
    </r>
    <r>
      <rPr>
        <b/>
        <u/>
        <sz val="12"/>
        <color theme="3"/>
        <rFont val="Calibri"/>
        <family val="2"/>
        <scheme val="minor"/>
      </rPr>
      <t xml:space="preserve"> </t>
    </r>
  </si>
  <si>
    <r>
      <t xml:space="preserve">Section I: </t>
    </r>
    <r>
      <rPr>
        <sz val="12"/>
        <color theme="3"/>
        <rFont val="Calibri"/>
        <family val="2"/>
        <scheme val="minor"/>
      </rPr>
      <t xml:space="preserve">Current and future fleet questions. Please answer to the best of your ability. </t>
    </r>
  </si>
  <si>
    <t>Section I: Fleet Questions</t>
  </si>
  <si>
    <t>Please answer the related fleet questions below before proceeding to the next section.</t>
  </si>
  <si>
    <t>If possible, please provide any available details below</t>
  </si>
  <si>
    <t>Would you like assistance with planning or purchasing of zero-emissions assets for your fleet (e.g. fleet analysis, ZEV model information, grant application support, etc)?</t>
  </si>
  <si>
    <t>If possible, please indicate any assitance you are seeking</t>
  </si>
  <si>
    <t>Fuel Type</t>
  </si>
  <si>
    <t>Passenger Cars</t>
  </si>
  <si>
    <t>SUVs</t>
  </si>
  <si>
    <t>Pickup Trucks</t>
  </si>
  <si>
    <t>Passenger Vans</t>
  </si>
  <si>
    <t>Cargo Vans</t>
  </si>
  <si>
    <t>Neighboorhood/ 
Utility Vehicles*</t>
  </si>
  <si>
    <t>Diesel</t>
  </si>
  <si>
    <t>Hybrid Electric (HEV)</t>
  </si>
  <si>
    <t>Plug-in Hybrid Electric (PHEV)</t>
  </si>
  <si>
    <t>Battery Electric (BEV)</t>
  </si>
  <si>
    <t>Other - Please Select</t>
  </si>
  <si>
    <t>TOTAL</t>
  </si>
  <si>
    <t>If calculated fleet total is incorrect, please indicate below</t>
  </si>
  <si>
    <t xml:space="preserve">On this tab you will find a list of EV charging stations that have been reported to LBE for your agency/campus, along with charging station details. Please make any corrections where necessary and enter any additional stations that you have installed. </t>
  </si>
  <si>
    <t xml:space="preserve"> Note: Dropdown lists will help to populate fields.  If you have additional information not included in the lists, please make a note of this in the "Notes" section. </t>
  </si>
  <si>
    <t xml:space="preserve"> Existing EV Charging Stations. This EV charging stations section is pre-populated, please verify and correct.</t>
  </si>
  <si>
    <t>Expected EV Charging Stations. Please add any EV charging stations that are planned or in progress.</t>
  </si>
  <si>
    <t>EV Charging Stations at State Facilities</t>
  </si>
  <si>
    <t>Please review the pre-populated list, where applicable enter details in Corrections/Notes column.</t>
  </si>
  <si>
    <t xml:space="preserve">If you have additional EV charging stations that are not in the pre-populated list, please add them in yellow rows below. </t>
  </si>
  <si>
    <t>Type of Charger</t>
  </si>
  <si>
    <t>Single or Dual Head?</t>
  </si>
  <si>
    <t>Installation Date</t>
  </si>
  <si>
    <t xml:space="preserve">Access </t>
  </si>
  <si>
    <t xml:space="preserve">Corrections/Notes </t>
  </si>
  <si>
    <t>Add any EV charging stations that are currently installed but NOT listed in Section I.</t>
  </si>
  <si>
    <t>Site Address</t>
  </si>
  <si>
    <t># of Stations</t>
  </si>
  <si>
    <t>EV Charging Stations in progress or planned</t>
  </si>
  <si>
    <r>
      <t xml:space="preserve">If you have additional EV charging station installation projects that are in progress or </t>
    </r>
    <r>
      <rPr>
        <b/>
        <sz val="12"/>
        <color theme="0"/>
        <rFont val="Calibri"/>
        <family val="2"/>
        <scheme val="minor"/>
      </rPr>
      <t>planned within</t>
    </r>
    <r>
      <rPr>
        <sz val="12"/>
        <color theme="0"/>
        <rFont val="Calibri"/>
        <family val="2"/>
        <scheme val="minor"/>
      </rPr>
      <t xml:space="preserve"> the next year,  please list them below. </t>
    </r>
  </si>
  <si>
    <t>Access</t>
  </si>
  <si>
    <t>Would you be interested in discussing charging deployment opportunities and assistance to support fleet electrification?</t>
  </si>
  <si>
    <t>Agency #</t>
  </si>
  <si>
    <t>Entity</t>
  </si>
  <si>
    <t>ZIP</t>
  </si>
  <si>
    <t>Plus4</t>
  </si>
  <si>
    <t>Status Code</t>
  </si>
  <si>
    <t>Expected Date</t>
  </si>
  <si>
    <t>Utility</t>
  </si>
  <si>
    <t>Status</t>
  </si>
  <si>
    <t>EV Level1 EVSE Num</t>
  </si>
  <si>
    <t># Level2 EV Stations</t>
  </si>
  <si>
    <t># EV DC Fast Stations</t>
  </si>
  <si>
    <t>SUM of EV Charging Stations</t>
  </si>
  <si>
    <t># of Ports</t>
  </si>
  <si>
    <t>ID</t>
  </si>
  <si>
    <t>Open Date</t>
  </si>
  <si>
    <t>EV Connector Types</t>
  </si>
  <si>
    <t>EV Charging Station</t>
  </si>
  <si>
    <t>DCAMM</t>
  </si>
  <si>
    <t>HOLYOKE COMMUNITY COLLEGE</t>
  </si>
  <si>
    <t>Campus Center (Lot S)</t>
  </si>
  <si>
    <t>01040</t>
  </si>
  <si>
    <t>MLP</t>
  </si>
  <si>
    <t>Active</t>
  </si>
  <si>
    <t>Public</t>
  </si>
  <si>
    <t>Level 2</t>
  </si>
  <si>
    <t xml:space="preserve">Dual </t>
  </si>
  <si>
    <t>BRIDGEWATER STATE UNIVERSITY</t>
  </si>
  <si>
    <t>02324</t>
  </si>
  <si>
    <t>National Grid</t>
  </si>
  <si>
    <t xml:space="preserve">BRISTOL COMMUNITY COLLEGE </t>
  </si>
  <si>
    <t>02720</t>
  </si>
  <si>
    <t>DCR</t>
  </si>
  <si>
    <t>01742</t>
  </si>
  <si>
    <t xml:space="preserve">DPH TEWKSBURY HOSPITAL </t>
  </si>
  <si>
    <t>Tewksbury</t>
  </si>
  <si>
    <t>01876</t>
  </si>
  <si>
    <t>DIVISION OF CAPITAL ASSET MANAGEMENT</t>
  </si>
  <si>
    <t>436 Dwight Street</t>
  </si>
  <si>
    <t>01103</t>
  </si>
  <si>
    <t>Eversource</t>
  </si>
  <si>
    <t>1 Ashburton Place</t>
  </si>
  <si>
    <t>02108</t>
  </si>
  <si>
    <t>01701</t>
  </si>
  <si>
    <t>GREENFIELD COMMUNITY COLLEGE</t>
  </si>
  <si>
    <t>One College Dr</t>
  </si>
  <si>
    <t>01301</t>
  </si>
  <si>
    <t>DCFC</t>
  </si>
  <si>
    <t>02115</t>
  </si>
  <si>
    <t>Level 1</t>
  </si>
  <si>
    <t>MASS. COLLEGE OF LIBERAL ARTS</t>
  </si>
  <si>
    <t>01247</t>
  </si>
  <si>
    <t>DEP</t>
  </si>
  <si>
    <t>MASSDEP - CERO</t>
  </si>
  <si>
    <t>8 New Bond Street</t>
  </si>
  <si>
    <t>01606</t>
  </si>
  <si>
    <t>MASSDEP (Lakeville)</t>
  </si>
  <si>
    <t>20 Riverside Drive</t>
  </si>
  <si>
    <t>Lakeville</t>
  </si>
  <si>
    <t>02347</t>
  </si>
  <si>
    <t>Fleet Charging Only</t>
  </si>
  <si>
    <t>MASSDOT District Office #4</t>
  </si>
  <si>
    <t>Arlington</t>
  </si>
  <si>
    <t>02476</t>
  </si>
  <si>
    <t>MASSDOT District Office #6</t>
  </si>
  <si>
    <t>185 Kneeland St</t>
  </si>
  <si>
    <t>02111</t>
  </si>
  <si>
    <t>MASSDOT HQ</t>
  </si>
  <si>
    <t>10 Park Plaza</t>
  </si>
  <si>
    <t>02116</t>
  </si>
  <si>
    <t>MASSDOT District Office #5</t>
  </si>
  <si>
    <t>1000 County Street MA-140</t>
  </si>
  <si>
    <t>Taunton</t>
  </si>
  <si>
    <t>02780</t>
  </si>
  <si>
    <t>MASSDOT District Office #3</t>
  </si>
  <si>
    <t>01604</t>
  </si>
  <si>
    <t xml:space="preserve">Public </t>
  </si>
  <si>
    <t>MassPike Rest Areas Framingham West</t>
  </si>
  <si>
    <t>01748</t>
  </si>
  <si>
    <t xml:space="preserve">MassPike Rest Areas Lee East </t>
  </si>
  <si>
    <t>Lee</t>
  </si>
  <si>
    <t>01238</t>
  </si>
  <si>
    <t>MassPike Rest Areas Lee West</t>
  </si>
  <si>
    <t>01239</t>
  </si>
  <si>
    <t>01507</t>
  </si>
  <si>
    <t>01508</t>
  </si>
  <si>
    <t>MASSPORT</t>
  </si>
  <si>
    <t>02128</t>
  </si>
  <si>
    <t>02129</t>
  </si>
  <si>
    <t>2 Griffin Way</t>
  </si>
  <si>
    <t>02150</t>
  </si>
  <si>
    <t>Southborough</t>
  </si>
  <si>
    <t>Deer Island</t>
  </si>
  <si>
    <t>190 Tafts Ave</t>
  </si>
  <si>
    <t>84 D'Angelo Dr</t>
  </si>
  <si>
    <t>QUINSIGAMOND COMMUNITY COLLEGE</t>
  </si>
  <si>
    <t xml:space="preserve">Surprenant Building </t>
  </si>
  <si>
    <t>East side of parking lot #2</t>
  </si>
  <si>
    <t>01607</t>
  </si>
  <si>
    <t>ROXBURY COMMUNITY COLLEGE</t>
  </si>
  <si>
    <t>02120</t>
  </si>
  <si>
    <t xml:space="preserve">SALEM STATE </t>
  </si>
  <si>
    <t>01970</t>
  </si>
  <si>
    <t>UMASS AMHERST</t>
  </si>
  <si>
    <t>01003</t>
  </si>
  <si>
    <t xml:space="preserve">Holdsworth Way &amp; Commonwealth Ave: Lot 41 </t>
  </si>
  <si>
    <t>Visitor Center Parking Lot</t>
  </si>
  <si>
    <t>Newton</t>
  </si>
  <si>
    <t>UMASS DARTMOUTH</t>
  </si>
  <si>
    <t>Parking Lot 13</t>
  </si>
  <si>
    <t>02747</t>
  </si>
  <si>
    <t>SMAST East Campus</t>
  </si>
  <si>
    <t>New Bedford</t>
  </si>
  <si>
    <t>UMASS LOWELL</t>
  </si>
  <si>
    <t>01854</t>
  </si>
  <si>
    <t>South Garage Patient Visitor</t>
  </si>
  <si>
    <t>01655</t>
  </si>
  <si>
    <t>Plantation Street Garage</t>
  </si>
  <si>
    <t>Restricted</t>
  </si>
  <si>
    <t>WORCESTER STATE UNIVERSITY</t>
  </si>
  <si>
    <t>486 Chandler St</t>
  </si>
  <si>
    <t>01602</t>
  </si>
  <si>
    <t>Energy Efficiency Projects at State Facilities</t>
  </si>
  <si>
    <t>Site/Location</t>
  </si>
  <si>
    <t xml:space="preserve">Energy Efficiency Project Description </t>
  </si>
  <si>
    <t>Total Cost of Project</t>
  </si>
  <si>
    <t>Electricity
Est. Energy Savings 
(kWh)</t>
  </si>
  <si>
    <t>Natural Gas
Est. Energy Savings
(kWh)</t>
  </si>
  <si>
    <t>Fuel Oil
Est. Energy Savings
(gallons)</t>
  </si>
  <si>
    <t xml:space="preserve">Total Cost Savings </t>
  </si>
  <si>
    <t>Please provide any additional notes regarding energy efficiency projects below:</t>
  </si>
  <si>
    <t>Agency#</t>
  </si>
  <si>
    <t>FiscalYear</t>
  </si>
  <si>
    <t>EOName</t>
  </si>
  <si>
    <t>Total Gallons</t>
  </si>
  <si>
    <t>Cost</t>
  </si>
  <si>
    <t>not reported</t>
  </si>
  <si>
    <t>11,401 (?)</t>
  </si>
  <si>
    <t>COURTS</t>
  </si>
  <si>
    <t>Recycling</t>
  </si>
  <si>
    <t>This tab requests information on waste management, water use and converation, and other sustainability efforts at your facilities.  If you have more than one facility you would like to track separately, feel free to contact Sophia Vitello (sophia.vitello@mass.gov)</t>
  </si>
  <si>
    <t>Please answer all items in yellow, where applicable.</t>
  </si>
  <si>
    <t>Waste Diversion</t>
  </si>
  <si>
    <t>Water Use &amp; Conservation</t>
  </si>
  <si>
    <t>Sustainable Landscaping</t>
  </si>
  <si>
    <t>Other Sustainability</t>
  </si>
  <si>
    <t>Section I: Waste Diversion</t>
  </si>
  <si>
    <r>
      <t xml:space="preserve"> If available, please provide total tonnage diverted from waste stream </t>
    </r>
    <r>
      <rPr>
        <i/>
        <sz val="11"/>
        <color theme="3"/>
        <rFont val="Calibri"/>
        <family val="2"/>
        <scheme val="minor"/>
      </rPr>
      <t/>
    </r>
  </si>
  <si>
    <r>
      <t xml:space="preserve"> If available, please provide total tonnage of materials disposed of in the solid waste stream </t>
    </r>
    <r>
      <rPr>
        <i/>
        <sz val="11"/>
        <color theme="3"/>
        <rFont val="Calibri"/>
        <family val="2"/>
        <scheme val="minor"/>
      </rPr>
      <t>(not including diverted materials)</t>
    </r>
  </si>
  <si>
    <t xml:space="preserve">Calculated Waste Diversion Rate </t>
  </si>
  <si>
    <t>Please discuss any new or innovative programs in place to reduce waste/expand recycling programs that you have implemented in the last year</t>
  </si>
  <si>
    <t>Section II: Water Use &amp; Conservation</t>
  </si>
  <si>
    <t>Fiscal Year</t>
  </si>
  <si>
    <t>Total Cost</t>
  </si>
  <si>
    <t xml:space="preserve">Section III: Sustainable Landscaping </t>
  </si>
  <si>
    <t>Pollinator Habitat</t>
  </si>
  <si>
    <t xml:space="preserve">If your campus/agency employs any of the following practices to support pollinator habitats and species, 
please provide details in the spaces provided below each question. </t>
  </si>
  <si>
    <t>Strategy</t>
  </si>
  <si>
    <t>Est. Size 
(Acres)</t>
  </si>
  <si>
    <t>Year Established</t>
  </si>
  <si>
    <t>Implementation Status</t>
  </si>
  <si>
    <t>If your campus/agency has existing, in progress or expected pollinator habitat efforts not listed above, please provide any available details below</t>
  </si>
  <si>
    <t>Battery Powered Landscaping Equipment</t>
  </si>
  <si>
    <t>Equipment Type</t>
  </si>
  <si>
    <t>Manufacturer</t>
  </si>
  <si>
    <t># of item</t>
  </si>
  <si>
    <t>Notes/Description</t>
  </si>
  <si>
    <t>Would you be interested in talking to LBE about the procurement of BPLE and their fiscal, health, and environmental benefits?</t>
  </si>
  <si>
    <t>Landscaping</t>
  </si>
  <si>
    <t>This landscaping tab is voluntary to complete. The Leading by Example Program appreciates any information and feedback related to your landscaping practices as we work to advance the progress of sustainability initiatives across the Commonwealth.</t>
  </si>
  <si>
    <t>If your agency/campus submitted answers to the below questions in past years and you would like LBE to use al or some of this data for your FY21 submission,
 please note this in the dropdown to the right.</t>
  </si>
  <si>
    <t xml:space="preserve">If your campus/agency employs any of the folllowing landscaping practices, 
please provide details in the spaces provided  below each question. </t>
  </si>
  <si>
    <t xml:space="preserve">If your campus/agency employs any of the folllowing practices to support pollinator habitats and species, 
please provide details in the spaces provided  below each question. </t>
  </si>
  <si>
    <t xml:space="preserve">Do you maintain your own landscape? </t>
  </si>
  <si>
    <t>à</t>
  </si>
  <si>
    <t>Zero-Turn Riding Mowers</t>
  </si>
  <si>
    <t>Push Mowers</t>
  </si>
  <si>
    <t>Leaf Blowers, String Trimmers</t>
  </si>
  <si>
    <t>Do  you currently/plan to implement any sustainable landscaping practices (e.g. reduction/elimination of pest management, use of environmentally preferrable products, battery-powered landscape equipment)?</t>
  </si>
  <si>
    <t>Reduction/elimination of pest management</t>
  </si>
  <si>
    <t>Use of environmentally preferrable products</t>
  </si>
  <si>
    <t>Use of battery-powered landscape equipment</t>
  </si>
  <si>
    <t xml:space="preserve">Do you use potable water for landscaping purposes? </t>
  </si>
  <si>
    <t>Est. Size (Acres)</t>
  </si>
  <si>
    <t xml:space="preserve">Year </t>
  </si>
  <si>
    <t>On-Site Signage</t>
  </si>
  <si>
    <t>Photos?</t>
  </si>
  <si>
    <t>On LBE Map?</t>
  </si>
  <si>
    <t>Third-Party Certification or Program?</t>
  </si>
  <si>
    <t>Status Update</t>
  </si>
  <si>
    <t>Agency/Campus</t>
  </si>
  <si>
    <t>Conant Science and Mathematics Center</t>
  </si>
  <si>
    <t>Green Roof</t>
  </si>
  <si>
    <t>Implemented</t>
  </si>
  <si>
    <t>No</t>
  </si>
  <si>
    <t>Yes</t>
  </si>
  <si>
    <t>Bristol Community College</t>
  </si>
  <si>
    <t>Managed Wildflower Meadow</t>
  </si>
  <si>
    <t>In Progress</t>
  </si>
  <si>
    <t xml:space="preserve">
Joe Desa </t>
  </si>
  <si>
    <r>
      <t xml:space="preserve">College planted seeds spring 2019 for an approximately 2500 square foot section of grassy area adjacent to a pond and forest. </t>
    </r>
    <r>
      <rPr>
        <b/>
        <sz val="11"/>
        <rFont val="Calibri"/>
        <family val="2"/>
        <scheme val="minor"/>
      </rPr>
      <t>Update status to implemented when blooming confirmed (May/June 2019)</t>
    </r>
  </si>
  <si>
    <t>6/18/2019 -- Joe will send photos once in bloom. Also interested in support regarding signage</t>
  </si>
  <si>
    <t>Limited Mow Zone</t>
  </si>
  <si>
    <r>
      <t xml:space="preserve">No/limited mow areas around Sbrega Building. Previously this area was mowed </t>
    </r>
    <r>
      <rPr>
        <sz val="11"/>
        <color rgb="FFFF0000"/>
        <rFont val="Calibri"/>
        <family val="2"/>
        <scheme val="minor"/>
      </rPr>
      <t>#</t>
    </r>
    <r>
      <rPr>
        <sz val="11"/>
        <rFont val="Calibri"/>
        <family val="2"/>
        <scheme val="minor"/>
      </rPr>
      <t xml:space="preserve"> times annually and is now mowed </t>
    </r>
    <r>
      <rPr>
        <sz val="11"/>
        <color rgb="FFFF0000"/>
        <rFont val="Calibri"/>
        <family val="2"/>
        <scheme val="minor"/>
      </rPr>
      <t>#</t>
    </r>
    <r>
      <rPr>
        <sz val="11"/>
        <rFont val="Calibri"/>
        <family val="2"/>
        <scheme val="minor"/>
      </rPr>
      <t xml:space="preserve"> times annually. </t>
    </r>
    <r>
      <rPr>
        <sz val="11"/>
        <color rgb="FFFF0000"/>
        <rFont val="Calibri"/>
        <family val="2"/>
        <scheme val="minor"/>
      </rPr>
      <t>(Checking w/ BCC)</t>
    </r>
  </si>
  <si>
    <t>Sbrega Health and Science Building</t>
  </si>
  <si>
    <t>190 sq. ft green roof on north side of Sbrega Building</t>
  </si>
  <si>
    <t>no pictures (asling Joe)</t>
  </si>
  <si>
    <t>Middlesex Fells Reservation (Botume House Visitor Center)</t>
  </si>
  <si>
    <t>Pollinator Garden</t>
  </si>
  <si>
    <t>Planted wildflowers Middlesex Fells State Reservation (Botume House Visitor Center)</t>
  </si>
  <si>
    <t>Waquoit Bay</t>
  </si>
  <si>
    <t>Joan Muller</t>
  </si>
  <si>
    <t xml:space="preserve">Before 1994, the front fields of the Reserve were mowed several times annually, and they are now a no/limited mow area to encourage growth of endangered plant sandplain gerardia. This limited mowing also reduces fuel use and greenhouse gas emissions. Rare plants in the meadow were restored in 1994 with seeds collected from a nearby natural population through a MA Natural Heritage and Endangered Species program.  The meadow includes a diversity of native grasses and forbes including:  little bluestem, Indian grass, tufted hairgrass, false indigo, bird’s foot violet, asters, and goldenrod.  The meadow also supports sandplain gerardia and other rare flora native to the Cape. </t>
  </si>
  <si>
    <t>These stormwater/Pollinator Gardens include swamp milkweed, common milkweed, butterfly weed, and a diverse array of pollinator-friendly plants..Previously, the area was parking lot and is not mowed.</t>
  </si>
  <si>
    <t>Senator Joseph Finnegan Park (Port Norfolk)</t>
  </si>
  <si>
    <t>Ruth Helfeld</t>
  </si>
  <si>
    <t>The  former industrial site was completely restored, which included 2 acres of Managed Wildflower Meadow seed mix plantings. 
In addition, large expanses of salt marsh restoration (hundreds of low marsh and upper marsh grass plugs, and transplanting a healthy section of salt marsh grass growing on pavement).   Completed in 2017, the 2 acre Managed Wildflower Meadow as part of the 12 acre park was a brownfield site which was cleaned up,  capped with clean soil, and vegetated.</t>
  </si>
  <si>
    <t>Purgatory Chasm Visitor Center</t>
  </si>
  <si>
    <t>Pollinator-friendly and butterfly garden at DCR Purgatory Chasm Visitor Center in Sutton . Was this area previously mowed regularly?</t>
  </si>
  <si>
    <t>Greenough Boulevard multi-purpose trail</t>
  </si>
  <si>
    <t>Checking w/ DCR</t>
  </si>
  <si>
    <t>Myles Standish</t>
  </si>
  <si>
    <t>Wachusett Reservoir Regional Office - West Boylston</t>
  </si>
  <si>
    <t>Ken MacKenzie</t>
  </si>
  <si>
    <t xml:space="preserve">2 areas (1.87 and 0.25-acres) around the Admin building on Beaman Street to support monarch butterflies.  Fields are filled with milkweed. </t>
  </si>
  <si>
    <t>In Progress (DCR to send in spring)</t>
  </si>
  <si>
    <t>Wachusett Reservoir - South Dike</t>
  </si>
  <si>
    <t>Partnership with DCR-DWSP, MassWildlife and MA DOT.  Area was set aside on the dike to be planted with native  tree/shrubs and tall native grasses and wildflowers for help form a living snow-fence to keep show off of Rt 70 and provide habitat and forage for wildlife.</t>
  </si>
  <si>
    <t>Wachusett Reservoir - North Dike</t>
  </si>
  <si>
    <t>35 acre grassland and other no-mow area(s) at Quabbin</t>
  </si>
  <si>
    <r>
      <t xml:space="preserve">From Ken on 7/24/19: "35-acre plot is a </t>
    </r>
    <r>
      <rPr>
        <b/>
        <sz val="11"/>
        <color theme="1" tint="0.499984740745262"/>
        <rFont val="Calibri"/>
        <family val="2"/>
        <scheme val="minor"/>
      </rPr>
      <t>delayed</t>
    </r>
    <r>
      <rPr>
        <sz val="11"/>
        <color theme="1" tint="0.499984740745262"/>
        <rFont val="Calibri"/>
        <family val="2"/>
        <scheme val="minor"/>
      </rPr>
      <t xml:space="preserve"> mow area that is scheduled to be mowed the 1st week in August.  It is primarily set up for the benefit of grassland nesting birds- specifically meadowlarks, kestrels and bobolinks.  These birds have had their clutches of eggs and the young birds have fledged by this point in the summer.  But because of the delay in mowing, many wildflowers have been allowed to grow up and go to seed.  What once was 90% grass is now pretty forby."</t>
    </r>
  </si>
  <si>
    <t>Olmsted Park, Emerald Necklace, Boston</t>
  </si>
  <si>
    <t>Olmsted Park and Pollinator Meadow:  This is a partnership project with the Emerald Necklace Conservancy.  DCR is in the process of restoring an area that has a high number of invasive species. The upland area of Olmsted park that used to be home to the Kelly Rink is being restored with a new meadow seed mix in combination with lawn area.</t>
  </si>
  <si>
    <t>DOC Bridgewater (West)</t>
  </si>
  <si>
    <t>Sean Foley and Andy Bakinowski</t>
  </si>
  <si>
    <t>In 2017, tilled area in summer and planted northeast wildflower mix in fall</t>
  </si>
  <si>
    <t>Site visit Aug 2019. They are interested in creating new gardens in public-facing spaces, which would include signs. They may also create limited-mow zone around solar installation. Eric sent next-steps email to them 8.26.19</t>
  </si>
  <si>
    <t>DOC Bridgewater (East)</t>
  </si>
  <si>
    <t>Site visit Aug 2019. They are interested in creating new gardens in public-facing spaces, which would include signs. They may also create limited-mow zone around solar installation. Eric sent next-steps email to them 8.26.20</t>
  </si>
  <si>
    <t>Milford Parking Lot</t>
  </si>
  <si>
    <t>Planned</t>
  </si>
  <si>
    <t>Taunton State Hospital</t>
  </si>
  <si>
    <t>Rick Navarro</t>
  </si>
  <si>
    <t xml:space="preserve">Tilled 2.7 acre site several times in spring of 2017, seeded northeast wildflower mix in late spring. </t>
  </si>
  <si>
    <t>New photos provided June 2019</t>
  </si>
  <si>
    <t>The site of a former hospital building has been fenced in for years, and is only accessed by landscapping staff once or twice per year to mow. This limited mow plan has unintentionally benefited pollinators and wildlife, while staff limit mowing simply because it isn't an accessible space. Unsure of start year.</t>
  </si>
  <si>
    <t>REQUESTED</t>
  </si>
  <si>
    <t>Police Academy (New Braintree)</t>
  </si>
  <si>
    <t>Paul Hession</t>
  </si>
  <si>
    <t>DFW Westborough Field Headquarters</t>
  </si>
  <si>
    <t>Dave Paulson</t>
  </si>
  <si>
    <t xml:space="preserve">In 2016, MassWildlife planted a pollinator-friendly habitat at the Westborough Field Headquarters.  A 2017 survey of the planting  identified 10 species of butterflies: Black Swallowtail, Spicebush Swallowtail, Cabbage White, Orange Sulphur, Gray Hairstreak, Pearl Crescent, Common Buckeye, Common Ringlet, Monarch, and Wild Indigo Duskywing. At the time of the survey, the ground cover is dominated by the soil-stabilizing rye, but some wildflowers  are starting to appear, including Common Milkweed, Partridge Pea, and New York Ironweed. </t>
  </si>
  <si>
    <t>Kittredge Center for Business and
Workforce Development</t>
  </si>
  <si>
    <t>Blue Line, Orient Heights Station</t>
  </si>
  <si>
    <t>Sean Donaghy</t>
  </si>
  <si>
    <t xml:space="preserve">On the Blue Line, this station's green roof helps stabilize temperatures and improve stormwater management.
</t>
  </si>
  <si>
    <t>Mass. Bay Transportation Authority</t>
  </si>
  <si>
    <t>Hingham Ferry Terminal</t>
  </si>
  <si>
    <t xml:space="preserve">The terminal's green roof helps stabilize temperatures and responsibly manage rainwater and snowmelt.
</t>
  </si>
  <si>
    <t>South Hall</t>
  </si>
  <si>
    <t>Claudine Ellyin</t>
  </si>
  <si>
    <t>Current construction of South Hall is setting up for approx. 2000 sqft of new landscaping which supports pollination</t>
  </si>
  <si>
    <t>Feigenbaum Center for Science and Innovation</t>
  </si>
  <si>
    <t xml:space="preserve">LBE requested information </t>
  </si>
  <si>
    <t>Bond Street</t>
  </si>
  <si>
    <t>Student led effort (&amp; Joe Santucci is a staff contact)</t>
  </si>
  <si>
    <t>http://www.mcla.edu/news1/2017-Nov/sophomore-spearheads-save-the-bees-campaign
LBE requested information</t>
  </si>
  <si>
    <t>Highland Avenue</t>
  </si>
  <si>
    <t>Brockton Campus</t>
  </si>
  <si>
    <t>Compl</t>
  </si>
  <si>
    <t>Andrew Oguma and Michael Bankson</t>
  </si>
  <si>
    <t>Massasoit has for several years been converting traditional gardens and lawns to sustainable landscapes with non-invasive plants native to New England. These efforts conserve water, mitigate stormwater run-off; reduce the use of pesticides, fertilizers, and fossil fuels; and increase wildlife habitat, including habitat for native pollinators. Massasoit's sustainable landscaping efforts have led to an ongoing faculty-student research project focused on native pollinators, which not only helps advance research in this field but also provides students with hands-on educational experiences.</t>
  </si>
  <si>
    <t>Ryan talked to Andrew on 9/5/19 to get overview of the work. Professors and students manage the 'sustainable landscapes,' landscape crew manages the rest. Capacity is limited to grow program as facilities team isn't fully engaged. Pollinator habitats act as research stations - students conduct surveys of bees in the area, compare to other locations, and present data at conferences.</t>
  </si>
  <si>
    <t xml:space="preserve"> In 2009, the Massasoit CC stopped weekly mowing in spring, summer, and fall in this area to mowing just once a year \This initiative reduces the use of pesticides, fertilizers, and fossil fuels. This area provides habitat for wildlife including eastern cottontails, bees, butterflies, a wide variety of song birds, plus wildflowers</t>
  </si>
  <si>
    <t>Wall Experiment Station</t>
  </si>
  <si>
    <t xml:space="preserve"> Massasoit's meadow provides an ecological benefit as habitat for birds and insects, a social benefit to students engaging in land-use research, and an economic benefit by cutting the costs of fertilizing, mowing, and watering an area that used to be lawn. The meadow is mowed annually to mimic the effects of wildfires and grazing that would naturally keep this habitat from becoming forest</t>
  </si>
  <si>
    <t>Brookfield - Bridge Project</t>
  </si>
  <si>
    <t>Tara Mitchell</t>
  </si>
  <si>
    <t>Added by MassDOT in 2014, this is pollinator-friendly meadow that included native New England wildflowers as part of the seed mix (as part of a Quabog River Bridge project).</t>
  </si>
  <si>
    <t>Duxbury Roundabout</t>
  </si>
  <si>
    <t>Pollinator-friendly planting that included native New England wildflowers as part of the seed mix</t>
  </si>
  <si>
    <t>Leominster - Route 2 &amp; 12 Interchange</t>
  </si>
  <si>
    <t>Pollinator-friendly meadow that included native New England wildflowers as part of the seed mix</t>
  </si>
  <si>
    <t>Lynnfield Wake - Basins</t>
  </si>
  <si>
    <t>Converted from a parking lot in 2006 (and reseeded in 2011 and 2015), MassDOT added this  pollinator-friendly meadow that included native New England wildflowers as part of the seed mix.</t>
  </si>
  <si>
    <t>Plymouth Native Seed</t>
  </si>
  <si>
    <t>&lt;.5</t>
  </si>
  <si>
    <t>Uxbridge Exit 4 - Basins</t>
  </si>
  <si>
    <t>Waltham I-95</t>
  </si>
  <si>
    <t>Whittier Bridge Bike Path: Newburyport &amp; Amesbury</t>
  </si>
  <si>
    <t>In 2016, MassDOT planted this pollinator-friendly meadow that included native New England wildflowers as part of the seed mix on the Whittier Bridge Bike Path from Newburyport to Amesbury.</t>
  </si>
  <si>
    <t>MassDOT District 3: Along I-290</t>
  </si>
  <si>
    <t xml:space="preserve">MassDOT planning to seed area with plants specific to pollinator habitat and such that it provides seasonal habitat. Planning to plant in May 2019, and intends to seed a section that currently has bare, gravel soil - so it will include experimental native meadow seed as well. </t>
  </si>
  <si>
    <t>Route 146: Uxbridge Exit 3 - On Ramp from Route 16 to 146N</t>
  </si>
  <si>
    <t xml:space="preserve">	
12-mile corridor along Route 146, these areas are mowed only once a year (in the spring). Previously, the areas were mowed 2 - 4 times annually.</t>
  </si>
  <si>
    <t>Route 146: Uxbridge Exit 4 - Top of off Ramp to Lackey Dam Road</t>
  </si>
  <si>
    <t>Route 146: Uxbridge Median SB between Exit 3&amp;4</t>
  </si>
  <si>
    <t>Route 146: Sutton Exit 7 off ramp NB</t>
  </si>
  <si>
    <t>I-190: Leominster w/ tree barrier planting</t>
  </si>
  <si>
    <t>3 mile corridor</t>
  </si>
  <si>
    <t>I-190: Leominster - basin</t>
  </si>
  <si>
    <t>I-190: Lancaster</t>
  </si>
  <si>
    <t>Plymouth Route 3 Rest Area</t>
  </si>
  <si>
    <t>Starting in 2015, this area is mowed only once a year (in the spring) - previously, the area was mowed 2 - 4 times annually.</t>
  </si>
  <si>
    <t xml:space="preserve">Plymouth Commerce Way </t>
  </si>
  <si>
    <t>Starting in 2011, this area has become a no mow zone to restore vegetation. Previously, the area was mowed 2 - 4 times annually.</t>
  </si>
  <si>
    <t>Bioswalw at ABS Building</t>
  </si>
  <si>
    <t>Planning</t>
  </si>
  <si>
    <t>replacing existing overgrowth</t>
  </si>
  <si>
    <t>Nut Island Headworks
(47 Sea Ave, Quincy, MA 02169)</t>
  </si>
  <si>
    <t xml:space="preserve">MWRA Information in Progress </t>
  </si>
  <si>
    <t>Health Professions and Student Services Building</t>
  </si>
  <si>
    <t>Danvers MA Parking Lot 6</t>
  </si>
  <si>
    <t>No Mow/Pollinator Habitat</t>
  </si>
  <si>
    <t>Front area of campus (between Administration Building and Boylston Street)</t>
  </si>
  <si>
    <t>Steve Zisk</t>
  </si>
  <si>
    <r>
      <t xml:space="preserve">Collaboration between Phi Theta Kappa student group and QCC Facilities Department. QCC partnered with MassWildlife, </t>
    </r>
    <r>
      <rPr>
        <sz val="11"/>
        <color rgb="FFFF0000"/>
        <rFont val="Calibri"/>
        <family val="2"/>
        <scheme val="minor"/>
      </rPr>
      <t>seed mix information in progress from Steve</t>
    </r>
  </si>
  <si>
    <t>Marsh Hall</t>
  </si>
  <si>
    <t>• Marsh Hall's green roof hosts seven varieties of drought-resistant sedum and grasses. 
• The vegetation reduces storm water run-off and helps moderate building temperature.</t>
  </si>
  <si>
    <t>Governor's Drive</t>
  </si>
  <si>
    <t>Integrative Learning Center</t>
  </si>
  <si>
    <t>15,000SF of the Integrative Learning Center (ILC) roof has provided space for planting hardy native plants. This green roof provides an educational opportunity to the campus community, reduces the heat island effect, creates a pleasing view for the surrounding buildings, absorbs CO2, reduces glare and retains 1,825 CF of storm water. Additionally, a green roof protects the roof membrane from the elements, including UV light, extending the life expectancy of the membrane and leading to lower life cycle costs. An extensive green roof with some type of sedum which requires very little maintenance was the chosen type of green roof for the ILC.</t>
  </si>
  <si>
    <t>John W. Olver Design Building</t>
  </si>
  <si>
    <t>Completed in January 2017, the courtyard garden at the John W. Olver Design Building contains a variety of soil depths and plantings which were selected to mitigate heat island effects, promote biodiversity, and improve storm water quality. Rooftop vegetation utilizes a drip irrigation system, where water is withheld and gradually delivered to plants as needed. This irrigation method promotes plant health and reduces water consumption.</t>
  </si>
  <si>
    <t>360 View</t>
  </si>
  <si>
    <t>Eastman Lane Low Mow</t>
  </si>
  <si>
    <t xml:space="preserve">Lee Michalopoulos </t>
  </si>
  <si>
    <t>Area includes a roadside bank (0.3 acres) and a grassland buffer zone (0.5 acres) along the treeline. 
Both areas were previously mowed on a weekly basis. Beginning in 2019, both are now mowed once annually in the late fall. Signs have been placed along the bank but are often hit by cars and/or removed.</t>
  </si>
  <si>
    <t>Stadium Drive Meadow Ribbon</t>
  </si>
  <si>
    <t>Previous mowing regime was on a weekly basis, new regime beginning 2019  is one annual scheduled fall mowing. 
On site signage says “Area maintained as meadow habitat. Please do not disturb”</t>
  </si>
  <si>
    <t>Gunness Bank</t>
  </si>
  <si>
    <t>Previously mowed weekly. Beginning in 2019 mowed once every fall.</t>
  </si>
  <si>
    <t>Department Headquarters Meadow Ribbon</t>
  </si>
  <si>
    <t>Permaculture Gardens</t>
  </si>
  <si>
    <t>Multiple</t>
  </si>
  <si>
    <t>Agriculture Learning Center</t>
  </si>
  <si>
    <t>apiary, regenerative farming</t>
  </si>
  <si>
    <t>Songbird Garden</t>
  </si>
  <si>
    <t>native/songbird plant species and design</t>
  </si>
  <si>
    <t>Integrated Sciences Complex</t>
  </si>
  <si>
    <t>University Hall</t>
  </si>
  <si>
    <t>UCRR Project</t>
  </si>
  <si>
    <t>University Crossing</t>
  </si>
  <si>
    <t>Erik Shaw</t>
  </si>
  <si>
    <t>Three separate green roof sections across UML University Crossing Building absorb rainwater, provide insulation, and reduce the heat island effect</t>
  </si>
  <si>
    <t xml:space="preserve">Sheehy/Allen House </t>
  </si>
  <si>
    <t>Planted daisies, snapdragons, lupine and baby’s breath, and more</t>
  </si>
  <si>
    <t>Coburn Hall</t>
  </si>
  <si>
    <t>UML discussing adding a Managed Wildflower Meadow/or Pollinator Garden in the Coburn Hall area as the renovation project comes to completion in late 2019/2020</t>
  </si>
  <si>
    <t>Joel Moser</t>
  </si>
  <si>
    <r>
      <t xml:space="preserve">Bee Campus USA Certified | </t>
    </r>
    <r>
      <rPr>
        <sz val="11"/>
        <color rgb="FFFF0000"/>
        <rFont val="Calibri"/>
        <family val="2"/>
        <scheme val="minor"/>
      </rPr>
      <t>LBE requested information</t>
    </r>
  </si>
  <si>
    <t>NG Units</t>
  </si>
  <si>
    <t>Fuel Oil Units</t>
  </si>
  <si>
    <t>Woods</t>
  </si>
  <si>
    <t>Steam</t>
  </si>
  <si>
    <t>other</t>
  </si>
  <si>
    <t>Please Select from the Dropdown</t>
  </si>
  <si>
    <t>Anaerobic Digestion</t>
  </si>
  <si>
    <t>Air source heat pump</t>
  </si>
  <si>
    <t xml:space="preserve">Yes </t>
  </si>
  <si>
    <t>1 station</t>
  </si>
  <si>
    <t>3 Heads</t>
  </si>
  <si>
    <t xml:space="preserve">Single Head </t>
  </si>
  <si>
    <t>Agency/State Owned</t>
  </si>
  <si>
    <t>No Changes, Please Use Last Year's Data</t>
  </si>
  <si>
    <t>Energy Storage (Stand alone)</t>
  </si>
  <si>
    <t>Site owned &amp; operated</t>
  </si>
  <si>
    <t>Behind-the-Meter</t>
  </si>
  <si>
    <t>Single stream</t>
  </si>
  <si>
    <t>CNG</t>
  </si>
  <si>
    <t>Zero-turn mower</t>
  </si>
  <si>
    <t>Clean Combined Heat and Power (CHP)/Co-Generation</t>
  </si>
  <si>
    <t>MW</t>
  </si>
  <si>
    <t>CCF</t>
  </si>
  <si>
    <t>barrels</t>
  </si>
  <si>
    <t>Btu</t>
  </si>
  <si>
    <t>2-5 stations</t>
  </si>
  <si>
    <t>Plugs</t>
  </si>
  <si>
    <t>Dual Head</t>
  </si>
  <si>
    <t>Power Purchase Agreement</t>
  </si>
  <si>
    <t>Some Changes, Please See Updates Below</t>
  </si>
  <si>
    <t>Energy Storage (Paired w/ RPS Class 1 resource)</t>
  </si>
  <si>
    <t xml:space="preserve">Integration with on-site renewables </t>
  </si>
  <si>
    <t>Standalone (w/ off-takers)</t>
  </si>
  <si>
    <t xml:space="preserve">Multi-stream </t>
  </si>
  <si>
    <t>LNG</t>
  </si>
  <si>
    <t>Stand-on mower</t>
  </si>
  <si>
    <t>Clean Combined Heat and Power (CHP)</t>
  </si>
  <si>
    <t>Not sure</t>
  </si>
  <si>
    <t>Do Not Generate</t>
  </si>
  <si>
    <t>Not Sure</t>
  </si>
  <si>
    <t>5-8 stations</t>
  </si>
  <si>
    <t>Employee Charging Only</t>
  </si>
  <si>
    <t>Never Reported, All New Data</t>
  </si>
  <si>
    <t>Energy Storage (Paired w/ RPS Class 2 resource)</t>
  </si>
  <si>
    <t>Other (please describe in notes)</t>
  </si>
  <si>
    <t>Resilience &amp; power backup</t>
  </si>
  <si>
    <t>Standalone (w/o off-takers)</t>
  </si>
  <si>
    <t>LPG</t>
  </si>
  <si>
    <t>Not sure?</t>
  </si>
  <si>
    <t>Ride-on mower</t>
  </si>
  <si>
    <t>Ground source heat pump</t>
  </si>
  <si>
    <t>kBtu/hr</t>
  </si>
  <si>
    <t>Do Not Know</t>
  </si>
  <si>
    <t>n/a</t>
  </si>
  <si>
    <t>more than 5 stations</t>
  </si>
  <si>
    <t>Revenue generation</t>
  </si>
  <si>
    <t>Help! What's EO594?!</t>
  </si>
  <si>
    <t>Unsure</t>
  </si>
  <si>
    <t>Push mower</t>
  </si>
  <si>
    <t>Gallons</t>
  </si>
  <si>
    <t>Dual-fuel/Bi-fuel</t>
  </si>
  <si>
    <t>Multiple - please list at right</t>
  </si>
  <si>
    <t>Leaf blower</t>
  </si>
  <si>
    <t>String trimmer</t>
  </si>
  <si>
    <t>Pole saw</t>
  </si>
  <si>
    <t>Chainsaw</t>
  </si>
  <si>
    <t>Select your agency/campus from a dropdown list provided and contact information will auto-populate.  If contact information is incorrect, please note changes where appropriate and clearly mark the change (highlighting, underlining, etc). If additional contacts should be included for your campus, please list them in the yellow boxes.</t>
  </si>
  <si>
    <t>Please provide more details in the box below if possible.</t>
  </si>
  <si>
    <t>Access Type 
(e.g., Public, Fleet)</t>
  </si>
  <si>
    <t>Construction Coordinator</t>
  </si>
  <si>
    <t>7. Please discuss any significant sustainability efforts implemented this past year. In this section, please feel free to provide greater detail on a sustainability project listed in other sections of this form (i.e., waste, water use, food, efficiency) or provide detail on a sustainability project or broader sustainability effort that does not fit within any other form boxes.</t>
  </si>
  <si>
    <t>6. Please detail any efforts being undertaken to enhance resilience at your agency or entity.</t>
  </si>
  <si>
    <t>Pollinator Habitat (Existing)</t>
  </si>
  <si>
    <t>Gravely</t>
  </si>
  <si>
    <t>Mowers purchased with funds from $150,000 state grant designated for purchase of additional alternative field landscape equipment awarded to UMA</t>
  </si>
  <si>
    <t>UMass Amherst1</t>
  </si>
  <si>
    <t>Agency/Entity</t>
  </si>
  <si>
    <t>Do you have any off-road vehicles/equipment in your fleet (ATV, tractor, excavator, bulldozer, sweeper, etc.)?</t>
  </si>
  <si>
    <t>Agency/Campus Site</t>
  </si>
  <si>
    <t>Street Address/Site</t>
  </si>
  <si>
    <t>Station Location</t>
  </si>
  <si>
    <t xml:space="preserve">Groups With Access </t>
  </si>
  <si>
    <t>Access Type</t>
  </si>
  <si>
    <t>Access Days Time</t>
  </si>
  <si>
    <t>Level 1  Chargers</t>
  </si>
  <si>
    <t>Level 2 Chargers</t>
  </si>
  <si>
    <t>Fast Chargers</t>
  </si>
  <si>
    <t>Total EV Stations</t>
  </si>
  <si>
    <t>Type</t>
  </si>
  <si>
    <t>Main Campus -- Lot 5</t>
  </si>
  <si>
    <t>2240 Lyannough Road</t>
  </si>
  <si>
    <t>West Barnstable</t>
  </si>
  <si>
    <t>02668</t>
  </si>
  <si>
    <t>24 hours daily</t>
  </si>
  <si>
    <t>Greenfield Community College</t>
  </si>
  <si>
    <t>MassDOT</t>
  </si>
  <si>
    <t xml:space="preserve">MassDOT/ Rest Areas Bridgewater </t>
  </si>
  <si>
    <t>Rte. 24 NB Bridgewater Service Plaza</t>
  </si>
  <si>
    <t>Rte. 24 SB Bridgewater Service Plaza</t>
  </si>
  <si>
    <t>MassDOT/ Greenfield</t>
  </si>
  <si>
    <t>18 Miner Street</t>
  </si>
  <si>
    <t>Greenfield RMV - Tourist Info</t>
  </si>
  <si>
    <t xml:space="preserve">MassDOT/ MassPike Rest Areas Lee East </t>
  </si>
  <si>
    <t>MassDOT/ MassPike Rest Areas Lee West</t>
  </si>
  <si>
    <t>MassDOT / MassPike Rest Areas Charlton East</t>
  </si>
  <si>
    <t>MassPike Rest Areas Charlton East</t>
  </si>
  <si>
    <t>Charlton</t>
  </si>
  <si>
    <t>MassDOT / MassPike Rest Areas Charlton West</t>
  </si>
  <si>
    <t>MassPike Rest Areas Charlton West</t>
  </si>
  <si>
    <t>MassDOT / MassPike Rest Areas Framingham West</t>
  </si>
  <si>
    <t>Taxipool Lot</t>
  </si>
  <si>
    <t>Public (Restricted)</t>
  </si>
  <si>
    <t>TNC Lot (Ride App Staging Lot)</t>
  </si>
  <si>
    <t>Mass College of Art &amp; Design</t>
  </si>
  <si>
    <t>Ward Street Parking area</t>
  </si>
  <si>
    <t>Great Hill Drive</t>
  </si>
  <si>
    <t xml:space="preserve"> Parking Garage </t>
  </si>
  <si>
    <t>Across from Sbrega Building under Canopy, lot 7</t>
  </si>
  <si>
    <t>Under solar canopy, lot 8</t>
  </si>
  <si>
    <t>Under solar canopy, lot 9</t>
  </si>
  <si>
    <t>CCRTA</t>
  </si>
  <si>
    <t>Cape Cod Regional Transit Authority</t>
  </si>
  <si>
    <t>HYANNIS TRANSPORTATION CENTER</t>
  </si>
  <si>
    <t>215 Iyannough Road</t>
  </si>
  <si>
    <t>Hyannis</t>
  </si>
  <si>
    <t>02601</t>
  </si>
  <si>
    <t>DCR Walden Pond</t>
  </si>
  <si>
    <t>9 am - 5pm</t>
  </si>
  <si>
    <t>North Point Maintenance Facility</t>
  </si>
  <si>
    <t>6 Museum Way</t>
  </si>
  <si>
    <t>Cambridge</t>
  </si>
  <si>
    <t>02141</t>
  </si>
  <si>
    <t>FSU Conlon Fine Arts Building</t>
  </si>
  <si>
    <t xml:space="preserve"> 01420</t>
  </si>
  <si>
    <t>23 Salem End Road</t>
  </si>
  <si>
    <t>Facilities Building Lot</t>
  </si>
  <si>
    <t>01702</t>
  </si>
  <si>
    <t>Commuter Lot</t>
  </si>
  <si>
    <t>SHERIFF</t>
  </si>
  <si>
    <t>Franklin County Sheriff's Office</t>
  </si>
  <si>
    <t>FRANKLIN COUNTY SHERIFF</t>
  </si>
  <si>
    <t xml:space="preserve">160 Elm Street </t>
  </si>
  <si>
    <t>Under solar canopy</t>
  </si>
  <si>
    <t>01300</t>
  </si>
  <si>
    <t>Holyoke Community College</t>
  </si>
  <si>
    <t>303 Homestead Avenue</t>
  </si>
  <si>
    <t>Campus Center</t>
  </si>
  <si>
    <t>404 Jarvis Avenue</t>
  </si>
  <si>
    <t>MCCA</t>
  </si>
  <si>
    <t>Mass Convention Center Authority</t>
  </si>
  <si>
    <t>Boston Convention and Exhibition Center</t>
  </si>
  <si>
    <t>BOS COM GARAGE1; On entrance level, near center of garage</t>
  </si>
  <si>
    <t>02210</t>
  </si>
  <si>
    <t>BOS COM GARAGE2; On entrance level, near center of garage</t>
  </si>
  <si>
    <t>02211</t>
  </si>
  <si>
    <t>Feigenbaum building parking lot</t>
  </si>
  <si>
    <t>MassDEP</t>
  </si>
  <si>
    <t>MassDEP (Woburn) - Northeast Regional Office</t>
  </si>
  <si>
    <t>150 Presidential Way</t>
  </si>
  <si>
    <t>Woburn</t>
  </si>
  <si>
    <t>01801</t>
  </si>
  <si>
    <t>MassDOT/ Hopkinton Facility</t>
  </si>
  <si>
    <t>MassDOT/ Whatley Park and Ride Lot</t>
  </si>
  <si>
    <t>421 State Rd</t>
  </si>
  <si>
    <t>Park and Ride Lot</t>
  </si>
  <si>
    <t>South Deerfield</t>
  </si>
  <si>
    <t>01373</t>
  </si>
  <si>
    <t>Weston Maintenance Facility</t>
  </si>
  <si>
    <t>MassDOT Park &amp; Ride Harwich</t>
  </si>
  <si>
    <t>Harwich</t>
  </si>
  <si>
    <t>02645</t>
  </si>
  <si>
    <t>MassDOT Park &amp; Ride New Bedford</t>
  </si>
  <si>
    <t>02754</t>
  </si>
  <si>
    <t>MassDOT-Bourne - Sagamore Park &amp; Ride</t>
  </si>
  <si>
    <t>Route 6 &amp; Route 3 Interchange</t>
  </si>
  <si>
    <t>Limo Pool Lot</t>
  </si>
  <si>
    <t>Hanscom Field Airside Fire Rescue</t>
  </si>
  <si>
    <t>Logan Office Center Garage - 1st Floor</t>
  </si>
  <si>
    <t>Employees Only</t>
  </si>
  <si>
    <t>Employees/Students Only</t>
  </si>
  <si>
    <t>Logan Office Center Garage - 2nd Floor</t>
  </si>
  <si>
    <t>Economy Garage - 2nd Floor</t>
  </si>
  <si>
    <t>Terminal B Garage - 2nd Floor</t>
  </si>
  <si>
    <t>Terminal B Garage - 3rd Floor</t>
  </si>
  <si>
    <t>West Garage - 3rd Floor</t>
  </si>
  <si>
    <t>West Garage - 6th Floor</t>
  </si>
  <si>
    <t>Central Garage - 3rd Floor</t>
  </si>
  <si>
    <t>Central Garage - 6th Floor</t>
  </si>
  <si>
    <t xml:space="preserve">Logan Express Framingham Lot </t>
  </si>
  <si>
    <t>Logan Airport Facilities 3 Lot</t>
  </si>
  <si>
    <t>MBTA</t>
  </si>
  <si>
    <t>MBTA WOODLAND</t>
  </si>
  <si>
    <t>Second floor or garage near front</t>
  </si>
  <si>
    <t>02466</t>
  </si>
  <si>
    <t>McCormack Building</t>
  </si>
  <si>
    <t>MWRTA</t>
  </si>
  <si>
    <t>MetroWest Regional Transit Authority</t>
  </si>
  <si>
    <t>MWRTA Blandin Hub</t>
  </si>
  <si>
    <t>15 Blandin Avenue</t>
  </si>
  <si>
    <t>Southborough HQ Western Operations</t>
  </si>
  <si>
    <t>270 Boston Rd</t>
  </si>
  <si>
    <t>01772</t>
  </si>
  <si>
    <t>Chelsea Facility</t>
  </si>
  <si>
    <t>Carroll Water Treatment Plant</t>
  </si>
  <si>
    <t>Roxbury Community College</t>
  </si>
  <si>
    <t>Under solar canopy lot</t>
  </si>
  <si>
    <t>225 Canal Street</t>
  </si>
  <si>
    <t>O'Keefe Center Parking Lot</t>
  </si>
  <si>
    <t>1 College Drive</t>
  </si>
  <si>
    <t>North Campus Parking Garage</t>
  </si>
  <si>
    <t>Department of Public Health</t>
  </si>
  <si>
    <t>365 East Street</t>
  </si>
  <si>
    <t xml:space="preserve">B Lot </t>
  </si>
  <si>
    <t>Campus Center Way</t>
  </si>
  <si>
    <t>Campus Center Parking Garage, 4th level</t>
  </si>
  <si>
    <t>300 Massachusetts Avenue</t>
  </si>
  <si>
    <t>Stockbridge Road</t>
  </si>
  <si>
    <t xml:space="preserve"> Lot 62 (behind Design Building)</t>
  </si>
  <si>
    <t>Thatcher Road</t>
  </si>
  <si>
    <t xml:space="preserve">Lot 52 </t>
  </si>
  <si>
    <t>UMASS BOSTON</t>
  </si>
  <si>
    <t>West Garage</t>
  </si>
  <si>
    <t>TSONGAS B RIGHT</t>
  </si>
  <si>
    <t>TSONGAS B LEFT</t>
  </si>
  <si>
    <t>2-98 Standish St</t>
  </si>
  <si>
    <t xml:space="preserve"> 910 Broadway St</t>
  </si>
  <si>
    <t>SOUTH GARAGE 1C</t>
  </si>
  <si>
    <t>890-930 Broadway St</t>
  </si>
  <si>
    <t>SOUTH GARAGE 1B</t>
  </si>
  <si>
    <t>SOUTH GARAGE</t>
  </si>
  <si>
    <t>288-298 Salem St</t>
  </si>
  <si>
    <t>232 Pawtucket St</t>
  </si>
  <si>
    <t xml:space="preserve">272 Riverside St   </t>
  </si>
  <si>
    <t>NORTH GARAGE 1B</t>
  </si>
  <si>
    <t xml:space="preserve">281 Riverside St </t>
  </si>
  <si>
    <t>NORTH GARAGE</t>
  </si>
  <si>
    <t xml:space="preserve">40 Perkins St </t>
  </si>
  <si>
    <t>HALL GARAGE 1B</t>
  </si>
  <si>
    <t>HALL GARAGE</t>
  </si>
  <si>
    <t xml:space="preserve">11-21 Pawtucket St   </t>
  </si>
  <si>
    <t>EAST GARAGE</t>
  </si>
  <si>
    <t xml:space="preserve">Coburn Hall </t>
  </si>
  <si>
    <t>Riverhawk Village</t>
  </si>
  <si>
    <t>UMass Chan Medical School</t>
  </si>
  <si>
    <t>UMASS CHAN MEDICAL</t>
  </si>
  <si>
    <t>Outside Parking Garage (Lot C)</t>
  </si>
  <si>
    <t>Parking Garage (Building 14)</t>
  </si>
  <si>
    <t>17 Eastman Lane</t>
  </si>
  <si>
    <t>North Lot (Lot O)</t>
  </si>
  <si>
    <t>DOC</t>
  </si>
  <si>
    <t>Department of Correction</t>
  </si>
  <si>
    <t>MCI Concord</t>
  </si>
  <si>
    <t>965 Elm St</t>
  </si>
  <si>
    <t>DOC Milford</t>
  </si>
  <si>
    <t>50 Maple St</t>
  </si>
  <si>
    <t>Milford</t>
  </si>
  <si>
    <t>01757</t>
  </si>
  <si>
    <t>Dana Mohler-Faria Science &amp; Mathematics Center</t>
  </si>
  <si>
    <t>24 Park Ave</t>
  </si>
  <si>
    <t>Tinsley Center</t>
  </si>
  <si>
    <t>325 Plymouth St</t>
  </si>
  <si>
    <t>02325</t>
  </si>
  <si>
    <t>Viking Hall</t>
  </si>
  <si>
    <t>400 Venture Way</t>
  </si>
  <si>
    <t>01035</t>
  </si>
  <si>
    <t>Mt Ida 3, 183 Wiswall Road</t>
  </si>
  <si>
    <t>02459</t>
  </si>
  <si>
    <t>Orchard Hill Way</t>
  </si>
  <si>
    <t>Orchard Hill Lot 49</t>
  </si>
  <si>
    <t>Worcester Visitor Center</t>
  </si>
  <si>
    <t>2 Clancy Way</t>
  </si>
  <si>
    <t>MassDOT I-95NB Lexington Service Plaza</t>
  </si>
  <si>
    <t>I-95 North, Mile Marker 46.3</t>
  </si>
  <si>
    <t>Lexington</t>
  </si>
  <si>
    <t>MassDOT - Whately Park &amp; Ride</t>
  </si>
  <si>
    <t>457 State Road (Routes 10/5)</t>
  </si>
  <si>
    <t>Whately</t>
  </si>
  <si>
    <t>MassBay Comm. College</t>
  </si>
  <si>
    <t>50 Oakland Street</t>
  </si>
  <si>
    <t>Faculty Lot</t>
  </si>
  <si>
    <t>Wellesley</t>
  </si>
  <si>
    <t>02481</t>
  </si>
  <si>
    <t>Springfield Tech Comm. College</t>
  </si>
  <si>
    <t>Springfield Technical Community College</t>
  </si>
  <si>
    <t>1 Armory Square</t>
  </si>
  <si>
    <t>Lot A</t>
  </si>
  <si>
    <t>01105</t>
  </si>
  <si>
    <t>Expected Installation Date (FY)</t>
  </si>
  <si>
    <t>Single</t>
  </si>
  <si>
    <t>Dual</t>
  </si>
  <si>
    <t>Framingham State University - Larned Hall</t>
  </si>
  <si>
    <t>77 State Street</t>
  </si>
  <si>
    <t>MassDOT District 3 HQ (Central MA Transportation Center)</t>
  </si>
  <si>
    <t>499 Plantation St</t>
  </si>
  <si>
    <t>01605</t>
  </si>
  <si>
    <t xml:space="preserve">constructed </t>
  </si>
  <si>
    <t>Salem State Meier Hall</t>
  </si>
  <si>
    <t>UMass Amherst--Lot 49</t>
  </si>
  <si>
    <t>EOVS</t>
  </si>
  <si>
    <t>Building #17 Room 204</t>
  </si>
  <si>
    <t>Building #11</t>
  </si>
  <si>
    <t>Do you have irrigation</t>
  </si>
  <si>
    <t>Please select a response from dropdown.</t>
  </si>
  <si>
    <t>Maybe</t>
  </si>
  <si>
    <t>Irrigation assessment</t>
  </si>
  <si>
    <t>Irrigation tracking</t>
  </si>
  <si>
    <t>##</t>
  </si>
  <si>
    <t>Section II: Fleet Overview &amp; Inventory</t>
  </si>
  <si>
    <t>Total LD Fleet Vehicles (&lt;8,501 lbs)</t>
  </si>
  <si>
    <t>Other Medium Duty</t>
  </si>
  <si>
    <t>Medium Duty Vehicles (8,501 - 14,000 lbs)</t>
  </si>
  <si>
    <t>Heavy Duty (&gt;14,000 lbs)</t>
  </si>
  <si>
    <t>Total MD/HD Fleet Vehicles (&gt;8,500 lbs)</t>
  </si>
  <si>
    <r>
      <t xml:space="preserve">For agencies/campuses that do not purchase/lease through OVM please provide data, where available, for yellow sections below. If you would prefer that LBE send you the current fleet overview we have on file for your entity to update, please reach out to Sophia (sophia.vitello@mass.gov).
If available, LBE kindly asks that you also submit a </t>
    </r>
    <r>
      <rPr>
        <b/>
        <i/>
        <sz val="14"/>
        <color rgb="FFFFFF97"/>
        <rFont val="Calibri"/>
        <family val="2"/>
        <scheme val="minor"/>
      </rPr>
      <t>detailed fleet inventory</t>
    </r>
    <r>
      <rPr>
        <b/>
        <i/>
        <sz val="14"/>
        <color theme="0"/>
        <rFont val="Calibri"/>
        <family val="2"/>
        <scheme val="minor"/>
      </rPr>
      <t xml:space="preserve"> with this tracking form (it can be a simple Excel spreadsheet with make, model, fuel type, vehicle class/GVWR if possible).</t>
    </r>
  </si>
  <si>
    <r>
      <t xml:space="preserve">Section II: </t>
    </r>
    <r>
      <rPr>
        <sz val="12"/>
        <color theme="3"/>
        <rFont val="Calibri"/>
        <family val="2"/>
        <scheme val="minor"/>
      </rPr>
      <t>Fleet Overview &amp; Inventory. Please provide the requested fleet information and inventory (if possible) as indicated.</t>
    </r>
  </si>
  <si>
    <t>Fast Charger</t>
  </si>
  <si>
    <t>DCR Worcester</t>
  </si>
  <si>
    <t>DCR Somerville</t>
  </si>
  <si>
    <t>Fitchburg State</t>
  </si>
  <si>
    <t>Framingham State</t>
  </si>
  <si>
    <t>Massasoit CC</t>
  </si>
  <si>
    <t>UML</t>
  </si>
  <si>
    <t>Worcester State</t>
  </si>
  <si>
    <t>MassBay CC</t>
  </si>
  <si>
    <t>MassDOT (unknown location)</t>
  </si>
  <si>
    <t>MWRA (location unknown)</t>
  </si>
  <si>
    <t>MassDOT Aeronautics Turner's Falls</t>
  </si>
  <si>
    <t>MassDOT Aeronautics Southbridge</t>
  </si>
  <si>
    <t>MassDOT Aeronautics Beverly</t>
  </si>
  <si>
    <t>MassDOT Aeronautics Chatham</t>
  </si>
  <si>
    <t>MassDOT Aeronautics New Bedford</t>
  </si>
  <si>
    <t>MassDOT Aeronautics Fitchburg</t>
  </si>
  <si>
    <t>MassDOT Aeronautics Marshfield</t>
  </si>
  <si>
    <t>MassDOT Aeronautics Barnstable</t>
  </si>
  <si>
    <t>MassDOT Aeronautics Lawrence</t>
  </si>
  <si>
    <t>MassDOT Aeronautics Orange</t>
  </si>
  <si>
    <t>MassDOT Aeronautics Norwood</t>
  </si>
  <si>
    <t>MassDOT Aeronautics Pittsfield</t>
  </si>
  <si>
    <t>MassDOT Aeronautics Plymouth</t>
  </si>
  <si>
    <t>MassDOT Aeronautics Taunton</t>
  </si>
  <si>
    <t>Stand-on mower, 48" cut</t>
  </si>
  <si>
    <t>Backpack blowers</t>
  </si>
  <si>
    <t>Weed whackers (backpack)</t>
  </si>
  <si>
    <t>Weed whackers</t>
  </si>
  <si>
    <t>Top handle chainsaw</t>
  </si>
  <si>
    <t>John Deere Gator TE (Model Year 2020) Kuboda</t>
  </si>
  <si>
    <t>Leaf blowers</t>
  </si>
  <si>
    <t>Mowers?</t>
  </si>
  <si>
    <t>String Trimmer</t>
  </si>
  <si>
    <t>Electric Cut-of saw</t>
  </si>
  <si>
    <t>Pole saw/pruner</t>
  </si>
  <si>
    <t>Hedge trimmer</t>
  </si>
  <si>
    <t>Ride-on mower CXR-52s</t>
  </si>
  <si>
    <t>Push mower WBX-33HD</t>
  </si>
  <si>
    <t>Trimmers</t>
  </si>
  <si>
    <t>Cutoff saw</t>
  </si>
  <si>
    <t>Garden pruner kit</t>
  </si>
  <si>
    <t>Saw</t>
  </si>
  <si>
    <t>Pole hedge trimmer</t>
  </si>
  <si>
    <t>14” chainsaw</t>
  </si>
  <si>
    <t>Backpack blower</t>
  </si>
  <si>
    <t>Grass trimmer</t>
  </si>
  <si>
    <t>80 volt batteries (4)</t>
  </si>
  <si>
    <t>Rapid battery charge station</t>
  </si>
  <si>
    <t>Electric utility vehicle</t>
  </si>
  <si>
    <t>Z-turn mower with solar canopy</t>
  </si>
  <si>
    <t>25 kW solar array</t>
  </si>
  <si>
    <t>14" chainsaw</t>
  </si>
  <si>
    <t>14" chainsaw (2)</t>
  </si>
  <si>
    <t>Grass trimmer (2)</t>
  </si>
  <si>
    <t>80 volt batteries (8)</t>
  </si>
  <si>
    <t>Mean Green (Stalker)</t>
  </si>
  <si>
    <t>Oregon</t>
  </si>
  <si>
    <t>STIHL</t>
  </si>
  <si>
    <t>John Deere; United Ag &amp; Turg</t>
  </si>
  <si>
    <t>Husqvarna</t>
  </si>
  <si>
    <t>Milwaukee</t>
  </si>
  <si>
    <t>EGO</t>
  </si>
  <si>
    <t>Mean Green</t>
  </si>
  <si>
    <t>Stihl</t>
  </si>
  <si>
    <t>Honda/Ryobi</t>
  </si>
  <si>
    <t>Greenworks</t>
  </si>
  <si>
    <t>UMass Amherst2</t>
  </si>
  <si>
    <t>UMass Amherst3</t>
  </si>
  <si>
    <t>UMass Amherst4</t>
  </si>
  <si>
    <t>UMass Amherst5</t>
  </si>
  <si>
    <t>UMass Amherst6</t>
  </si>
  <si>
    <t>UMass Amherst7</t>
  </si>
  <si>
    <t>Dept. of Conservation and Recreation1</t>
  </si>
  <si>
    <t>Dept. of Conservation and Recreation2</t>
  </si>
  <si>
    <t>Dept. of Conservation and Recreation3</t>
  </si>
  <si>
    <t>Dept. of Conservation and Recreation4</t>
  </si>
  <si>
    <t>Dept. of Conservation and Recreation5</t>
  </si>
  <si>
    <t>Dept. of Conservation and Recreation6</t>
  </si>
  <si>
    <t>Dept. of Conservation and Recreation7</t>
  </si>
  <si>
    <t>Fitchburg State University1</t>
  </si>
  <si>
    <t>Framingham State University1</t>
  </si>
  <si>
    <t>Massasoit Comm. College1</t>
  </si>
  <si>
    <t>North Shore Comm. College1</t>
  </si>
  <si>
    <t>North Shore Comm. College2</t>
  </si>
  <si>
    <t>North Shore Comm. College3</t>
  </si>
  <si>
    <t>Springfield Tech. Comm. College1</t>
  </si>
  <si>
    <t>Springfield Tech. Comm. College2</t>
  </si>
  <si>
    <t>UMass Lowell1</t>
  </si>
  <si>
    <t>UMass Lowell2</t>
  </si>
  <si>
    <t>UMass Lowell3</t>
  </si>
  <si>
    <t>UMass Lowell4</t>
  </si>
  <si>
    <t>Worcester State University1</t>
  </si>
  <si>
    <t>Mass. Bay Comm. College1</t>
  </si>
  <si>
    <t>Mass. Bay Comm. College2</t>
  </si>
  <si>
    <t>MassDOT - Highway &amp; Turnpike Divisions1</t>
  </si>
  <si>
    <t>MassDOT - Highway &amp; Turnpike Divisions2</t>
  </si>
  <si>
    <t>MassDOT - Highway &amp; Turnpike Divisions3</t>
  </si>
  <si>
    <t>MassDOT - Highway &amp; Turnpike Divisions4</t>
  </si>
  <si>
    <t>MassDOT - Highway &amp; Turnpike Divisions5</t>
  </si>
  <si>
    <t>MassDOT - Highway &amp; Turnpike Divisions6</t>
  </si>
  <si>
    <t>MassDOT - Highway &amp; Turnpike Divisions7</t>
  </si>
  <si>
    <t>MassDOT - Highway &amp; Turnpike Divisions8</t>
  </si>
  <si>
    <t>MassDOT - Highway &amp; Turnpike Divisions9</t>
  </si>
  <si>
    <t>MassDOT - Highway &amp; Turnpike Divisions10</t>
  </si>
  <si>
    <t>MassDOT - Highway &amp; Turnpike Divisions11</t>
  </si>
  <si>
    <t>MassDOT - Highway &amp; Turnpike Divisions12</t>
  </si>
  <si>
    <t>MassDOT - Highway &amp; Turnpike Divisions13</t>
  </si>
  <si>
    <t>MassDOT - Highway &amp; Turnpike Divisions14</t>
  </si>
  <si>
    <t>MassDOT - Highway &amp; Turnpike Divisions15</t>
  </si>
  <si>
    <t>MassDOT - Highway &amp; Turnpike Divisions16</t>
  </si>
  <si>
    <t>MassDOT - Highway &amp; Turnpike Divisions17</t>
  </si>
  <si>
    <t>MassDOT - Highway &amp; Turnpike Divisions18</t>
  </si>
  <si>
    <t>MassDOT - Highway &amp; Turnpike Divisions19</t>
  </si>
  <si>
    <t>MassDOT - Highway &amp; Turnpike Divisions20</t>
  </si>
  <si>
    <t>MassDOT - Highway &amp; Turnpike Divisions21</t>
  </si>
  <si>
    <t>MassDOT - Highway &amp; Turnpike Divisions22</t>
  </si>
  <si>
    <t>MassDOT - Highway &amp; Turnpike Divisions23</t>
  </si>
  <si>
    <t>MassDOT - Highway &amp; Turnpike Divisions24</t>
  </si>
  <si>
    <t>MassDOT - Highway &amp; Turnpike Divisions25</t>
  </si>
  <si>
    <t>MassDOT - Highway &amp; Turnpike Divisions26</t>
  </si>
  <si>
    <t>MassDOT - Highway &amp; Turnpike Divisions27</t>
  </si>
  <si>
    <t>MassDOT - Highway &amp; Turnpike Divisions28</t>
  </si>
  <si>
    <t>MassDOT - Highway &amp; Turnpike Divisions29</t>
  </si>
  <si>
    <t>MassDOT - Highway &amp; Turnpike Divisions30</t>
  </si>
  <si>
    <t>MassDOT - Highway &amp; Turnpike Divisions31</t>
  </si>
  <si>
    <t>MassDOT - Highway &amp; Turnpike Divisions32</t>
  </si>
  <si>
    <t>MassDOT - Highway &amp; Turnpike Divisions33</t>
  </si>
  <si>
    <t>MassDOT - Highway &amp; Turnpike Divisions34</t>
  </si>
  <si>
    <t>MassDOT - Highway &amp; Turnpike Divisions35</t>
  </si>
  <si>
    <t>MassDOT - Highway &amp; Turnpike Divisions36</t>
  </si>
  <si>
    <t>MassDOT - Highway &amp; Turnpike Divisions37</t>
  </si>
  <si>
    <t>MassDOT - Highway &amp; Turnpike Divisions38</t>
  </si>
  <si>
    <t>MassDOT - Highway &amp; Turnpike Divisions39</t>
  </si>
  <si>
    <t>MassDOT - Highway &amp; Turnpike Divisions40</t>
  </si>
  <si>
    <t>MassDOT - Highway &amp; Turnpike Divisions41</t>
  </si>
  <si>
    <t>MassDOT - Highway &amp; Turnpike Divisions42</t>
  </si>
  <si>
    <t>MassDOT - Highway &amp; Turnpike Divisions43</t>
  </si>
  <si>
    <t>MassDOT - Highway &amp; Turnpike Divisions44</t>
  </si>
  <si>
    <t>MassDOT - Highway &amp; Turnpike Divisions45</t>
  </si>
  <si>
    <t>MassDOT - Highway &amp; Turnpike Divisions46</t>
  </si>
  <si>
    <t>MassDOT - Highway &amp; Turnpike Divisions47</t>
  </si>
  <si>
    <t>MassDOT - Highway &amp; Turnpike Divisions48</t>
  </si>
  <si>
    <t>MassDOT - Highway &amp; Turnpike Divisions49</t>
  </si>
  <si>
    <t>MassDOT - Highway &amp; Turnpike Divisions50</t>
  </si>
  <si>
    <t>MassDOT - Highway &amp; Turnpike Divisions51</t>
  </si>
  <si>
    <t>MassDOT - Highway &amp; Turnpike Divisions52</t>
  </si>
  <si>
    <t>MassDOT - Highway &amp; Turnpike Divisions53</t>
  </si>
  <si>
    <t>MassDOT - Highway &amp; Turnpike Divisions54</t>
  </si>
  <si>
    <t>MassDOT - Highway &amp; Turnpike Divisions55</t>
  </si>
  <si>
    <t>MassDOT - Highway &amp; Turnpike Divisions56</t>
  </si>
  <si>
    <t>MassDOT - Highway &amp; Turnpike Divisions57</t>
  </si>
  <si>
    <t>MassDOT - Highway &amp; Turnpike Divisions58</t>
  </si>
  <si>
    <t>MassDOT - Highway &amp; Turnpike Divisions59</t>
  </si>
  <si>
    <t>MassDOT - Highway &amp; Turnpike Divisions60</t>
  </si>
  <si>
    <t>MassDOT - Highway &amp; Turnpike Divisions61</t>
  </si>
  <si>
    <t>MassDOT - Highway &amp; Turnpike Divisions62</t>
  </si>
  <si>
    <t>MassDOT - Highway &amp; Turnpike Divisions63</t>
  </si>
  <si>
    <t>MassDOT - Highway &amp; Turnpike Divisions64</t>
  </si>
  <si>
    <t>MassDOT - Highway &amp; Turnpike Divisions65</t>
  </si>
  <si>
    <t>MassDOT - Highway &amp; Turnpike Divisions66</t>
  </si>
  <si>
    <t>MassDOT - Highway &amp; Turnpike Divisions67</t>
  </si>
  <si>
    <t>MassDOT - Highway &amp; Turnpike Divisions68</t>
  </si>
  <si>
    <t>MassDOT - Highway &amp; Turnpike Divisions69</t>
  </si>
  <si>
    <t>MassDOT - Highway &amp; Turnpike Divisions70</t>
  </si>
  <si>
    <t>MassDOT - Highway &amp; Turnpike Divisions71</t>
  </si>
  <si>
    <t>MassDOT - Highway &amp; Turnpike Divisions72</t>
  </si>
  <si>
    <t>MassDOT - Highway &amp; Turnpike Divisions73</t>
  </si>
  <si>
    <t>MassDOT - Highway &amp; Turnpike Divisions74</t>
  </si>
  <si>
    <t>MassDOT - Highway &amp; Turnpike Divisions75</t>
  </si>
  <si>
    <t>MassDOT - Highway &amp; Turnpike Divisions76</t>
  </si>
  <si>
    <t>MassDOT - Highway &amp; Turnpike Divisions77</t>
  </si>
  <si>
    <t>MassDOT - Highway &amp; Turnpike Divisions78</t>
  </si>
  <si>
    <t>MassDOT - Highway &amp; Turnpike Divisions79</t>
  </si>
  <si>
    <t>MassDOT - Highway &amp; Turnpike Divisions80</t>
  </si>
  <si>
    <t>MassDOT - Highway &amp; Turnpike Divisions81</t>
  </si>
  <si>
    <t>MassDOT - Highway &amp; Turnpike Divisions82</t>
  </si>
  <si>
    <t>MassDOT - Highway &amp; Turnpike Divisions83</t>
  </si>
  <si>
    <t>MassDOT - Highway &amp; Turnpike Divisions84</t>
  </si>
  <si>
    <t>MassDOT - Highway &amp; Turnpike Divisions85</t>
  </si>
  <si>
    <t>MassDOT - Highway &amp; Turnpike Divisions86</t>
  </si>
  <si>
    <t>MassDOT - Highway &amp; Turnpike Divisions87</t>
  </si>
  <si>
    <t>MassDOT - Highway &amp; Turnpike Divisions88</t>
  </si>
  <si>
    <t>MassDOT - Highway &amp; Turnpike Divisions89</t>
  </si>
  <si>
    <t>MassDOT - Highway &amp; Turnpike Divisions90</t>
  </si>
  <si>
    <t>MassDOT - Highway &amp; Turnpike Divisions91</t>
  </si>
  <si>
    <t>MassDOT - Highway &amp; Turnpike Divisions92</t>
  </si>
  <si>
    <t>MassDOT - Highway &amp; Turnpike Divisions93</t>
  </si>
  <si>
    <t>MassDOT - Highway &amp; Turnpike Divisions94</t>
  </si>
  <si>
    <t>MassDOT - Highway &amp; Turnpike Divisions95</t>
  </si>
  <si>
    <t>MassDOT - Highway &amp; Turnpike Divisions96</t>
  </si>
  <si>
    <t>Mass. Water Resources Authority1</t>
  </si>
  <si>
    <t>Mass. Water Resources Authority2</t>
  </si>
  <si>
    <t>Mass. Water Resources Authority3</t>
  </si>
  <si>
    <t>Mass. Water Resources Authority4</t>
  </si>
  <si>
    <t>If any information below for existing BPLE for your entity is incorrect, please provide corrected details if applicable.</t>
  </si>
  <si>
    <t>Section IV: Other Efforts</t>
  </si>
  <si>
    <t>Are you interested in receiving technical assistance in enhancing or expanding your waste diversion programs?</t>
  </si>
  <si>
    <t>Light Duty Vehicles (0 - 8,500 lbs)</t>
  </si>
  <si>
    <t>Please discuss below any new or innovative water conservation measures that you have implemented in the last year</t>
  </si>
  <si>
    <t>For more information on the MassDEP MD/HD reporting requirement, click here</t>
  </si>
  <si>
    <t>Mark Carmody</t>
  </si>
  <si>
    <t>Associate Vice President Operations</t>
  </si>
  <si>
    <t>m1carmody@bridgew.edu</t>
  </si>
  <si>
    <t>508-531-2972</t>
  </si>
  <si>
    <t>John Masters</t>
  </si>
  <si>
    <t>Fleet Manager</t>
  </si>
  <si>
    <t>john.masters@mass.gov</t>
  </si>
  <si>
    <t>857-303-0509</t>
  </si>
  <si>
    <t>Susan F. Hamilton</t>
  </si>
  <si>
    <t>Assistant Deputy Commissioner</t>
  </si>
  <si>
    <t>susan.f.hamilton@mass.gov</t>
  </si>
  <si>
    <t>617-719-8210</t>
  </si>
  <si>
    <t>Fred Corazzini</t>
  </si>
  <si>
    <t>Dir. of Capital Asset Management</t>
  </si>
  <si>
    <t xml:space="preserve">Frederic.Corazzini@mass.gov </t>
  </si>
  <si>
    <t>978-567-3161</t>
  </si>
  <si>
    <t>Meaghan Hencir</t>
  </si>
  <si>
    <t>Facilities Planning &amp; Admin. Coordinator</t>
  </si>
  <si>
    <t>Meaghan.Hencir@mass.gov</t>
  </si>
  <si>
    <t>978-567-3162</t>
  </si>
  <si>
    <t>JD Head</t>
  </si>
  <si>
    <t>Jhead2@fitchburgstate.edu</t>
  </si>
  <si>
    <t>Daniel Giard</t>
  </si>
  <si>
    <t>Exec. Director, Facility Operations</t>
  </si>
  <si>
    <t>dgiard@framingham.edu</t>
  </si>
  <si>
    <t>508-626-4590</t>
  </si>
  <si>
    <t>Michael Lazo</t>
  </si>
  <si>
    <t>michael.lazo2@mass.gov</t>
  </si>
  <si>
    <t>(413) 552-4737</t>
  </si>
  <si>
    <t>Glen Hevy</t>
  </si>
  <si>
    <t>glen.hevy@mass.gov</t>
  </si>
  <si>
    <t>(413) 552-4706</t>
  </si>
  <si>
    <t>Michael Lynch</t>
  </si>
  <si>
    <t>Chief Financial Officer</t>
  </si>
  <si>
    <t>michael.lynch2@mass.gov</t>
  </si>
  <si>
    <t>(413) 552-4751</t>
  </si>
  <si>
    <t>Alternate Contact 3</t>
  </si>
  <si>
    <t>Alternate Contact Title 3</t>
  </si>
  <si>
    <t>Alternate Email 3</t>
  </si>
  <si>
    <t>Alternate Phone 3</t>
  </si>
  <si>
    <t>Richard Polwrek</t>
  </si>
  <si>
    <t>richard.polwrek@mass.gov</t>
  </si>
  <si>
    <t>(413) 552-4777</t>
  </si>
  <si>
    <t>VP Operations</t>
  </si>
  <si>
    <t>paul.hession@pol.state.ma.us</t>
  </si>
  <si>
    <t>(508) 820-2650</t>
  </si>
  <si>
    <t>James Politano</t>
  </si>
  <si>
    <t>Director of Facilities Operations</t>
  </si>
  <si>
    <t>jpolitano@northshore.edu</t>
  </si>
  <si>
    <t>978-762-4041</t>
  </si>
  <si>
    <t>John Crow</t>
  </si>
  <si>
    <t>Project Manager, Facilities Operations &amp; Services</t>
  </si>
  <si>
    <t>jcrow@northshore.edu</t>
  </si>
  <si>
    <t>978-762-4042</t>
  </si>
  <si>
    <t>Richard Goulet</t>
  </si>
  <si>
    <t>AVP, Capital Planning &amp; Facilities</t>
  </si>
  <si>
    <t>rgoulet@salemstate.edu</t>
  </si>
  <si>
    <t>978 548-4661</t>
  </si>
  <si>
    <t>Suzanne Gray</t>
  </si>
  <si>
    <t>Staff Associate</t>
  </si>
  <si>
    <t>sgray2@salemstate.edu</t>
  </si>
  <si>
    <t>978-542-4839</t>
  </si>
  <si>
    <t>Janna Cohen-Rosenthal</t>
  </si>
  <si>
    <t>Sustainability &amp; Resiliency Planner</t>
  </si>
  <si>
    <t>Janna.CohenRosenthal@umb.edu</t>
  </si>
  <si>
    <t>Dennis Swinford</t>
  </si>
  <si>
    <t>Dir. Campus Planning &amp; Sustainability</t>
  </si>
  <si>
    <t>dennis.swinford@umb.edu</t>
  </si>
  <si>
    <t>(617) 287-5162</t>
  </si>
  <si>
    <t>J. Jerue</t>
  </si>
  <si>
    <t>Assistant Vice Chancellor for Facilities Operations</t>
  </si>
  <si>
    <t>jjerue@umassd.edu</t>
  </si>
  <si>
    <t>508-999-9216</t>
  </si>
  <si>
    <t>Craig Thomas</t>
  </si>
  <si>
    <t>Assistant Director, Office of Sustainability</t>
  </si>
  <si>
    <t>Craig_Thomas@uml.edu</t>
  </si>
  <si>
    <t>978-934-6511</t>
  </si>
  <si>
    <t>Kortni Wroten</t>
  </si>
  <si>
    <t>Kortni.wroten@umassmed.edu</t>
  </si>
  <si>
    <t>508-523-2799</t>
  </si>
  <si>
    <t>Nancy Ramsdell</t>
  </si>
  <si>
    <t>Director Operations &amp; Planning Support Services, Facilities</t>
  </si>
  <si>
    <t>nramsdell@worcester.edu</t>
  </si>
  <si>
    <t>508-929-8720</t>
  </si>
  <si>
    <t>Director of Environmental Health &amp; Safety</t>
  </si>
  <si>
    <t>Sandra Quaye</t>
  </si>
  <si>
    <t>squaye1@mwcc.mass.edu</t>
  </si>
  <si>
    <t xml:space="preserve">978-630-9272  </t>
  </si>
  <si>
    <t xml:space="preserve">Contact Name 5: </t>
  </si>
  <si>
    <t>Leading by Example Program FY24 Energy Tracking and Reporting Form</t>
  </si>
  <si>
    <t>RECENT &amp; UPDATED ELEMENTS OF FY24 TRACKING FORM</t>
  </si>
  <si>
    <t>Fiscal Year 2024 Energy Tracking and Reporting Form</t>
  </si>
  <si>
    <t xml:space="preserve">Agency/campus square footage is pre-populated using your FY23 reported data.  If square footage has changed from last year or is incorrect, please provide new/corrected square footage in the space provided.  If you have added a new building or demolished an existing building, please provide as much information as possible in the fields provided.  </t>
  </si>
  <si>
    <t>LBE is tracking Energy Usage Intensity (EUI: kBtu/SF) for the various agencies.  We use your square footage to determine the EUI for your overall agency.  
If square footage has changed since last year, please use the space in Question 2 for updated square footage for FY24 and include occupancy dates/details for any new buildings.</t>
  </si>
  <si>
    <t>Should LBE use the above square footage for FY24 reporting?</t>
  </si>
  <si>
    <t>FY24 CONSUMPTION</t>
  </si>
  <si>
    <t>FY24 GENERATION</t>
  </si>
  <si>
    <t>FY24 Purchased/Sold</t>
  </si>
  <si>
    <t>FY24 Qualified Generation Units (MW)</t>
  </si>
  <si>
    <t>FY24
CONSUMPTION</t>
  </si>
  <si>
    <t>Please include only EE Projects that have occurred during FY24.</t>
  </si>
  <si>
    <t>If your campus/agency has additional BPLE not listed above or newly acquired in FY24, please list below.</t>
  </si>
  <si>
    <t>Please note there is separate MD &amp; HD vehicle reporting required by MassDEP that is due March 1, 2024. While LBE will not be reporting on behalf of state entities, if you have your submission for MassDEP prepared by the end of Dec. 2024, please feel free to send us that file in lieu of either filling out the table below or sending a separate MD/HD inventory.</t>
  </si>
  <si>
    <t>Director of Urban and Community Development</t>
  </si>
  <si>
    <t>Nicole Kelly</t>
  </si>
  <si>
    <t xml:space="preserve">978-934-2303   </t>
  </si>
  <si>
    <t>FY23 Square Footage</t>
  </si>
  <si>
    <t>Berkshire County Sheriff / HOC</t>
  </si>
  <si>
    <t>Bridgewater State University - Summer St</t>
  </si>
  <si>
    <t>Bristol Community College Elsbree Street Campus</t>
  </si>
  <si>
    <t>BHCC Building G Roof</t>
  </si>
  <si>
    <t>Cape Cod Community College Loruso Applied Tech Bldg PV</t>
  </si>
  <si>
    <t>CCRTA Hyannis Transportation Center</t>
  </si>
  <si>
    <t>DCR Conner's Pool</t>
  </si>
  <si>
    <t>DCR Halibut Point State Park</t>
  </si>
  <si>
    <t>DCR Walden Pond Visitor Center</t>
  </si>
  <si>
    <t>Lt. James F. Reilly Recreation Rink/Pool Complex</t>
  </si>
  <si>
    <t>Francis L. Murphy Memorial Ice Skating Rink</t>
  </si>
  <si>
    <t>Bridgewater Correctional Complex</t>
  </si>
  <si>
    <t xml:space="preserve">MCI South Middlesex Correctional Center  </t>
  </si>
  <si>
    <t>DYS Middleton</t>
  </si>
  <si>
    <t>Massachusetts College of Liberal Arts</t>
  </si>
  <si>
    <t>Massachusetts College of Liberal Arts (Feigenbaum Center)</t>
  </si>
  <si>
    <t>Massachusetts College of Liberal Arts (Venable Hall)</t>
  </si>
  <si>
    <t>Mass Maritime Academy (Gray and Bassett Hall)</t>
  </si>
  <si>
    <t>Mass Maritime Academy (Information Commons)</t>
  </si>
  <si>
    <t>Mass Maritime Academy Lights</t>
  </si>
  <si>
    <t>MEMA Bunker</t>
  </si>
  <si>
    <t>MassDOT Framingham I-90 Interchange 13 North RoW</t>
  </si>
  <si>
    <t>MassDOT Framingham I-90 Interchange 13 South RoW</t>
  </si>
  <si>
    <t>MassDOT Framingham I-90 WB Service Plaza RoW</t>
  </si>
  <si>
    <t>MassDOT Natick I-90 WB Embankment RoW</t>
  </si>
  <si>
    <t>MassDOT Plymouth Route 3 Exit 5 RoW</t>
  </si>
  <si>
    <t>MassDOT Salisbury District 4 Depot RoW</t>
  </si>
  <si>
    <t>Massport Logan - Terminal A PPA</t>
  </si>
  <si>
    <t>Massport Logan - Terminal A Satellite PPA</t>
  </si>
  <si>
    <t>MassPort Logan Airport Economy Parking Garage</t>
  </si>
  <si>
    <t>MBTA Orient Heights (Blue Line Station)</t>
  </si>
  <si>
    <t>MBTA Bridgewater Wind Turbine</t>
  </si>
  <si>
    <t>MBTA Kingston Layover Wind Turbine</t>
  </si>
  <si>
    <t>MBTA Nantasket Junction Solar Canopy</t>
  </si>
  <si>
    <t>MBTA Norwood Central Solar Canopy</t>
  </si>
  <si>
    <t>MBTA West Hingham Solar Canopy</t>
  </si>
  <si>
    <t>Middlesex Sheriff's Office</t>
  </si>
  <si>
    <t>Natick Readiness Center</t>
  </si>
  <si>
    <t>MWRA Deer Island Grit roof --222 kW PV (PPA)</t>
  </si>
  <si>
    <t>MWRA Deer Island Parking Lot --234 kW PV (PPA)</t>
  </si>
  <si>
    <t>MWRA Deer Island Solar 1 (Odor Control Building)</t>
  </si>
  <si>
    <t>MWRA Deer Island Solar 2 (Admin/Warehouse)</t>
  </si>
  <si>
    <t>MWRA Chicopee Valley</t>
  </si>
  <si>
    <t>MWRA Deer Island (Backpressure STG)</t>
  </si>
  <si>
    <t>MWRA Deer Island Ogin</t>
  </si>
  <si>
    <t>MWRA Fish Hatchery</t>
  </si>
  <si>
    <t>MWRA Brutsch Hydro</t>
  </si>
  <si>
    <t>Wachusett Aqueduct Pumping Station 1</t>
  </si>
  <si>
    <t>Wachusett Aqueduct Pumping Station 2</t>
  </si>
  <si>
    <t>Norfolk County Sheriif's Office</t>
  </si>
  <si>
    <t>North Shore Community College - Health Professions &amp; Student Services Center</t>
  </si>
  <si>
    <t>Roxbury Community College - Parking Lot 1 canopy</t>
  </si>
  <si>
    <t>Salem State Berry Library (PPA)</t>
  </si>
  <si>
    <t>Salem State College Atlantic Hall</t>
  </si>
  <si>
    <t>Salem State College - O'Keefe Center Phase 2 (PPA)</t>
  </si>
  <si>
    <t xml:space="preserve">STCC building 20 </t>
  </si>
  <si>
    <t>Lowell Trial Court Roof</t>
  </si>
  <si>
    <t>Lowell Trial Court Canopy</t>
  </si>
  <si>
    <t>UMass Amherst--Champions Center</t>
  </si>
  <si>
    <t>UMass Amherst-- Bromery Center for the Arts (Fine Arts Center)</t>
  </si>
  <si>
    <t xml:space="preserve">UMass Amherst--Lot 25 </t>
  </si>
  <si>
    <t>UMass Amherst--Lot 44</t>
  </si>
  <si>
    <t>UMass Amherst--Lot 34</t>
  </si>
  <si>
    <t>UMass Amherst--Lots 21-22</t>
  </si>
  <si>
    <t>UMass Boston - University Hall</t>
  </si>
  <si>
    <t>UMass Boston - Parking Lot Canopy</t>
  </si>
  <si>
    <t>UMass Lowell - South Garage Solar Canopy</t>
  </si>
  <si>
    <t>Worcester State University Wasylean Hall</t>
  </si>
  <si>
    <t>Worcester State University Dowden Hall</t>
  </si>
  <si>
    <t>Worcester State University Sheehan Hall</t>
  </si>
  <si>
    <t>Blackstone Visitor Center</t>
  </si>
  <si>
    <t>Community Living Center</t>
  </si>
  <si>
    <t>Northborough Maintenance Facility</t>
  </si>
  <si>
    <t>Dorchester</t>
  </si>
  <si>
    <t>Framingham Armory</t>
  </si>
  <si>
    <t>467 Cheshire Rd</t>
  </si>
  <si>
    <t>1 Transportation Avenue</t>
  </si>
  <si>
    <t>330 River Street</t>
  </si>
  <si>
    <t>915 Walden Street</t>
  </si>
  <si>
    <t>355 Chestnut Hill Ave</t>
  </si>
  <si>
    <t>1880 Day Boulevard</t>
  </si>
  <si>
    <t>33 Gregory Street</t>
  </si>
  <si>
    <t>0 Bolton Road</t>
  </si>
  <si>
    <t>160 Elm Street</t>
  </si>
  <si>
    <t>400 Worcester Road</t>
  </si>
  <si>
    <t>5 Macadam Road</t>
  </si>
  <si>
    <t>1000 Bennington Street</t>
  </si>
  <si>
    <t>220 Titicut Road</t>
  </si>
  <si>
    <t>200 Marion Drive</t>
  </si>
  <si>
    <t>190 Summer Street</t>
  </si>
  <si>
    <t>164 Broadway</t>
  </si>
  <si>
    <t>20 Fort Hill Road</t>
  </si>
  <si>
    <t>149 Speen Street</t>
  </si>
  <si>
    <t>1234 Columbus Avenue</t>
  </si>
  <si>
    <t>370 Jackson Street</t>
  </si>
  <si>
    <t>190 Commonwealth Ave</t>
  </si>
  <si>
    <t>140 Governors Drive</t>
  </si>
  <si>
    <t>151 Presidents Drive</t>
  </si>
  <si>
    <t>Commonwealth Ave</t>
  </si>
  <si>
    <t>North Residential Drive</t>
  </si>
  <si>
    <t>585 East Pleasant St</t>
  </si>
  <si>
    <t>161 Commonwealth Ave</t>
  </si>
  <si>
    <t>3 Paul Clancy Way</t>
  </si>
  <si>
    <t>91 Crest Avenue</t>
  </si>
  <si>
    <t>187 Lyman Street</t>
  </si>
  <si>
    <t>165 Marston Street</t>
  </si>
  <si>
    <t>70 Victory Road</t>
  </si>
  <si>
    <t>522 Concord Street</t>
  </si>
  <si>
    <t xml:space="preserve">Waltham </t>
  </si>
  <si>
    <t>Middleton</t>
  </si>
  <si>
    <t>Kingston</t>
  </si>
  <si>
    <t>Hingham</t>
  </si>
  <si>
    <t>Norwood</t>
  </si>
  <si>
    <t>Billerica</t>
  </si>
  <si>
    <t>Ware</t>
  </si>
  <si>
    <t>Belchertown</t>
  </si>
  <si>
    <t>Dedham</t>
  </si>
  <si>
    <t>Lynn</t>
  </si>
  <si>
    <t>Northborough</t>
  </si>
  <si>
    <t>02166</t>
  </si>
  <si>
    <t>Pending</t>
  </si>
  <si>
    <t xml:space="preserve">FWE </t>
  </si>
  <si>
    <t>EOHHA</t>
  </si>
  <si>
    <t>EOAF</t>
  </si>
  <si>
    <t>Sheriff</t>
  </si>
  <si>
    <t>PPA (with lease)</t>
  </si>
  <si>
    <t>Land lease</t>
  </si>
  <si>
    <t>ESA</t>
  </si>
  <si>
    <t>NFG-SR25630-61868</t>
  </si>
  <si>
    <t>no RECs</t>
  </si>
  <si>
    <t>retain RECs</t>
  </si>
  <si>
    <t>NON46827</t>
  </si>
  <si>
    <t>NON35282</t>
  </si>
  <si>
    <t>NON38983</t>
  </si>
  <si>
    <t>NON38984</t>
  </si>
  <si>
    <t>NON38943</t>
  </si>
  <si>
    <t>NFG-SR25630-73049</t>
  </si>
  <si>
    <t>NFG-SR25630-73050</t>
  </si>
  <si>
    <t>NFG-SR25630-73190</t>
  </si>
  <si>
    <t>NFG-SR25630-73928</t>
  </si>
  <si>
    <t>NFG-SR25630-73048</t>
  </si>
  <si>
    <t>NFG-SR25630-73053</t>
  </si>
  <si>
    <t>NFG-SR25630-73068</t>
  </si>
  <si>
    <t>NFG-SR25630-54226</t>
  </si>
  <si>
    <t>Ground</t>
  </si>
  <si>
    <t>Berkshire Sheriff</t>
  </si>
  <si>
    <t>Chelsea Soldiers' Home</t>
  </si>
  <si>
    <t>Dept. of Fish &amp; Game</t>
  </si>
  <si>
    <t>Housing and Livable Communities</t>
  </si>
  <si>
    <t>Franklin Sheriff</t>
  </si>
  <si>
    <t>Mass. Emergency Management Agency</t>
  </si>
  <si>
    <t>Middlesex Sheriff</t>
  </si>
  <si>
    <t>Norfolk Sheriff</t>
  </si>
  <si>
    <t>Essex Sheriff</t>
  </si>
  <si>
    <t>2 Clark St</t>
  </si>
  <si>
    <t>DOC Shirley</t>
  </si>
  <si>
    <t>MCI Cedar Junction</t>
  </si>
  <si>
    <t>Worcester State University Learning Resource Center</t>
  </si>
  <si>
    <t xml:space="preserve">BHE </t>
  </si>
  <si>
    <t>Air Source Water Heater</t>
  </si>
  <si>
    <t>DDS</t>
  </si>
  <si>
    <t>DFW</t>
  </si>
  <si>
    <t>MCC</t>
  </si>
  <si>
    <t>MassPort</t>
  </si>
  <si>
    <t>MSP</t>
  </si>
  <si>
    <t>Berkshire HOC Main Facility- Sheriff</t>
  </si>
  <si>
    <t>Berkshire HOC Main Facility</t>
  </si>
  <si>
    <t>Berkshire</t>
  </si>
  <si>
    <t>40 (units)</t>
  </si>
  <si>
    <t>120 (tons)</t>
  </si>
  <si>
    <t>130 (tons)</t>
  </si>
  <si>
    <t xml:space="preserve">Sbrega Health and Sciences Building </t>
  </si>
  <si>
    <t>181 (MMBtu)</t>
  </si>
  <si>
    <t>Bristol County Sheriff's Office</t>
  </si>
  <si>
    <t>ICE Building</t>
  </si>
  <si>
    <t>North Dartmouth</t>
  </si>
  <si>
    <t>919 sq ft</t>
  </si>
  <si>
    <t>DCR Blackstone Heritage Corridor</t>
  </si>
  <si>
    <t>Blackstone Heritage Corridor Visitor Center and DCR Central Region administrative offices</t>
  </si>
  <si>
    <t>3x191 (MBH)</t>
  </si>
  <si>
    <t>DCR Camp Nihan</t>
  </si>
  <si>
    <t>DCR Camp Nihan Education Center</t>
  </si>
  <si>
    <t>Saugus</t>
  </si>
  <si>
    <t>191 (MBH)</t>
  </si>
  <si>
    <t>DCR Holyoke Range State Park</t>
  </si>
  <si>
    <t>51 Military Rd-- Joint Administrative Offices DCR Rangers, Forest Health, Fire District 10, Forest Utilization &amp; Markets</t>
  </si>
  <si>
    <t>Notch Visitor Center</t>
  </si>
  <si>
    <t>Halibut Point Visitor's Center</t>
  </si>
  <si>
    <t>Rockport</t>
  </si>
  <si>
    <t xml:space="preserve">DCR Quabbin </t>
  </si>
  <si>
    <t>DCR Quabbin Administration Building</t>
  </si>
  <si>
    <t>1.875 (MMBtu) / 60hp steam</t>
  </si>
  <si>
    <t>DCR Quabbin Reservoir Conference Center</t>
  </si>
  <si>
    <t>48 (MBH)</t>
  </si>
  <si>
    <t>DCR Scusset Beach</t>
  </si>
  <si>
    <t>Scusset Beach Maintenance Garage</t>
  </si>
  <si>
    <t>Sagamore</t>
  </si>
  <si>
    <t>DCR Veterans Memorial/Bennett Field Pool</t>
  </si>
  <si>
    <t>Veterans Memorial/Bennett Field Pool</t>
  </si>
  <si>
    <t>DCR Wachusett State Park</t>
  </si>
  <si>
    <t>DCR Wachusett State Park Visitor's Center</t>
  </si>
  <si>
    <t>DCR Walden Pond Visitor's Center</t>
  </si>
  <si>
    <t>80 (SqFT)</t>
  </si>
  <si>
    <t>66 &amp; 40 (MBH)</t>
  </si>
  <si>
    <t>Waquoit</t>
  </si>
  <si>
    <t>DCR West Region HQ</t>
  </si>
  <si>
    <t>740 South St.  Joint state parks and forestry administrative offices</t>
  </si>
  <si>
    <t>DDS Hogan Regional Center</t>
  </si>
  <si>
    <t>DDS Hogan Regional Center --Residential and Nursery Building</t>
  </si>
  <si>
    <t>DFW McLaughlin Hatchery</t>
  </si>
  <si>
    <t>DFW Fish Hatchery</t>
  </si>
  <si>
    <t>191,000 (btu/hr)</t>
  </si>
  <si>
    <t>DFW Plum Island</t>
  </si>
  <si>
    <t>DFW Plum Island Shellfish Purificatin Plant</t>
  </si>
  <si>
    <t>Newburyport</t>
  </si>
  <si>
    <t>Main Building / Library Addition 2009</t>
  </si>
  <si>
    <t xml:space="preserve">Hampshire Sheriff Dept. </t>
  </si>
  <si>
    <t>Northamption</t>
  </si>
  <si>
    <t>Mass Maritime Academy -  ABS /Library Modernization Project</t>
  </si>
  <si>
    <t>48, 400 foot CL wells</t>
  </si>
  <si>
    <t>Mass Maritime    Natatorium</t>
  </si>
  <si>
    <t>24 (units)</t>
  </si>
  <si>
    <t>MBTA Hingham</t>
  </si>
  <si>
    <t>MBTA Hingham Ferry Terminal</t>
  </si>
  <si>
    <t>Middlesex Community College</t>
  </si>
  <si>
    <t>Middlesex Community College Trustee's House</t>
  </si>
  <si>
    <t>Middlesex County Sheriff's Office</t>
  </si>
  <si>
    <t>Personnel Building</t>
  </si>
  <si>
    <t>10 two ton units</t>
  </si>
  <si>
    <t xml:space="preserve">MWCC Biomass </t>
  </si>
  <si>
    <t>North Shore Comm College/Health Professions &amp; Student Services Center</t>
  </si>
  <si>
    <t>Part of ZNEB</t>
  </si>
  <si>
    <t>153 tons</t>
  </si>
  <si>
    <t>Quinsigamond Community College Administration Building</t>
  </si>
  <si>
    <t xml:space="preserve">RCC Parking Lot </t>
  </si>
  <si>
    <t>16 (units)</t>
  </si>
  <si>
    <t>1.44 MMBtu</t>
  </si>
  <si>
    <t>42.5 tons cooling</t>
  </si>
  <si>
    <t>UMass Amherst International Programs Office (IPO)</t>
  </si>
  <si>
    <t>Various (MBH)</t>
  </si>
  <si>
    <t>UMass Amherst Central Heating Plant Solar Thermal</t>
  </si>
  <si>
    <t>1,757 (SqFT)</t>
  </si>
  <si>
    <t>134,700,000 (Btu)</t>
  </si>
  <si>
    <t>Bellegarde Boathouse</t>
  </si>
  <si>
    <t>700 tubes</t>
  </si>
  <si>
    <t>Miles/Dinardo Hall</t>
  </si>
  <si>
    <t>3 tons</t>
  </si>
  <si>
    <t>Bridgewater Tower Lot</t>
  </si>
  <si>
    <t>1.3 kW</t>
  </si>
  <si>
    <t>Mass Water Resources Authority</t>
  </si>
  <si>
    <t>Wachusett Aqueduct Pumping Station</t>
  </si>
  <si>
    <t>110 tons</t>
  </si>
  <si>
    <t>5 tons</t>
  </si>
  <si>
    <t>8 tons</t>
  </si>
  <si>
    <t>10 tons</t>
  </si>
  <si>
    <t>Terminal E - Volpe NLA Wing</t>
  </si>
  <si>
    <t>Department of State Police</t>
  </si>
  <si>
    <t>Medford Barracks</t>
  </si>
  <si>
    <t>Medford</t>
  </si>
  <si>
    <t>btu</t>
  </si>
  <si>
    <t>Leominster Barracks</t>
  </si>
  <si>
    <t>Leominster</t>
  </si>
  <si>
    <t>Framingham Barracks</t>
  </si>
  <si>
    <t>Danver Barracks</t>
  </si>
  <si>
    <t>South Boston Barracks</t>
  </si>
  <si>
    <t>Weygand Hall</t>
  </si>
  <si>
    <t>Operations Center</t>
  </si>
  <si>
    <t>Allied Veterans Memorial Pool, Everett Bathhouse</t>
  </si>
  <si>
    <t>Everett</t>
  </si>
  <si>
    <t>DCR Dealtry Pool</t>
  </si>
  <si>
    <t xml:space="preserve">Watertown Dealtry Pool </t>
  </si>
  <si>
    <t>Watertown</t>
  </si>
  <si>
    <t>DCR Fort Phoenix State Reservation</t>
  </si>
  <si>
    <t>Fort Phoenix State Reservation Bathhouse</t>
  </si>
  <si>
    <t>Fairhaven</t>
  </si>
  <si>
    <t>DCR Horseneck Beach</t>
  </si>
  <si>
    <t>Horseneck Beach Reservation Administration Building</t>
  </si>
  <si>
    <t>Westport</t>
  </si>
  <si>
    <t>DCR Latta Brothers Pool &amp; Foss Park</t>
  </si>
  <si>
    <t>Latta Brothers Pool &amp; Foss Park Bathhouse</t>
  </si>
  <si>
    <t>Somerville</t>
  </si>
  <si>
    <t>DCR Massasoit State Park</t>
  </si>
  <si>
    <t>Massasoit State Park Bathhouse 4</t>
  </si>
  <si>
    <t>DCR Sandisfield State Forest</t>
  </si>
  <si>
    <t>Sandisfield State Forest York Lake Bathhouse</t>
  </si>
  <si>
    <t>Sandisfield</t>
  </si>
  <si>
    <t>50 gallons</t>
  </si>
  <si>
    <t>DCR Wellflet Hollow State Campground</t>
  </si>
  <si>
    <t>Wellfleet Hollow State Campground Bathhouse</t>
  </si>
  <si>
    <t>Wellfleet</t>
  </si>
  <si>
    <t>65 gallons</t>
  </si>
  <si>
    <t>DCR Blue Hills Reservation</t>
  </si>
  <si>
    <t>Blue Hills Reservation Blue Hill Observatory</t>
  </si>
  <si>
    <t>Blue Hills Reservation Carpenter Shop</t>
  </si>
  <si>
    <t>Blue Hills Reservation Chickatawbut Education Center Cafeteria</t>
  </si>
  <si>
    <t>5 tons (x3 units)</t>
  </si>
  <si>
    <t>Blue Hills Reservation Foreman And Supplies Office</t>
  </si>
  <si>
    <t xml:space="preserve"> 4 tons (outdoor condenser)</t>
  </si>
  <si>
    <t>Blue Hills Reservation Mounted Unit Headquarters</t>
  </si>
  <si>
    <t xml:space="preserve">
60,000 Btu AC
70,000 Btu Heat</t>
  </si>
  <si>
    <t>Blue Hills Reservation Trails Bathhouse</t>
  </si>
  <si>
    <t>Blue Hills Reservation Weather Control Building</t>
  </si>
  <si>
    <t>DCR Borderland State Park</t>
  </si>
  <si>
    <t>Borderland State Park Visitor Center</t>
  </si>
  <si>
    <t>Sharon</t>
  </si>
  <si>
    <t>DCR Breakheart Reservation</t>
  </si>
  <si>
    <t>Breakheart Reservation Visitor Center</t>
  </si>
  <si>
    <t>240,000 Btu AC
260,000 Btu Heat</t>
  </si>
  <si>
    <t>Camp Nihan Office</t>
  </si>
  <si>
    <t>60,000 Btu AC
70,000 Btu Heat</t>
  </si>
  <si>
    <t>DCR Hatch Shell</t>
  </si>
  <si>
    <t>Charles River Reservation Edward A. Hatch Memorial Shell</t>
  </si>
  <si>
    <t>5 tons (x2 units)</t>
  </si>
  <si>
    <t>DCR Clinton</t>
  </si>
  <si>
    <t>Clinton Complex New Carpentry Shop</t>
  </si>
  <si>
    <t>DCR Hampton Ponds State Park</t>
  </si>
  <si>
    <t>Hampton Ponds State Park Garage</t>
  </si>
  <si>
    <t>DCR Harold Parker State Forest</t>
  </si>
  <si>
    <t>Harold Parker State Forest Administration</t>
  </si>
  <si>
    <t>Andover</t>
  </si>
  <si>
    <t>Harold Parker State Forest Berry Pond Restroom</t>
  </si>
  <si>
    <t>DCR Hopkinton State Park</t>
  </si>
  <si>
    <t>Hopkinton State Park Headquarters and Garage</t>
  </si>
  <si>
    <t>DCR Lowell Heritage State Park</t>
  </si>
  <si>
    <t>Lowell Heritage State Park Mack Building (North Region HQ)</t>
  </si>
  <si>
    <t>DCR Mohawk Trail State Forest</t>
  </si>
  <si>
    <t>Mohawk Trail State Forest Cabin Bathhouse</t>
  </si>
  <si>
    <t>Charlemont</t>
  </si>
  <si>
    <t>Mohawk Trail State Forest Headquarters Office And Garage</t>
  </si>
  <si>
    <t>DCR Myles Standish State Forest</t>
  </si>
  <si>
    <t>Myles Standish State Forest Engineering Barn</t>
  </si>
  <si>
    <t>Carver</t>
  </si>
  <si>
    <t>Myles Standish State Forest Interpretive Center</t>
  </si>
  <si>
    <t>DCR Mystic River Reservation</t>
  </si>
  <si>
    <t>Mystic River Reservation Turkey Hill Relay Tower</t>
  </si>
  <si>
    <t>108,000 Btus</t>
  </si>
  <si>
    <t>DCR Neponset Facility</t>
  </si>
  <si>
    <t>Neponset Maintenance Facility &amp; Sign Shop Office And Garage</t>
  </si>
  <si>
    <t>DCR Ponkapoag</t>
  </si>
  <si>
    <t>Ponkapoag Golf Course Clubhouse</t>
  </si>
  <si>
    <t>DCR Revere Beach</t>
  </si>
  <si>
    <t>Revere Beach Reservation Eliot House</t>
  </si>
  <si>
    <t>Revere</t>
  </si>
  <si>
    <t>DCR Robinson State Park</t>
  </si>
  <si>
    <t>Robinson State Park Park Headquarters</t>
  </si>
  <si>
    <t>Feeding Hills</t>
  </si>
  <si>
    <t>DCR Rutland State Park</t>
  </si>
  <si>
    <t>Rutland State Park Garage</t>
  </si>
  <si>
    <t>Rutland</t>
  </si>
  <si>
    <t>DCR Salisbury Beach</t>
  </si>
  <si>
    <t>Salisbury Beach State Reservation Lifeguard Station</t>
  </si>
  <si>
    <t>DCR Savoy Mountain State Forest</t>
  </si>
  <si>
    <t>Savoy Mountain State Forest HQ Administration Building and Garage</t>
  </si>
  <si>
    <t>Savoy</t>
  </si>
  <si>
    <t>DCR Stoneham</t>
  </si>
  <si>
    <t>Stoneham Engineering &amp; Maintenance Facility Carpenter Shop/Field Construction Headquarters</t>
  </si>
  <si>
    <t>Stoneham</t>
  </si>
  <si>
    <t>Stoneham Engineering &amp; Maintenance Facility, The Dugout</t>
  </si>
  <si>
    <t>DCR Wompatuck State Park</t>
  </si>
  <si>
    <t>Wompatuck State Park Administration Building</t>
  </si>
  <si>
    <t>Rutland State Park</t>
  </si>
  <si>
    <t>3600 btu/hr cooling; 3000 - 8000 btu/hr heating</t>
  </si>
  <si>
    <t>Unkown</t>
  </si>
  <si>
    <t>Northbound</t>
  </si>
  <si>
    <t>Southbound</t>
  </si>
  <si>
    <t>021324</t>
  </si>
  <si>
    <t>MassDOT / MassPike Rest Areas Natick East</t>
  </si>
  <si>
    <t>MassPike Rest Areas Natick East</t>
  </si>
  <si>
    <t>01760</t>
  </si>
  <si>
    <t>Massachusetts Avenue Robsham Visitor Center 5</t>
  </si>
  <si>
    <t>135 Ward Street</t>
  </si>
  <si>
    <t>Department of Conservation &amp; Recreation</t>
  </si>
  <si>
    <t>HCC Campus Center</t>
  </si>
  <si>
    <t>HCC Center for Health Education</t>
  </si>
  <si>
    <t>Center for Health Education</t>
  </si>
  <si>
    <t>415 Summer Street</t>
  </si>
  <si>
    <t xml:space="preserve">71 Blackington St </t>
  </si>
  <si>
    <t xml:space="preserve">5 Macadam Road </t>
  </si>
  <si>
    <t>519 Appleton St</t>
  </si>
  <si>
    <t>268 South Avenue</t>
  </si>
  <si>
    <t xml:space="preserve"> Just west of I-95: John T. Driscoll Building</t>
  </si>
  <si>
    <t>02493</t>
  </si>
  <si>
    <t>292 Pleasant Lake Ave</t>
  </si>
  <si>
    <t>Park &amp; Ride Harwich</t>
  </si>
  <si>
    <t>1056 Mt. Pleasant Street</t>
  </si>
  <si>
    <t>Park &amp; Ride New Bedford</t>
  </si>
  <si>
    <t>2 Canal Street</t>
  </si>
  <si>
    <t>Sagamore Beach</t>
  </si>
  <si>
    <t>02562</t>
  </si>
  <si>
    <t>3 Robbins Street</t>
  </si>
  <si>
    <t>01730</t>
  </si>
  <si>
    <t>401 Cochituate Rd</t>
  </si>
  <si>
    <t>1940 Washington Street</t>
  </si>
  <si>
    <t>02152</t>
  </si>
  <si>
    <t>01752</t>
  </si>
  <si>
    <t>670 West Boylston Street</t>
  </si>
  <si>
    <t>1 Campus Center Way</t>
  </si>
  <si>
    <t>200 Commonwealth Avenue</t>
  </si>
  <si>
    <t>Mullins Center, Lot 25</t>
  </si>
  <si>
    <t>Robsham Visitor Center 2</t>
  </si>
  <si>
    <t>Lot 41</t>
  </si>
  <si>
    <t>300 Massachusetts Avenue 
VISITOR CTR 1</t>
  </si>
  <si>
    <t>Located behind the Robsham VC, off Mass Ave/Swift Way</t>
  </si>
  <si>
    <t xml:space="preserve">  Massachusetts Avenue Lot 71 (right)</t>
  </si>
  <si>
    <t>01002</t>
  </si>
  <si>
    <t>University Drive West</t>
  </si>
  <si>
    <t>02125</t>
  </si>
  <si>
    <t>836 South Rodney French Blvd</t>
  </si>
  <si>
    <t>02744</t>
  </si>
  <si>
    <t>300 Martin Luther King Jr. Way</t>
  </si>
  <si>
    <t>Pulichino Tong Business Center</t>
  </si>
  <si>
    <t>University Crossing Admissions entrance</t>
  </si>
  <si>
    <t>850 Broadway St</t>
  </si>
  <si>
    <t>Administration Building (Lot H)</t>
  </si>
  <si>
    <t>17 Eastman Lane Lot 43 Totman Gym Lot 1</t>
  </si>
  <si>
    <t>661 North Pleasant St.</t>
  </si>
  <si>
    <t>661 N. Pleasant St, Lot 63, Worcester Dining Common 1</t>
  </si>
  <si>
    <t>02421</t>
  </si>
  <si>
    <t>Lower Student Parking Lot</t>
  </si>
  <si>
    <t>ADA Parking</t>
  </si>
  <si>
    <t>DFG</t>
  </si>
  <si>
    <t>Department of Fish &amp; Game</t>
  </si>
  <si>
    <t>Annisquam River Marine Fisheries Station</t>
  </si>
  <si>
    <t>30 Emerson Avenue</t>
  </si>
  <si>
    <t>Gloucester</t>
  </si>
  <si>
    <t>01930</t>
  </si>
  <si>
    <t>DoS</t>
  </si>
  <si>
    <t>Division of Standards</t>
  </si>
  <si>
    <t>Meteorology Laboratory</t>
  </si>
  <si>
    <t>250 Eliot Street, Suite 10-D</t>
  </si>
  <si>
    <t>Ashland</t>
  </si>
  <si>
    <t>01721</t>
  </si>
  <si>
    <t>Division of Fisheries &amp; Wildlife</t>
  </si>
  <si>
    <t>01581</t>
  </si>
  <si>
    <t>North Shore Community College</t>
  </si>
  <si>
    <t>NSCC Thomas W. McGee Building</t>
  </si>
  <si>
    <t>647 Washington Street</t>
  </si>
  <si>
    <t>Faculty Parking Lot</t>
  </si>
  <si>
    <t>01901</t>
  </si>
  <si>
    <t>NSCC Health Professions &amp; Student Services Center</t>
  </si>
  <si>
    <t>Parking Lot #4</t>
  </si>
  <si>
    <t>01923</t>
  </si>
  <si>
    <t>MILITARY</t>
  </si>
  <si>
    <t>Hanscom AFB (MA National Guard)</t>
  </si>
  <si>
    <t>2 Randolph Road</t>
  </si>
  <si>
    <t>Hanscom</t>
  </si>
  <si>
    <t>01731</t>
  </si>
  <si>
    <t>Lynn Campus</t>
  </si>
  <si>
    <t>300 Broad Street</t>
  </si>
  <si>
    <t>Danvers Campus</t>
  </si>
  <si>
    <t>Massachusetts Avenue Lot 71 (left)</t>
  </si>
  <si>
    <t>92 Carlson Ave</t>
  </si>
  <si>
    <t>Mt. Ida 1</t>
  </si>
  <si>
    <t>Mt. Ida 2</t>
  </si>
  <si>
    <t>100 Carlson Ave</t>
  </si>
  <si>
    <t>Mt. Ida ATC</t>
  </si>
  <si>
    <t>Totman Gym Lot 2</t>
  </si>
  <si>
    <t>Totman Gym Lot 3</t>
  </si>
  <si>
    <t>Totman Gym Lot 4</t>
  </si>
  <si>
    <t>Parking Garage 2</t>
  </si>
  <si>
    <t>Robsham Visitor Center 3</t>
  </si>
  <si>
    <t>Robsham Visitor Center 4</t>
  </si>
  <si>
    <t>990 North Pleasant Street</t>
  </si>
  <si>
    <t>990 North Pleasant Street University Apartments</t>
  </si>
  <si>
    <t>661 N Pleasant St, Lot 63, Worcester Dining Common 2</t>
  </si>
  <si>
    <t>DFS</t>
  </si>
  <si>
    <t>Department of Fire Services</t>
  </si>
  <si>
    <t>100 Grochmal Avenue</t>
  </si>
  <si>
    <t>01151</t>
  </si>
  <si>
    <t>01775</t>
  </si>
  <si>
    <t>UMass Chan Medical</t>
  </si>
  <si>
    <t>55 North Lake Avenue</t>
  </si>
  <si>
    <t>Library Lot</t>
  </si>
  <si>
    <t>131 Summer Street</t>
  </si>
  <si>
    <t>Connecticut River Greenway State Park Headquarters Garage</t>
  </si>
  <si>
    <t>136 Damon Road</t>
  </si>
  <si>
    <t>01060</t>
  </si>
  <si>
    <t>Hampton Ponds State Park Maintenance Garage</t>
  </si>
  <si>
    <t>1048 North Road</t>
  </si>
  <si>
    <t>01085</t>
  </si>
  <si>
    <t>Central Region Headquarters</t>
  </si>
  <si>
    <t>355 West Boylston Street</t>
  </si>
  <si>
    <t>01510</t>
  </si>
  <si>
    <t>Quinsigamond State Park Office Loc 1</t>
  </si>
  <si>
    <t>10 North Lake Avenue</t>
  </si>
  <si>
    <t>01612</t>
  </si>
  <si>
    <t>Lynn Shore Reservation</t>
  </si>
  <si>
    <t>1 Nahant Road</t>
  </si>
  <si>
    <t>Nahant</t>
  </si>
  <si>
    <t>01902</t>
  </si>
  <si>
    <t>4 Woodland Road</t>
  </si>
  <si>
    <t>02180</t>
  </si>
  <si>
    <t>Lawrence Heritage State Park</t>
  </si>
  <si>
    <t>1 Jackson Street</t>
  </si>
  <si>
    <t>01840</t>
  </si>
  <si>
    <t>Edwin H Land Blvd PSO Garage Building</t>
  </si>
  <si>
    <t>24 Monsignor O'Brien Highway</t>
  </si>
  <si>
    <t>Next to Museum of Science</t>
  </si>
  <si>
    <t>Wompatuck State Park Torpedo Shed</t>
  </si>
  <si>
    <t>204 Union Street</t>
  </si>
  <si>
    <t>02043</t>
  </si>
  <si>
    <t>Fall River Heritage State Park Boat House</t>
  </si>
  <si>
    <t>200 Davol Street</t>
  </si>
  <si>
    <t>Waquoit Bay Operations Building</t>
  </si>
  <si>
    <t>131 Waquoit Highway</t>
  </si>
  <si>
    <t>02536</t>
  </si>
  <si>
    <t>Department of Developmental Services</t>
  </si>
  <si>
    <t>131 Emerald Street</t>
  </si>
  <si>
    <t>Wrentham Developmental Center</t>
  </si>
  <si>
    <t>02093</t>
  </si>
  <si>
    <t>Palmer/Monson</t>
  </si>
  <si>
    <t>Palmer</t>
  </si>
  <si>
    <t>01069</t>
  </si>
  <si>
    <t>212 Freight Shed Road</t>
  </si>
  <si>
    <t>Templeton Developmental Center</t>
  </si>
  <si>
    <t>Templeton</t>
  </si>
  <si>
    <t>01436</t>
  </si>
  <si>
    <t>SRB</t>
  </si>
  <si>
    <t>Mosquito Control Board</t>
  </si>
  <si>
    <t>Cape Cod Mosquito Control Project</t>
  </si>
  <si>
    <t>259 Willow Street</t>
  </si>
  <si>
    <t>Cape Cod</t>
  </si>
  <si>
    <t>Yarmouthport</t>
  </si>
  <si>
    <t>02675</t>
  </si>
  <si>
    <t>Plymouth Mosquito Control Project</t>
  </si>
  <si>
    <t>272 South Meadow Road</t>
  </si>
  <si>
    <t>02360</t>
  </si>
  <si>
    <t>MCI Shirley</t>
  </si>
  <si>
    <t>104 Harvard Rd</t>
  </si>
  <si>
    <t>01464</t>
  </si>
  <si>
    <t>Bridgewater Complex</t>
  </si>
  <si>
    <t>1 Administration Rd</t>
  </si>
  <si>
    <t>MCI Norfolk</t>
  </si>
  <si>
    <t>02056</t>
  </si>
  <si>
    <t>CJT</t>
  </si>
  <si>
    <t>Municipal Police Training Committee</t>
  </si>
  <si>
    <t>MPTC Lynnfield</t>
  </si>
  <si>
    <t>425 Walnut Street</t>
  </si>
  <si>
    <t>Lynnfield</t>
  </si>
  <si>
    <t>01940</t>
  </si>
  <si>
    <t>Oak Bluffs Barracks</t>
  </si>
  <si>
    <t>51 Temahigan Ave</t>
  </si>
  <si>
    <t>Oak Bluffs</t>
  </si>
  <si>
    <t>02557</t>
  </si>
  <si>
    <t>Nantucket Barracks</t>
  </si>
  <si>
    <t>83 North Liberty Street</t>
  </si>
  <si>
    <t>Nantucket</t>
  </si>
  <si>
    <t>02554</t>
  </si>
  <si>
    <t>Lot 12</t>
  </si>
  <si>
    <t>Frank &amp; Maureen Wilkens Science &amp; Engineering Center</t>
  </si>
  <si>
    <t>Neponset Garage</t>
  </si>
  <si>
    <t>475 Neponset Avenue</t>
  </si>
  <si>
    <t>North side of building</t>
  </si>
  <si>
    <t>02122</t>
  </si>
  <si>
    <t>Mt. Wachusett Comm. College</t>
  </si>
  <si>
    <t>Mt. Wachusett Community College</t>
  </si>
  <si>
    <t>01440</t>
  </si>
  <si>
    <t>577 Western Ave</t>
  </si>
  <si>
    <t>Mass. Information Technology Center</t>
  </si>
  <si>
    <t>200 Arlington Street</t>
  </si>
  <si>
    <t>37 Salem End Rd</t>
  </si>
  <si>
    <t>Fleet Charging</t>
  </si>
  <si>
    <t>Public use M-F 5:31pm - 6:59am &amp; Sa-Su 24 hours</t>
  </si>
  <si>
    <t>Single &amp; Dual</t>
  </si>
  <si>
    <t>DCR Central Region HQ</t>
  </si>
  <si>
    <t>Halibut Point State Park, Rockport</t>
  </si>
  <si>
    <t>Bradley Palmer State Park, Topsfield</t>
  </si>
  <si>
    <t>Quabbin Reservoir Visitor Center</t>
  </si>
  <si>
    <t>Great Falls Discovery Center</t>
  </si>
  <si>
    <t>Morse State Park</t>
  </si>
  <si>
    <t>Natural Bridge State Park</t>
  </si>
  <si>
    <t>DOC Milford HQ</t>
  </si>
  <si>
    <t>McAuliffe Center</t>
  </si>
  <si>
    <t>50 Oakland Street - Wellesley Campus</t>
  </si>
  <si>
    <t>Atlantic Hall</t>
  </si>
  <si>
    <t>New Quad</t>
  </si>
  <si>
    <t>Library</t>
  </si>
  <si>
    <t>Student Garden</t>
  </si>
  <si>
    <t>Power Plant Slope</t>
  </si>
  <si>
    <t>Cedar Dell Field</t>
  </si>
  <si>
    <t>Main Campus</t>
  </si>
  <si>
    <t>Merrimack River Overlook</t>
  </si>
  <si>
    <t>Greenhouse 2</t>
  </si>
  <si>
    <t>Greenhouse 1</t>
  </si>
  <si>
    <t>Limited Mow Zones</t>
  </si>
  <si>
    <t>Unk</t>
  </si>
  <si>
    <t>Managed Wildflower Meadows and Grasslands</t>
  </si>
  <si>
    <t>2024/2025</t>
  </si>
  <si>
    <t>Pollinator Gardens</t>
  </si>
  <si>
    <t>Native Species</t>
  </si>
  <si>
    <t>Tiny</t>
  </si>
  <si>
    <t>2022/23</t>
  </si>
  <si>
    <t>Fall 2023</t>
  </si>
  <si>
    <t>Pollinator Bed</t>
  </si>
  <si>
    <t>Matt Villamaino</t>
  </si>
  <si>
    <t>DCR staff attempted to begin a limited-mow regime near their Central HQ in 2019, but TBD if the area will be maintained as such.</t>
  </si>
  <si>
    <t>Barbara Buls</t>
  </si>
  <si>
    <t>Portion of lawn area planned to be left unmowed in 2020. Need to confirm later in year if implemented.</t>
  </si>
  <si>
    <t>2.21.20 update: Andy to talk to Dave Paulson about the site and what may work here</t>
  </si>
  <si>
    <t>Several lawns northeast of Willowdale Estate, near gravel storage site for DCR staff, are currently regularly mowed. Barbara is pushing for several limited-mow zones within these areas in 2020.</t>
  </si>
  <si>
    <t>Drew Forest</t>
  </si>
  <si>
    <t xml:space="preserve">Plot of land covered with tarp early August 2020 to clear area, to be seeded with native wildflowers later in 2020. Landscaping strategies had to be adjusted in 2020 due to slimmer staff thanks to covid shutdown. The tarp is still on the area to be seeded. The seed mix used at Wachusett is to be used at Quabbin:
“They ordered the same blend that has been used at Wachusett and is a blend of native seeds.  For the Wachusett pollinator fields Ken coordinated with MaWildlife and is using the same blend that they have been using.” https://www.ernstseed.com/product/showy-northeast-native-wildflower-grass-mix/?anchor=45 
 </t>
  </si>
  <si>
    <t>https://www.ernstseed.com/product/showy-northeast-native-wildflower-grass-mix/?anchor=45</t>
  </si>
  <si>
    <t>Shawn Kennedy</t>
  </si>
  <si>
    <t>Multiple gardens throughout grounds. Newly "wildflower area" being established in 2022.</t>
  </si>
  <si>
    <t>Some land in state park is open. DCR trying to determine what to do with the site, and may opt for a limited-mow zone</t>
  </si>
  <si>
    <t>Sarah White</t>
  </si>
  <si>
    <t>Natural Bridge State Park undergoing improvements in 2024. Meadow is proposed for open quarry area along McAuley Rd.</t>
  </si>
  <si>
    <t>Parking lot adjacent to the building has a sloped area that is difficult to manage, people cut through it from parking lot to building leading to safety concerns over uneven ground. DOC has $1000 they could set aside for seed, bid boxes, and tools. Andy plans on meeting with Boy Scout troop to do the work. Fencing may be needed to keep people from cutting through.</t>
  </si>
  <si>
    <t>3.9.22 - planning on April 2022 work</t>
  </si>
  <si>
    <t>In May 2022, Taunton State Hospital seeded about 0.25 acres of lawn to increase the size of the meadow created in 2017.</t>
  </si>
  <si>
    <t>Filomena Cunha</t>
  </si>
  <si>
    <t>EHS staff and patients planted a small garden at entry to hospital. Species unknown; this might be an aesthetic garden, unknown if beneficial to pollinators</t>
  </si>
  <si>
    <t>established in 2020; Biology has a polllinator garden by McAuliffe Center. About 500 sf.</t>
  </si>
  <si>
    <t>Planted native species to protect bio-swale, and satisfy ms4 permit. Add plantings every year</t>
  </si>
  <si>
    <t>Howie Larosee</t>
  </si>
  <si>
    <t>Current construction of South Hall is setting up for approx. 2000 sqft of new landscaping which supports pollination. Listed as .4 acres (based on 2000 sqft, but actual pollinator plantings will likely be less)</t>
  </si>
  <si>
    <t xml:space="preserve">Follow-up with Howie summer 2022 for update and details. </t>
  </si>
  <si>
    <t>https://www.northshore.edu/news/2022/pollinator_garden.html</t>
  </si>
  <si>
    <t>Need to contact someone at NSCC to get details (6.22.22)</t>
  </si>
  <si>
    <t>Denis Swinford</t>
  </si>
  <si>
    <t xml:space="preserve">open quad that includes native plantings </t>
  </si>
  <si>
    <t>Follow-up with Denis summer 2022 for status and more details</t>
  </si>
  <si>
    <t>Plan to Remove current vegetation and replace with pollinator habitat</t>
  </si>
  <si>
    <t>Low-mow, research area for Biology projects</t>
  </si>
  <si>
    <t>Follow-up with Jamie summer 2022 for status and more details</t>
  </si>
  <si>
    <t>From FY22 tracking form</t>
  </si>
  <si>
    <t>MWRA Eastern Operations</t>
  </si>
  <si>
    <t>8" Auger</t>
  </si>
  <si>
    <t>Mass. Water Resources Authority5</t>
  </si>
  <si>
    <t>Mass. Water Resources Authority6</t>
  </si>
  <si>
    <t>Mass. Water Resources Authority7</t>
  </si>
  <si>
    <t>Mass. Water Resources Authority8</t>
  </si>
  <si>
    <t>Mass. Water Resources Authority9</t>
  </si>
  <si>
    <t>DOC Concord Wastewater Plant</t>
  </si>
  <si>
    <t>DOC Norfolk Wastewater Plant</t>
  </si>
  <si>
    <t>DOC Plymouth Wastewater Plant</t>
  </si>
  <si>
    <t>DOC Bridgewater Wastewater Plant</t>
  </si>
  <si>
    <t>DOC Norfolk Water Supply Plant</t>
  </si>
  <si>
    <t>Skil</t>
  </si>
  <si>
    <t>Dept. of Correction1</t>
  </si>
  <si>
    <t>Dept. of Correction2</t>
  </si>
  <si>
    <t>Dept. of Correction3</t>
  </si>
  <si>
    <t>Dept. of Correction4</t>
  </si>
  <si>
    <t>Dept. of Correction5</t>
  </si>
  <si>
    <t>Dept. of Correction6</t>
  </si>
  <si>
    <t>Dept. of Correction7</t>
  </si>
  <si>
    <t>Dept. of Correction8</t>
  </si>
  <si>
    <t>Dept. of Correction9</t>
  </si>
  <si>
    <t>Dept. of Correction10</t>
  </si>
  <si>
    <t>Dept. of Correction11</t>
  </si>
  <si>
    <t>Dept. of Correction12</t>
  </si>
  <si>
    <t>Dept. of Correction13</t>
  </si>
  <si>
    <t>Dept. of Correction14</t>
  </si>
  <si>
    <t>Dept. of Correction15</t>
  </si>
  <si>
    <t>Dept. of Correction16</t>
  </si>
  <si>
    <t>Dept. of Correction17</t>
  </si>
  <si>
    <t>Dept. of Correction18</t>
  </si>
  <si>
    <t>Dept. of Correction19</t>
  </si>
  <si>
    <t>Energy &amp; Fuel Data Source Key</t>
  </si>
  <si>
    <t>MEI/CEI</t>
  </si>
  <si>
    <t>Agency (missing accounts in MEI)</t>
  </si>
  <si>
    <t>OSD</t>
  </si>
  <si>
    <t>OVM</t>
  </si>
  <si>
    <t>N/A (for propane)</t>
  </si>
  <si>
    <t>State Entity</t>
  </si>
  <si>
    <t>Delivered Fuels</t>
  </si>
  <si>
    <t>Vehicle Fuels</t>
  </si>
  <si>
    <t>Fleet</t>
  </si>
  <si>
    <t>EVSE</t>
  </si>
  <si>
    <t>MEI</t>
  </si>
  <si>
    <t>CEI</t>
  </si>
  <si>
    <t>Measuring and tracking energy data for Massachusetts state agencies and public higher education is a critical component of the state’s Leading by Example Program (LBE).  
In order to track progress in meeting greenhouse gas, energy reduction targets, and renewable energy goals, collecting &amp; analyzing agency and campus energy data is imperative.
With the help of your agency, Leading by Example tracks energy consumption and cost data for a variety of fuel sources in the Commonwealth, as well as information on other sustainability efforts.  Please use this form to submit your agency/campus FY24 energy data to LBE.  The FY24 Tracking Form divides the fuels tracked into separate tabs for easier navigation.  The summary boxes below describe information requested in each tab, as well as highlights any new additions to the FY24 form.  Reporting should include all owned facilities within your agency/campus and be consistent from year to year.  
Thank you for working with us to track your energy and sustainability data for your facilities - we appreciate your time and effort!</t>
  </si>
  <si>
    <t>Data Sources</t>
  </si>
  <si>
    <t>For the FY24 form, in an effort to relieve the reporting burden as much as possible on state entities, LBE has created a Data Sources tab that shows which categories of data LBE can collect from external resources such as utility databases that entities do not need to report in this form and which data we still rely on the entity to report.</t>
  </si>
  <si>
    <t>Have you purchased/leased or do you plan on acquiring any zero-emission vehicles (battery electric/plug-in hybrid electric) in FY25? 
(Note: If you would like support or assistance in deploying charging for these vehicles, please see EV Charging tab)</t>
  </si>
  <si>
    <t>If yes, please provide an estimate of the number of zero-emission vehicles you have acquired or plan to acquire in FY25.</t>
  </si>
  <si>
    <t>Motorcycles</t>
  </si>
  <si>
    <t>*includes light-duty plated assets that can technically drive on roads such as GEMs, Gators, UTVs, etc.</t>
  </si>
  <si>
    <t>Trucks</t>
  </si>
  <si>
    <t>Other Heavy Duty</t>
  </si>
  <si>
    <t>Installation Date 
(Month &amp; Year)</t>
  </si>
  <si>
    <t>Jo Ann Bentley</t>
  </si>
  <si>
    <t>JoAnn.Bentley@bristolcc.edu</t>
  </si>
  <si>
    <t>Robert Maniatis</t>
  </si>
  <si>
    <t>Chief Operating Officer</t>
  </si>
  <si>
    <t>robert.maniatis@mass.gov</t>
  </si>
  <si>
    <t>617-887-7170</t>
  </si>
  <si>
    <t>scott.consaul2@mass.gov</t>
  </si>
  <si>
    <t>Scott Consaul</t>
  </si>
  <si>
    <t>617-887-8691</t>
  </si>
  <si>
    <t>Trina Moruzzi</t>
  </si>
  <si>
    <t>trina.moruzzi@mass.gov</t>
  </si>
  <si>
    <t>508-389-6318</t>
  </si>
  <si>
    <t>Assistant Director of Operations, DFW</t>
  </si>
  <si>
    <t>Mbangra4@fitchburgstate.edu</t>
  </si>
  <si>
    <t>Marco Bangrazi</t>
  </si>
  <si>
    <t>Environmental Health, Safety and Risk Manager</t>
  </si>
  <si>
    <t>978-751-4063</t>
  </si>
  <si>
    <t>Jim Kane</t>
  </si>
  <si>
    <t>jfk@massart.edu</t>
  </si>
  <si>
    <t>Asst. VP of Facilities &amp; Planning</t>
  </si>
  <si>
    <t>rperry@massart.edu</t>
  </si>
  <si>
    <t>Robert Perry</t>
  </si>
  <si>
    <t>VP of A&amp;F</t>
  </si>
  <si>
    <t>617-879-7810</t>
  </si>
  <si>
    <t>jeffrey.tatro@mcla.edu</t>
  </si>
  <si>
    <t>Jeffrey Tatro</t>
  </si>
  <si>
    <t>Chief Engineer/Energy Manager</t>
  </si>
  <si>
    <t>William Norcross</t>
  </si>
  <si>
    <t>Purchasing Manager</t>
  </si>
  <si>
    <t>william.norcross@mcla.edu</t>
  </si>
  <si>
    <t>cvolz1@massasoit.mass.edu</t>
  </si>
  <si>
    <t>Christofer Volz</t>
  </si>
  <si>
    <t>Glen Fox</t>
  </si>
  <si>
    <t>Sarah Bolden</t>
  </si>
  <si>
    <t>Executive Director of Facilites Management</t>
  </si>
  <si>
    <t>gfox1@mwcc.mass.edu</t>
  </si>
  <si>
    <t>sbolden1@mwcc.mass.edu</t>
  </si>
  <si>
    <t>Facilities Operations Director</t>
  </si>
  <si>
    <t>978-630-9145</t>
  </si>
  <si>
    <t>Dana Margolis</t>
  </si>
  <si>
    <t>dmargolis@necc.mass.edu</t>
  </si>
  <si>
    <t xml:space="preserve">978-556-3921			</t>
  </si>
  <si>
    <t>sqazi@rcc.mass.edu</t>
  </si>
  <si>
    <t>Shami Qazi</t>
  </si>
  <si>
    <t xml:space="preserve">khall@rcc.mass.edu </t>
  </si>
  <si>
    <t>Facilities Manager</t>
  </si>
  <si>
    <t>Kerri Kane</t>
  </si>
  <si>
    <t>Director of Purchasing &amp; Business Services</t>
  </si>
  <si>
    <t>kpkane@stcc.edu</t>
  </si>
  <si>
    <t>Nicole_Kelly@uml.edu</t>
  </si>
  <si>
    <t>kparker8@umassd.edu</t>
  </si>
  <si>
    <t>Karen Parker</t>
  </si>
  <si>
    <t>508-999-8100</t>
  </si>
  <si>
    <t>Thomas Therrien</t>
  </si>
  <si>
    <t>ttherrien@westfield.ma.edu</t>
  </si>
  <si>
    <t>srobbins@westfield.ma.edu</t>
  </si>
  <si>
    <t>Shawn Robbins</t>
  </si>
  <si>
    <t>Director, Environmental Health and Safety</t>
  </si>
  <si>
    <t>413-572-8689</t>
  </si>
  <si>
    <t>413-572-5209</t>
  </si>
  <si>
    <t>July 1, 2024 through June 30, 2025</t>
  </si>
  <si>
    <r>
      <rPr>
        <b/>
        <sz val="11"/>
        <color theme="1"/>
        <rFont val="Calibri"/>
        <family val="2"/>
      </rPr>
      <t>State entity must provide data.</t>
    </r>
    <r>
      <rPr>
        <sz val="10"/>
        <color theme="1"/>
        <rFont val="Calibri"/>
        <family val="2"/>
      </rPr>
      <t xml:space="preserve">
LBE is unable to collect this data from external resources and asks that your entity report this data.</t>
    </r>
  </si>
  <si>
    <r>
      <rPr>
        <b/>
        <sz val="11"/>
        <color theme="1"/>
        <rFont val="Calibri"/>
        <family val="2"/>
      </rPr>
      <t>LBE collects data from online utility database.</t>
    </r>
    <r>
      <rPr>
        <sz val="10"/>
        <color theme="1"/>
        <rFont val="Calibri"/>
        <family val="2"/>
      </rPr>
      <t xml:space="preserve">
LBE is able to collect your entity's grid electricity and/or natural gas data from the online utility databases (MEI &amp; CEI); LBE will provide utility usage numbers for your entity to review.</t>
    </r>
  </si>
  <si>
    <r>
      <rPr>
        <b/>
        <sz val="11"/>
        <color theme="1"/>
        <rFont val="Calibri"/>
        <family val="2"/>
      </rPr>
      <t>State entity must provide data.</t>
    </r>
    <r>
      <rPr>
        <sz val="10"/>
        <color theme="1"/>
        <rFont val="Calibri"/>
        <family val="2"/>
      </rPr>
      <t xml:space="preserve">
LBE is able to collect this data from its online utility database (MEI) but first needs your entity to report utility account numbers to ensure database can collect complete data.</t>
    </r>
  </si>
  <si>
    <r>
      <rPr>
        <b/>
        <sz val="11"/>
        <color theme="1"/>
        <rFont val="Calibri"/>
        <family val="2"/>
      </rPr>
      <t>LBE collects data from OSD vendor reports.</t>
    </r>
    <r>
      <rPr>
        <sz val="10"/>
        <color theme="1"/>
        <rFont val="Calibri"/>
        <family val="2"/>
      </rPr>
      <t xml:space="preserve">
LBE is able to collect data from the OSD statetwide contract vendor reports for delivered and/or vehicle fuels. If LBE currently lists OSD as the data source for delivered and/or vehicle fuels but your entity does not purchase off contract, please note that and report the correct number in the tracking form. Otherwise, LBE will provide these delivered/vehicle fuel usage numbers for your entity to review.</t>
    </r>
  </si>
  <si>
    <r>
      <rPr>
        <b/>
        <sz val="11"/>
        <color theme="1"/>
        <rFont val="Calibri"/>
        <family val="2"/>
      </rPr>
      <t>LBE collects data from OVM database.</t>
    </r>
    <r>
      <rPr>
        <sz val="10"/>
        <color theme="1"/>
        <rFont val="Calibri"/>
        <family val="2"/>
      </rPr>
      <t xml:space="preserve">
LBE is able to collect your entity's fleet inventory from the Office of Vehicle Management's (OVM) state fleet database. If your entity does not utilize OVM's database but OVM is listed as the source, please note that and report the correct fleet inventory either in the form or as an attachment.</t>
    </r>
  </si>
  <si>
    <r>
      <rPr>
        <b/>
        <sz val="11"/>
        <color theme="1"/>
        <rFont val="Calibri"/>
        <family val="2"/>
      </rPr>
      <t>No propane usage</t>
    </r>
    <r>
      <rPr>
        <sz val="10"/>
        <color theme="1"/>
        <rFont val="Calibri"/>
        <family val="2"/>
      </rPr>
      <t xml:space="preserve">
N/A is listed for entities that have not used propane historically. If your entity is listed as N/A but did use propane in FY24, please report use and cost in the form.</t>
    </r>
  </si>
  <si>
    <r>
      <t xml:space="preserve">Agency
</t>
    </r>
    <r>
      <rPr>
        <b/>
        <i/>
        <sz val="11"/>
        <color theme="1"/>
        <rFont val="Calibri"/>
        <family val="2"/>
      </rPr>
      <t>(highlighted in red)</t>
    </r>
  </si>
  <si>
    <r>
      <t xml:space="preserve">Agency (missing accounts in MEI)
</t>
    </r>
    <r>
      <rPr>
        <b/>
        <i/>
        <sz val="11"/>
        <color theme="1"/>
        <rFont val="Calibri"/>
        <family val="2"/>
      </rPr>
      <t>(highlighted in red)</t>
    </r>
  </si>
  <si>
    <t>Project Implementation</t>
  </si>
  <si>
    <t>Decarb Plan/Roadmap</t>
  </si>
  <si>
    <t>Decarb/Electrification Projects</t>
  </si>
  <si>
    <t>Decarb Projects</t>
  </si>
  <si>
    <t>If a cell is highlighted in yellow, please make sure to check the values. If the highlighted data is incorrect, please include explanation if possible for any discrepancies.</t>
  </si>
  <si>
    <t>Grid Electricity</t>
  </si>
  <si>
    <t>All Other Form Tabs</t>
  </si>
  <si>
    <t>Decarbonization Planning at State Facilities</t>
  </si>
  <si>
    <t>Decarb Planning</t>
  </si>
  <si>
    <r>
      <t xml:space="preserve">Please consult the list below to determine what data your entity needs to report (as compared to the data that LBE can collect through external resources). Contact </t>
    </r>
    <r>
      <rPr>
        <b/>
        <sz val="11"/>
        <color theme="4" tint="-0.249977111117893"/>
        <rFont val="Calibri"/>
        <family val="2"/>
      </rPr>
      <t>sophia.vitello@mass.gov</t>
    </r>
    <r>
      <rPr>
        <b/>
        <sz val="11"/>
        <color theme="1"/>
        <rFont val="Calibri"/>
        <family val="2"/>
      </rPr>
      <t xml:space="preserve"> with any questions on the information below. As noted in column I, LBE relies on entity reporting for the additional form tabs, such as renewable deployment, sustainability efforts, and energy efficiency projects.</t>
    </r>
  </si>
  <si>
    <t>If possible, please provide the number of off-road vehicles</t>
  </si>
  <si>
    <t>DOER or DCAMM involvement</t>
  </si>
  <si>
    <t>This tab includes a request for information on decarbonization planning that has moved forward during FY24. Decarbonization planning includes planning for projects that facilitate current or future facility and/or fleet electrification/onsite fossil fuel reductions, including but not limited to, replacement of fossil fuel heating equipment with efficient electric systems, site electrification upgrades, envelope improvements, and other efficiency improvements done to improve the effectiveness of electrification projects. Please note whether DOER or DCAMM funded or oversaw the development of this planning.</t>
  </si>
  <si>
    <t>Please describe any planning efforts underway at your entity/facility to plan for decarbonization of your fleet and/or buildings. Please also note whether DOER or DCAMM funded or oversaw the development of this planning.</t>
  </si>
  <si>
    <t>This tab includes a request for information on energy efficiency projects that have moved forward during FY24. Please as provide as much information as possible in the fields below. Please also note in the last column whether DOER or DCAMM funded the deployment of any of these projects.</t>
  </si>
  <si>
    <r>
      <t xml:space="preserve">The deadline for submitting the FY24 Tracking Form is </t>
    </r>
    <r>
      <rPr>
        <b/>
        <sz val="14"/>
        <color rgb="FFFF0000"/>
        <rFont val="Calibri"/>
        <family val="2"/>
        <scheme val="minor"/>
      </rPr>
      <t>Friday, December 13, 2024</t>
    </r>
    <r>
      <rPr>
        <b/>
        <sz val="14"/>
        <color theme="3"/>
        <rFont val="Calibri"/>
        <family val="2"/>
        <scheme val="minor"/>
      </rPr>
      <t xml:space="preserve">. 
Please submit via email to Sophia Vitello (sophia.vitello@mass.gov). 
Please contact Sophia Vitello via email or by phone at 617-626-7353 if you need assistance in gathering your energy data. </t>
    </r>
  </si>
  <si>
    <t>This tab includes a request for information on energy efficiency projects that have moved forward during FY24.</t>
  </si>
  <si>
    <t>This tab includes a request for information on any decarbonization planning efforts for your fleet and/or facilities that have moved forward during FY24.</t>
  </si>
  <si>
    <t>This tab requests information about vehicle fleets. All LBE partners should respond to Sections I and II. Section III is applicable to those entities that do not purchase/lease vehicles through the Office of Vehicle Management (OVM). Please only include vehicles that are owned and operated by your agency or the Commonwealth. GVWR refers to the Gross Vehicle Weight Rating of an 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</si>
</sst>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000"/>
    <numFmt numFmtId="168" formatCode="&quot;$&quot;#,##0.00"/>
    <numFmt numFmtId="169" formatCode="0.000_);\(0.000\)"/>
    <numFmt numFmtId="170" formatCode="0.000"/>
    <numFmt numFmtId="171" formatCode="_(* #,##0.0_);_(* \(#,##0.0\);_(* &quot;-&quot;??_);_(@_)"/>
  </numFmts>
  <fonts count="121">
    <font>
      <sz val="11"/>
      <color theme="1"/>
      <name val="Calibri"/>
      <family val="2"/>
      <scheme val="minor"/>
    </font>
    <font>
      <sz val="11"/>
      <color theme="1"/>
      <name val="Calibri"/>
      <family val="2"/>
    </font>
    <font>
      <sz val="11"/>
      <color theme="1"/>
      <name val="Calibri"/>
      <family val="2"/>
    </font>
    <font>
      <sz val="12"/>
      <color theme="1"/>
      <name val="Calibri"/>
      <family val="2"/>
      <scheme val="minor"/>
    </font>
    <font>
      <sz val="11"/>
      <color theme="1"/>
      <name val="Calibri"/>
      <family val="2"/>
      <scheme val="minor"/>
    </font>
    <font>
      <b/>
      <sz val="11"/>
      <color rgb="FFFFFFFF"/>
      <name val="Calibri"/>
      <family val="2"/>
      <scheme val="minor"/>
    </font>
    <font>
      <b/>
      <sz val="12"/>
      <color rgb="FFFFFFFF"/>
      <name val="Calibri"/>
      <family val="2"/>
      <scheme val="minor"/>
    </font>
    <font>
      <b/>
      <sz val="12"/>
      <name val="Calibri"/>
      <family val="2"/>
      <scheme val="minor"/>
    </font>
    <font>
      <sz val="11"/>
      <color indexed="8"/>
      <name val="Calibri"/>
      <family val="2"/>
    </font>
    <font>
      <b/>
      <sz val="11"/>
      <color indexed="8"/>
      <name val="Calibri"/>
      <family val="2"/>
    </font>
    <font>
      <sz val="11"/>
      <color theme="0"/>
      <name val="Calibri"/>
      <family val="2"/>
      <scheme val="minor"/>
    </font>
    <font>
      <b/>
      <sz val="11"/>
      <color theme="3"/>
      <name val="Calibri"/>
      <family val="2"/>
      <scheme val="minor"/>
    </font>
    <font>
      <b/>
      <sz val="11"/>
      <color theme="0"/>
      <name val="Calibri"/>
      <family val="2"/>
      <scheme val="minor"/>
    </font>
    <font>
      <sz val="11"/>
      <color theme="3"/>
      <name val="Calibri"/>
      <family val="2"/>
      <scheme val="minor"/>
    </font>
    <font>
      <sz val="14"/>
      <color theme="1"/>
      <name val="Calibri"/>
      <family val="2"/>
      <scheme val="minor"/>
    </font>
    <font>
      <b/>
      <sz val="14"/>
      <color rgb="FFFFFFFF"/>
      <name val="Calibri"/>
      <family val="2"/>
      <scheme val="minor"/>
    </font>
    <font>
      <b/>
      <sz val="12"/>
      <color theme="3"/>
      <name val="Calibri"/>
      <family val="2"/>
      <scheme val="minor"/>
    </font>
    <font>
      <b/>
      <sz val="12"/>
      <color rgb="FF003366"/>
      <name val="Calibri"/>
      <family val="2"/>
      <scheme val="minor"/>
    </font>
    <font>
      <sz val="12"/>
      <color theme="1"/>
      <name val="Calibri"/>
      <family val="2"/>
      <scheme val="minor"/>
    </font>
    <font>
      <sz val="12"/>
      <color theme="3"/>
      <name val="Calibri"/>
      <family val="2"/>
      <scheme val="minor"/>
    </font>
    <font>
      <sz val="12"/>
      <color rgb="FFFFFFFF"/>
      <name val="Calibri"/>
      <family val="2"/>
      <scheme val="minor"/>
    </font>
    <font>
      <sz val="12"/>
      <color theme="0"/>
      <name val="Calibri"/>
      <family val="2"/>
      <scheme val="minor"/>
    </font>
    <font>
      <sz val="12"/>
      <color rgb="FF003366"/>
      <name val="Calibri"/>
      <family val="2"/>
      <scheme val="minor"/>
    </font>
    <font>
      <i/>
      <sz val="12"/>
      <color rgb="FF003366"/>
      <name val="Calibri"/>
      <family val="2"/>
      <scheme val="minor"/>
    </font>
    <font>
      <b/>
      <sz val="12"/>
      <color theme="1"/>
      <name val="Calibri"/>
      <family val="2"/>
      <scheme val="minor"/>
    </font>
    <font>
      <b/>
      <shadow/>
      <sz val="12"/>
      <color rgb="FF003366"/>
      <name val="Calibri"/>
      <family val="2"/>
      <scheme val="minor"/>
    </font>
    <font>
      <b/>
      <sz val="9"/>
      <color indexed="81"/>
      <name val="Tahoma"/>
      <family val="2"/>
    </font>
    <font>
      <sz val="9"/>
      <color indexed="81"/>
      <name val="Tahoma"/>
      <family val="2"/>
    </font>
    <font>
      <sz val="12"/>
      <name val="Calibri"/>
      <family val="2"/>
      <scheme val="minor"/>
    </font>
    <font>
      <b/>
      <sz val="14"/>
      <color theme="3"/>
      <name val="Calibri"/>
      <family val="2"/>
      <scheme val="minor"/>
    </font>
    <font>
      <b/>
      <sz val="16"/>
      <color rgb="FFFFFFFF"/>
      <name val="Calibri"/>
      <family val="2"/>
      <scheme val="minor"/>
    </font>
    <font>
      <b/>
      <sz val="11"/>
      <color theme="1"/>
      <name val="Calibri"/>
      <family val="2"/>
      <scheme val="minor"/>
    </font>
    <font>
      <sz val="11"/>
      <name val="Calibri"/>
      <family val="2"/>
      <scheme val="minor"/>
    </font>
    <font>
      <sz val="16"/>
      <color theme="1"/>
      <name val="Calibri"/>
      <family val="2"/>
      <scheme val="minor"/>
    </font>
    <font>
      <sz val="11"/>
      <color rgb="FF000000"/>
      <name val="Calibri"/>
      <family val="2"/>
      <scheme val="minor"/>
    </font>
    <font>
      <sz val="11"/>
      <name val="Calibri"/>
      <family val="2"/>
    </font>
    <font>
      <sz val="10"/>
      <color indexed="8"/>
      <name val="Arial"/>
      <family val="2"/>
    </font>
    <font>
      <sz val="11"/>
      <color indexed="8"/>
      <name val="Calibri"/>
      <family val="2"/>
      <scheme val="minor"/>
    </font>
    <font>
      <i/>
      <sz val="11"/>
      <color theme="1"/>
      <name val="Calibri"/>
      <family val="2"/>
      <scheme val="minor"/>
    </font>
    <font>
      <i/>
      <sz val="11"/>
      <color theme="3"/>
      <name val="Calibri"/>
      <family val="2"/>
      <scheme val="minor"/>
    </font>
    <font>
      <u/>
      <sz val="11"/>
      <color theme="10"/>
      <name val="Calibri"/>
      <family val="2"/>
    </font>
    <font>
      <b/>
      <sz val="16"/>
      <color theme="0"/>
      <name val="Calibri"/>
      <family val="2"/>
      <scheme val="minor"/>
    </font>
    <font>
      <sz val="14"/>
      <color theme="0"/>
      <name val="Calibri"/>
      <family val="2"/>
      <scheme val="minor"/>
    </font>
    <font>
      <i/>
      <sz val="12"/>
      <color theme="3"/>
      <name val="Calibri"/>
      <family val="2"/>
      <scheme val="minor"/>
    </font>
    <font>
      <i/>
      <sz val="12"/>
      <color rgb="FFFFFFFF"/>
      <name val="Calibri"/>
      <family val="2"/>
      <scheme val="minor"/>
    </font>
    <font>
      <sz val="10"/>
      <color indexed="8"/>
      <name val="Arial"/>
      <family val="2"/>
    </font>
    <font>
      <b/>
      <sz val="12"/>
      <color theme="0"/>
      <name val="Calibri"/>
      <family val="2"/>
      <scheme val="minor"/>
    </font>
    <font>
      <sz val="11"/>
      <color rgb="FFFF0000"/>
      <name val="Calibri"/>
      <family val="2"/>
      <scheme val="minor"/>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1"/>
      <color rgb="FFFF0000"/>
      <name val="Calibri"/>
      <family val="2"/>
      <scheme val="minor"/>
    </font>
    <font>
      <b/>
      <sz val="11"/>
      <color theme="4" tint="-0.499984740745262"/>
      <name val="Calibri"/>
      <family val="2"/>
      <scheme val="minor"/>
    </font>
    <font>
      <sz val="10"/>
      <name val="Arial"/>
      <family val="2"/>
    </font>
    <font>
      <u/>
      <sz val="10"/>
      <color indexed="12"/>
      <name val="Arial"/>
      <family val="2"/>
    </font>
    <font>
      <sz val="11"/>
      <color theme="9"/>
      <name val="Calibri"/>
      <family val="2"/>
      <scheme val="minor"/>
    </font>
    <font>
      <b/>
      <sz val="18"/>
      <color theme="0"/>
      <name val="Calibri"/>
      <family val="2"/>
      <scheme val="minor"/>
    </font>
    <font>
      <b/>
      <sz val="14"/>
      <color theme="0"/>
      <name val="Calibri"/>
      <family val="2"/>
      <scheme val="minor"/>
    </font>
    <font>
      <b/>
      <shadow/>
      <sz val="18"/>
      <color theme="0"/>
      <name val="Calibri"/>
      <family val="2"/>
      <scheme val="minor"/>
    </font>
    <font>
      <b/>
      <i/>
      <sz val="12"/>
      <color rgb="FF003366"/>
      <name val="Calibri"/>
      <family val="2"/>
      <scheme val="minor"/>
    </font>
    <font>
      <sz val="10"/>
      <color rgb="FFFFFFFF"/>
      <name val="Calibri"/>
      <family val="2"/>
      <scheme val="minor"/>
    </font>
    <font>
      <b/>
      <sz val="10"/>
      <color theme="3"/>
      <name val="Wingdings"/>
      <charset val="2"/>
    </font>
    <font>
      <b/>
      <sz val="12"/>
      <color rgb="FF00B050"/>
      <name val="Calibri"/>
      <family val="2"/>
      <scheme val="minor"/>
    </font>
    <font>
      <b/>
      <u/>
      <sz val="12"/>
      <color theme="0"/>
      <name val="Calibri"/>
      <family val="2"/>
      <scheme val="minor"/>
    </font>
    <font>
      <b/>
      <u/>
      <sz val="12"/>
      <color rgb="FFFFFFFF"/>
      <name val="Calibri"/>
      <family val="2"/>
      <scheme val="minor"/>
    </font>
    <font>
      <b/>
      <sz val="12"/>
      <color rgb="FFFF0000"/>
      <name val="Calibri"/>
      <family val="2"/>
      <scheme val="minor"/>
    </font>
    <font>
      <sz val="8"/>
      <name val="Calibri"/>
      <family val="2"/>
      <scheme val="minor"/>
    </font>
    <font>
      <b/>
      <sz val="14"/>
      <color rgb="FFFF0000"/>
      <name val="Calibri"/>
      <family val="2"/>
      <scheme val="minor"/>
    </font>
    <font>
      <b/>
      <u/>
      <sz val="11"/>
      <color theme="10"/>
      <name val="Calibri"/>
      <family val="2"/>
      <scheme val="minor"/>
    </font>
    <font>
      <u/>
      <sz val="12"/>
      <color theme="10"/>
      <name val="Calibri"/>
      <family val="2"/>
      <scheme val="minor"/>
    </font>
    <font>
      <sz val="11"/>
      <color theme="1"/>
      <name val="Calibri"/>
      <family val="2"/>
    </font>
    <font>
      <sz val="11"/>
      <color theme="1" tint="0.499984740745262"/>
      <name val="Calibri"/>
      <family val="2"/>
      <scheme val="minor"/>
    </font>
    <font>
      <b/>
      <sz val="11"/>
      <color theme="1" tint="0.499984740745262"/>
      <name val="Calibri"/>
      <family val="2"/>
      <scheme val="minor"/>
    </font>
    <font>
      <sz val="11"/>
      <color rgb="FF000000"/>
      <name val="Arial"/>
      <family val="2"/>
    </font>
    <font>
      <u/>
      <sz val="11"/>
      <name val="Calibri"/>
      <family val="2"/>
      <scheme val="minor"/>
    </font>
    <font>
      <u/>
      <sz val="11"/>
      <color theme="1" tint="0.499984740745262"/>
      <name val="Calibri"/>
      <family val="2"/>
      <scheme val="minor"/>
    </font>
    <font>
      <i/>
      <sz val="12"/>
      <color rgb="FF00B050"/>
      <name val="Calibri"/>
      <family val="2"/>
      <scheme val="minor"/>
    </font>
    <font>
      <b/>
      <sz val="14"/>
      <color theme="3" tint="-0.249977111117893"/>
      <name val="Calibri"/>
      <family val="2"/>
      <scheme val="minor"/>
    </font>
    <font>
      <b/>
      <sz val="16"/>
      <color theme="1"/>
      <name val="Calibri"/>
      <family val="2"/>
      <scheme val="minor"/>
    </font>
    <font>
      <sz val="12"/>
      <color rgb="FFFF0000"/>
      <name val="Calibri"/>
      <family val="2"/>
      <scheme val="minor"/>
    </font>
    <font>
      <b/>
      <u/>
      <sz val="12"/>
      <color theme="3"/>
      <name val="Calibri"/>
      <family val="2"/>
      <scheme val="minor"/>
    </font>
    <font>
      <i/>
      <u/>
      <sz val="12"/>
      <color theme="3"/>
      <name val="Calibri"/>
      <family val="2"/>
      <scheme val="minor"/>
    </font>
    <font>
      <sz val="11"/>
      <color rgb="FF00B050"/>
      <name val="Calibri"/>
      <family val="2"/>
      <scheme val="minor"/>
    </font>
    <font>
      <sz val="11"/>
      <color rgb="FF00B050"/>
      <name val="Calibri"/>
      <family val="2"/>
    </font>
    <font>
      <sz val="11"/>
      <color theme="5"/>
      <name val="Calibri"/>
      <family val="2"/>
    </font>
    <font>
      <sz val="9"/>
      <color theme="1"/>
      <name val="Calibri"/>
      <family val="2"/>
      <scheme val="minor"/>
    </font>
    <font>
      <b/>
      <sz val="9"/>
      <color rgb="FFFFFFFF"/>
      <name val="Calibri"/>
      <family val="2"/>
      <scheme val="minor"/>
    </font>
    <font>
      <b/>
      <sz val="8"/>
      <color rgb="FFFFFFFF"/>
      <name val="Calibri"/>
      <family val="2"/>
      <scheme val="minor"/>
    </font>
    <font>
      <sz val="8"/>
      <color theme="1"/>
      <name val="Calibri"/>
      <family val="2"/>
      <scheme val="minor"/>
    </font>
    <font>
      <sz val="11"/>
      <color theme="1" tint="4.9989318521683403E-2"/>
      <name val="Calibri"/>
      <family val="2"/>
    </font>
    <font>
      <b/>
      <sz val="10"/>
      <color rgb="FFFFFFFF"/>
      <name val="Calibri"/>
      <family val="2"/>
      <scheme val="minor"/>
    </font>
    <font>
      <sz val="11"/>
      <color rgb="FF34AC4F"/>
      <name val="Calibri"/>
      <family val="2"/>
      <scheme val="minor"/>
    </font>
    <font>
      <b/>
      <i/>
      <sz val="14"/>
      <color theme="0"/>
      <name val="Calibri"/>
      <family val="2"/>
      <scheme val="minor"/>
    </font>
    <font>
      <b/>
      <i/>
      <sz val="14"/>
      <color rgb="FFFFFF97"/>
      <name val="Calibri"/>
      <family val="2"/>
      <scheme val="minor"/>
    </font>
    <font>
      <sz val="11"/>
      <color rgb="FF000000"/>
      <name val="Calibri"/>
      <family val="2"/>
    </font>
    <font>
      <sz val="11"/>
      <color rgb="FFFF0000"/>
      <name val="Calibri"/>
      <family val="2"/>
    </font>
    <font>
      <b/>
      <sz val="9"/>
      <color rgb="FF000000"/>
      <name val="Tahoma"/>
      <family val="2"/>
    </font>
    <font>
      <sz val="9"/>
      <color rgb="FF000000"/>
      <name val="Tahoma"/>
      <family val="2"/>
    </font>
    <font>
      <sz val="10"/>
      <color theme="1"/>
      <name val="Calibri (Body)"/>
    </font>
    <font>
      <sz val="11"/>
      <color theme="3" tint="0.39997558519241921"/>
      <name val="Calibri"/>
      <family val="2"/>
      <scheme val="minor"/>
    </font>
    <font>
      <sz val="11"/>
      <color theme="4"/>
      <name val="Calibri"/>
      <family val="2"/>
      <scheme val="minor"/>
    </font>
    <font>
      <u/>
      <sz val="11"/>
      <color rgb="FF00B050"/>
      <name val="Calibri"/>
      <family val="2"/>
      <scheme val="minor"/>
    </font>
    <font>
      <b/>
      <sz val="11"/>
      <color rgb="FF00B050"/>
      <name val="Calibri"/>
      <family val="2"/>
      <scheme val="minor"/>
    </font>
    <font>
      <b/>
      <sz val="11"/>
      <color theme="0"/>
      <name val="Calibri"/>
      <family val="2"/>
    </font>
    <font>
      <b/>
      <sz val="11"/>
      <color theme="1"/>
      <name val="Calibri"/>
      <family val="2"/>
    </font>
    <font>
      <sz val="10"/>
      <color theme="1"/>
      <name val="Calibri"/>
      <family val="2"/>
    </font>
    <font>
      <b/>
      <i/>
      <sz val="11"/>
      <color theme="1"/>
      <name val="Calibri"/>
      <family val="2"/>
    </font>
    <font>
      <b/>
      <sz val="11"/>
      <color theme="4" tint="-0.249977111117893"/>
      <name val="Calibri"/>
      <family val="2"/>
    </font>
  </fonts>
  <fills count="73">
    <fill>
      <patternFill patternType="none"/>
    </fill>
    <fill>
      <patternFill patternType="gray125"/>
    </fill>
    <fill>
      <patternFill patternType="solid">
        <fgColor rgb="FF17365D"/>
        <bgColor indexed="64"/>
      </patternFill>
    </fill>
    <fill>
      <patternFill patternType="solid">
        <fgColor rgb="FF365F91"/>
        <bgColor indexed="64"/>
      </patternFill>
    </fill>
    <fill>
      <patternFill patternType="solid">
        <fgColor rgb="FFDBE5F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9F9F9"/>
        <bgColor indexed="64"/>
      </patternFill>
    </fill>
    <fill>
      <patternFill patternType="solid">
        <fgColor theme="3" tint="-0.499984740745262"/>
        <bgColor indexed="64"/>
      </patternFill>
    </fill>
    <fill>
      <patternFill patternType="solid">
        <fgColor rgb="FFEAF0F6"/>
        <bgColor indexed="64"/>
      </patternFill>
    </fill>
    <fill>
      <patternFill patternType="solid">
        <fgColor rgb="FFF1F5F9"/>
        <bgColor indexed="64"/>
      </patternFill>
    </fill>
    <fill>
      <patternFill patternType="solid">
        <fgColor rgb="FFFEFE8C"/>
        <bgColor indexed="64"/>
      </patternFill>
    </fill>
    <fill>
      <patternFill patternType="solid">
        <fgColor rgb="FFFFFF89"/>
        <bgColor indexed="64"/>
      </patternFill>
    </fill>
    <fill>
      <patternFill patternType="solid">
        <fgColor rgb="FFFFFF8B"/>
        <bgColor indexed="64"/>
      </patternFill>
    </fill>
    <fill>
      <patternFill patternType="solid">
        <fgColor rgb="FFFFFF85"/>
        <bgColor indexed="64"/>
      </patternFill>
    </fill>
    <fill>
      <patternFill patternType="solid">
        <fgColor rgb="FFFFFF9B"/>
        <bgColor indexed="64"/>
      </patternFill>
    </fill>
    <fill>
      <patternFill patternType="solid">
        <fgColor rgb="FFF4F7FA"/>
        <bgColor indexed="64"/>
      </patternFill>
    </fill>
    <fill>
      <patternFill patternType="solid">
        <fgColor rgb="FFEEF3F8"/>
        <bgColor indexed="64"/>
      </patternFill>
    </fill>
    <fill>
      <patternFill patternType="solid">
        <fgColor rgb="FFECF2F8"/>
        <bgColor indexed="64"/>
      </patternFill>
    </fill>
    <fill>
      <patternFill patternType="solid">
        <fgColor rgb="FF00B050"/>
        <bgColor indexed="64"/>
      </patternFill>
    </fill>
    <fill>
      <patternFill patternType="solid">
        <fgColor rgb="FFFFC000"/>
        <bgColor indexed="64"/>
      </patternFill>
    </fill>
    <fill>
      <patternFill patternType="solid">
        <fgColor rgb="FFFFFFA7"/>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97"/>
        <bgColor indexed="64"/>
      </patternFill>
    </fill>
    <fill>
      <patternFill patternType="solid">
        <fgColor theme="4" tint="0.39997558519241921"/>
        <bgColor indexed="64"/>
      </patternFill>
    </fill>
    <fill>
      <patternFill patternType="solid">
        <fgColor rgb="FFBDD7EE"/>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style="medium">
        <color theme="0"/>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right/>
      <top style="thin">
        <color theme="0"/>
      </top>
      <bottom/>
      <diagonal/>
    </border>
    <border>
      <left style="medium">
        <color theme="0"/>
      </left>
      <right/>
      <top/>
      <bottom style="thin">
        <color theme="0"/>
      </bottom>
      <diagonal/>
    </border>
    <border>
      <left/>
      <right style="thin">
        <color theme="0"/>
      </right>
      <top/>
      <bottom style="medium">
        <color theme="0"/>
      </bottom>
      <diagonal/>
    </border>
    <border>
      <left/>
      <right style="thin">
        <color theme="0"/>
      </right>
      <top/>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indexed="64"/>
      </right>
      <top style="medium">
        <color theme="0"/>
      </top>
      <bottom style="medium">
        <color theme="0"/>
      </bottom>
      <diagonal/>
    </border>
    <border>
      <left style="thin">
        <color indexed="64"/>
      </left>
      <right/>
      <top style="thin">
        <color indexed="64"/>
      </top>
      <bottom/>
      <diagonal/>
    </border>
    <border>
      <left style="thin">
        <color theme="0"/>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right/>
      <top/>
      <bottom style="medium">
        <color theme="0" tint="-0.14999847407452621"/>
      </bottom>
      <diagonal/>
    </border>
    <border>
      <left style="medium">
        <color theme="0" tint="-0.14999847407452621"/>
      </left>
      <right/>
      <top/>
      <bottom style="medium">
        <color theme="0" tint="-0.14999847407452621"/>
      </bottom>
      <diagonal/>
    </border>
    <border>
      <left/>
      <right style="medium">
        <color theme="0" tint="-0.14999847407452621"/>
      </right>
      <top/>
      <bottom style="medium">
        <color theme="0" tint="-0.1499984740745262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bottom style="thin">
        <color indexed="64"/>
      </bottom>
      <diagonal/>
    </border>
    <border>
      <left style="medium">
        <color theme="0" tint="-0.14999847407452621"/>
      </left>
      <right/>
      <top style="medium">
        <color theme="0" tint="-0.249977111117893"/>
      </top>
      <bottom/>
      <diagonal/>
    </border>
    <border>
      <left/>
      <right/>
      <top style="medium">
        <color theme="0" tint="-0.249977111117893"/>
      </top>
      <bottom/>
      <diagonal/>
    </border>
    <border>
      <left style="thin">
        <color indexed="64"/>
      </left>
      <right/>
      <top/>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left>
      <right style="medium">
        <color theme="0"/>
      </right>
      <top/>
      <bottom style="thin">
        <color theme="0" tint="-0.14999847407452621"/>
      </bottom>
      <diagonal/>
    </border>
  </borders>
  <cellStyleXfs count="67">
    <xf numFmtId="0" fontId="0" fillId="0" borderId="0"/>
    <xf numFmtId="44" fontId="4" fillId="0" borderId="0" applyFont="0" applyFill="0" applyBorder="0" applyAlignment="0" applyProtection="0"/>
    <xf numFmtId="43" fontId="4" fillId="0" borderId="0" applyFont="0" applyFill="0" applyBorder="0" applyAlignment="0" applyProtection="0"/>
    <xf numFmtId="0" fontId="8" fillId="0" borderId="0"/>
    <xf numFmtId="44" fontId="8"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36" fillId="0" borderId="0"/>
    <xf numFmtId="0" fontId="40" fillId="0" borderId="0" applyNumberFormat="0" applyFill="0" applyBorder="0" applyAlignment="0" applyProtection="0">
      <alignment vertical="top"/>
      <protection locked="0"/>
    </xf>
    <xf numFmtId="0" fontId="45" fillId="0" borderId="0"/>
    <xf numFmtId="0" fontId="48" fillId="0" borderId="0"/>
    <xf numFmtId="0" fontId="49" fillId="0" borderId="0" applyNumberFormat="0" applyFill="0" applyBorder="0" applyAlignment="0" applyProtection="0"/>
    <xf numFmtId="0" fontId="50" fillId="0" borderId="14" applyNumberFormat="0" applyFill="0" applyAlignment="0" applyProtection="0"/>
    <xf numFmtId="0" fontId="51"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52" fillId="16" borderId="0" applyNumberFormat="0" applyBorder="0" applyAlignment="0" applyProtection="0"/>
    <xf numFmtId="0" fontId="53" fillId="17" borderId="0" applyNumberFormat="0" applyBorder="0" applyAlignment="0" applyProtection="0"/>
    <xf numFmtId="0" fontId="54" fillId="18" borderId="0" applyNumberFormat="0" applyBorder="0" applyAlignment="0" applyProtection="0"/>
    <xf numFmtId="0" fontId="55" fillId="19" borderId="17" applyNumberFormat="0" applyAlignment="0" applyProtection="0"/>
    <xf numFmtId="0" fontId="56" fillId="20" borderId="18" applyNumberFormat="0" applyAlignment="0" applyProtection="0"/>
    <xf numFmtId="0" fontId="57" fillId="20" borderId="17" applyNumberFormat="0" applyAlignment="0" applyProtection="0"/>
    <xf numFmtId="0" fontId="58" fillId="0" borderId="19" applyNumberFormat="0" applyFill="0" applyAlignment="0" applyProtection="0"/>
    <xf numFmtId="0" fontId="12" fillId="21" borderId="20" applyNumberFormat="0" applyAlignment="0" applyProtection="0"/>
    <xf numFmtId="0" fontId="47" fillId="0" borderId="0" applyNumberFormat="0" applyFill="0" applyBorder="0" applyAlignment="0" applyProtection="0"/>
    <xf numFmtId="0" fontId="4" fillId="22" borderId="21" applyNumberFormat="0" applyFont="0" applyAlignment="0" applyProtection="0"/>
    <xf numFmtId="0" fontId="59" fillId="0" borderId="0" applyNumberFormat="0" applyFill="0" applyBorder="0" applyAlignment="0" applyProtection="0"/>
    <xf numFmtId="0" fontId="31" fillId="0" borderId="22" applyNumberFormat="0" applyFill="0" applyAlignment="0" applyProtection="0"/>
    <xf numFmtId="0" fontId="1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10" fillId="46" borderId="0" applyNumberFormat="0" applyBorder="0" applyAlignment="0" applyProtection="0"/>
    <xf numFmtId="0" fontId="40" fillId="0" borderId="0" applyNumberFormat="0" applyFill="0" applyBorder="0" applyAlignment="0" applyProtection="0">
      <alignment vertical="top"/>
      <protection locked="0"/>
    </xf>
    <xf numFmtId="0" fontId="60" fillId="0" borderId="0" applyNumberFormat="0" applyFill="0" applyBorder="0" applyAlignment="0" applyProtection="0"/>
    <xf numFmtId="0" fontId="66" fillId="0" borderId="0"/>
    <xf numFmtId="43" fontId="66" fillId="0" borderId="0" applyFont="0" applyFill="0" applyBorder="0" applyAlignment="0" applyProtection="0"/>
    <xf numFmtId="43" fontId="6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67" fillId="0" borderId="0" applyNumberFormat="0" applyFill="0" applyBorder="0" applyAlignment="0" applyProtection="0">
      <alignment vertical="top"/>
      <protection locked="0"/>
    </xf>
    <xf numFmtId="0" fontId="66" fillId="0" borderId="0"/>
    <xf numFmtId="0" fontId="8" fillId="0" borderId="0"/>
    <xf numFmtId="0" fontId="4" fillId="0" borderId="0"/>
    <xf numFmtId="9" fontId="4" fillId="0" borderId="0" applyFont="0" applyFill="0" applyBorder="0" applyAlignment="0" applyProtection="0"/>
    <xf numFmtId="0" fontId="1" fillId="0" borderId="0"/>
  </cellStyleXfs>
  <cellXfs count="1345">
    <xf numFmtId="0" fontId="0" fillId="0" borderId="0" xfId="0"/>
    <xf numFmtId="44" fontId="5" fillId="3" borderId="1" xfId="1" applyFont="1" applyFill="1" applyBorder="1" applyAlignment="1">
      <alignment horizontal="center" vertical="center"/>
    </xf>
    <xf numFmtId="44" fontId="5" fillId="3" borderId="5" xfId="1" applyFont="1" applyFill="1" applyBorder="1" applyAlignment="1">
      <alignment horizontal="center" vertical="center"/>
    </xf>
    <xf numFmtId="0" fontId="8" fillId="0" borderId="0" xfId="3"/>
    <xf numFmtId="0" fontId="10" fillId="0" borderId="0" xfId="0" applyFont="1"/>
    <xf numFmtId="0" fontId="14" fillId="0" borderId="0" xfId="0" applyFont="1"/>
    <xf numFmtId="0" fontId="18" fillId="0" borderId="0" xfId="0" applyFont="1"/>
    <xf numFmtId="0" fontId="21" fillId="0" borderId="0" xfId="0" applyFont="1"/>
    <xf numFmtId="44" fontId="18" fillId="0" borderId="0" xfId="1" applyFont="1" applyAlignment="1"/>
    <xf numFmtId="0" fontId="33" fillId="0" borderId="0" xfId="0" applyFont="1"/>
    <xf numFmtId="0" fontId="31" fillId="6" borderId="1" xfId="0" applyFont="1" applyFill="1" applyBorder="1" applyAlignment="1">
      <alignment horizontal="center" vertical="center" wrapText="1"/>
    </xf>
    <xf numFmtId="166" fontId="31" fillId="6" borderId="1" xfId="2" applyNumberFormat="1" applyFont="1" applyFill="1" applyBorder="1" applyAlignment="1">
      <alignment horizontal="center" vertical="center" wrapText="1"/>
    </xf>
    <xf numFmtId="1" fontId="9" fillId="6" borderId="1" xfId="2" applyNumberFormat="1" applyFont="1" applyFill="1" applyBorder="1" applyAlignment="1">
      <alignment horizontal="center" vertical="center" wrapText="1"/>
    </xf>
    <xf numFmtId="166" fontId="0" fillId="0" borderId="0" xfId="2" applyNumberFormat="1" applyFont="1"/>
    <xf numFmtId="1" fontId="0" fillId="0" borderId="0" xfId="2" applyNumberFormat="1" applyFont="1"/>
    <xf numFmtId="0" fontId="13" fillId="0" borderId="0" xfId="0" applyFont="1" applyAlignment="1">
      <alignment vertical="center" wrapText="1"/>
    </xf>
    <xf numFmtId="1" fontId="0" fillId="0" borderId="1" xfId="2" applyNumberFormat="1" applyFont="1" applyFill="1" applyBorder="1"/>
    <xf numFmtId="0" fontId="0" fillId="0" borderId="1" xfId="0" applyBorder="1"/>
    <xf numFmtId="0" fontId="28" fillId="0" borderId="0" xfId="0" applyFont="1"/>
    <xf numFmtId="44" fontId="5" fillId="3" borderId="1" xfId="1" applyFont="1" applyFill="1" applyBorder="1" applyAlignment="1">
      <alignment horizontal="left" vertical="center"/>
    </xf>
    <xf numFmtId="0" fontId="34" fillId="0" borderId="1" xfId="0" applyFont="1" applyBorder="1"/>
    <xf numFmtId="0" fontId="35" fillId="0" borderId="1" xfId="0" applyFont="1" applyBorder="1" applyAlignment="1">
      <alignment horizontal="left"/>
    </xf>
    <xf numFmtId="49" fontId="35" fillId="0" borderId="1" xfId="0" applyNumberFormat="1" applyFont="1" applyBorder="1" applyAlignment="1">
      <alignment horizontal="left"/>
    </xf>
    <xf numFmtId="0" fontId="32" fillId="0" borderId="1" xfId="0" applyFont="1" applyBorder="1"/>
    <xf numFmtId="167" fontId="35" fillId="0" borderId="1" xfId="0" applyNumberFormat="1" applyFont="1" applyBorder="1" applyAlignment="1">
      <alignment horizontal="right"/>
    </xf>
    <xf numFmtId="14" fontId="32" fillId="0" borderId="1" xfId="0" applyNumberFormat="1" applyFont="1" applyBorder="1" applyAlignment="1">
      <alignment horizontal="right"/>
    </xf>
    <xf numFmtId="1" fontId="8" fillId="0" borderId="1" xfId="2" applyNumberFormat="1" applyFont="1" applyFill="1" applyBorder="1" applyAlignment="1">
      <alignment vertical="top"/>
    </xf>
    <xf numFmtId="0" fontId="8" fillId="0" borderId="1" xfId="3" applyBorder="1" applyAlignment="1">
      <alignment vertical="top"/>
    </xf>
    <xf numFmtId="1" fontId="8" fillId="0" borderId="1" xfId="2" applyNumberFormat="1" applyFont="1" applyBorder="1" applyAlignment="1">
      <alignment vertical="top"/>
    </xf>
    <xf numFmtId="1" fontId="0" fillId="0" borderId="1" xfId="2" applyNumberFormat="1" applyFont="1" applyBorder="1"/>
    <xf numFmtId="0" fontId="8" fillId="0" borderId="1" xfId="8" applyFont="1" applyBorder="1"/>
    <xf numFmtId="0" fontId="32" fillId="0" borderId="1" xfId="0" applyFont="1" applyBorder="1" applyAlignment="1">
      <alignment horizontal="left"/>
    </xf>
    <xf numFmtId="49" fontId="32" fillId="0" borderId="1" xfId="0" applyNumberFormat="1" applyFont="1" applyBorder="1" applyAlignment="1">
      <alignment horizontal="left"/>
    </xf>
    <xf numFmtId="49" fontId="37" fillId="0" borderId="1" xfId="0" applyNumberFormat="1" applyFont="1" applyBorder="1" applyAlignment="1">
      <alignment horizontal="left"/>
    </xf>
    <xf numFmtId="49" fontId="34" fillId="0" borderId="1" xfId="0" applyNumberFormat="1" applyFont="1" applyBorder="1" applyAlignment="1">
      <alignment horizontal="left" vertical="top"/>
    </xf>
    <xf numFmtId="0" fontId="37" fillId="0" borderId="1" xfId="0" applyFont="1" applyBorder="1" applyAlignment="1">
      <alignment horizontal="left"/>
    </xf>
    <xf numFmtId="0" fontId="8" fillId="0" borderId="1" xfId="3" applyBorder="1" applyAlignment="1">
      <alignment horizontal="left"/>
    </xf>
    <xf numFmtId="164" fontId="0" fillId="0" borderId="1" xfId="7" applyNumberFormat="1" applyFont="1" applyFill="1" applyBorder="1" applyAlignment="1">
      <alignment vertical="top"/>
    </xf>
    <xf numFmtId="164" fontId="0" fillId="0" borderId="1" xfId="2" applyNumberFormat="1" applyFont="1" applyFill="1" applyBorder="1"/>
    <xf numFmtId="0" fontId="35" fillId="0" borderId="12" xfId="0" applyFont="1" applyBorder="1" applyAlignment="1">
      <alignment horizontal="left"/>
    </xf>
    <xf numFmtId="0" fontId="8" fillId="0" borderId="1" xfId="10" applyFont="1" applyBorder="1" applyAlignment="1">
      <alignment wrapText="1"/>
    </xf>
    <xf numFmtId="0" fontId="0" fillId="7" borderId="1" xfId="0" applyFill="1" applyBorder="1"/>
    <xf numFmtId="0" fontId="11" fillId="0" borderId="0" xfId="0" applyFont="1" applyAlignment="1">
      <alignment vertical="center"/>
    </xf>
    <xf numFmtId="0" fontId="0" fillId="9" borderId="0" xfId="0" applyFill="1"/>
    <xf numFmtId="0" fontId="38" fillId="0" borderId="0" xfId="0" applyFont="1" applyAlignment="1">
      <alignment horizontal="center" wrapText="1"/>
    </xf>
    <xf numFmtId="0" fontId="0" fillId="0" borderId="0" xfId="0" applyProtection="1">
      <protection locked="0"/>
    </xf>
    <xf numFmtId="0" fontId="0" fillId="0" borderId="0" xfId="0" applyAlignment="1">
      <alignment vertical="center"/>
    </xf>
    <xf numFmtId="0" fontId="31" fillId="8"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9" borderId="0" xfId="0" applyFill="1" applyAlignment="1">
      <alignment vertical="center"/>
    </xf>
    <xf numFmtId="0" fontId="0" fillId="0" borderId="0" xfId="0" applyAlignment="1">
      <alignment horizontal="left"/>
    </xf>
    <xf numFmtId="0" fontId="61" fillId="8" borderId="1" xfId="0" applyFont="1" applyFill="1" applyBorder="1" applyAlignment="1">
      <alignment horizontal="center" vertical="center" wrapText="1"/>
    </xf>
    <xf numFmtId="0" fontId="61" fillId="8" borderId="1" xfId="0" applyFont="1" applyFill="1" applyBorder="1" applyAlignment="1">
      <alignment horizontal="center" vertical="center"/>
    </xf>
    <xf numFmtId="44" fontId="15" fillId="9" borderId="0" xfId="1" applyFont="1" applyFill="1" applyBorder="1" applyAlignment="1" applyProtection="1">
      <alignment vertical="center"/>
    </xf>
    <xf numFmtId="44" fontId="20" fillId="9" borderId="0" xfId="1" applyFont="1" applyFill="1" applyBorder="1" applyAlignment="1" applyProtection="1">
      <alignment vertical="center"/>
    </xf>
    <xf numFmtId="44" fontId="30" fillId="9" borderId="0" xfId="1" applyFont="1" applyFill="1" applyBorder="1" applyAlignment="1" applyProtection="1">
      <alignment vertical="center"/>
    </xf>
    <xf numFmtId="0" fontId="19" fillId="9" borderId="0" xfId="0" applyFont="1" applyFill="1" applyAlignment="1">
      <alignment vertical="center"/>
    </xf>
    <xf numFmtId="0" fontId="46" fillId="9" borderId="0" xfId="0" applyFont="1" applyFill="1" applyAlignment="1">
      <alignment vertical="top"/>
    </xf>
    <xf numFmtId="0" fontId="0" fillId="0" borderId="2" xfId="0" applyBorder="1"/>
    <xf numFmtId="44" fontId="20" fillId="9" borderId="0" xfId="1" applyFont="1" applyFill="1" applyBorder="1" applyAlignment="1" applyProtection="1">
      <alignment horizontal="left" vertical="center"/>
    </xf>
    <xf numFmtId="44" fontId="15" fillId="9" borderId="0" xfId="1" applyFont="1" applyFill="1" applyBorder="1" applyAlignment="1" applyProtection="1">
      <alignment vertical="center" wrapText="1"/>
    </xf>
    <xf numFmtId="0" fontId="0" fillId="9" borderId="0" xfId="0" applyFill="1" applyProtection="1">
      <protection locked="0"/>
    </xf>
    <xf numFmtId="43" fontId="0" fillId="0" borderId="0" xfId="2" applyFont="1"/>
    <xf numFmtId="164" fontId="0" fillId="0" borderId="0" xfId="2" applyNumberFormat="1" applyFont="1" applyAlignment="1">
      <alignment horizontal="center"/>
    </xf>
    <xf numFmtId="164" fontId="0" fillId="0" borderId="1" xfId="2" applyNumberFormat="1" applyFont="1" applyBorder="1" applyAlignment="1">
      <alignment horizontal="center"/>
    </xf>
    <xf numFmtId="0" fontId="0" fillId="9" borderId="0" xfId="0" applyFill="1" applyAlignment="1">
      <alignment horizontal="center" vertical="center"/>
    </xf>
    <xf numFmtId="0" fontId="31" fillId="0" borderId="1" xfId="0" applyFont="1" applyBorder="1"/>
    <xf numFmtId="0" fontId="18" fillId="0" borderId="0" xfId="0" applyFont="1" applyAlignment="1">
      <alignment vertical="center"/>
    </xf>
    <xf numFmtId="0" fontId="16" fillId="9" borderId="0" xfId="0" applyFont="1" applyFill="1" applyAlignment="1" applyProtection="1">
      <alignment horizontal="center" vertical="center"/>
      <protection locked="0"/>
    </xf>
    <xf numFmtId="0" fontId="16" fillId="9" borderId="0" xfId="0" applyFont="1" applyFill="1" applyAlignment="1">
      <alignment horizontal="center" vertical="center"/>
    </xf>
    <xf numFmtId="0" fontId="38" fillId="0" borderId="4" xfId="0" applyFont="1" applyBorder="1" applyAlignment="1">
      <alignment wrapText="1"/>
    </xf>
    <xf numFmtId="0" fontId="13" fillId="9" borderId="0" xfId="0" applyFont="1" applyFill="1" applyAlignment="1">
      <alignment horizontal="left" vertical="center" wrapText="1"/>
    </xf>
    <xf numFmtId="0" fontId="12" fillId="9" borderId="0" xfId="0" applyFont="1" applyFill="1" applyAlignment="1">
      <alignment horizontal="center" vertical="top"/>
    </xf>
    <xf numFmtId="0" fontId="41" fillId="9" borderId="0" xfId="0" applyFont="1" applyFill="1" applyAlignment="1">
      <alignment horizontal="left" vertical="top"/>
    </xf>
    <xf numFmtId="0" fontId="10" fillId="9" borderId="0" xfId="0" applyFont="1" applyFill="1" applyAlignment="1">
      <alignment horizontal="left"/>
    </xf>
    <xf numFmtId="44" fontId="12" fillId="9" borderId="0" xfId="1" applyFont="1" applyFill="1" applyBorder="1" applyAlignment="1" applyProtection="1">
      <alignment vertical="center"/>
    </xf>
    <xf numFmtId="0" fontId="38" fillId="9" borderId="0" xfId="0" applyFont="1" applyFill="1" applyAlignment="1">
      <alignment wrapText="1"/>
    </xf>
    <xf numFmtId="0" fontId="38" fillId="9" borderId="0" xfId="0" applyFont="1" applyFill="1" applyAlignment="1">
      <alignment horizontal="center" wrapText="1"/>
    </xf>
    <xf numFmtId="0" fontId="12" fillId="9" borderId="0" xfId="0" applyFont="1" applyFill="1" applyAlignment="1">
      <alignment horizontal="left"/>
    </xf>
    <xf numFmtId="0" fontId="38" fillId="9" borderId="0" xfId="0" applyFont="1" applyFill="1" applyAlignment="1">
      <alignment horizontal="center" vertical="top" wrapText="1"/>
    </xf>
    <xf numFmtId="0" fontId="11" fillId="6" borderId="44" xfId="0" applyFont="1" applyFill="1" applyBorder="1" applyAlignment="1">
      <alignment horizontal="center" vertical="center"/>
    </xf>
    <xf numFmtId="0" fontId="10" fillId="9" borderId="0" xfId="0" applyFont="1" applyFill="1"/>
    <xf numFmtId="0" fontId="19" fillId="9" borderId="0" xfId="0" applyFont="1" applyFill="1" applyAlignment="1">
      <alignment horizontal="left" wrapText="1"/>
    </xf>
    <xf numFmtId="164" fontId="0" fillId="9" borderId="0" xfId="2" applyNumberFormat="1" applyFont="1" applyFill="1" applyBorder="1" applyAlignment="1">
      <alignment horizontal="center" vertical="center"/>
    </xf>
    <xf numFmtId="3" fontId="5" fillId="3" borderId="1" xfId="2" applyNumberFormat="1" applyFont="1" applyFill="1" applyBorder="1" applyAlignment="1">
      <alignment horizontal="center" vertical="center"/>
    </xf>
    <xf numFmtId="3" fontId="0" fillId="0" borderId="1" xfId="2" applyNumberFormat="1" applyFont="1" applyBorder="1" applyAlignment="1">
      <alignment horizontal="center"/>
    </xf>
    <xf numFmtId="3" fontId="0" fillId="0" borderId="0" xfId="2" applyNumberFormat="1" applyFont="1" applyAlignment="1">
      <alignment horizontal="center"/>
    </xf>
    <xf numFmtId="0" fontId="28" fillId="9" borderId="0" xfId="0" applyFont="1" applyFill="1" applyAlignment="1">
      <alignment horizontal="center" vertical="center"/>
    </xf>
    <xf numFmtId="0" fontId="7" fillId="9" borderId="0" xfId="0" applyFont="1" applyFill="1" applyAlignment="1" applyProtection="1">
      <alignment horizontal="center" vertical="center"/>
      <protection locked="0"/>
    </xf>
    <xf numFmtId="0" fontId="18" fillId="0" borderId="41" xfId="0" applyFont="1" applyBorder="1"/>
    <xf numFmtId="0" fontId="18" fillId="0" borderId="25" xfId="0" applyFont="1" applyBorder="1"/>
    <xf numFmtId="0" fontId="43" fillId="54" borderId="24" xfId="0" applyFont="1" applyFill="1" applyBorder="1" applyAlignment="1" applyProtection="1">
      <alignment horizontal="center"/>
      <protection locked="0"/>
    </xf>
    <xf numFmtId="0" fontId="23" fillId="55" borderId="41" xfId="0" applyFont="1" applyFill="1" applyBorder="1" applyAlignment="1" applyProtection="1">
      <alignment vertical="top"/>
      <protection locked="0"/>
    </xf>
    <xf numFmtId="0" fontId="14" fillId="0" borderId="41" xfId="0" applyFont="1" applyBorder="1"/>
    <xf numFmtId="0" fontId="21" fillId="0" borderId="0" xfId="0" applyFont="1" applyAlignment="1">
      <alignment vertical="center"/>
    </xf>
    <xf numFmtId="0" fontId="28" fillId="0" borderId="30" xfId="0" applyFont="1" applyBorder="1" applyAlignment="1">
      <alignment vertical="center"/>
    </xf>
    <xf numFmtId="0" fontId="18" fillId="0" borderId="41" xfId="0" applyFont="1" applyBorder="1" applyAlignment="1">
      <alignment vertical="center"/>
    </xf>
    <xf numFmtId="0" fontId="21" fillId="0" borderId="41" xfId="0" applyFont="1" applyBorder="1" applyAlignment="1">
      <alignment vertical="center"/>
    </xf>
    <xf numFmtId="0" fontId="18" fillId="0" borderId="25" xfId="0" applyFont="1" applyBorder="1" applyAlignment="1">
      <alignment vertical="center"/>
    </xf>
    <xf numFmtId="0" fontId="21" fillId="0" borderId="25" xfId="0" applyFont="1" applyBorder="1" applyAlignment="1">
      <alignment vertical="center"/>
    </xf>
    <xf numFmtId="0" fontId="0" fillId="0" borderId="41" xfId="0" applyBorder="1"/>
    <xf numFmtId="0" fontId="10" fillId="0" borderId="41" xfId="0" applyFont="1" applyBorder="1"/>
    <xf numFmtId="0" fontId="0" fillId="0" borderId="25" xfId="0" applyBorder="1"/>
    <xf numFmtId="0" fontId="10" fillId="0" borderId="25" xfId="0" applyFont="1" applyBorder="1"/>
    <xf numFmtId="0" fontId="46" fillId="11" borderId="25" xfId="0" applyFont="1" applyFill="1" applyBorder="1" applyAlignment="1">
      <alignment horizontal="center" vertical="center"/>
    </xf>
    <xf numFmtId="164" fontId="28" fillId="55" borderId="25" xfId="2" applyNumberFormat="1" applyFont="1" applyFill="1" applyBorder="1" applyAlignment="1" applyProtection="1">
      <protection locked="0"/>
    </xf>
    <xf numFmtId="44" fontId="28" fillId="55" borderId="25" xfId="1" applyFont="1" applyFill="1" applyBorder="1" applyAlignment="1" applyProtection="1">
      <alignment vertical="top"/>
      <protection locked="0"/>
    </xf>
    <xf numFmtId="0" fontId="23" fillId="55" borderId="25" xfId="0" applyFont="1" applyFill="1" applyBorder="1" applyAlignment="1" applyProtection="1">
      <alignment vertical="top"/>
      <protection locked="0"/>
    </xf>
    <xf numFmtId="164" fontId="28" fillId="55" borderId="41" xfId="2" applyNumberFormat="1" applyFont="1" applyFill="1" applyBorder="1" applyAlignment="1" applyProtection="1">
      <protection locked="0"/>
    </xf>
    <xf numFmtId="44" fontId="28" fillId="55" borderId="41" xfId="1" applyFont="1" applyFill="1" applyBorder="1" applyAlignment="1" applyProtection="1">
      <alignment vertical="top"/>
      <protection locked="0"/>
    </xf>
    <xf numFmtId="0" fontId="22" fillId="55" borderId="25" xfId="0" applyFont="1" applyFill="1" applyBorder="1" applyAlignment="1" applyProtection="1">
      <alignment vertical="top"/>
      <protection locked="0"/>
    </xf>
    <xf numFmtId="164" fontId="28" fillId="55" borderId="25" xfId="2" applyNumberFormat="1" applyFont="1" applyFill="1" applyBorder="1" applyAlignment="1" applyProtection="1">
      <alignment vertical="top"/>
      <protection locked="0"/>
    </xf>
    <xf numFmtId="0" fontId="46" fillId="11" borderId="25" xfId="0" applyFont="1" applyFill="1" applyBorder="1" applyAlignment="1">
      <alignment horizontal="center" vertical="center" wrapText="1"/>
    </xf>
    <xf numFmtId="0" fontId="43" fillId="55" borderId="25" xfId="0" applyFont="1" applyFill="1" applyBorder="1" applyAlignment="1" applyProtection="1">
      <alignment vertical="top"/>
      <protection locked="0"/>
    </xf>
    <xf numFmtId="44" fontId="6" fillId="3" borderId="0" xfId="1" applyFont="1" applyFill="1" applyBorder="1" applyAlignment="1" applyProtection="1">
      <alignment horizontal="left" vertical="center"/>
    </xf>
    <xf numFmtId="44" fontId="6" fillId="3" borderId="0" xfId="1" applyFont="1" applyFill="1" applyBorder="1" applyAlignment="1" applyProtection="1">
      <alignment horizontal="center" vertical="center" wrapText="1"/>
    </xf>
    <xf numFmtId="0" fontId="6" fillId="3" borderId="0" xfId="1" applyNumberFormat="1" applyFont="1" applyFill="1" applyBorder="1" applyAlignment="1" applyProtection="1">
      <alignment horizontal="center" vertical="center" wrapText="1"/>
    </xf>
    <xf numFmtId="0" fontId="16" fillId="6" borderId="43" xfId="0" applyFont="1" applyFill="1" applyBorder="1" applyAlignment="1">
      <alignment vertical="center"/>
    </xf>
    <xf numFmtId="0" fontId="29" fillId="9" borderId="0" xfId="0" applyFont="1" applyFill="1" applyAlignment="1">
      <alignment horizontal="center" vertical="center"/>
    </xf>
    <xf numFmtId="0" fontId="19" fillId="12" borderId="0" xfId="0" applyFont="1" applyFill="1" applyAlignment="1">
      <alignment vertical="center"/>
    </xf>
    <xf numFmtId="0" fontId="19" fillId="6" borderId="0" xfId="0" applyFont="1" applyFill="1" applyAlignment="1">
      <alignment vertical="center"/>
    </xf>
    <xf numFmtId="0" fontId="22" fillId="4" borderId="38" xfId="0" applyFont="1" applyFill="1" applyBorder="1" applyAlignment="1">
      <alignment horizontal="left" vertical="center"/>
    </xf>
    <xf numFmtId="43" fontId="28" fillId="10" borderId="38" xfId="2" applyFont="1" applyFill="1" applyBorder="1" applyAlignment="1" applyProtection="1">
      <alignment horizontal="center" vertical="center"/>
      <protection locked="0"/>
    </xf>
    <xf numFmtId="0" fontId="22" fillId="4" borderId="38" xfId="0" applyFont="1" applyFill="1" applyBorder="1" applyAlignment="1">
      <alignment horizontal="center" vertical="center"/>
    </xf>
    <xf numFmtId="44" fontId="28" fillId="10" borderId="38" xfId="1" applyFont="1" applyFill="1" applyBorder="1" applyAlignment="1" applyProtection="1">
      <alignment horizontal="center" vertical="center"/>
      <protection locked="0"/>
    </xf>
    <xf numFmtId="44" fontId="28" fillId="6" borderId="38" xfId="1" applyFont="1" applyFill="1" applyBorder="1" applyAlignment="1" applyProtection="1">
      <alignment horizontal="center" vertical="center"/>
    </xf>
    <xf numFmtId="43" fontId="28" fillId="54" borderId="0" xfId="2" applyFont="1" applyFill="1" applyBorder="1" applyAlignment="1" applyProtection="1">
      <alignment vertical="center"/>
      <protection locked="0"/>
    </xf>
    <xf numFmtId="44" fontId="28" fillId="54" borderId="0" xfId="1" applyFont="1" applyFill="1" applyBorder="1" applyAlignment="1" applyProtection="1">
      <alignment vertical="center"/>
      <protection locked="0"/>
    </xf>
    <xf numFmtId="43" fontId="28" fillId="54" borderId="45" xfId="2" applyFont="1" applyFill="1" applyBorder="1" applyAlignment="1" applyProtection="1">
      <alignment vertical="center"/>
      <protection locked="0"/>
    </xf>
    <xf numFmtId="44" fontId="28" fillId="54" borderId="45" xfId="1" applyFont="1" applyFill="1" applyBorder="1" applyAlignment="1" applyProtection="1">
      <alignment vertical="center"/>
      <protection locked="0"/>
    </xf>
    <xf numFmtId="43" fontId="28" fillId="54" borderId="46" xfId="2" applyFont="1" applyFill="1" applyBorder="1" applyAlignment="1" applyProtection="1">
      <alignment vertical="center"/>
      <protection locked="0"/>
    </xf>
    <xf numFmtId="44" fontId="28" fillId="54" borderId="46" xfId="1" applyFont="1" applyFill="1" applyBorder="1" applyAlignment="1" applyProtection="1">
      <alignment vertical="center"/>
      <protection locked="0"/>
    </xf>
    <xf numFmtId="43" fontId="28" fillId="10" borderId="0" xfId="2" applyFont="1" applyFill="1" applyBorder="1" applyAlignment="1" applyProtection="1">
      <alignment vertical="top"/>
      <protection locked="0"/>
    </xf>
    <xf numFmtId="0" fontId="22" fillId="51" borderId="0" xfId="0" applyFont="1" applyFill="1" applyAlignment="1">
      <alignment vertical="top"/>
    </xf>
    <xf numFmtId="0" fontId="22" fillId="51" borderId="0" xfId="0" applyFont="1" applyFill="1" applyAlignment="1">
      <alignment horizontal="center" vertical="top"/>
    </xf>
    <xf numFmtId="0" fontId="22" fillId="51" borderId="41" xfId="0" applyFont="1" applyFill="1" applyBorder="1" applyAlignment="1">
      <alignment vertical="top"/>
    </xf>
    <xf numFmtId="43" fontId="28" fillId="10" borderId="41" xfId="2" applyFont="1" applyFill="1" applyBorder="1" applyAlignment="1" applyProtection="1">
      <alignment vertical="top"/>
      <protection locked="0"/>
    </xf>
    <xf numFmtId="0" fontId="22" fillId="51" borderId="41" xfId="0" applyFont="1" applyFill="1" applyBorder="1" applyAlignment="1">
      <alignment horizontal="center" vertical="top"/>
    </xf>
    <xf numFmtId="0" fontId="19" fillId="51" borderId="41" xfId="0" applyFont="1" applyFill="1" applyBorder="1" applyAlignment="1">
      <alignment vertical="top"/>
    </xf>
    <xf numFmtId="43" fontId="19" fillId="10" borderId="41" xfId="2" applyFont="1" applyFill="1" applyBorder="1" applyAlignment="1" applyProtection="1">
      <alignment vertical="top"/>
      <protection locked="0"/>
    </xf>
    <xf numFmtId="0" fontId="19" fillId="51" borderId="41" xfId="0" applyFont="1" applyFill="1" applyBorder="1" applyAlignment="1">
      <alignment horizontal="center" vertical="top"/>
    </xf>
    <xf numFmtId="0" fontId="19" fillId="51" borderId="0" xfId="0" applyFont="1" applyFill="1" applyAlignment="1">
      <alignment vertical="top"/>
    </xf>
    <xf numFmtId="43" fontId="19" fillId="10" borderId="0" xfId="2" applyFont="1" applyFill="1" applyBorder="1" applyAlignment="1" applyProtection="1">
      <alignment vertical="top"/>
      <protection locked="0"/>
    </xf>
    <xf numFmtId="0" fontId="19" fillId="51" borderId="0" xfId="0" applyFont="1" applyFill="1" applyAlignment="1">
      <alignment horizontal="center" vertical="top"/>
    </xf>
    <xf numFmtId="44" fontId="28" fillId="10" borderId="0" xfId="1" applyFont="1" applyFill="1" applyBorder="1" applyAlignment="1" applyProtection="1">
      <alignment vertical="top"/>
      <protection locked="0"/>
    </xf>
    <xf numFmtId="0" fontId="23" fillId="10" borderId="0" xfId="0" applyFont="1" applyFill="1" applyAlignment="1" applyProtection="1">
      <alignment vertical="top"/>
      <protection locked="0"/>
    </xf>
    <xf numFmtId="0" fontId="23" fillId="51" borderId="0" xfId="0" applyFont="1" applyFill="1" applyAlignment="1" applyProtection="1">
      <alignment vertical="top"/>
      <protection locked="0"/>
    </xf>
    <xf numFmtId="44" fontId="22" fillId="51" borderId="0" xfId="1" applyFont="1" applyFill="1" applyBorder="1" applyAlignment="1" applyProtection="1">
      <alignment vertical="top"/>
      <protection locked="0"/>
    </xf>
    <xf numFmtId="0" fontId="22" fillId="51" borderId="0" xfId="0" applyFont="1" applyFill="1" applyAlignment="1" applyProtection="1">
      <alignment vertical="top"/>
      <protection locked="0"/>
    </xf>
    <xf numFmtId="44" fontId="28" fillId="10" borderId="41" xfId="1" applyFont="1" applyFill="1" applyBorder="1" applyAlignment="1" applyProtection="1">
      <alignment vertical="top"/>
      <protection locked="0"/>
    </xf>
    <xf numFmtId="0" fontId="23" fillId="10" borderId="41" xfId="0" applyFont="1" applyFill="1" applyBorder="1" applyAlignment="1" applyProtection="1">
      <alignment vertical="top"/>
      <protection locked="0"/>
    </xf>
    <xf numFmtId="0" fontId="23" fillId="51" borderId="41" xfId="0" applyFont="1" applyFill="1" applyBorder="1" applyAlignment="1" applyProtection="1">
      <alignment vertical="top"/>
      <protection locked="0"/>
    </xf>
    <xf numFmtId="44" fontId="22" fillId="51" borderId="41" xfId="1" applyFont="1" applyFill="1" applyBorder="1" applyAlignment="1" applyProtection="1">
      <alignment vertical="top"/>
      <protection locked="0"/>
    </xf>
    <xf numFmtId="0" fontId="22" fillId="51" borderId="41" xfId="0" applyFont="1" applyFill="1" applyBorder="1" applyAlignment="1" applyProtection="1">
      <alignment vertical="top"/>
      <protection locked="0"/>
    </xf>
    <xf numFmtId="43" fontId="28" fillId="10" borderId="25" xfId="2" applyFont="1" applyFill="1" applyBorder="1" applyAlignment="1" applyProtection="1">
      <alignment vertical="top"/>
      <protection locked="0"/>
    </xf>
    <xf numFmtId="44" fontId="28" fillId="10" borderId="25" xfId="1" applyFont="1" applyFill="1" applyBorder="1" applyAlignment="1" applyProtection="1">
      <alignment vertical="top"/>
      <protection locked="0"/>
    </xf>
    <xf numFmtId="0" fontId="10" fillId="9" borderId="0" xfId="0" applyFont="1" applyFill="1" applyAlignment="1" applyProtection="1">
      <alignment horizontal="center"/>
      <protection locked="0"/>
    </xf>
    <xf numFmtId="0" fontId="22" fillId="51" borderId="25" xfId="0" applyFont="1" applyFill="1" applyBorder="1" applyAlignment="1">
      <alignment vertical="top"/>
    </xf>
    <xf numFmtId="0" fontId="22" fillId="51" borderId="0" xfId="0" applyFont="1" applyFill="1" applyAlignment="1">
      <alignment horizontal="left" vertical="top"/>
    </xf>
    <xf numFmtId="169" fontId="43" fillId="54" borderId="40" xfId="2" applyNumberFormat="1" applyFont="1" applyFill="1" applyBorder="1" applyAlignment="1">
      <alignment horizontal="center"/>
    </xf>
    <xf numFmtId="0" fontId="43" fillId="54" borderId="40" xfId="0" applyFont="1" applyFill="1" applyBorder="1" applyAlignment="1">
      <alignment horizontal="center"/>
    </xf>
    <xf numFmtId="0" fontId="43" fillId="54" borderId="40" xfId="0" applyFont="1" applyFill="1" applyBorder="1" applyAlignment="1" applyProtection="1">
      <alignment horizontal="center"/>
      <protection locked="0"/>
    </xf>
    <xf numFmtId="0" fontId="19" fillId="50" borderId="40" xfId="0" applyFont="1" applyFill="1" applyBorder="1" applyAlignment="1">
      <alignment horizontal="center"/>
    </xf>
    <xf numFmtId="169" fontId="19" fillId="50" borderId="40" xfId="2" applyNumberFormat="1" applyFont="1" applyFill="1" applyBorder="1" applyAlignment="1">
      <alignment horizontal="center"/>
    </xf>
    <xf numFmtId="169" fontId="19" fillId="50" borderId="24" xfId="2" applyNumberFormat="1" applyFont="1" applyFill="1" applyBorder="1" applyAlignment="1">
      <alignment horizontal="center"/>
    </xf>
    <xf numFmtId="0" fontId="19" fillId="50" borderId="24" xfId="0" applyFont="1" applyFill="1" applyBorder="1" applyAlignment="1">
      <alignment horizontal="center"/>
    </xf>
    <xf numFmtId="0" fontId="19" fillId="50" borderId="41" xfId="0" applyFont="1" applyFill="1" applyBorder="1" applyAlignment="1">
      <alignment horizontal="center"/>
    </xf>
    <xf numFmtId="0" fontId="19" fillId="50" borderId="25" xfId="0" applyFont="1" applyFill="1" applyBorder="1" applyAlignment="1">
      <alignment horizontal="center"/>
    </xf>
    <xf numFmtId="0" fontId="19" fillId="50" borderId="0" xfId="0" applyFont="1" applyFill="1" applyAlignment="1">
      <alignment horizontal="center"/>
    </xf>
    <xf numFmtId="9" fontId="9" fillId="6" borderId="1" xfId="6" applyFont="1" applyFill="1" applyBorder="1" applyAlignment="1">
      <alignment horizontal="center" vertical="center" wrapText="1"/>
    </xf>
    <xf numFmtId="9" fontId="0" fillId="0" borderId="0" xfId="0" applyNumberFormat="1"/>
    <xf numFmtId="4" fontId="18" fillId="0" borderId="0" xfId="2" applyNumberFormat="1" applyFont="1" applyAlignment="1">
      <alignment horizontal="center"/>
    </xf>
    <xf numFmtId="4" fontId="19" fillId="50" borderId="40" xfId="2" applyNumberFormat="1" applyFont="1" applyFill="1" applyBorder="1" applyAlignment="1">
      <alignment horizontal="center"/>
    </xf>
    <xf numFmtId="4" fontId="19" fillId="50" borderId="24" xfId="2" applyNumberFormat="1" applyFont="1" applyFill="1" applyBorder="1" applyAlignment="1">
      <alignment horizontal="center"/>
    </xf>
    <xf numFmtId="4" fontId="6" fillId="3" borderId="41" xfId="2" applyNumberFormat="1" applyFont="1" applyFill="1" applyBorder="1" applyAlignment="1" applyProtection="1">
      <alignment horizontal="center" vertical="center"/>
    </xf>
    <xf numFmtId="4" fontId="43" fillId="54" borderId="40" xfId="2" applyNumberFormat="1" applyFont="1" applyFill="1" applyBorder="1" applyAlignment="1">
      <alignment horizontal="center"/>
    </xf>
    <xf numFmtId="0" fontId="0" fillId="0" borderId="8" xfId="0" applyBorder="1"/>
    <xf numFmtId="0" fontId="8" fillId="0" borderId="8" xfId="3" applyBorder="1"/>
    <xf numFmtId="0" fontId="34" fillId="0" borderId="8" xfId="0" applyFont="1" applyBorder="1"/>
    <xf numFmtId="0" fontId="8" fillId="0" borderId="8" xfId="3" applyBorder="1" applyAlignment="1">
      <alignment vertical="top"/>
    </xf>
    <xf numFmtId="167" fontId="35" fillId="0" borderId="8" xfId="0" applyNumberFormat="1" applyFont="1" applyBorder="1" applyAlignment="1">
      <alignment horizontal="right"/>
    </xf>
    <xf numFmtId="14" fontId="32" fillId="0" borderId="8" xfId="0" applyNumberFormat="1" applyFont="1" applyBorder="1" applyAlignment="1">
      <alignment horizontal="right"/>
    </xf>
    <xf numFmtId="0" fontId="35" fillId="0" borderId="8" xfId="0" applyFont="1" applyBorder="1" applyAlignment="1">
      <alignment horizontal="left"/>
    </xf>
    <xf numFmtId="10" fontId="8" fillId="0" borderId="1" xfId="5" applyNumberFormat="1" applyFont="1" applyFill="1" applyBorder="1"/>
    <xf numFmtId="0" fontId="13" fillId="0" borderId="38" xfId="0" applyFont="1" applyBorder="1" applyAlignment="1">
      <alignment vertical="center"/>
    </xf>
    <xf numFmtId="44" fontId="0" fillId="9" borderId="0" xfId="0" applyNumberFormat="1" applyFill="1" applyAlignment="1">
      <alignment horizontal="center" vertical="center"/>
    </xf>
    <xf numFmtId="0" fontId="19" fillId="50" borderId="37" xfId="0" applyFont="1" applyFill="1" applyBorder="1" applyAlignment="1">
      <alignment horizontal="center"/>
    </xf>
    <xf numFmtId="4" fontId="19" fillId="50" borderId="37" xfId="2" applyNumberFormat="1" applyFont="1" applyFill="1" applyBorder="1" applyAlignment="1">
      <alignment horizontal="center"/>
    </xf>
    <xf numFmtId="0" fontId="21" fillId="9" borderId="0" xfId="0" applyFont="1" applyFill="1" applyProtection="1">
      <protection hidden="1"/>
    </xf>
    <xf numFmtId="0" fontId="21" fillId="0" borderId="41" xfId="0" applyFont="1" applyBorder="1"/>
    <xf numFmtId="49" fontId="35" fillId="0" borderId="8" xfId="0" applyNumberFormat="1" applyFont="1" applyBorder="1" applyAlignment="1">
      <alignment horizontal="left"/>
    </xf>
    <xf numFmtId="0" fontId="8" fillId="0" borderId="8" xfId="8" applyFont="1" applyBorder="1"/>
    <xf numFmtId="14" fontId="0" fillId="0" borderId="1" xfId="0" applyNumberFormat="1" applyBorder="1"/>
    <xf numFmtId="0" fontId="0" fillId="51" borderId="24" xfId="0" applyFill="1" applyBorder="1" applyProtection="1">
      <protection locked="0"/>
    </xf>
    <xf numFmtId="0" fontId="0" fillId="51" borderId="25" xfId="0" applyFill="1" applyBorder="1" applyProtection="1">
      <protection locked="0"/>
    </xf>
    <xf numFmtId="0" fontId="18" fillId="9" borderId="0" xfId="0" applyFont="1" applyFill="1"/>
    <xf numFmtId="0" fontId="10" fillId="9" borderId="0" xfId="0" applyFont="1" applyFill="1" applyProtection="1">
      <protection locked="0"/>
    </xf>
    <xf numFmtId="0" fontId="42" fillId="9" borderId="0" xfId="0" applyFont="1" applyFill="1" applyAlignment="1" applyProtection="1">
      <alignment vertical="center"/>
      <protection locked="0"/>
    </xf>
    <xf numFmtId="0" fontId="13" fillId="9" borderId="0" xfId="0" applyFont="1" applyFill="1" applyAlignment="1">
      <alignment horizontal="left" wrapText="1"/>
    </xf>
    <xf numFmtId="0" fontId="22" fillId="50" borderId="41" xfId="0" applyFont="1" applyFill="1" applyBorder="1" applyAlignment="1">
      <alignment horizontal="center" vertical="top"/>
    </xf>
    <xf numFmtId="0" fontId="22" fillId="50" borderId="25" xfId="0" applyFont="1" applyFill="1" applyBorder="1" applyAlignment="1">
      <alignment horizontal="center" vertical="top"/>
    </xf>
    <xf numFmtId="0" fontId="23" fillId="50" borderId="0" xfId="0" applyFont="1" applyFill="1" applyAlignment="1" applyProtection="1">
      <alignment vertical="top"/>
      <protection locked="0"/>
    </xf>
    <xf numFmtId="0" fontId="68" fillId="0" borderId="0" xfId="0" applyFont="1"/>
    <xf numFmtId="0" fontId="28" fillId="56" borderId="36" xfId="0" quotePrefix="1" applyFont="1" applyFill="1" applyBorder="1" applyAlignment="1" applyProtection="1">
      <alignment horizontal="center"/>
      <protection locked="0"/>
    </xf>
    <xf numFmtId="0" fontId="19" fillId="54" borderId="36" xfId="0" applyFont="1" applyFill="1" applyBorder="1" applyAlignment="1" applyProtection="1">
      <alignment horizontal="center"/>
      <protection locked="0"/>
    </xf>
    <xf numFmtId="4" fontId="19" fillId="54" borderId="36" xfId="2" applyNumberFormat="1" applyFont="1" applyFill="1" applyBorder="1" applyAlignment="1" applyProtection="1">
      <alignment horizontal="center"/>
      <protection locked="0"/>
    </xf>
    <xf numFmtId="0" fontId="43" fillId="54" borderId="36" xfId="0" applyFont="1" applyFill="1" applyBorder="1" applyAlignment="1" applyProtection="1">
      <alignment horizontal="center"/>
      <protection locked="0"/>
    </xf>
    <xf numFmtId="0" fontId="28" fillId="56" borderId="44" xfId="0" applyFont="1" applyFill="1" applyBorder="1" applyAlignment="1" applyProtection="1">
      <alignment horizontal="center"/>
      <protection locked="0"/>
    </xf>
    <xf numFmtId="0" fontId="19" fillId="54" borderId="44" xfId="0" applyFont="1" applyFill="1" applyBorder="1" applyAlignment="1" applyProtection="1">
      <alignment horizontal="center"/>
      <protection locked="0"/>
    </xf>
    <xf numFmtId="4" fontId="19" fillId="54" borderId="44" xfId="2" applyNumberFormat="1" applyFont="1" applyFill="1" applyBorder="1" applyAlignment="1" applyProtection="1">
      <alignment horizontal="center"/>
      <protection locked="0"/>
    </xf>
    <xf numFmtId="0" fontId="19" fillId="56" borderId="44" xfId="0" applyFont="1" applyFill="1" applyBorder="1" applyAlignment="1" applyProtection="1">
      <alignment horizontal="center"/>
      <protection locked="0"/>
    </xf>
    <xf numFmtId="169" fontId="43" fillId="54" borderId="44" xfId="2" applyNumberFormat="1" applyFont="1" applyFill="1" applyBorder="1" applyAlignment="1" applyProtection="1">
      <alignment horizontal="center"/>
      <protection locked="0"/>
    </xf>
    <xf numFmtId="4" fontId="43" fillId="54" borderId="44" xfId="2" applyNumberFormat="1" applyFont="1" applyFill="1" applyBorder="1" applyAlignment="1" applyProtection="1">
      <alignment horizontal="center"/>
      <protection locked="0"/>
    </xf>
    <xf numFmtId="0" fontId="19" fillId="54" borderId="44" xfId="0" applyFont="1" applyFill="1" applyBorder="1" applyAlignment="1" applyProtection="1">
      <alignment horizontal="left"/>
      <protection locked="0"/>
    </xf>
    <xf numFmtId="0" fontId="13" fillId="9" borderId="0" xfId="0" applyFont="1" applyFill="1" applyAlignment="1">
      <alignment vertical="center" wrapText="1"/>
    </xf>
    <xf numFmtId="0" fontId="19" fillId="6" borderId="5" xfId="0" applyFont="1" applyFill="1" applyBorder="1" applyAlignment="1">
      <alignment vertical="center"/>
    </xf>
    <xf numFmtId="0" fontId="0" fillId="9" borderId="41" xfId="0" applyFill="1" applyBorder="1"/>
    <xf numFmtId="0" fontId="0" fillId="9" borderId="25" xfId="0" applyFill="1" applyBorder="1"/>
    <xf numFmtId="0" fontId="0" fillId="9" borderId="38" xfId="0" applyFill="1" applyBorder="1"/>
    <xf numFmtId="0" fontId="22" fillId="9" borderId="0" xfId="0" applyFont="1" applyFill="1" applyAlignment="1">
      <alignment vertical="top"/>
    </xf>
    <xf numFmtId="0" fontId="32" fillId="9" borderId="0" xfId="0" applyFont="1" applyFill="1" applyAlignment="1">
      <alignment horizontal="center"/>
    </xf>
    <xf numFmtId="0" fontId="0" fillId="9" borderId="0" xfId="0" applyFill="1" applyAlignment="1">
      <alignment horizontal="center"/>
    </xf>
    <xf numFmtId="0" fontId="39" fillId="9" borderId="0" xfId="0" applyFont="1" applyFill="1" applyAlignment="1">
      <alignment vertical="center" wrapText="1"/>
    </xf>
    <xf numFmtId="44" fontId="18" fillId="9" borderId="0" xfId="1" applyFont="1" applyFill="1" applyAlignment="1" applyProtection="1"/>
    <xf numFmtId="0" fontId="18" fillId="9" borderId="0" xfId="0" applyFont="1" applyFill="1" applyAlignment="1">
      <alignment vertical="center"/>
    </xf>
    <xf numFmtId="0" fontId="16" fillId="9" borderId="0" xfId="0" applyFont="1" applyFill="1" applyAlignment="1">
      <alignment vertical="center"/>
    </xf>
    <xf numFmtId="0" fontId="19" fillId="9" borderId="0" xfId="0" applyFont="1" applyFill="1" applyAlignment="1">
      <alignment horizontal="center"/>
    </xf>
    <xf numFmtId="0" fontId="28" fillId="51" borderId="44" xfId="0" applyFont="1" applyFill="1" applyBorder="1" applyAlignment="1">
      <alignment horizontal="center"/>
    </xf>
    <xf numFmtId="0" fontId="28" fillId="9" borderId="0" xfId="0" applyFont="1" applyFill="1"/>
    <xf numFmtId="0" fontId="28" fillId="51" borderId="26" xfId="0" applyFont="1" applyFill="1" applyBorder="1" applyProtection="1">
      <protection locked="0"/>
    </xf>
    <xf numFmtId="0" fontId="28" fillId="51" borderId="44" xfId="0" applyFont="1" applyFill="1" applyBorder="1" applyProtection="1">
      <protection locked="0"/>
    </xf>
    <xf numFmtId="44" fontId="28" fillId="51" borderId="44" xfId="1" applyFont="1" applyFill="1" applyBorder="1" applyProtection="1">
      <protection locked="0"/>
    </xf>
    <xf numFmtId="164" fontId="28" fillId="51" borderId="44" xfId="2" applyNumberFormat="1" applyFont="1" applyFill="1" applyBorder="1" applyProtection="1">
      <protection locked="0"/>
    </xf>
    <xf numFmtId="44" fontId="28" fillId="51" borderId="24" xfId="1" applyFont="1" applyFill="1" applyBorder="1" applyProtection="1">
      <protection locked="0"/>
    </xf>
    <xf numFmtId="44" fontId="28" fillId="9" borderId="0" xfId="1" applyFont="1" applyFill="1" applyBorder="1" applyProtection="1"/>
    <xf numFmtId="164" fontId="28" fillId="9" borderId="0" xfId="2" applyNumberFormat="1" applyFont="1" applyFill="1" applyBorder="1" applyProtection="1"/>
    <xf numFmtId="0" fontId="12" fillId="9" borderId="0" xfId="0" applyFont="1" applyFill="1"/>
    <xf numFmtId="0" fontId="12" fillId="14" borderId="3" xfId="0" applyFont="1" applyFill="1" applyBorder="1"/>
    <xf numFmtId="0" fontId="12" fillId="14" borderId="4" xfId="0" applyFont="1" applyFill="1" applyBorder="1"/>
    <xf numFmtId="0" fontId="38" fillId="9" borderId="0" xfId="0" applyFont="1" applyFill="1" applyAlignment="1">
      <alignment vertical="top" wrapText="1"/>
    </xf>
    <xf numFmtId="0" fontId="38" fillId="0" borderId="7" xfId="0" applyFont="1" applyBorder="1" applyAlignment="1">
      <alignment vertical="top" wrapText="1"/>
    </xf>
    <xf numFmtId="0" fontId="38" fillId="0" borderId="9" xfId="0" applyFont="1" applyBorder="1" applyAlignment="1">
      <alignment vertical="top" wrapText="1"/>
    </xf>
    <xf numFmtId="0" fontId="38" fillId="0" borderId="0" xfId="0" applyFont="1" applyAlignment="1">
      <alignment vertical="top" wrapText="1"/>
    </xf>
    <xf numFmtId="0" fontId="38" fillId="0" borderId="5" xfId="0" applyFont="1" applyBorder="1" applyAlignment="1">
      <alignment vertical="top" wrapText="1"/>
    </xf>
    <xf numFmtId="0" fontId="13" fillId="9" borderId="0" xfId="0" applyFont="1" applyFill="1" applyAlignment="1">
      <alignment horizontal="left" vertical="center"/>
    </xf>
    <xf numFmtId="0" fontId="11" fillId="9" borderId="0" xfId="0" applyFont="1" applyFill="1" applyAlignment="1">
      <alignment horizontal="center" vertical="center"/>
    </xf>
    <xf numFmtId="0" fontId="47" fillId="9" borderId="0" xfId="0" applyFont="1" applyFill="1"/>
    <xf numFmtId="44" fontId="30" fillId="9" borderId="0" xfId="1" applyFont="1" applyFill="1" applyBorder="1" applyAlignment="1" applyProtection="1">
      <alignment horizontal="center" vertical="center"/>
    </xf>
    <xf numFmtId="0" fontId="47" fillId="9" borderId="0" xfId="0" applyFont="1" applyFill="1" applyAlignment="1">
      <alignment horizontal="center"/>
    </xf>
    <xf numFmtId="0" fontId="47" fillId="9" borderId="0" xfId="0" applyFont="1" applyFill="1" applyAlignment="1">
      <alignment vertical="center"/>
    </xf>
    <xf numFmtId="0" fontId="38" fillId="9" borderId="0" xfId="0" applyFont="1" applyFill="1" applyAlignment="1">
      <alignment horizontal="left" wrapText="1"/>
    </xf>
    <xf numFmtId="0" fontId="13" fillId="9" borderId="0" xfId="0" applyFont="1" applyFill="1" applyAlignment="1">
      <alignment horizontal="center" vertical="top" wrapText="1"/>
    </xf>
    <xf numFmtId="0" fontId="13" fillId="9" borderId="0" xfId="0" applyFont="1" applyFill="1" applyAlignment="1">
      <alignment horizontal="center" vertical="center" wrapText="1"/>
    </xf>
    <xf numFmtId="0" fontId="74" fillId="6" borderId="0" xfId="0" applyFont="1" applyFill="1" applyAlignment="1" applyProtection="1">
      <alignment horizontal="center" vertical="center"/>
      <protection locked="0"/>
    </xf>
    <xf numFmtId="0" fontId="21" fillId="9" borderId="0" xfId="0" applyFont="1" applyFill="1" applyAlignment="1" applyProtection="1">
      <alignment vertical="center"/>
      <protection hidden="1"/>
    </xf>
    <xf numFmtId="0" fontId="16" fillId="6" borderId="26" xfId="0" applyFont="1" applyFill="1" applyBorder="1" applyAlignment="1">
      <alignment vertical="center"/>
    </xf>
    <xf numFmtId="164" fontId="0" fillId="0" borderId="1" xfId="7" applyNumberFormat="1" applyFont="1" applyBorder="1" applyAlignment="1">
      <alignment horizontal="center" vertical="top"/>
    </xf>
    <xf numFmtId="0" fontId="9" fillId="6" borderId="1" xfId="3" applyFont="1" applyFill="1" applyBorder="1" applyAlignment="1">
      <alignment horizontal="center" vertical="center" wrapText="1"/>
    </xf>
    <xf numFmtId="165" fontId="9" fillId="6" borderId="1" xfId="4" applyNumberFormat="1" applyFont="1" applyFill="1" applyBorder="1" applyAlignment="1">
      <alignment horizontal="center" vertical="center" wrapText="1"/>
    </xf>
    <xf numFmtId="0" fontId="8" fillId="0" borderId="1" xfId="3" applyBorder="1"/>
    <xf numFmtId="164" fontId="9" fillId="6" borderId="1" xfId="7" applyNumberFormat="1" applyFont="1" applyFill="1" applyBorder="1" applyAlignment="1">
      <alignment horizontal="center" vertical="center" wrapText="1"/>
    </xf>
    <xf numFmtId="0" fontId="35" fillId="0" borderId="1" xfId="3" applyFont="1" applyBorder="1"/>
    <xf numFmtId="0" fontId="35" fillId="0" borderId="1" xfId="3" applyFont="1" applyBorder="1" applyAlignment="1">
      <alignment vertical="top"/>
    </xf>
    <xf numFmtId="165" fontId="32" fillId="0" borderId="1" xfId="4" applyNumberFormat="1" applyFont="1" applyBorder="1" applyAlignment="1">
      <alignment vertical="top"/>
    </xf>
    <xf numFmtId="0" fontId="35" fillId="0" borderId="1" xfId="3" applyFont="1" applyBorder="1" applyAlignment="1">
      <alignment horizontal="center" vertical="top"/>
    </xf>
    <xf numFmtId="0" fontId="8" fillId="0" borderId="0" xfId="3" applyAlignment="1">
      <alignment horizontal="center"/>
    </xf>
    <xf numFmtId="0" fontId="35" fillId="0" borderId="1" xfId="3" applyFont="1" applyBorder="1" applyAlignment="1">
      <alignment horizontal="center"/>
    </xf>
    <xf numFmtId="0" fontId="8" fillId="0" borderId="1" xfId="3" applyBorder="1" applyAlignment="1">
      <alignment horizontal="center"/>
    </xf>
    <xf numFmtId="3" fontId="9" fillId="6" borderId="1" xfId="7" applyNumberFormat="1" applyFont="1" applyFill="1" applyBorder="1" applyAlignment="1">
      <alignment horizontal="center" vertical="center" wrapText="1"/>
    </xf>
    <xf numFmtId="3" fontId="8" fillId="0" borderId="0" xfId="2" applyNumberFormat="1" applyFont="1" applyAlignment="1">
      <alignment horizontal="center"/>
    </xf>
    <xf numFmtId="0" fontId="78" fillId="9" borderId="0" xfId="0" applyFont="1" applyFill="1" applyAlignment="1">
      <alignment vertical="center"/>
    </xf>
    <xf numFmtId="44" fontId="78" fillId="9" borderId="0" xfId="1" applyFont="1" applyFill="1" applyAlignment="1" applyProtection="1">
      <alignment vertical="center"/>
    </xf>
    <xf numFmtId="0" fontId="78" fillId="9" borderId="0" xfId="0" applyFont="1" applyFill="1" applyAlignment="1">
      <alignment horizontal="left" vertical="center"/>
    </xf>
    <xf numFmtId="0" fontId="0" fillId="60" borderId="1" xfId="0" applyFill="1" applyBorder="1"/>
    <xf numFmtId="0" fontId="8" fillId="60" borderId="1" xfId="3" applyFill="1" applyBorder="1"/>
    <xf numFmtId="0" fontId="35" fillId="60" borderId="1" xfId="0" applyFont="1" applyFill="1" applyBorder="1" applyAlignment="1">
      <alignment horizontal="left"/>
    </xf>
    <xf numFmtId="166" fontId="32" fillId="60" borderId="1" xfId="2" applyNumberFormat="1" applyFont="1" applyFill="1" applyBorder="1" applyAlignment="1" applyProtection="1">
      <alignment horizontal="right"/>
      <protection locked="0"/>
    </xf>
    <xf numFmtId="0" fontId="32" fillId="60" borderId="1" xfId="0" applyFont="1" applyFill="1" applyBorder="1"/>
    <xf numFmtId="0" fontId="8" fillId="60" borderId="1" xfId="3" applyFill="1" applyBorder="1" applyAlignment="1">
      <alignment vertical="top"/>
    </xf>
    <xf numFmtId="0" fontId="0" fillId="60" borderId="0" xfId="0" applyFill="1"/>
    <xf numFmtId="164" fontId="0" fillId="60" borderId="1" xfId="7" applyNumberFormat="1" applyFont="1" applyFill="1" applyBorder="1" applyAlignment="1">
      <alignment vertical="top"/>
    </xf>
    <xf numFmtId="0" fontId="40" fillId="60" borderId="1" xfId="9" applyFill="1" applyBorder="1" applyAlignment="1" applyProtection="1"/>
    <xf numFmtId="0" fontId="0" fillId="60" borderId="2" xfId="0" applyFill="1" applyBorder="1"/>
    <xf numFmtId="0" fontId="8" fillId="60" borderId="0" xfId="3" applyFill="1"/>
    <xf numFmtId="0" fontId="35" fillId="60" borderId="1" xfId="3" applyFont="1" applyFill="1" applyBorder="1"/>
    <xf numFmtId="0" fontId="35" fillId="60" borderId="1" xfId="3" applyFont="1" applyFill="1" applyBorder="1" applyAlignment="1">
      <alignment vertical="top"/>
    </xf>
    <xf numFmtId="0" fontId="35" fillId="60" borderId="1" xfId="3" applyFont="1" applyFill="1" applyBorder="1" applyAlignment="1">
      <alignment horizontal="center" vertical="top"/>
    </xf>
    <xf numFmtId="164" fontId="0" fillId="61" borderId="1" xfId="7" applyNumberFormat="1" applyFont="1" applyFill="1" applyBorder="1" applyAlignment="1">
      <alignment horizontal="center" vertical="top"/>
    </xf>
    <xf numFmtId="164" fontId="32" fillId="61" borderId="1" xfId="7" applyNumberFormat="1" applyFont="1" applyFill="1" applyBorder="1" applyAlignment="1">
      <alignment horizontal="center" vertical="top"/>
    </xf>
    <xf numFmtId="0" fontId="8" fillId="60" borderId="1" xfId="11" applyFont="1" applyFill="1" applyBorder="1" applyAlignment="1">
      <alignment wrapText="1"/>
    </xf>
    <xf numFmtId="0" fontId="35" fillId="60" borderId="12" xfId="0" applyFont="1" applyFill="1" applyBorder="1" applyAlignment="1">
      <alignment horizontal="left"/>
    </xf>
    <xf numFmtId="0" fontId="8" fillId="60" borderId="1" xfId="10" applyFont="1" applyFill="1" applyBorder="1" applyAlignment="1">
      <alignment horizontal="left" wrapText="1"/>
    </xf>
    <xf numFmtId="0" fontId="62" fillId="61" borderId="1" xfId="0" applyFont="1" applyFill="1" applyBorder="1" applyAlignment="1">
      <alignment horizontal="left" vertical="center"/>
    </xf>
    <xf numFmtId="0" fontId="62" fillId="61" borderId="1" xfId="0" applyFont="1" applyFill="1" applyBorder="1" applyAlignment="1">
      <alignment horizontal="center" vertical="center"/>
    </xf>
    <xf numFmtId="49" fontId="62" fillId="61" borderId="1" xfId="0" applyNumberFormat="1" applyFont="1" applyFill="1" applyBorder="1" applyAlignment="1">
      <alignment horizontal="center" vertical="center"/>
    </xf>
    <xf numFmtId="0" fontId="0" fillId="61" borderId="0" xfId="0" applyFill="1"/>
    <xf numFmtId="14" fontId="0" fillId="61" borderId="0" xfId="0" applyNumberFormat="1" applyFill="1" applyAlignment="1">
      <alignment vertical="center"/>
    </xf>
    <xf numFmtId="0" fontId="0" fillId="61" borderId="0" xfId="0" applyFill="1" applyAlignment="1">
      <alignment vertical="center"/>
    </xf>
    <xf numFmtId="0" fontId="0" fillId="61" borderId="0" xfId="0" applyFill="1" applyAlignment="1">
      <alignment horizontal="center" vertical="center"/>
    </xf>
    <xf numFmtId="44" fontId="41" fillId="5" borderId="41" xfId="1" applyFont="1" applyFill="1" applyBorder="1" applyAlignment="1" applyProtection="1">
      <alignment vertical="center"/>
    </xf>
    <xf numFmtId="0" fontId="10" fillId="9" borderId="0" xfId="0" applyFont="1" applyFill="1" applyAlignment="1">
      <alignment horizontal="center"/>
    </xf>
    <xf numFmtId="0" fontId="10" fillId="9" borderId="0" xfId="0" applyFont="1" applyFill="1" applyAlignment="1">
      <alignment horizontal="center" vertical="center" wrapText="1"/>
    </xf>
    <xf numFmtId="0" fontId="21" fillId="9" borderId="0" xfId="0" applyFont="1" applyFill="1" applyAlignment="1">
      <alignment vertical="center"/>
    </xf>
    <xf numFmtId="0" fontId="18" fillId="0" borderId="0" xfId="0" applyFont="1" applyAlignment="1">
      <alignment wrapText="1"/>
    </xf>
    <xf numFmtId="4" fontId="6" fillId="3" borderId="41" xfId="2" applyNumberFormat="1" applyFont="1" applyFill="1" applyBorder="1" applyAlignment="1" applyProtection="1">
      <alignment horizontal="center" vertical="center" wrapText="1"/>
    </xf>
    <xf numFmtId="0" fontId="23" fillId="51" borderId="38" xfId="0" applyFont="1" applyFill="1" applyBorder="1" applyAlignment="1" applyProtection="1">
      <alignment horizontal="center" vertical="top"/>
      <protection locked="0"/>
    </xf>
    <xf numFmtId="0" fontId="23" fillId="10" borderId="0" xfId="0" applyFont="1" applyFill="1" applyAlignment="1" applyProtection="1">
      <alignment horizontal="center" vertical="center"/>
      <protection locked="0"/>
    </xf>
    <xf numFmtId="0" fontId="23" fillId="10" borderId="38" xfId="0" applyFont="1" applyFill="1" applyBorder="1" applyAlignment="1" applyProtection="1">
      <alignment horizontal="center" vertical="center"/>
      <protection locked="0"/>
    </xf>
    <xf numFmtId="43" fontId="28" fillId="10" borderId="0" xfId="2" applyFont="1" applyFill="1" applyBorder="1" applyAlignment="1" applyProtection="1">
      <protection locked="0"/>
    </xf>
    <xf numFmtId="0" fontId="22" fillId="50" borderId="0" xfId="0" applyFont="1" applyFill="1" applyAlignment="1">
      <alignment horizontal="center" vertical="center"/>
    </xf>
    <xf numFmtId="44" fontId="28" fillId="10" borderId="0" xfId="1" applyFont="1" applyFill="1" applyBorder="1" applyAlignment="1" applyProtection="1">
      <protection locked="0"/>
    </xf>
    <xf numFmtId="0" fontId="23" fillId="51" borderId="0" xfId="0" applyFont="1" applyFill="1" applyAlignment="1" applyProtection="1">
      <alignment horizontal="center" vertical="top"/>
      <protection locked="0"/>
    </xf>
    <xf numFmtId="0" fontId="19" fillId="54" borderId="40" xfId="0" applyFont="1" applyFill="1" applyBorder="1" applyAlignment="1" applyProtection="1">
      <alignment horizontal="center"/>
      <protection locked="0"/>
    </xf>
    <xf numFmtId="44" fontId="6" fillId="3" borderId="41" xfId="1" applyFont="1" applyFill="1" applyBorder="1" applyAlignment="1" applyProtection="1">
      <alignment horizontal="left" vertical="center"/>
    </xf>
    <xf numFmtId="44" fontId="28" fillId="10" borderId="24" xfId="1" applyFont="1" applyFill="1" applyBorder="1" applyAlignment="1" applyProtection="1">
      <alignment vertical="top"/>
      <protection locked="0"/>
    </xf>
    <xf numFmtId="44" fontId="28" fillId="10" borderId="30" xfId="1" applyFont="1" applyFill="1" applyBorder="1" applyAlignment="1" applyProtection="1">
      <alignment vertical="top"/>
      <protection locked="0"/>
    </xf>
    <xf numFmtId="0" fontId="22" fillId="50" borderId="0" xfId="0" applyFont="1" applyFill="1" applyAlignment="1">
      <alignment horizontal="center" vertical="top"/>
    </xf>
    <xf numFmtId="0" fontId="23" fillId="10" borderId="44" xfId="0" applyFont="1" applyFill="1" applyBorder="1" applyAlignment="1" applyProtection="1">
      <alignment horizontal="right" vertical="top"/>
      <protection locked="0"/>
    </xf>
    <xf numFmtId="0" fontId="23" fillId="10" borderId="36" xfId="0" applyFont="1" applyFill="1" applyBorder="1" applyAlignment="1" applyProtection="1">
      <alignment horizontal="right" vertical="top"/>
      <protection locked="0"/>
    </xf>
    <xf numFmtId="0" fontId="23" fillId="10" borderId="36" xfId="0" applyFont="1" applyFill="1" applyBorder="1" applyAlignment="1" applyProtection="1">
      <alignment horizontal="center" vertical="top"/>
      <protection locked="0"/>
    </xf>
    <xf numFmtId="0" fontId="23" fillId="10" borderId="44" xfId="0" applyFont="1" applyFill="1" applyBorder="1" applyAlignment="1" applyProtection="1">
      <alignment horizontal="center" vertical="top"/>
      <protection locked="0"/>
    </xf>
    <xf numFmtId="44" fontId="13" fillId="9" borderId="0" xfId="0" applyNumberFormat="1" applyFont="1" applyFill="1" applyAlignment="1" applyProtection="1">
      <alignment vertical="center"/>
      <protection locked="0"/>
    </xf>
    <xf numFmtId="0" fontId="31" fillId="63" borderId="8" xfId="0" applyFont="1" applyFill="1" applyBorder="1" applyAlignment="1">
      <alignment horizontal="center" vertical="center" wrapText="1"/>
    </xf>
    <xf numFmtId="0" fontId="31" fillId="63" borderId="6" xfId="0" applyFont="1" applyFill="1" applyBorder="1" applyAlignment="1">
      <alignment horizontal="center" vertical="center" wrapText="1"/>
    </xf>
    <xf numFmtId="0" fontId="31" fillId="63" borderId="8" xfId="0" applyFont="1" applyFill="1" applyBorder="1" applyAlignment="1">
      <alignment horizontal="center" vertical="center"/>
    </xf>
    <xf numFmtId="0" fontId="81" fillId="63" borderId="6" xfId="54" applyFont="1" applyFill="1" applyBorder="1" applyAlignment="1">
      <alignment horizontal="center" vertical="center" wrapText="1"/>
    </xf>
    <xf numFmtId="0" fontId="31" fillId="64" borderId="8" xfId="0" applyFont="1" applyFill="1" applyBorder="1" applyAlignment="1">
      <alignment horizontal="center" vertical="center" wrapText="1"/>
    </xf>
    <xf numFmtId="0" fontId="63"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32" fillId="7" borderId="1" xfId="0" applyFont="1" applyFill="1" applyBorder="1" applyAlignment="1">
      <alignment horizontal="center" vertical="center" wrapText="1"/>
    </xf>
    <xf numFmtId="0" fontId="82" fillId="7" borderId="1" xfId="54"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vertical="center"/>
    </xf>
    <xf numFmtId="0" fontId="32" fillId="9" borderId="0" xfId="0" applyFont="1" applyFill="1" applyAlignment="1">
      <alignment vertical="center"/>
    </xf>
    <xf numFmtId="0" fontId="32" fillId="0" borderId="0" xfId="0" applyFont="1" applyAlignment="1">
      <alignment vertical="center"/>
    </xf>
    <xf numFmtId="170" fontId="32" fillId="0" borderId="1" xfId="0" applyNumberFormat="1" applyFont="1" applyBorder="1" applyAlignment="1">
      <alignment horizontal="center" vertical="center" wrapText="1"/>
    </xf>
    <xf numFmtId="0" fontId="32" fillId="65" borderId="1" xfId="0" applyFont="1" applyFill="1" applyBorder="1" applyAlignment="1">
      <alignment horizontal="center" vertical="center" wrapText="1"/>
    </xf>
    <xf numFmtId="0" fontId="60" fillId="0" borderId="1" xfId="54" applyBorder="1" applyAlignment="1">
      <alignment horizontal="center" vertical="center" wrapText="1"/>
    </xf>
    <xf numFmtId="2" fontId="32" fillId="7" borderId="1" xfId="0" applyNumberFormat="1" applyFont="1" applyFill="1" applyBorder="1" applyAlignment="1">
      <alignment horizontal="center" vertical="center" wrapText="1"/>
    </xf>
    <xf numFmtId="0" fontId="60" fillId="0" borderId="1" xfId="54" applyBorder="1" applyAlignment="1">
      <alignment horizontal="center" vertical="center"/>
    </xf>
    <xf numFmtId="0" fontId="32" fillId="9" borderId="1" xfId="0" applyFont="1" applyFill="1" applyBorder="1" applyAlignment="1">
      <alignment horizontal="center" vertical="center"/>
    </xf>
    <xf numFmtId="0" fontId="35" fillId="0" borderId="1" xfId="0" applyFont="1" applyBorder="1" applyAlignment="1">
      <alignment horizontal="center" vertical="center" wrapText="1"/>
    </xf>
    <xf numFmtId="2" fontId="47" fillId="7" borderId="1" xfId="0" applyNumberFormat="1" applyFont="1" applyFill="1" applyBorder="1" applyAlignment="1">
      <alignment horizontal="center" vertical="center" wrapText="1"/>
    </xf>
    <xf numFmtId="0" fontId="47" fillId="7" borderId="1" xfId="0" applyFont="1" applyFill="1" applyBorder="1" applyAlignment="1">
      <alignment horizontal="center" vertical="center" wrapText="1"/>
    </xf>
    <xf numFmtId="0" fontId="0" fillId="0" borderId="1" xfId="0" applyBorder="1" applyAlignment="1">
      <alignment horizontal="center" vertical="center"/>
    </xf>
    <xf numFmtId="0" fontId="35" fillId="0" borderId="47"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47" fillId="7" borderId="8"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60" fillId="9" borderId="1" xfId="54" applyFill="1" applyBorder="1" applyAlignment="1">
      <alignment horizontal="center" vertical="center" wrapText="1"/>
    </xf>
    <xf numFmtId="0" fontId="84" fillId="0" borderId="1" xfId="0" applyFont="1" applyBorder="1" applyAlignment="1">
      <alignment vertical="center" wrapText="1"/>
    </xf>
    <xf numFmtId="0" fontId="84" fillId="9" borderId="0" xfId="0" applyFont="1" applyFill="1" applyAlignment="1">
      <alignment vertical="center"/>
    </xf>
    <xf numFmtId="0" fontId="84" fillId="0" borderId="0" xfId="0" applyFont="1" applyAlignment="1">
      <alignment vertical="center"/>
    </xf>
    <xf numFmtId="0" fontId="86" fillId="0" borderId="1" xfId="0" applyFont="1" applyBorder="1" applyAlignment="1">
      <alignment horizontal="center" vertical="center" wrapText="1"/>
    </xf>
    <xf numFmtId="0" fontId="32" fillId="0" borderId="1" xfId="0" applyFont="1" applyBorder="1" applyAlignment="1">
      <alignment vertical="center" wrapText="1"/>
    </xf>
    <xf numFmtId="0" fontId="63" fillId="9" borderId="1" xfId="0" applyFont="1" applyFill="1" applyBorder="1" applyAlignment="1">
      <alignment horizontal="center" vertical="center" wrapText="1"/>
    </xf>
    <xf numFmtId="2" fontId="32" fillId="9" borderId="1" xfId="0" applyNumberFormat="1" applyFont="1" applyFill="1" applyBorder="1" applyAlignment="1">
      <alignment horizontal="center" vertical="center" wrapText="1"/>
    </xf>
    <xf numFmtId="0" fontId="0" fillId="9" borderId="1" xfId="0" applyFill="1" applyBorder="1" applyAlignment="1">
      <alignment horizontal="center" vertical="center"/>
    </xf>
    <xf numFmtId="0" fontId="32" fillId="9" borderId="1" xfId="0" applyFont="1" applyFill="1" applyBorder="1" applyAlignment="1">
      <alignment vertical="center"/>
    </xf>
    <xf numFmtId="2" fontId="47" fillId="0" borderId="1" xfId="0" applyNumberFormat="1" applyFont="1" applyBorder="1" applyAlignment="1">
      <alignment horizontal="center" vertical="center" wrapText="1"/>
    </xf>
    <xf numFmtId="0" fontId="47" fillId="9" borderId="1" xfId="0" applyFont="1" applyFill="1" applyBorder="1" applyAlignment="1">
      <alignment horizontal="center" vertical="center" wrapText="1"/>
    </xf>
    <xf numFmtId="0" fontId="87" fillId="7" borderId="1" xfId="54" applyFont="1" applyFill="1" applyBorder="1" applyAlignment="1">
      <alignment horizontal="center" vertical="center" wrapText="1"/>
    </xf>
    <xf numFmtId="2" fontId="0" fillId="0" borderId="1" xfId="0" applyNumberFormat="1" applyBorder="1" applyAlignment="1">
      <alignment horizontal="center" vertical="center" wrapText="1"/>
    </xf>
    <xf numFmtId="0" fontId="60" fillId="0" borderId="0" xfId="54" applyAlignment="1">
      <alignment wrapText="1"/>
    </xf>
    <xf numFmtId="0" fontId="32" fillId="0" borderId="1" xfId="0" quotePrefix="1" applyFont="1" applyBorder="1" applyAlignment="1">
      <alignment horizontal="center" vertical="center" wrapText="1"/>
    </xf>
    <xf numFmtId="0" fontId="63" fillId="0" borderId="1" xfId="0" applyFont="1" applyBorder="1" applyAlignment="1">
      <alignment vertical="center"/>
    </xf>
    <xf numFmtId="2" fontId="32" fillId="7" borderId="8" xfId="0" applyNumberFormat="1" applyFont="1" applyFill="1" applyBorder="1" applyAlignment="1">
      <alignment horizontal="center" vertical="center" wrapText="1"/>
    </xf>
    <xf numFmtId="0" fontId="60" fillId="0" borderId="0" xfId="54" applyAlignment="1">
      <alignment horizontal="center" vertical="center"/>
    </xf>
    <xf numFmtId="2" fontId="0" fillId="9" borderId="1" xfId="0" applyNumberFormat="1" applyFill="1" applyBorder="1" applyAlignment="1">
      <alignment horizontal="center" vertical="center" wrapText="1"/>
    </xf>
    <xf numFmtId="0" fontId="60" fillId="9" borderId="1" xfId="54" applyFill="1" applyBorder="1" applyAlignment="1">
      <alignment horizontal="center" vertical="center"/>
    </xf>
    <xf numFmtId="0" fontId="32" fillId="9" borderId="1" xfId="54" applyFont="1" applyFill="1" applyBorder="1" applyAlignment="1">
      <alignment horizontal="center" vertical="center" wrapText="1"/>
    </xf>
    <xf numFmtId="2" fontId="47" fillId="9" borderId="1" xfId="0" applyNumberFormat="1" applyFont="1" applyFill="1" applyBorder="1" applyAlignment="1">
      <alignment horizontal="center" vertical="center" wrapText="1"/>
    </xf>
    <xf numFmtId="0" fontId="85" fillId="9" borderId="0" xfId="0" applyFont="1" applyFill="1" applyAlignment="1">
      <alignment horizontal="center" vertical="center" wrapText="1"/>
    </xf>
    <xf numFmtId="0" fontId="84" fillId="9" borderId="0" xfId="0" applyFont="1" applyFill="1" applyAlignment="1">
      <alignment horizontal="center" vertical="center" wrapText="1"/>
    </xf>
    <xf numFmtId="2" fontId="84" fillId="9" borderId="0" xfId="0" applyNumberFormat="1" applyFont="1" applyFill="1" applyAlignment="1">
      <alignment horizontal="center" vertical="center" wrapText="1"/>
    </xf>
    <xf numFmtId="0" fontId="88" fillId="9" borderId="0" xfId="54" applyFont="1" applyFill="1" applyAlignment="1">
      <alignment horizontal="center" vertical="center" wrapText="1"/>
    </xf>
    <xf numFmtId="0" fontId="84" fillId="9" borderId="0" xfId="0" applyFont="1" applyFill="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wrapText="1"/>
    </xf>
    <xf numFmtId="2" fontId="31" fillId="12" borderId="0" xfId="0" applyNumberFormat="1" applyFont="1" applyFill="1" applyAlignment="1">
      <alignment horizontal="center" vertical="center" wrapText="1"/>
    </xf>
    <xf numFmtId="0" fontId="61" fillId="0" borderId="0" xfId="0" applyFont="1" applyAlignment="1">
      <alignment horizontal="center" vertical="center" wrapText="1"/>
    </xf>
    <xf numFmtId="0" fontId="62" fillId="0" borderId="0" xfId="0" applyFont="1" applyAlignment="1">
      <alignment horizontal="center" vertical="center" wrapText="1"/>
    </xf>
    <xf numFmtId="0" fontId="16" fillId="9" borderId="30" xfId="0" applyFont="1" applyFill="1" applyBorder="1" applyAlignment="1">
      <alignment horizontal="center" vertical="center"/>
    </xf>
    <xf numFmtId="0" fontId="10" fillId="9" borderId="0" xfId="0" applyFont="1" applyFill="1" applyAlignment="1">
      <alignment vertical="center"/>
    </xf>
    <xf numFmtId="0" fontId="31" fillId="63" borderId="9" xfId="0" applyFont="1" applyFill="1" applyBorder="1" applyAlignment="1">
      <alignment horizontal="center" vertical="center" wrapText="1"/>
    </xf>
    <xf numFmtId="0" fontId="83" fillId="0" borderId="4" xfId="0" applyFont="1" applyBorder="1" applyAlignment="1">
      <alignment horizontal="center" vertical="center" wrapText="1"/>
    </xf>
    <xf numFmtId="0" fontId="83" fillId="9" borderId="4" xfId="0" applyFont="1" applyFill="1" applyBorder="1" applyAlignment="1">
      <alignment horizontal="center" vertical="center" wrapText="1"/>
    </xf>
    <xf numFmtId="0" fontId="35" fillId="0" borderId="4" xfId="0" applyFont="1" applyBorder="1" applyAlignment="1">
      <alignment horizontal="center" vertical="center" wrapText="1"/>
    </xf>
    <xf numFmtId="0" fontId="32" fillId="9" borderId="4" xfId="0" applyFont="1" applyFill="1" applyBorder="1" applyAlignment="1">
      <alignment horizontal="center" vertical="center" wrapText="1"/>
    </xf>
    <xf numFmtId="0" fontId="87" fillId="7" borderId="4" xfId="54" applyFont="1" applyFill="1" applyBorder="1" applyAlignment="1">
      <alignment horizontal="center" vertical="center" wrapText="1"/>
    </xf>
    <xf numFmtId="0" fontId="0" fillId="0" borderId="4" xfId="0" applyBorder="1" applyAlignment="1">
      <alignment horizontal="center" vertical="center" wrapText="1"/>
    </xf>
    <xf numFmtId="0" fontId="32" fillId="7" borderId="4" xfId="0" applyFont="1" applyFill="1" applyBorder="1" applyAlignment="1">
      <alignment horizontal="center" vertical="center" wrapText="1"/>
    </xf>
    <xf numFmtId="0" fontId="31" fillId="63" borderId="1" xfId="0" applyFont="1" applyFill="1" applyBorder="1" applyAlignment="1">
      <alignment horizontal="center" vertical="center" wrapText="1"/>
    </xf>
    <xf numFmtId="44" fontId="28" fillId="51" borderId="30" xfId="1" applyFont="1" applyFill="1" applyBorder="1" applyAlignment="1" applyProtection="1">
      <alignment vertical="top"/>
      <protection locked="0"/>
    </xf>
    <xf numFmtId="0" fontId="22" fillId="10" borderId="0" xfId="0" applyFont="1" applyFill="1" applyAlignment="1" applyProtection="1">
      <alignment vertical="top"/>
      <protection locked="0"/>
    </xf>
    <xf numFmtId="0" fontId="22" fillId="10" borderId="25" xfId="0" applyFont="1" applyFill="1" applyBorder="1" applyAlignment="1" applyProtection="1">
      <alignment vertical="top"/>
      <protection locked="0"/>
    </xf>
    <xf numFmtId="0" fontId="22" fillId="51" borderId="0" xfId="0" applyFont="1" applyFill="1" applyAlignment="1" applyProtection="1">
      <alignment vertical="center"/>
      <protection locked="0"/>
    </xf>
    <xf numFmtId="0" fontId="19" fillId="10" borderId="0" xfId="0" applyFont="1" applyFill="1" applyAlignment="1" applyProtection="1">
      <alignment horizontal="left"/>
      <protection locked="0"/>
    </xf>
    <xf numFmtId="0" fontId="19" fillId="10" borderId="41" xfId="0" applyFont="1" applyFill="1" applyBorder="1" applyAlignment="1" applyProtection="1">
      <alignment horizontal="left"/>
      <protection locked="0"/>
    </xf>
    <xf numFmtId="0" fontId="19" fillId="50" borderId="41" xfId="0" applyFont="1" applyFill="1" applyBorder="1" applyAlignment="1" applyProtection="1">
      <alignment horizontal="center"/>
      <protection hidden="1"/>
    </xf>
    <xf numFmtId="4" fontId="19" fillId="50" borderId="40" xfId="2" applyNumberFormat="1" applyFont="1" applyFill="1" applyBorder="1" applyAlignment="1" applyProtection="1">
      <alignment horizontal="center"/>
      <protection hidden="1"/>
    </xf>
    <xf numFmtId="0" fontId="19" fillId="50" borderId="40" xfId="0" applyFont="1" applyFill="1" applyBorder="1" applyAlignment="1" applyProtection="1">
      <alignment horizontal="center"/>
      <protection hidden="1"/>
    </xf>
    <xf numFmtId="0" fontId="19" fillId="50" borderId="44" xfId="0" applyFont="1" applyFill="1" applyBorder="1" applyAlignment="1" applyProtection="1">
      <alignment horizontal="center"/>
      <protection hidden="1"/>
    </xf>
    <xf numFmtId="0" fontId="13" fillId="62" borderId="44" xfId="0" applyFont="1" applyFill="1" applyBorder="1" applyAlignment="1" applyProtection="1">
      <alignment vertical="center"/>
      <protection locked="0"/>
    </xf>
    <xf numFmtId="0" fontId="13" fillId="62" borderId="44" xfId="0" applyFont="1" applyFill="1" applyBorder="1" applyAlignment="1" applyProtection="1">
      <alignment vertical="center"/>
      <protection locked="0" hidden="1"/>
    </xf>
    <xf numFmtId="0" fontId="13" fillId="62" borderId="44" xfId="0" applyFont="1" applyFill="1" applyBorder="1" applyAlignment="1" applyProtection="1">
      <alignment horizontal="center" vertical="top" wrapText="1"/>
      <protection locked="0"/>
    </xf>
    <xf numFmtId="0" fontId="35" fillId="60" borderId="1" xfId="10" applyFont="1" applyFill="1" applyBorder="1" applyAlignment="1">
      <alignment horizontal="left" wrapText="1"/>
    </xf>
    <xf numFmtId="0" fontId="18" fillId="9" borderId="0" xfId="0" applyFont="1" applyFill="1" applyAlignment="1">
      <alignment horizontal="left"/>
    </xf>
    <xf numFmtId="0" fontId="28" fillId="51" borderId="44" xfId="0" applyFont="1" applyFill="1" applyBorder="1" applyAlignment="1">
      <alignment horizontal="left"/>
    </xf>
    <xf numFmtId="0" fontId="19" fillId="54" borderId="24" xfId="0" applyFont="1" applyFill="1" applyBorder="1" applyAlignment="1" applyProtection="1">
      <alignment horizontal="left"/>
      <protection locked="0"/>
    </xf>
    <xf numFmtId="0" fontId="28" fillId="9" borderId="0" xfId="0" applyFont="1" applyFill="1" applyAlignment="1">
      <alignment horizontal="left"/>
    </xf>
    <xf numFmtId="44" fontId="22" fillId="51" borderId="0" xfId="1" applyFont="1" applyFill="1" applyBorder="1" applyAlignment="1">
      <alignment horizontal="center" vertical="top"/>
    </xf>
    <xf numFmtId="0" fontId="8" fillId="0" borderId="1" xfId="10" applyFont="1" applyBorder="1" applyAlignment="1">
      <alignment horizontal="left" wrapText="1"/>
    </xf>
    <xf numFmtId="0" fontId="8" fillId="0" borderId="23" xfId="10" applyFont="1" applyBorder="1" applyAlignment="1">
      <alignment wrapText="1"/>
    </xf>
    <xf numFmtId="0" fontId="8" fillId="0" borderId="12" xfId="10" applyFont="1" applyBorder="1" applyAlignment="1">
      <alignment wrapText="1"/>
    </xf>
    <xf numFmtId="0" fontId="8" fillId="15" borderId="13" xfId="11" applyFont="1" applyFill="1" applyBorder="1" applyAlignment="1">
      <alignment horizontal="center"/>
    </xf>
    <xf numFmtId="0" fontId="8" fillId="15" borderId="1" xfId="11" applyFont="1" applyFill="1" applyBorder="1" applyAlignment="1">
      <alignment horizontal="center"/>
    </xf>
    <xf numFmtId="164" fontId="8" fillId="15" borderId="1" xfId="2" applyNumberFormat="1" applyFont="1" applyFill="1" applyBorder="1" applyAlignment="1">
      <alignment horizontal="center"/>
    </xf>
    <xf numFmtId="168" fontId="8" fillId="15" borderId="1" xfId="11" applyNumberFormat="1" applyFont="1" applyFill="1" applyBorder="1" applyAlignment="1">
      <alignment horizontal="center"/>
    </xf>
    <xf numFmtId="0" fontId="8" fillId="60" borderId="1" xfId="11" applyFont="1" applyFill="1" applyBorder="1" applyAlignment="1">
      <alignment horizontal="right" wrapText="1"/>
    </xf>
    <xf numFmtId="164" fontId="8" fillId="60" borderId="1" xfId="2" applyNumberFormat="1" applyFont="1" applyFill="1" applyBorder="1" applyAlignment="1">
      <alignment horizontal="center" wrapText="1"/>
    </xf>
    <xf numFmtId="0" fontId="8" fillId="0" borderId="1" xfId="11" applyFont="1" applyBorder="1" applyAlignment="1">
      <alignment horizontal="right" wrapText="1"/>
    </xf>
    <xf numFmtId="0" fontId="8" fillId="0" borderId="1" xfId="11" applyFont="1" applyBorder="1" applyAlignment="1">
      <alignment wrapText="1"/>
    </xf>
    <xf numFmtId="164" fontId="8" fillId="0" borderId="1" xfId="2" applyNumberFormat="1" applyFont="1" applyFill="1" applyBorder="1" applyAlignment="1">
      <alignment horizontal="center" wrapText="1"/>
    </xf>
    <xf numFmtId="164" fontId="36" fillId="60" borderId="1" xfId="2" applyNumberFormat="1" applyFont="1" applyFill="1" applyBorder="1" applyAlignment="1">
      <alignment horizontal="center"/>
    </xf>
    <xf numFmtId="0" fontId="13" fillId="54" borderId="0" xfId="0" applyFont="1" applyFill="1" applyAlignment="1" applyProtection="1">
      <alignment horizontal="center" vertical="center"/>
      <protection locked="0"/>
    </xf>
    <xf numFmtId="0" fontId="22" fillId="50" borderId="45" xfId="0" applyFont="1" applyFill="1" applyBorder="1" applyAlignment="1" applyProtection="1">
      <alignment horizontal="center" vertical="center"/>
      <protection locked="0"/>
    </xf>
    <xf numFmtId="0" fontId="22" fillId="50" borderId="0" xfId="0" applyFont="1" applyFill="1" applyAlignment="1" applyProtection="1">
      <alignment horizontal="center" vertical="center"/>
      <protection locked="0"/>
    </xf>
    <xf numFmtId="0" fontId="22" fillId="50" borderId="46" xfId="0" applyFont="1" applyFill="1" applyBorder="1" applyAlignment="1" applyProtection="1">
      <alignment horizontal="center" vertical="center"/>
      <protection locked="0"/>
    </xf>
    <xf numFmtId="44" fontId="28" fillId="50" borderId="45" xfId="1" applyFont="1" applyFill="1" applyBorder="1" applyAlignment="1" applyProtection="1">
      <alignment vertical="center"/>
    </xf>
    <xf numFmtId="0" fontId="22" fillId="50" borderId="45" xfId="0" applyFont="1" applyFill="1" applyBorder="1" applyAlignment="1" applyProtection="1">
      <alignment vertical="center"/>
      <protection locked="0"/>
    </xf>
    <xf numFmtId="0" fontId="23" fillId="50" borderId="45" xfId="0" applyFont="1" applyFill="1" applyBorder="1" applyAlignment="1" applyProtection="1">
      <alignment vertical="center"/>
      <protection locked="0"/>
    </xf>
    <xf numFmtId="44" fontId="28" fillId="50" borderId="0" xfId="1" applyFont="1" applyFill="1" applyBorder="1" applyAlignment="1" applyProtection="1">
      <alignment vertical="center"/>
    </xf>
    <xf numFmtId="0" fontId="23" fillId="50" borderId="0" xfId="0" applyFont="1" applyFill="1" applyAlignment="1" applyProtection="1">
      <alignment vertical="center"/>
      <protection locked="0"/>
    </xf>
    <xf numFmtId="44" fontId="28" fillId="50" borderId="46" xfId="1" applyFont="1" applyFill="1" applyBorder="1" applyAlignment="1" applyProtection="1">
      <alignment vertical="center"/>
    </xf>
    <xf numFmtId="0" fontId="22" fillId="50" borderId="46" xfId="0" applyFont="1" applyFill="1" applyBorder="1" applyAlignment="1" applyProtection="1">
      <alignment vertical="center"/>
      <protection locked="0"/>
    </xf>
    <xf numFmtId="0" fontId="23" fillId="50" borderId="46" xfId="0" applyFont="1" applyFill="1" applyBorder="1" applyAlignment="1" applyProtection="1">
      <alignment vertical="center"/>
      <protection locked="0"/>
    </xf>
    <xf numFmtId="0" fontId="22" fillId="50" borderId="0" xfId="0" applyFont="1" applyFill="1" applyAlignment="1" applyProtection="1">
      <alignment vertical="center"/>
      <protection locked="0"/>
    </xf>
    <xf numFmtId="0" fontId="89" fillId="50" borderId="46" xfId="0" applyFont="1" applyFill="1" applyBorder="1" applyAlignment="1" applyProtection="1">
      <alignment vertical="center"/>
      <protection locked="0"/>
    </xf>
    <xf numFmtId="0" fontId="16" fillId="50" borderId="45" xfId="0" applyFont="1" applyFill="1" applyBorder="1" applyAlignment="1">
      <alignment vertical="center"/>
    </xf>
    <xf numFmtId="0" fontId="16" fillId="50" borderId="0" xfId="0" applyFont="1" applyFill="1" applyAlignment="1">
      <alignment vertical="center"/>
    </xf>
    <xf numFmtId="0" fontId="24" fillId="0" borderId="0" xfId="0" applyFont="1" applyAlignment="1">
      <alignment vertical="center"/>
    </xf>
    <xf numFmtId="0" fontId="17" fillId="50" borderId="45" xfId="0" applyFont="1" applyFill="1" applyBorder="1" applyAlignment="1">
      <alignment vertical="center"/>
    </xf>
    <xf numFmtId="0" fontId="17" fillId="50" borderId="46" xfId="0" applyFont="1" applyFill="1" applyBorder="1" applyAlignment="1">
      <alignment vertical="center"/>
    </xf>
    <xf numFmtId="0" fontId="17" fillId="50" borderId="46" xfId="0" applyFont="1" applyFill="1" applyBorder="1" applyAlignment="1">
      <alignment vertical="center" wrapText="1"/>
    </xf>
    <xf numFmtId="0" fontId="17" fillId="50" borderId="0" xfId="0" applyFont="1" applyFill="1" applyAlignment="1">
      <alignment vertical="center" wrapText="1"/>
    </xf>
    <xf numFmtId="0" fontId="17" fillId="50" borderId="0" xfId="0" applyFont="1" applyFill="1" applyAlignment="1">
      <alignment vertical="center"/>
    </xf>
    <xf numFmtId="0" fontId="22" fillId="50" borderId="25" xfId="0" applyFont="1" applyFill="1" applyBorder="1" applyAlignment="1">
      <alignment vertical="top"/>
    </xf>
    <xf numFmtId="0" fontId="28" fillId="50" borderId="25" xfId="0" applyFont="1" applyFill="1" applyBorder="1" applyAlignment="1" applyProtection="1">
      <alignment horizontal="center" vertical="top"/>
      <protection locked="0"/>
    </xf>
    <xf numFmtId="44" fontId="19" fillId="50" borderId="25" xfId="1" applyFont="1" applyFill="1" applyBorder="1" applyAlignment="1" applyProtection="1">
      <alignment vertical="top"/>
    </xf>
    <xf numFmtId="44" fontId="28" fillId="50" borderId="25" xfId="1" applyFont="1" applyFill="1" applyBorder="1" applyAlignment="1" applyProtection="1">
      <alignment vertical="top"/>
    </xf>
    <xf numFmtId="44" fontId="28" fillId="50" borderId="41" xfId="1" applyFont="1" applyFill="1" applyBorder="1" applyAlignment="1" applyProtection="1">
      <alignment vertical="top"/>
    </xf>
    <xf numFmtId="0" fontId="22" fillId="50" borderId="25" xfId="0" applyFont="1" applyFill="1" applyBorder="1" applyAlignment="1" applyProtection="1">
      <alignment horizontal="center" vertical="top"/>
      <protection locked="0"/>
    </xf>
    <xf numFmtId="0" fontId="22" fillId="50" borderId="41" xfId="0" applyFont="1" applyFill="1" applyBorder="1" applyAlignment="1" applyProtection="1">
      <alignment horizontal="center" vertical="top"/>
      <protection locked="0"/>
    </xf>
    <xf numFmtId="0" fontId="22" fillId="50" borderId="41" xfId="0" applyFont="1" applyFill="1" applyBorder="1" applyAlignment="1">
      <alignment vertical="top"/>
    </xf>
    <xf numFmtId="0" fontId="22" fillId="50" borderId="25" xfId="0" applyFont="1" applyFill="1" applyBorder="1" applyAlignment="1" applyProtection="1">
      <alignment vertical="top"/>
      <protection locked="0"/>
    </xf>
    <xf numFmtId="0" fontId="13" fillId="50" borderId="0" xfId="0" applyFont="1" applyFill="1"/>
    <xf numFmtId="0" fontId="13" fillId="9" borderId="0" xfId="0" applyFont="1" applyFill="1"/>
    <xf numFmtId="0" fontId="22" fillId="50" borderId="45" xfId="0" applyFont="1" applyFill="1" applyBorder="1" applyAlignment="1">
      <alignment vertical="center"/>
    </xf>
    <xf numFmtId="0" fontId="22" fillId="50" borderId="46" xfId="0" applyFont="1" applyFill="1" applyBorder="1" applyAlignment="1">
      <alignment vertical="center"/>
    </xf>
    <xf numFmtId="0" fontId="16" fillId="66" borderId="0" xfId="0" applyFont="1" applyFill="1" applyAlignment="1" applyProtection="1">
      <alignment horizontal="center" vertical="top"/>
      <protection locked="0"/>
    </xf>
    <xf numFmtId="0" fontId="13" fillId="6" borderId="0" xfId="0" applyFont="1" applyFill="1" applyAlignment="1" applyProtection="1">
      <alignment vertical="center"/>
      <protection locked="0"/>
    </xf>
    <xf numFmtId="0" fontId="13" fillId="54" borderId="0" xfId="0" applyFont="1" applyFill="1" applyAlignment="1" applyProtection="1">
      <alignment vertical="center"/>
      <protection locked="0"/>
    </xf>
    <xf numFmtId="0" fontId="39" fillId="6" borderId="0" xfId="0" applyFont="1" applyFill="1" applyProtection="1">
      <protection locked="0" hidden="1"/>
    </xf>
    <xf numFmtId="0" fontId="32" fillId="57" borderId="38" xfId="0" applyFont="1" applyFill="1" applyBorder="1" applyAlignment="1">
      <alignment horizontal="center"/>
    </xf>
    <xf numFmtId="0" fontId="0" fillId="57" borderId="0" xfId="0" applyFill="1" applyAlignment="1">
      <alignment horizontal="center"/>
    </xf>
    <xf numFmtId="164" fontId="32" fillId="54" borderId="24" xfId="2" applyNumberFormat="1" applyFont="1" applyFill="1" applyBorder="1" applyAlignment="1" applyProtection="1">
      <alignment horizontal="center" vertical="center"/>
      <protection locked="0"/>
    </xf>
    <xf numFmtId="0" fontId="11" fillId="6" borderId="41" xfId="0" applyFont="1" applyFill="1" applyBorder="1" applyAlignment="1">
      <alignment horizontal="center" vertical="center"/>
    </xf>
    <xf numFmtId="0" fontId="11" fillId="6" borderId="0" xfId="0" applyFont="1" applyFill="1" applyAlignment="1">
      <alignment vertical="center"/>
    </xf>
    <xf numFmtId="0" fontId="11" fillId="6" borderId="42" xfId="0" applyFont="1" applyFill="1" applyBorder="1" applyAlignment="1">
      <alignment horizontal="center" vertical="center"/>
    </xf>
    <xf numFmtId="9" fontId="11" fillId="6" borderId="37" xfId="5" applyFont="1" applyFill="1" applyBorder="1" applyAlignment="1" applyProtection="1">
      <alignment vertical="center"/>
    </xf>
    <xf numFmtId="0" fontId="31" fillId="6" borderId="0" xfId="0" applyFont="1" applyFill="1" applyAlignment="1">
      <alignment horizontal="center"/>
    </xf>
    <xf numFmtId="0" fontId="12" fillId="13" borderId="0" xfId="0" applyFont="1" applyFill="1" applyAlignment="1">
      <alignment horizontal="center"/>
    </xf>
    <xf numFmtId="0" fontId="32" fillId="9" borderId="0" xfId="0" applyFont="1" applyFill="1" applyProtection="1">
      <protection locked="0"/>
    </xf>
    <xf numFmtId="0" fontId="46" fillId="9" borderId="0" xfId="0" applyFont="1" applyFill="1" applyAlignment="1">
      <alignment horizontal="center" vertical="top"/>
    </xf>
    <xf numFmtId="0" fontId="12" fillId="9" borderId="0" xfId="0" applyFont="1" applyFill="1" applyAlignment="1">
      <alignment horizontal="center"/>
    </xf>
    <xf numFmtId="0" fontId="32" fillId="9" borderId="0" xfId="0" applyFont="1" applyFill="1"/>
    <xf numFmtId="0" fontId="32" fillId="9" borderId="0" xfId="0" applyFont="1" applyFill="1" applyAlignment="1">
      <alignment horizontal="center" wrapText="1"/>
    </xf>
    <xf numFmtId="0" fontId="63" fillId="6" borderId="0" xfId="2" applyNumberFormat="1" applyFont="1" applyFill="1" applyBorder="1" applyAlignment="1" applyProtection="1">
      <alignment horizontal="center"/>
    </xf>
    <xf numFmtId="0" fontId="17" fillId="6" borderId="0" xfId="0" applyFont="1" applyFill="1" applyAlignment="1">
      <alignment horizontal="right" vertical="top"/>
    </xf>
    <xf numFmtId="0" fontId="19" fillId="9" borderId="0" xfId="0" applyFont="1" applyFill="1" applyAlignment="1">
      <alignment horizontal="left" vertical="center"/>
    </xf>
    <xf numFmtId="0" fontId="16" fillId="6" borderId="30" xfId="0" applyFont="1" applyFill="1" applyBorder="1" applyAlignment="1">
      <alignment horizontal="left" vertical="center"/>
    </xf>
    <xf numFmtId="0" fontId="19" fillId="6" borderId="43" xfId="0" applyFont="1" applyFill="1" applyBorder="1" applyAlignment="1">
      <alignment vertical="center"/>
    </xf>
    <xf numFmtId="0" fontId="16" fillId="66" borderId="51" xfId="0" applyFont="1" applyFill="1" applyBorder="1" applyAlignment="1" applyProtection="1">
      <alignment horizontal="center" vertical="top"/>
      <protection locked="0"/>
    </xf>
    <xf numFmtId="0" fontId="0" fillId="9" borderId="52" xfId="0" applyFill="1" applyBorder="1"/>
    <xf numFmtId="0" fontId="0" fillId="9" borderId="51" xfId="0" applyFill="1" applyBorder="1" applyAlignment="1">
      <alignment horizontal="center"/>
    </xf>
    <xf numFmtId="0" fontId="0" fillId="9" borderId="55" xfId="0" applyFill="1" applyBorder="1"/>
    <xf numFmtId="0" fontId="22" fillId="9" borderId="45" xfId="0" applyFont="1" applyFill="1" applyBorder="1" applyAlignment="1">
      <alignment vertical="top"/>
    </xf>
    <xf numFmtId="0" fontId="32" fillId="9" borderId="45" xfId="0" applyFont="1" applyFill="1" applyBorder="1" applyAlignment="1">
      <alignment horizontal="center"/>
    </xf>
    <xf numFmtId="0" fontId="0" fillId="9" borderId="45" xfId="0" applyFill="1" applyBorder="1" applyAlignment="1">
      <alignment horizontal="center"/>
    </xf>
    <xf numFmtId="0" fontId="0" fillId="9" borderId="56" xfId="0" applyFill="1" applyBorder="1" applyAlignment="1">
      <alignment horizontal="center"/>
    </xf>
    <xf numFmtId="0" fontId="32" fillId="54" borderId="57" xfId="0" applyFont="1" applyFill="1" applyBorder="1" applyProtection="1">
      <protection locked="0"/>
    </xf>
    <xf numFmtId="0" fontId="23" fillId="54" borderId="57" xfId="0" applyFont="1" applyFill="1" applyBorder="1" applyAlignment="1" applyProtection="1">
      <alignment horizontal="right" vertical="top"/>
      <protection locked="0"/>
    </xf>
    <xf numFmtId="0" fontId="19" fillId="50" borderId="0" xfId="0" applyFont="1" applyFill="1" applyAlignment="1">
      <alignment wrapText="1"/>
    </xf>
    <xf numFmtId="0" fontId="13" fillId="51" borderId="44" xfId="0" applyFont="1" applyFill="1" applyBorder="1" applyAlignment="1" applyProtection="1">
      <alignment horizontal="center" vertical="center"/>
      <protection hidden="1"/>
    </xf>
    <xf numFmtId="0" fontId="69" fillId="11" borderId="0" xfId="0" applyFont="1" applyFill="1" applyAlignment="1">
      <alignment vertical="center" wrapText="1"/>
    </xf>
    <xf numFmtId="0" fontId="21" fillId="11" borderId="0" xfId="0" applyFont="1" applyFill="1" applyAlignment="1">
      <alignment vertical="center" wrapText="1"/>
    </xf>
    <xf numFmtId="0" fontId="21" fillId="11" borderId="41" xfId="0" applyFont="1" applyFill="1" applyBorder="1" applyAlignment="1">
      <alignment vertical="center" wrapText="1"/>
    </xf>
    <xf numFmtId="0" fontId="21" fillId="9" borderId="41" xfId="0" applyFont="1" applyFill="1" applyBorder="1" applyAlignment="1">
      <alignment vertical="center" wrapText="1"/>
    </xf>
    <xf numFmtId="0" fontId="19" fillId="51" borderId="38" xfId="0" applyFont="1" applyFill="1" applyBorder="1" applyAlignment="1">
      <alignment vertical="center" wrapText="1"/>
    </xf>
    <xf numFmtId="0" fontId="19" fillId="51" borderId="41" xfId="0" applyFont="1" applyFill="1" applyBorder="1" applyAlignment="1">
      <alignment vertical="center" wrapText="1"/>
    </xf>
    <xf numFmtId="0" fontId="69" fillId="9" borderId="0" xfId="0" applyFont="1" applyFill="1" applyAlignment="1">
      <alignment vertical="center" wrapText="1"/>
    </xf>
    <xf numFmtId="0" fontId="21" fillId="9" borderId="0" xfId="0" applyFont="1" applyFill="1" applyAlignment="1">
      <alignment vertical="center" wrapText="1"/>
    </xf>
    <xf numFmtId="0" fontId="19" fillId="9" borderId="38" xfId="0" applyFont="1" applyFill="1" applyBorder="1" applyAlignment="1">
      <alignment vertical="center" wrapText="1"/>
    </xf>
    <xf numFmtId="0" fontId="19" fillId="9" borderId="41" xfId="0" applyFont="1" applyFill="1" applyBorder="1" applyAlignment="1">
      <alignment vertical="center" wrapText="1"/>
    </xf>
    <xf numFmtId="0" fontId="71" fillId="11" borderId="28" xfId="0" applyFont="1" applyFill="1" applyBorder="1" applyAlignment="1">
      <alignment vertical="center"/>
    </xf>
    <xf numFmtId="0" fontId="71" fillId="11" borderId="29" xfId="0" applyFont="1" applyFill="1" applyBorder="1" applyAlignment="1">
      <alignment vertical="center"/>
    </xf>
    <xf numFmtId="0" fontId="71" fillId="9" borderId="28" xfId="0" applyFont="1" applyFill="1" applyBorder="1" applyAlignment="1">
      <alignment vertical="center"/>
    </xf>
    <xf numFmtId="0" fontId="29" fillId="9" borderId="0" xfId="0" applyFont="1" applyFill="1" applyAlignment="1">
      <alignment horizontal="center" vertical="center" wrapText="1"/>
    </xf>
    <xf numFmtId="0" fontId="83" fillId="60" borderId="1" xfId="9" applyFont="1" applyFill="1" applyBorder="1" applyAlignment="1" applyProtection="1"/>
    <xf numFmtId="0" fontId="40" fillId="0" borderId="1" xfId="9" applyBorder="1" applyAlignment="1" applyProtection="1"/>
    <xf numFmtId="0" fontId="39" fillId="62" borderId="44" xfId="0" applyFont="1" applyFill="1" applyBorder="1" applyAlignment="1" applyProtection="1">
      <alignment horizontal="center" vertical="center"/>
      <protection locked="0" hidden="1"/>
    </xf>
    <xf numFmtId="0" fontId="3" fillId="0" borderId="1" xfId="3" applyFont="1" applyBorder="1" applyProtection="1">
      <protection locked="0"/>
    </xf>
    <xf numFmtId="0" fontId="32" fillId="9" borderId="0" xfId="0" applyFont="1" applyFill="1" applyAlignment="1">
      <alignment horizontal="center" vertical="center" wrapText="1"/>
    </xf>
    <xf numFmtId="0" fontId="32" fillId="7" borderId="1" xfId="54" applyFont="1" applyFill="1" applyBorder="1" applyAlignment="1">
      <alignment horizontal="center" vertical="center" wrapText="1"/>
    </xf>
    <xf numFmtId="164" fontId="0" fillId="0" borderId="0" xfId="7" applyNumberFormat="1" applyFont="1" applyFill="1" applyBorder="1" applyAlignment="1">
      <alignment vertical="top"/>
    </xf>
    <xf numFmtId="168" fontId="8" fillId="60" borderId="1" xfId="11" applyNumberFormat="1" applyFont="1" applyFill="1" applyBorder="1" applyAlignment="1">
      <alignment horizontal="center" wrapText="1"/>
    </xf>
    <xf numFmtId="168" fontId="8" fillId="0" borderId="1" xfId="11" applyNumberFormat="1" applyFont="1" applyBorder="1" applyAlignment="1">
      <alignment horizontal="center" wrapText="1"/>
    </xf>
    <xf numFmtId="168" fontId="48" fillId="0" borderId="1" xfId="11" applyNumberFormat="1" applyBorder="1" applyAlignment="1">
      <alignment horizontal="center"/>
    </xf>
    <xf numFmtId="168" fontId="48" fillId="60" borderId="1" xfId="11" applyNumberFormat="1" applyFill="1" applyBorder="1" applyAlignment="1">
      <alignment horizontal="center"/>
    </xf>
    <xf numFmtId="168" fontId="0" fillId="0" borderId="1" xfId="0" applyNumberFormat="1" applyBorder="1" applyAlignment="1">
      <alignment horizontal="center"/>
    </xf>
    <xf numFmtId="168" fontId="0" fillId="0" borderId="0" xfId="0" applyNumberFormat="1" applyAlignment="1">
      <alignment horizontal="center"/>
    </xf>
    <xf numFmtId="0" fontId="13" fillId="66" borderId="24" xfId="0" applyFont="1" applyFill="1" applyBorder="1" applyAlignment="1" applyProtection="1">
      <alignment vertical="center"/>
      <protection locked="0"/>
    </xf>
    <xf numFmtId="0" fontId="0" fillId="6" borderId="0" xfId="0" applyFill="1" applyProtection="1">
      <protection locked="0"/>
    </xf>
    <xf numFmtId="0" fontId="19" fillId="66" borderId="40" xfId="0" applyFont="1" applyFill="1" applyBorder="1" applyAlignment="1" applyProtection="1">
      <alignment horizontal="center"/>
      <protection locked="0"/>
    </xf>
    <xf numFmtId="0" fontId="3" fillId="9" borderId="0" xfId="0" applyFont="1" applyFill="1"/>
    <xf numFmtId="0" fontId="3" fillId="0" borderId="0" xfId="0" applyFont="1"/>
    <xf numFmtId="44" fontId="3" fillId="0" borderId="0" xfId="1" applyFont="1" applyAlignment="1"/>
    <xf numFmtId="0" fontId="3" fillId="0" borderId="0" xfId="0" applyFont="1" applyAlignment="1">
      <alignment vertical="center"/>
    </xf>
    <xf numFmtId="0" fontId="3" fillId="0" borderId="30" xfId="0" applyFont="1" applyBorder="1" applyAlignment="1">
      <alignment vertical="center"/>
    </xf>
    <xf numFmtId="0" fontId="3" fillId="0" borderId="41" xfId="0" applyFont="1" applyBorder="1" applyAlignment="1">
      <alignment vertical="center"/>
    </xf>
    <xf numFmtId="0" fontId="3" fillId="0" borderId="25" xfId="0" applyFont="1" applyBorder="1" applyAlignment="1">
      <alignment vertical="center"/>
    </xf>
    <xf numFmtId="0" fontId="3" fillId="10" borderId="0" xfId="0" applyFont="1" applyFill="1" applyAlignment="1" applyProtection="1">
      <alignment horizontal="center" vertical="center"/>
      <protection locked="0"/>
    </xf>
    <xf numFmtId="0" fontId="3" fillId="50" borderId="25" xfId="0" applyFont="1" applyFill="1" applyBorder="1" applyProtection="1">
      <protection locked="0"/>
    </xf>
    <xf numFmtId="0" fontId="3" fillId="55" borderId="25" xfId="0" applyFont="1" applyFill="1" applyBorder="1" applyProtection="1">
      <protection locked="0"/>
    </xf>
    <xf numFmtId="0" fontId="3" fillId="50" borderId="41" xfId="0" applyFont="1" applyFill="1" applyBorder="1" applyProtection="1">
      <protection locked="0"/>
    </xf>
    <xf numFmtId="4" fontId="3" fillId="0" borderId="0" xfId="2" applyNumberFormat="1" applyFont="1" applyAlignment="1">
      <alignment horizontal="center"/>
    </xf>
    <xf numFmtId="0" fontId="3" fillId="0" borderId="41" xfId="0" applyFont="1" applyBorder="1"/>
    <xf numFmtId="0" fontId="3" fillId="0" borderId="25" xfId="0" applyFont="1" applyBorder="1"/>
    <xf numFmtId="0" fontId="3" fillId="0" borderId="0" xfId="0" applyFont="1" applyProtection="1">
      <protection locked="0"/>
    </xf>
    <xf numFmtId="4" fontId="3" fillId="0" borderId="0" xfId="2" applyNumberFormat="1" applyFont="1" applyAlignment="1" applyProtection="1">
      <alignment horizontal="center"/>
      <protection locked="0"/>
    </xf>
    <xf numFmtId="44" fontId="3" fillId="0" borderId="0" xfId="1" applyFont="1" applyAlignment="1" applyProtection="1">
      <protection locked="0"/>
    </xf>
    <xf numFmtId="0" fontId="3" fillId="9" borderId="0" xfId="0" applyFont="1" applyFill="1" applyAlignment="1">
      <alignment horizontal="left"/>
    </xf>
    <xf numFmtId="44" fontId="3" fillId="9" borderId="0" xfId="1" applyFont="1" applyFill="1" applyAlignment="1" applyProtection="1"/>
    <xf numFmtId="0" fontId="3" fillId="9" borderId="0" xfId="0" applyFont="1" applyFill="1" applyAlignment="1">
      <alignment vertical="center"/>
    </xf>
    <xf numFmtId="0" fontId="3" fillId="51" borderId="44" xfId="0" applyFont="1" applyFill="1" applyBorder="1" applyAlignment="1">
      <alignment horizontal="center"/>
    </xf>
    <xf numFmtId="0" fontId="3" fillId="51" borderId="34" xfId="0" applyFont="1" applyFill="1" applyBorder="1" applyAlignment="1">
      <alignment horizontal="center"/>
    </xf>
    <xf numFmtId="0" fontId="3" fillId="9" borderId="0" xfId="0" applyFont="1" applyFill="1" applyAlignment="1">
      <alignment horizontal="center"/>
    </xf>
    <xf numFmtId="0" fontId="35" fillId="0" borderId="0" xfId="0" applyFont="1" applyAlignment="1">
      <alignment horizontal="center"/>
    </xf>
    <xf numFmtId="0" fontId="32" fillId="0" borderId="0" xfId="0" applyFont="1" applyAlignment="1">
      <alignment horizontal="center"/>
    </xf>
    <xf numFmtId="0" fontId="95" fillId="9" borderId="0" xfId="0" applyFont="1" applyFill="1"/>
    <xf numFmtId="0" fontId="8" fillId="9" borderId="1" xfId="3" applyFill="1" applyBorder="1" applyAlignment="1">
      <alignment vertical="top"/>
    </xf>
    <xf numFmtId="0" fontId="34" fillId="9" borderId="1" xfId="0" applyFont="1" applyFill="1" applyBorder="1"/>
    <xf numFmtId="0" fontId="97" fillId="0" borderId="1" xfId="3" applyFont="1" applyBorder="1"/>
    <xf numFmtId="0" fontId="97" fillId="0" borderId="1" xfId="3" applyFont="1" applyBorder="1" applyAlignment="1">
      <alignment vertical="top"/>
    </xf>
    <xf numFmtId="0" fontId="97" fillId="0" borderId="0" xfId="3" applyFont="1"/>
    <xf numFmtId="0" fontId="96" fillId="0" borderId="1" xfId="3" applyFont="1" applyBorder="1"/>
    <xf numFmtId="0" fontId="96" fillId="0" borderId="1" xfId="3" applyFont="1" applyBorder="1" applyAlignment="1">
      <alignment vertical="top"/>
    </xf>
    <xf numFmtId="164" fontId="95" fillId="0" borderId="1" xfId="7" applyNumberFormat="1" applyFont="1" applyBorder="1" applyAlignment="1">
      <alignment horizontal="center" vertical="top"/>
    </xf>
    <xf numFmtId="0" fontId="96" fillId="0" borderId="0" xfId="3" applyFont="1"/>
    <xf numFmtId="0" fontId="0" fillId="0" borderId="59" xfId="0" applyBorder="1"/>
    <xf numFmtId="0" fontId="8" fillId="0" borderId="8" xfId="11" applyFont="1" applyBorder="1" applyAlignment="1">
      <alignment horizontal="right" wrapText="1"/>
    </xf>
    <xf numFmtId="0" fontId="13" fillId="62" borderId="24" xfId="0" applyFont="1" applyFill="1" applyBorder="1" applyAlignment="1" applyProtection="1">
      <alignment horizontal="center" vertical="center"/>
      <protection locked="0" hidden="1"/>
    </xf>
    <xf numFmtId="0" fontId="13" fillId="62" borderId="26" xfId="0" applyFont="1" applyFill="1" applyBorder="1" applyAlignment="1" applyProtection="1">
      <alignment horizontal="center" vertical="center"/>
      <protection locked="0" hidden="1"/>
    </xf>
    <xf numFmtId="0" fontId="31" fillId="25" borderId="0" xfId="31" applyFont="1" applyAlignment="1" applyProtection="1">
      <alignment horizontal="center"/>
    </xf>
    <xf numFmtId="0" fontId="13" fillId="62" borderId="60" xfId="0" applyFont="1" applyFill="1" applyBorder="1" applyAlignment="1" applyProtection="1">
      <alignment horizontal="center" vertical="center"/>
      <protection locked="0" hidden="1"/>
    </xf>
    <xf numFmtId="0" fontId="13" fillId="62" borderId="61" xfId="0" applyFont="1" applyFill="1" applyBorder="1" applyAlignment="1" applyProtection="1">
      <alignment horizontal="center" vertical="center"/>
      <protection locked="0" hidden="1"/>
    </xf>
    <xf numFmtId="0" fontId="0" fillId="51" borderId="37" xfId="0" applyFill="1" applyBorder="1" applyAlignment="1" applyProtection="1">
      <alignment horizontal="center"/>
      <protection locked="0"/>
    </xf>
    <xf numFmtId="0" fontId="0" fillId="51" borderId="24" xfId="0" applyFill="1" applyBorder="1" applyAlignment="1" applyProtection="1">
      <alignment horizontal="center"/>
      <protection locked="0"/>
    </xf>
    <xf numFmtId="44" fontId="11" fillId="6" borderId="41" xfId="1" applyFont="1" applyFill="1" applyBorder="1" applyAlignment="1" applyProtection="1">
      <alignment horizontal="center" vertical="center"/>
    </xf>
    <xf numFmtId="0" fontId="38" fillId="0" borderId="2" xfId="0" applyFont="1" applyBorder="1" applyAlignment="1">
      <alignment horizontal="center" wrapText="1"/>
    </xf>
    <xf numFmtId="0" fontId="38" fillId="0" borderId="4" xfId="0" applyFont="1" applyBorder="1" applyAlignment="1">
      <alignment horizontal="center" wrapText="1"/>
    </xf>
    <xf numFmtId="0" fontId="0" fillId="51" borderId="40" xfId="0" applyFill="1" applyBorder="1" applyAlignment="1" applyProtection="1">
      <alignment horizontal="center"/>
      <protection locked="0"/>
    </xf>
    <xf numFmtId="0" fontId="30" fillId="2" borderId="0" xfId="0" applyFont="1" applyFill="1" applyAlignment="1">
      <alignment horizontal="left" vertical="top"/>
    </xf>
    <xf numFmtId="0" fontId="17" fillId="51" borderId="41" xfId="1" applyNumberFormat="1" applyFont="1" applyFill="1" applyBorder="1" applyAlignment="1" applyProtection="1">
      <alignment horizontal="center" vertical="top"/>
      <protection locked="0"/>
    </xf>
    <xf numFmtId="0" fontId="17" fillId="51" borderId="25" xfId="1" applyNumberFormat="1" applyFont="1" applyFill="1" applyBorder="1" applyAlignment="1" applyProtection="1">
      <alignment horizontal="center" vertical="top"/>
      <protection locked="0"/>
    </xf>
    <xf numFmtId="0" fontId="28" fillId="54" borderId="24" xfId="0" applyFont="1" applyFill="1" applyBorder="1" applyAlignment="1" applyProtection="1">
      <alignment horizontal="center"/>
      <protection locked="0"/>
    </xf>
    <xf numFmtId="44" fontId="6" fillId="3" borderId="41" xfId="1" applyFont="1" applyFill="1" applyBorder="1" applyAlignment="1" applyProtection="1">
      <alignment horizontal="center" vertical="center"/>
    </xf>
    <xf numFmtId="0" fontId="43" fillId="54" borderId="44" xfId="0" applyFont="1" applyFill="1" applyBorder="1" applyAlignment="1" applyProtection="1">
      <alignment horizontal="center"/>
      <protection locked="0"/>
    </xf>
    <xf numFmtId="44" fontId="6" fillId="3" borderId="41" xfId="1" applyFont="1" applyFill="1" applyBorder="1" applyAlignment="1">
      <alignment horizontal="center" vertical="center"/>
    </xf>
    <xf numFmtId="0" fontId="28" fillId="54" borderId="26" xfId="0" applyFont="1" applyFill="1" applyBorder="1" applyAlignment="1" applyProtection="1">
      <alignment horizontal="center"/>
      <protection locked="0"/>
    </xf>
    <xf numFmtId="0" fontId="16" fillId="10" borderId="0" xfId="0" applyFont="1" applyFill="1" applyAlignment="1">
      <alignment horizontal="center" vertical="center"/>
    </xf>
    <xf numFmtId="0" fontId="46" fillId="13" borderId="0" xfId="0" applyFont="1" applyFill="1" applyAlignment="1">
      <alignment horizontal="center" vertical="center"/>
    </xf>
    <xf numFmtId="44" fontId="6" fillId="3" borderId="0" xfId="1" applyFont="1" applyFill="1" applyBorder="1" applyAlignment="1" applyProtection="1">
      <alignment horizontal="center" vertical="center"/>
    </xf>
    <xf numFmtId="44" fontId="6" fillId="3" borderId="41" xfId="1" applyFont="1" applyFill="1" applyBorder="1" applyAlignment="1" applyProtection="1">
      <alignment horizontal="center" vertical="center" wrapText="1"/>
    </xf>
    <xf numFmtId="0" fontId="19" fillId="54" borderId="24" xfId="0" applyFont="1" applyFill="1" applyBorder="1" applyAlignment="1" applyProtection="1">
      <alignment horizontal="center"/>
      <protection locked="0"/>
    </xf>
    <xf numFmtId="0" fontId="19" fillId="54" borderId="26" xfId="0" applyFont="1" applyFill="1" applyBorder="1" applyAlignment="1" applyProtection="1">
      <alignment horizontal="center"/>
      <protection locked="0"/>
    </xf>
    <xf numFmtId="0" fontId="13" fillId="6" borderId="38"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13" fillId="62" borderId="44" xfId="0" applyFont="1" applyFill="1" applyBorder="1" applyAlignment="1" applyProtection="1">
      <alignment horizontal="center" vertical="center"/>
      <protection locked="0" hidden="1"/>
    </xf>
    <xf numFmtId="0" fontId="31" fillId="25" borderId="38" xfId="31" applyFont="1" applyBorder="1" applyAlignment="1" applyProtection="1">
      <alignment horizontal="center"/>
    </xf>
    <xf numFmtId="0" fontId="13" fillId="51" borderId="24" xfId="0" applyFont="1" applyFill="1" applyBorder="1" applyAlignment="1" applyProtection="1">
      <alignment horizontal="center" vertical="center"/>
      <protection hidden="1"/>
    </xf>
    <xf numFmtId="0" fontId="13" fillId="50" borderId="44" xfId="0" applyFont="1" applyFill="1" applyBorder="1" applyAlignment="1" applyProtection="1">
      <alignment horizontal="center" vertical="center"/>
      <protection hidden="1"/>
    </xf>
    <xf numFmtId="0" fontId="13" fillId="6" borderId="0" xfId="0" applyFont="1" applyFill="1" applyAlignment="1">
      <alignment horizontal="left" vertical="center"/>
    </xf>
    <xf numFmtId="0" fontId="13" fillId="6" borderId="41" xfId="0" applyFont="1" applyFill="1" applyBorder="1" applyAlignment="1">
      <alignment horizontal="left" vertical="center"/>
    </xf>
    <xf numFmtId="0" fontId="13" fillId="50" borderId="44" xfId="0" applyFont="1" applyFill="1" applyBorder="1" applyAlignment="1" applyProtection="1">
      <alignment vertical="center"/>
      <protection hidden="1"/>
    </xf>
    <xf numFmtId="0" fontId="13" fillId="0" borderId="0" xfId="0" applyFont="1" applyAlignment="1">
      <alignment horizontal="left" vertical="center" wrapText="1"/>
    </xf>
    <xf numFmtId="0" fontId="13" fillId="6" borderId="38" xfId="0" applyFont="1" applyFill="1" applyBorder="1" applyAlignment="1">
      <alignment horizontal="left" vertical="center"/>
    </xf>
    <xf numFmtId="2" fontId="32" fillId="0" borderId="8"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2" fillId="0" borderId="47" xfId="0" applyFont="1" applyBorder="1" applyAlignment="1">
      <alignment horizontal="center" vertical="center" wrapText="1"/>
    </xf>
    <xf numFmtId="0" fontId="98" fillId="66" borderId="0" xfId="0" applyFont="1" applyFill="1" applyAlignment="1">
      <alignment horizontal="left"/>
    </xf>
    <xf numFmtId="44" fontId="99" fillId="3" borderId="41" xfId="1" applyFont="1" applyFill="1" applyBorder="1" applyAlignment="1" applyProtection="1">
      <alignment horizontal="center" vertical="top" wrapText="1"/>
    </xf>
    <xf numFmtId="44" fontId="100" fillId="3" borderId="41" xfId="1" applyFont="1" applyFill="1" applyBorder="1" applyAlignment="1" applyProtection="1">
      <alignment horizontal="center" vertical="top" wrapText="1"/>
    </xf>
    <xf numFmtId="0" fontId="13" fillId="50" borderId="62" xfId="0" applyFont="1" applyFill="1" applyBorder="1" applyAlignment="1">
      <alignment horizontal="center" vertical="center" wrapText="1"/>
    </xf>
    <xf numFmtId="0" fontId="4" fillId="50" borderId="63" xfId="0" applyFont="1" applyFill="1" applyBorder="1" applyAlignment="1">
      <alignment horizontal="center" vertical="center" wrapText="1"/>
    </xf>
    <xf numFmtId="0" fontId="31" fillId="25" borderId="0" xfId="31" applyFont="1" applyBorder="1" applyAlignment="1" applyProtection="1">
      <alignment horizontal="center"/>
    </xf>
    <xf numFmtId="0" fontId="101" fillId="50" borderId="63" xfId="0" applyFont="1" applyFill="1" applyBorder="1" applyAlignment="1">
      <alignment horizontal="center" vertical="top" wrapText="1"/>
    </xf>
    <xf numFmtId="3" fontId="32" fillId="0" borderId="0" xfId="0" applyNumberFormat="1" applyFont="1" applyAlignment="1">
      <alignment horizontal="center"/>
    </xf>
    <xf numFmtId="3" fontId="32" fillId="0" borderId="0" xfId="2" applyNumberFormat="1" applyFont="1" applyFill="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32" fillId="0" borderId="1" xfId="0" applyFont="1" applyBorder="1" applyAlignment="1">
      <alignment horizontal="left" vertical="center"/>
    </xf>
    <xf numFmtId="49" fontId="32" fillId="0" borderId="1" xfId="0" applyNumberFormat="1" applyFont="1" applyBorder="1" applyAlignment="1">
      <alignment horizontal="center" vertical="center"/>
    </xf>
    <xf numFmtId="0" fontId="0" fillId="0" borderId="1" xfId="0" applyBorder="1" applyAlignment="1">
      <alignment horizontal="center"/>
    </xf>
    <xf numFmtId="0" fontId="0" fillId="9" borderId="1" xfId="0" applyFill="1" applyBorder="1" applyAlignment="1">
      <alignment horizontal="left" vertical="center"/>
    </xf>
    <xf numFmtId="0" fontId="0" fillId="0" borderId="1" xfId="0" applyBorder="1" applyAlignment="1">
      <alignment vertical="center"/>
    </xf>
    <xf numFmtId="0" fontId="0" fillId="0" borderId="47" xfId="0" applyBorder="1" applyAlignment="1">
      <alignment horizontal="left" vertical="center" wrapText="1"/>
    </xf>
    <xf numFmtId="0" fontId="31" fillId="68" borderId="1" xfId="0" applyFont="1" applyFill="1" applyBorder="1" applyAlignment="1">
      <alignment horizontal="center" vertical="top"/>
    </xf>
    <xf numFmtId="0" fontId="28" fillId="54" borderId="24" xfId="0" applyFont="1" applyFill="1" applyBorder="1" applyProtection="1">
      <protection locked="0"/>
    </xf>
    <xf numFmtId="44" fontId="6" fillId="0" borderId="41" xfId="1" applyFont="1" applyFill="1" applyBorder="1" applyAlignment="1" applyProtection="1">
      <alignment vertical="center" wrapText="1"/>
    </xf>
    <xf numFmtId="0" fontId="28" fillId="0" borderId="26" xfId="0" applyFont="1" applyBorder="1" applyProtection="1">
      <protection locked="0"/>
    </xf>
    <xf numFmtId="0" fontId="103" fillId="3" borderId="0" xfId="1" applyNumberFormat="1" applyFont="1" applyFill="1" applyBorder="1" applyAlignment="1" applyProtection="1">
      <alignment horizontal="center" vertical="center" wrapText="1"/>
    </xf>
    <xf numFmtId="0" fontId="104" fillId="0" borderId="0" xfId="0" applyFont="1"/>
    <xf numFmtId="43" fontId="32" fillId="0" borderId="1" xfId="2" applyFont="1" applyBorder="1" applyAlignment="1" applyProtection="1">
      <alignment horizontal="right"/>
      <protection locked="0"/>
    </xf>
    <xf numFmtId="166" fontId="32" fillId="0" borderId="1" xfId="2" applyNumberFormat="1" applyFont="1" applyBorder="1" applyAlignment="1" applyProtection="1">
      <alignment horizontal="right"/>
      <protection locked="0"/>
    </xf>
    <xf numFmtId="1" fontId="35" fillId="0" borderId="1" xfId="2" applyNumberFormat="1" applyFont="1" applyBorder="1" applyAlignment="1">
      <alignment vertical="top"/>
    </xf>
    <xf numFmtId="0" fontId="104" fillId="0" borderId="1" xfId="0" applyFont="1" applyBorder="1"/>
    <xf numFmtId="10" fontId="35" fillId="0" borderId="1" xfId="5" applyNumberFormat="1" applyFont="1" applyBorder="1"/>
    <xf numFmtId="164" fontId="0" fillId="0" borderId="1" xfId="2" applyNumberFormat="1" applyFont="1" applyBorder="1"/>
    <xf numFmtId="43" fontId="0" fillId="0" borderId="1" xfId="2" applyFont="1" applyBorder="1"/>
    <xf numFmtId="49" fontId="0" fillId="0" borderId="1" xfId="0" applyNumberFormat="1" applyBorder="1"/>
    <xf numFmtId="10" fontId="8" fillId="0" borderId="1" xfId="5" applyNumberFormat="1" applyFont="1" applyBorder="1"/>
    <xf numFmtId="43" fontId="32" fillId="0" borderId="1" xfId="2" applyFont="1" applyFill="1" applyBorder="1" applyAlignment="1" applyProtection="1">
      <alignment horizontal="right"/>
      <protection locked="0"/>
    </xf>
    <xf numFmtId="164" fontId="32" fillId="0" borderId="1" xfId="2" applyNumberFormat="1" applyFont="1" applyFill="1" applyBorder="1" applyAlignment="1" applyProtection="1">
      <alignment horizontal="right"/>
      <protection locked="0"/>
    </xf>
    <xf numFmtId="164" fontId="47" fillId="0" borderId="1" xfId="2" applyNumberFormat="1" applyFont="1" applyFill="1" applyBorder="1"/>
    <xf numFmtId="168" fontId="8" fillId="0" borderId="2" xfId="11" applyNumberFormat="1" applyFont="1" applyBorder="1" applyAlignment="1">
      <alignment horizontal="center" wrapText="1"/>
    </xf>
    <xf numFmtId="164" fontId="39" fillId="9" borderId="0" xfId="2" applyNumberFormat="1" applyFont="1" applyFill="1" applyBorder="1" applyAlignment="1" applyProtection="1">
      <alignment horizontal="center"/>
      <protection locked="0"/>
    </xf>
    <xf numFmtId="0" fontId="12" fillId="11" borderId="0" xfId="0" applyFont="1" applyFill="1"/>
    <xf numFmtId="0" fontId="22" fillId="51" borderId="52" xfId="0" applyFont="1" applyFill="1" applyBorder="1" applyAlignment="1" applyProtection="1">
      <alignment horizontal="center" vertical="top" wrapText="1"/>
      <protection locked="0"/>
    </xf>
    <xf numFmtId="0" fontId="22" fillId="51" borderId="0" xfId="0" applyFont="1" applyFill="1" applyAlignment="1" applyProtection="1">
      <alignment horizontal="center" vertical="top" wrapText="1"/>
      <protection locked="0"/>
    </xf>
    <xf numFmtId="0" fontId="22" fillId="51" borderId="51" xfId="0" applyFont="1" applyFill="1" applyBorder="1" applyAlignment="1" applyProtection="1">
      <alignment horizontal="center" vertical="top" wrapText="1"/>
      <protection locked="0"/>
    </xf>
    <xf numFmtId="0" fontId="22" fillId="0" borderId="52" xfId="0" applyFont="1" applyBorder="1" applyAlignment="1" applyProtection="1">
      <alignment horizontal="center" vertical="top" wrapText="1"/>
      <protection locked="0"/>
    </xf>
    <xf numFmtId="0" fontId="22" fillId="0" borderId="0" xfId="0" applyFont="1" applyAlignment="1" applyProtection="1">
      <alignment horizontal="center" vertical="top" wrapText="1"/>
      <protection locked="0"/>
    </xf>
    <xf numFmtId="0" fontId="22" fillId="0" borderId="51" xfId="0" applyFont="1" applyBorder="1" applyAlignment="1" applyProtection="1">
      <alignment horizontal="center" vertical="top" wrapText="1"/>
      <protection locked="0"/>
    </xf>
    <xf numFmtId="0" fontId="46" fillId="13" borderId="0" xfId="0" applyFont="1" applyFill="1" applyAlignment="1">
      <alignment horizontal="center" vertical="center" wrapText="1"/>
    </xf>
    <xf numFmtId="0" fontId="22" fillId="0" borderId="0" xfId="0" applyFont="1" applyAlignment="1" applyProtection="1">
      <alignment horizontal="left" vertical="top" wrapText="1"/>
      <protection locked="0"/>
    </xf>
    <xf numFmtId="0" fontId="46" fillId="13" borderId="34" xfId="0" applyFont="1" applyFill="1" applyBorder="1" applyAlignment="1">
      <alignment horizontal="center" vertical="center"/>
    </xf>
    <xf numFmtId="0" fontId="32" fillId="10" borderId="57" xfId="0" applyFont="1" applyFill="1" applyBorder="1" applyProtection="1">
      <protection locked="0"/>
    </xf>
    <xf numFmtId="0" fontId="46" fillId="13" borderId="30" xfId="0" applyFont="1" applyFill="1" applyBorder="1" applyAlignment="1">
      <alignment horizontal="center" vertical="center"/>
    </xf>
    <xf numFmtId="0" fontId="46" fillId="13" borderId="0" xfId="0" applyFont="1" applyFill="1" applyAlignment="1" applyProtection="1">
      <alignment horizontal="center" vertical="center"/>
      <protection locked="0"/>
    </xf>
    <xf numFmtId="0" fontId="46" fillId="13" borderId="35" xfId="0" applyFont="1" applyFill="1" applyBorder="1" applyAlignment="1">
      <alignment horizontal="center" vertical="center"/>
    </xf>
    <xf numFmtId="0" fontId="46" fillId="0" borderId="0" xfId="0" applyFont="1" applyAlignment="1">
      <alignment horizontal="center" vertical="top"/>
    </xf>
    <xf numFmtId="0" fontId="12" fillId="0" borderId="0" xfId="0" applyFont="1" applyAlignment="1">
      <alignment horizontal="center"/>
    </xf>
    <xf numFmtId="0" fontId="32" fillId="10" borderId="57" xfId="0" applyFont="1" applyFill="1" applyBorder="1"/>
    <xf numFmtId="0" fontId="32" fillId="10" borderId="57" xfId="0" applyFont="1" applyFill="1" applyBorder="1" applyAlignment="1">
      <alignment horizontal="center" vertical="top"/>
    </xf>
    <xf numFmtId="0" fontId="46" fillId="6" borderId="0" xfId="0" applyFont="1" applyFill="1" applyAlignment="1">
      <alignment horizontal="center" vertical="top"/>
    </xf>
    <xf numFmtId="0" fontId="24" fillId="6" borderId="0" xfId="0" applyFont="1" applyFill="1" applyAlignment="1">
      <alignment horizontal="center"/>
    </xf>
    <xf numFmtId="0" fontId="16" fillId="66" borderId="51" xfId="0" applyFont="1" applyFill="1" applyBorder="1" applyAlignment="1" applyProtection="1">
      <alignment horizontal="center" vertical="center"/>
      <protection locked="0"/>
    </xf>
    <xf numFmtId="0" fontId="22" fillId="62" borderId="51" xfId="0" applyFont="1" applyFill="1" applyBorder="1" applyAlignment="1" applyProtection="1">
      <alignment horizontal="center" vertical="top" wrapText="1"/>
      <protection locked="0"/>
    </xf>
    <xf numFmtId="164" fontId="39" fillId="0" borderId="0" xfId="2" applyNumberFormat="1" applyFont="1" applyFill="1" applyBorder="1" applyAlignment="1" applyProtection="1">
      <alignment horizontal="center"/>
      <protection locked="0"/>
    </xf>
    <xf numFmtId="0" fontId="19" fillId="59" borderId="40" xfId="0" applyFont="1" applyFill="1" applyBorder="1" applyAlignment="1" applyProtection="1">
      <alignment horizontal="center"/>
      <protection locked="0"/>
    </xf>
    <xf numFmtId="0" fontId="22" fillId="62" borderId="45" xfId="0" applyFont="1" applyFill="1" applyBorder="1" applyAlignment="1" applyProtection="1">
      <alignment vertical="center"/>
      <protection locked="0"/>
    </xf>
    <xf numFmtId="0" fontId="34" fillId="0" borderId="1" xfId="0" applyFont="1" applyBorder="1" applyAlignment="1">
      <alignment horizontal="center" vertical="center"/>
    </xf>
    <xf numFmtId="0" fontId="31" fillId="25" borderId="1" xfId="31" applyFont="1" applyBorder="1" applyAlignment="1" applyProtection="1">
      <alignment horizontal="center" vertical="center"/>
    </xf>
    <xf numFmtId="0" fontId="0" fillId="7" borderId="1" xfId="0" applyFill="1" applyBorder="1" applyAlignment="1">
      <alignment horizontal="center" vertical="center"/>
    </xf>
    <xf numFmtId="0" fontId="47" fillId="0" borderId="1" xfId="0" applyFont="1" applyBorder="1" applyAlignment="1">
      <alignment horizontal="center" vertical="center"/>
    </xf>
    <xf numFmtId="164" fontId="11" fillId="6" borderId="62" xfId="2" applyNumberFormat="1" applyFont="1" applyFill="1" applyBorder="1" applyAlignment="1" applyProtection="1">
      <alignment horizontal="center"/>
      <protection locked="0"/>
    </xf>
    <xf numFmtId="164" fontId="11" fillId="10" borderId="0" xfId="2" applyNumberFormat="1" applyFont="1" applyFill="1" applyBorder="1" applyAlignment="1" applyProtection="1">
      <protection locked="0"/>
    </xf>
    <xf numFmtId="0" fontId="105" fillId="9" borderId="0" xfId="0" applyFont="1" applyFill="1" applyAlignment="1">
      <alignment horizontal="center" vertical="center" wrapText="1"/>
    </xf>
    <xf numFmtId="0" fontId="40" fillId="6" borderId="65" xfId="9" applyFill="1" applyBorder="1" applyAlignment="1" applyProtection="1">
      <alignment horizontal="center" vertical="center" wrapText="1"/>
    </xf>
    <xf numFmtId="0" fontId="40" fillId="60" borderId="1" xfId="9" applyFill="1" applyBorder="1" applyAlignment="1" applyProtection="1">
      <alignment vertical="center"/>
    </xf>
    <xf numFmtId="0" fontId="34" fillId="60" borderId="1" xfId="0" applyFont="1" applyFill="1" applyBorder="1" applyAlignment="1">
      <alignment vertical="center"/>
    </xf>
    <xf numFmtId="0" fontId="40" fillId="0" borderId="1" xfId="9" applyFill="1" applyBorder="1" applyAlignment="1" applyProtection="1"/>
    <xf numFmtId="0" fontId="2" fillId="0" borderId="1" xfId="3" applyFont="1" applyBorder="1"/>
    <xf numFmtId="0" fontId="8" fillId="9" borderId="1" xfId="3" applyFill="1" applyBorder="1"/>
    <xf numFmtId="0" fontId="8" fillId="0" borderId="72" xfId="3" applyBorder="1"/>
    <xf numFmtId="0" fontId="8" fillId="0" borderId="73" xfId="3" applyBorder="1"/>
    <xf numFmtId="0" fontId="2" fillId="0" borderId="1" xfId="0" applyFont="1" applyBorder="1" applyAlignment="1">
      <alignment horizontal="left"/>
    </xf>
    <xf numFmtId="0" fontId="37" fillId="9" borderId="1" xfId="0" applyFont="1" applyFill="1" applyBorder="1" applyAlignment="1">
      <alignment horizontal="left"/>
    </xf>
    <xf numFmtId="0" fontId="107" fillId="0" borderId="1" xfId="0" applyFont="1" applyBorder="1" applyAlignment="1">
      <alignment vertical="center"/>
    </xf>
    <xf numFmtId="0" fontId="35" fillId="0" borderId="1" xfId="0" applyFont="1" applyBorder="1" applyAlignment="1">
      <alignment vertical="center"/>
    </xf>
    <xf numFmtId="43" fontId="0" fillId="0" borderId="1" xfId="2" applyFont="1" applyBorder="1" applyAlignment="1" applyProtection="1">
      <alignment horizontal="right"/>
      <protection locked="0"/>
    </xf>
    <xf numFmtId="43" fontId="32" fillId="9" borderId="1" xfId="2" applyFont="1" applyFill="1" applyBorder="1" applyAlignment="1" applyProtection="1">
      <alignment horizontal="right"/>
      <protection locked="0"/>
    </xf>
    <xf numFmtId="43" fontId="32" fillId="7" borderId="1" xfId="2" applyFont="1" applyFill="1" applyBorder="1" applyAlignment="1" applyProtection="1">
      <alignment horizontal="right"/>
      <protection locked="0"/>
    </xf>
    <xf numFmtId="43" fontId="0" fillId="0" borderId="1" xfId="2" applyFont="1" applyFill="1" applyBorder="1"/>
    <xf numFmtId="43" fontId="32" fillId="0" borderId="0" xfId="2" applyFont="1" applyBorder="1" applyAlignment="1" applyProtection="1">
      <alignment horizontal="right"/>
      <protection locked="0"/>
    </xf>
    <xf numFmtId="43" fontId="32" fillId="0" borderId="1" xfId="2" applyFont="1" applyBorder="1"/>
    <xf numFmtId="43" fontId="32" fillId="0" borderId="4" xfId="2" applyFont="1" applyBorder="1" applyAlignment="1" applyProtection="1">
      <alignment horizontal="right"/>
      <protection locked="0"/>
    </xf>
    <xf numFmtId="43" fontId="0" fillId="0" borderId="4" xfId="2" applyFont="1" applyBorder="1"/>
    <xf numFmtId="43" fontId="0" fillId="7" borderId="1" xfId="2" applyFont="1" applyFill="1" applyBorder="1"/>
    <xf numFmtId="43" fontId="32" fillId="0" borderId="8" xfId="2" applyFont="1" applyBorder="1" applyAlignment="1" applyProtection="1">
      <alignment horizontal="right"/>
      <protection locked="0"/>
    </xf>
    <xf numFmtId="43" fontId="32" fillId="0" borderId="72" xfId="2" applyFont="1" applyBorder="1" applyAlignment="1" applyProtection="1">
      <alignment horizontal="right"/>
      <protection locked="0"/>
    </xf>
    <xf numFmtId="43" fontId="32" fillId="0" borderId="73" xfId="2" applyFont="1" applyBorder="1" applyAlignment="1" applyProtection="1">
      <alignment horizontal="right"/>
      <protection locked="0"/>
    </xf>
    <xf numFmtId="0" fontId="0" fillId="0" borderId="1" xfId="0" applyBorder="1" applyAlignment="1">
      <alignment horizontal="right"/>
    </xf>
    <xf numFmtId="0" fontId="47" fillId="0" borderId="1" xfId="0" applyFont="1" applyBorder="1"/>
    <xf numFmtId="0" fontId="34" fillId="0" borderId="1" xfId="0" applyFont="1" applyBorder="1" applyAlignment="1">
      <alignment horizontal="center"/>
    </xf>
    <xf numFmtId="49" fontId="37" fillId="9" borderId="1" xfId="0" applyNumberFormat="1" applyFont="1" applyFill="1" applyBorder="1" applyAlignment="1">
      <alignment horizontal="left"/>
    </xf>
    <xf numFmtId="0" fontId="34" fillId="0" borderId="72" xfId="0" applyFont="1" applyBorder="1"/>
    <xf numFmtId="0" fontId="34" fillId="0" borderId="73" xfId="0" applyFont="1" applyBorder="1"/>
    <xf numFmtId="0" fontId="108" fillId="0" borderId="1" xfId="3" applyFont="1" applyBorder="1" applyAlignment="1">
      <alignment vertical="top"/>
    </xf>
    <xf numFmtId="49" fontId="2" fillId="0" borderId="1" xfId="0" applyNumberFormat="1" applyFont="1" applyBorder="1" applyAlignment="1">
      <alignment horizontal="left"/>
    </xf>
    <xf numFmtId="167" fontId="108" fillId="0" borderId="1" xfId="0" applyNumberFormat="1" applyFont="1" applyBorder="1" applyAlignment="1">
      <alignment horizontal="right"/>
    </xf>
    <xf numFmtId="167" fontId="35" fillId="9" borderId="1" xfId="0" applyNumberFormat="1" applyFont="1" applyFill="1" applyBorder="1" applyAlignment="1">
      <alignment horizontal="right"/>
    </xf>
    <xf numFmtId="167" fontId="32" fillId="0" borderId="1" xfId="0" applyNumberFormat="1" applyFont="1" applyBorder="1"/>
    <xf numFmtId="167" fontId="2" fillId="0" borderId="1" xfId="0" applyNumberFormat="1" applyFont="1" applyBorder="1" applyAlignment="1">
      <alignment horizontal="right"/>
    </xf>
    <xf numFmtId="0" fontId="32" fillId="0" borderId="72" xfId="0" applyFont="1" applyBorder="1"/>
    <xf numFmtId="167" fontId="35" fillId="0" borderId="72" xfId="0" applyNumberFormat="1" applyFont="1" applyBorder="1" applyAlignment="1">
      <alignment horizontal="right"/>
    </xf>
    <xf numFmtId="0" fontId="32" fillId="0" borderId="73" xfId="0" applyFont="1" applyBorder="1"/>
    <xf numFmtId="167" fontId="35" fillId="0" borderId="73" xfId="0" applyNumberFormat="1" applyFont="1" applyBorder="1" applyAlignment="1">
      <alignment horizontal="right"/>
    </xf>
    <xf numFmtId="14" fontId="47" fillId="0" borderId="1" xfId="0" applyNumberFormat="1" applyFont="1" applyBorder="1" applyAlignment="1">
      <alignment horizontal="right"/>
    </xf>
    <xf numFmtId="14" fontId="32" fillId="9" borderId="1" xfId="0" applyNumberFormat="1" applyFont="1" applyFill="1" applyBorder="1" applyAlignment="1">
      <alignment horizontal="right"/>
    </xf>
    <xf numFmtId="17" fontId="0" fillId="0" borderId="1" xfId="0" applyNumberFormat="1" applyBorder="1"/>
    <xf numFmtId="17" fontId="32" fillId="0" borderId="1" xfId="0" applyNumberFormat="1" applyFont="1" applyBorder="1"/>
    <xf numFmtId="14" fontId="32" fillId="0" borderId="72" xfId="0" applyNumberFormat="1" applyFont="1" applyBorder="1" applyAlignment="1">
      <alignment horizontal="right"/>
    </xf>
    <xf numFmtId="14" fontId="32" fillId="0" borderId="73" xfId="0" applyNumberFormat="1" applyFont="1" applyBorder="1" applyAlignment="1">
      <alignment horizontal="right"/>
    </xf>
    <xf numFmtId="14" fontId="0" fillId="0" borderId="1" xfId="0" applyNumberFormat="1" applyBorder="1" applyAlignment="1">
      <alignment horizontal="center"/>
    </xf>
    <xf numFmtId="1" fontId="108" fillId="0" borderId="1" xfId="2" applyNumberFormat="1" applyFont="1" applyBorder="1" applyAlignment="1">
      <alignment vertical="top"/>
    </xf>
    <xf numFmtId="1" fontId="8" fillId="9" borderId="1" xfId="2" applyNumberFormat="1" applyFont="1" applyFill="1" applyBorder="1" applyAlignment="1">
      <alignment vertical="top"/>
    </xf>
    <xf numFmtId="1" fontId="32" fillId="0" borderId="1" xfId="2" applyNumberFormat="1" applyFont="1" applyBorder="1"/>
    <xf numFmtId="1" fontId="8" fillId="0" borderId="1" xfId="2" applyNumberFormat="1" applyFont="1" applyBorder="1"/>
    <xf numFmtId="1" fontId="0" fillId="0" borderId="1" xfId="2" applyNumberFormat="1" applyFont="1" applyBorder="1" applyAlignment="1">
      <alignment vertical="top"/>
    </xf>
    <xf numFmtId="1" fontId="0" fillId="7" borderId="1" xfId="2" applyNumberFormat="1" applyFont="1" applyFill="1" applyBorder="1" applyAlignment="1">
      <alignment vertical="top"/>
    </xf>
    <xf numFmtId="1" fontId="8" fillId="0" borderId="8" xfId="2" applyNumberFormat="1" applyFont="1" applyBorder="1" applyAlignment="1">
      <alignment vertical="top"/>
    </xf>
    <xf numFmtId="164" fontId="32" fillId="0" borderId="1" xfId="2" applyNumberFormat="1" applyFont="1" applyBorder="1" applyAlignment="1" applyProtection="1">
      <alignment horizontal="right"/>
      <protection locked="0"/>
    </xf>
    <xf numFmtId="166" fontId="47" fillId="0" borderId="1" xfId="2" applyNumberFormat="1" applyFont="1" applyBorder="1" applyAlignment="1" applyProtection="1">
      <alignment horizontal="right"/>
      <protection locked="0"/>
    </xf>
    <xf numFmtId="166" fontId="32" fillId="9" borderId="1" xfId="2" applyNumberFormat="1" applyFont="1" applyFill="1" applyBorder="1" applyAlignment="1" applyProtection="1">
      <alignment horizontal="right"/>
      <protection locked="0"/>
    </xf>
    <xf numFmtId="171" fontId="32" fillId="0" borderId="1" xfId="2" applyNumberFormat="1" applyFont="1" applyBorder="1" applyAlignment="1" applyProtection="1">
      <alignment horizontal="right"/>
      <protection locked="0"/>
    </xf>
    <xf numFmtId="0" fontId="32" fillId="0" borderId="1" xfId="2" applyNumberFormat="1" applyFont="1" applyBorder="1"/>
    <xf numFmtId="1" fontId="0" fillId="0" borderId="1" xfId="0" applyNumberFormat="1" applyBorder="1"/>
    <xf numFmtId="0" fontId="32" fillId="0" borderId="4" xfId="0" applyFont="1" applyBorder="1"/>
    <xf numFmtId="0" fontId="32" fillId="0" borderId="1" xfId="2" applyNumberFormat="1" applyFont="1" applyFill="1" applyBorder="1" applyAlignment="1" applyProtection="1">
      <alignment horizontal="right"/>
      <protection locked="0"/>
    </xf>
    <xf numFmtId="164" fontId="0" fillId="0" borderId="1" xfId="0" applyNumberFormat="1" applyBorder="1"/>
    <xf numFmtId="0" fontId="0" fillId="9" borderId="1" xfId="0" applyFill="1" applyBorder="1"/>
    <xf numFmtId="0" fontId="35" fillId="0" borderId="1" xfId="8" applyFont="1" applyBorder="1"/>
    <xf numFmtId="0" fontId="2" fillId="0" borderId="1" xfId="3" applyFont="1" applyBorder="1" applyAlignment="1">
      <alignment vertical="top"/>
    </xf>
    <xf numFmtId="0" fontId="8" fillId="0" borderId="6" xfId="3" applyBorder="1" applyAlignment="1">
      <alignment vertical="top"/>
    </xf>
    <xf numFmtId="10" fontId="0" fillId="0" borderId="1" xfId="6" applyNumberFormat="1" applyFont="1" applyBorder="1" applyAlignment="1">
      <alignment vertical="top"/>
    </xf>
    <xf numFmtId="10" fontId="32" fillId="0" borderId="1" xfId="6" applyNumberFormat="1" applyFont="1" applyBorder="1" applyAlignment="1">
      <alignment vertical="top"/>
    </xf>
    <xf numFmtId="164" fontId="47" fillId="0" borderId="1" xfId="2" applyNumberFormat="1" applyFont="1" applyBorder="1"/>
    <xf numFmtId="164" fontId="0" fillId="9" borderId="1" xfId="2" applyNumberFormat="1" applyFont="1" applyFill="1" applyBorder="1"/>
    <xf numFmtId="164" fontId="47" fillId="0" borderId="1" xfId="0" applyNumberFormat="1" applyFont="1" applyBorder="1"/>
    <xf numFmtId="9" fontId="8" fillId="0" borderId="1" xfId="5" applyFont="1" applyBorder="1"/>
    <xf numFmtId="164" fontId="32" fillId="0" borderId="1" xfId="2" applyNumberFormat="1" applyFont="1" applyBorder="1"/>
    <xf numFmtId="164" fontId="0" fillId="0" borderId="8" xfId="2" applyNumberFormat="1" applyFont="1" applyBorder="1"/>
    <xf numFmtId="0" fontId="0" fillId="0" borderId="72" xfId="0" applyBorder="1"/>
    <xf numFmtId="0" fontId="0" fillId="0" borderId="73" xfId="0" applyBorder="1"/>
    <xf numFmtId="0" fontId="28" fillId="0" borderId="1" xfId="3" applyFont="1" applyBorder="1" applyProtection="1">
      <protection locked="0"/>
    </xf>
    <xf numFmtId="0" fontId="32" fillId="0" borderId="1" xfId="3" applyFont="1" applyBorder="1" applyProtection="1">
      <protection locked="0"/>
    </xf>
    <xf numFmtId="0" fontId="35" fillId="0" borderId="0" xfId="0" applyFont="1" applyAlignment="1">
      <alignment horizontal="left"/>
    </xf>
    <xf numFmtId="0" fontId="35" fillId="0" borderId="73" xfId="0" applyFont="1" applyBorder="1" applyAlignment="1">
      <alignment horizontal="left"/>
    </xf>
    <xf numFmtId="0" fontId="35" fillId="0" borderId="72" xfId="0" applyFont="1" applyBorder="1" applyAlignment="1">
      <alignment horizontal="left"/>
    </xf>
    <xf numFmtId="43" fontId="0" fillId="7" borderId="4" xfId="2" applyFont="1" applyFill="1" applyBorder="1"/>
    <xf numFmtId="43" fontId="47" fillId="0" borderId="1" xfId="2" applyFont="1" applyBorder="1" applyAlignment="1" applyProtection="1">
      <alignment horizontal="right"/>
      <protection locked="0"/>
    </xf>
    <xf numFmtId="49" fontId="35" fillId="0" borderId="73" xfId="0" applyNumberFormat="1" applyFont="1" applyBorder="1" applyAlignment="1">
      <alignment horizontal="left"/>
    </xf>
    <xf numFmtId="49" fontId="35" fillId="0" borderId="72" xfId="0" applyNumberFormat="1" applyFont="1" applyBorder="1" applyAlignment="1">
      <alignment horizontal="left"/>
    </xf>
    <xf numFmtId="0" fontId="0" fillId="0" borderId="1" xfId="2" applyNumberFormat="1" applyFont="1" applyBorder="1"/>
    <xf numFmtId="0" fontId="8" fillId="0" borderId="73" xfId="8" applyFont="1" applyBorder="1"/>
    <xf numFmtId="0" fontId="8" fillId="0" borderId="72" xfId="8" applyFont="1" applyBorder="1"/>
    <xf numFmtId="10" fontId="8" fillId="0" borderId="72" xfId="5" applyNumberFormat="1" applyFont="1" applyBorder="1"/>
    <xf numFmtId="164" fontId="0" fillId="0" borderId="72" xfId="2" applyNumberFormat="1" applyFont="1" applyBorder="1"/>
    <xf numFmtId="0" fontId="8" fillId="0" borderId="0" xfId="3" applyAlignment="1">
      <alignment vertical="top"/>
    </xf>
    <xf numFmtId="0" fontId="0" fillId="0" borderId="1" xfId="0" applyBorder="1" applyAlignment="1">
      <alignment horizontal="left"/>
    </xf>
    <xf numFmtId="0" fontId="96" fillId="9" borderId="0" xfId="3" applyFont="1" applyFill="1"/>
    <xf numFmtId="0" fontId="32" fillId="9" borderId="1" xfId="0" applyFont="1" applyFill="1" applyBorder="1" applyAlignment="1">
      <alignment horizontal="left"/>
    </xf>
    <xf numFmtId="49" fontId="32" fillId="0" borderId="0" xfId="0" applyNumberFormat="1" applyFont="1" applyAlignment="1">
      <alignment horizontal="left"/>
    </xf>
    <xf numFmtId="1" fontId="8" fillId="0" borderId="73" xfId="2" applyNumberFormat="1" applyFont="1" applyBorder="1"/>
    <xf numFmtId="1" fontId="8" fillId="0" borderId="72" xfId="2" applyNumberFormat="1" applyFont="1" applyBorder="1"/>
    <xf numFmtId="0" fontId="0" fillId="0" borderId="4" xfId="0" applyBorder="1"/>
    <xf numFmtId="0" fontId="0" fillId="60" borderId="47" xfId="0" applyFill="1" applyBorder="1"/>
    <xf numFmtId="10" fontId="8" fillId="0" borderId="73" xfId="5" applyNumberFormat="1" applyFont="1" applyBorder="1"/>
    <xf numFmtId="164" fontId="0" fillId="0" borderId="73" xfId="2" applyNumberFormat="1" applyFont="1" applyBorder="1"/>
    <xf numFmtId="0" fontId="8" fillId="9" borderId="12" xfId="3" applyFill="1" applyBorder="1" applyAlignment="1">
      <alignment vertical="top"/>
    </xf>
    <xf numFmtId="0" fontId="8" fillId="60" borderId="12" xfId="3" applyFill="1" applyBorder="1" applyAlignment="1">
      <alignment vertical="top"/>
    </xf>
    <xf numFmtId="0" fontId="4" fillId="0" borderId="1" xfId="3" applyFont="1" applyBorder="1"/>
    <xf numFmtId="0" fontId="4" fillId="0" borderId="1" xfId="3" applyFont="1" applyBorder="1" applyAlignment="1">
      <alignment vertical="top"/>
    </xf>
    <xf numFmtId="0" fontId="4" fillId="0" borderId="1" xfId="8" applyFont="1" applyBorder="1"/>
    <xf numFmtId="0" fontId="4" fillId="0" borderId="1" xfId="0" applyFont="1" applyBorder="1"/>
    <xf numFmtId="0" fontId="4" fillId="9" borderId="1" xfId="0" applyFont="1" applyFill="1" applyBorder="1"/>
    <xf numFmtId="3" fontId="4" fillId="0" borderId="1" xfId="3" applyNumberFormat="1" applyFont="1" applyBorder="1" applyAlignment="1">
      <alignment horizontal="center" vertical="top"/>
    </xf>
    <xf numFmtId="3" fontId="4" fillId="0" borderId="1" xfId="2" applyNumberFormat="1" applyFont="1" applyBorder="1" applyAlignment="1">
      <alignment horizontal="center"/>
    </xf>
    <xf numFmtId="3" fontId="4" fillId="0" borderId="1" xfId="3" applyNumberFormat="1" applyFont="1" applyBorder="1" applyAlignment="1">
      <alignment horizontal="center"/>
    </xf>
    <xf numFmtId="3" fontId="4" fillId="0" borderId="1" xfId="7" applyNumberFormat="1" applyFont="1" applyBorder="1" applyAlignment="1">
      <alignment horizontal="center" vertical="top"/>
    </xf>
    <xf numFmtId="0" fontId="4" fillId="7" borderId="1" xfId="0" applyFont="1" applyFill="1" applyBorder="1"/>
    <xf numFmtId="0" fontId="4" fillId="9" borderId="1" xfId="0" applyFont="1" applyFill="1" applyBorder="1" applyAlignment="1">
      <alignment horizontal="left"/>
    </xf>
    <xf numFmtId="0" fontId="111" fillId="9" borderId="1" xfId="0" applyFont="1" applyFill="1" applyBorder="1"/>
    <xf numFmtId="0" fontId="62" fillId="9" borderId="1" xfId="0" applyFont="1" applyFill="1" applyBorder="1"/>
    <xf numFmtId="165" fontId="4" fillId="0" borderId="1" xfId="4" applyNumberFormat="1" applyFont="1" applyBorder="1" applyAlignment="1">
      <alignment vertical="top"/>
    </xf>
    <xf numFmtId="0" fontId="32" fillId="0" borderId="1" xfId="3" applyFont="1" applyBorder="1"/>
    <xf numFmtId="0" fontId="112" fillId="0" borderId="1" xfId="3" applyFont="1" applyBorder="1"/>
    <xf numFmtId="0" fontId="37" fillId="0" borderId="1" xfId="3" applyFont="1" applyBorder="1"/>
    <xf numFmtId="0" fontId="113" fillId="0" borderId="1" xfId="3" applyFont="1" applyBorder="1"/>
    <xf numFmtId="168" fontId="112" fillId="0" borderId="1" xfId="0" applyNumberFormat="1" applyFont="1" applyBorder="1"/>
    <xf numFmtId="165" fontId="112" fillId="0" borderId="1" xfId="4" applyNumberFormat="1" applyFont="1" applyBorder="1" applyAlignment="1">
      <alignment vertical="top"/>
    </xf>
    <xf numFmtId="44" fontId="4" fillId="0" borderId="1" xfId="4" applyFont="1" applyBorder="1" applyAlignment="1">
      <alignment horizontal="left" vertical="center"/>
    </xf>
    <xf numFmtId="0" fontId="113" fillId="7" borderId="1" xfId="0" applyFont="1" applyFill="1" applyBorder="1"/>
    <xf numFmtId="0" fontId="4" fillId="0" borderId="1" xfId="0" applyFont="1" applyBorder="1" applyAlignment="1">
      <alignment horizontal="left"/>
    </xf>
    <xf numFmtId="0" fontId="4" fillId="0" borderId="1" xfId="3" applyFont="1" applyBorder="1" applyAlignment="1">
      <alignment horizontal="center" vertical="center"/>
    </xf>
    <xf numFmtId="0" fontId="4" fillId="0" borderId="1" xfId="3" applyFont="1" applyBorder="1" applyAlignment="1">
      <alignment horizontal="center"/>
    </xf>
    <xf numFmtId="0" fontId="4" fillId="0" borderId="1" xfId="0" applyFont="1" applyBorder="1" applyAlignment="1">
      <alignment horizontal="center"/>
    </xf>
    <xf numFmtId="0" fontId="4" fillId="7" borderId="1" xfId="0" applyFont="1" applyFill="1" applyBorder="1" applyAlignment="1">
      <alignment horizontal="center"/>
    </xf>
    <xf numFmtId="0" fontId="4" fillId="9" borderId="1" xfId="0" applyFont="1" applyFill="1" applyBorder="1" applyAlignment="1">
      <alignment horizontal="center"/>
    </xf>
    <xf numFmtId="0" fontId="32" fillId="0" borderId="1" xfId="3" applyFont="1" applyBorder="1" applyAlignment="1">
      <alignment horizontal="center" vertical="top"/>
    </xf>
    <xf numFmtId="0" fontId="37" fillId="0" borderId="1" xfId="3" applyFont="1" applyBorder="1" applyAlignment="1">
      <alignment horizontal="center" vertical="top"/>
    </xf>
    <xf numFmtId="0" fontId="32" fillId="0" borderId="1" xfId="3" applyFont="1" applyBorder="1" applyAlignment="1">
      <alignment horizontal="center"/>
    </xf>
    <xf numFmtId="0" fontId="112" fillId="0" borderId="1" xfId="3" applyFont="1" applyBorder="1" applyAlignment="1">
      <alignment horizontal="center"/>
    </xf>
    <xf numFmtId="0" fontId="37" fillId="0" borderId="1" xfId="3" applyFont="1" applyBorder="1" applyAlignment="1">
      <alignment horizontal="center"/>
    </xf>
    <xf numFmtId="0" fontId="47" fillId="0" borderId="1" xfId="3" applyFont="1" applyBorder="1" applyAlignment="1">
      <alignment horizontal="center"/>
    </xf>
    <xf numFmtId="0" fontId="47" fillId="0" borderId="1" xfId="3" applyFont="1" applyBorder="1" applyAlignment="1">
      <alignment horizontal="center" vertical="top"/>
    </xf>
    <xf numFmtId="0" fontId="112" fillId="0" borderId="1" xfId="0" applyFont="1" applyBorder="1" applyAlignment="1">
      <alignment horizontal="center"/>
    </xf>
    <xf numFmtId="0" fontId="112" fillId="0" borderId="1" xfId="3" applyFont="1" applyBorder="1" applyAlignment="1">
      <alignment horizontal="center" vertical="top"/>
    </xf>
    <xf numFmtId="0" fontId="113" fillId="7" borderId="1" xfId="0" applyFont="1" applyFill="1" applyBorder="1" applyAlignment="1">
      <alignment horizontal="center"/>
    </xf>
    <xf numFmtId="0" fontId="47" fillId="9" borderId="1" xfId="0" applyFont="1" applyFill="1" applyBorder="1" applyAlignment="1">
      <alignment horizontal="center"/>
    </xf>
    <xf numFmtId="0" fontId="0" fillId="9" borderId="1" xfId="0" applyFill="1" applyBorder="1" applyAlignment="1">
      <alignment horizontal="center"/>
    </xf>
    <xf numFmtId="164" fontId="0" fillId="61" borderId="0" xfId="7" applyNumberFormat="1" applyFont="1" applyFill="1" applyBorder="1" applyAlignment="1">
      <alignment horizontal="center" vertical="top"/>
    </xf>
    <xf numFmtId="0" fontId="96" fillId="0" borderId="0" xfId="3" applyFont="1" applyAlignment="1">
      <alignment vertical="top"/>
    </xf>
    <xf numFmtId="0" fontId="35" fillId="0" borderId="0" xfId="3" applyFont="1"/>
    <xf numFmtId="0" fontId="35" fillId="60" borderId="0" xfId="3" applyFont="1" applyFill="1"/>
    <xf numFmtId="0" fontId="8" fillId="60" borderId="0" xfId="3" applyFill="1" applyAlignment="1">
      <alignment vertical="top"/>
    </xf>
    <xf numFmtId="0" fontId="28" fillId="54" borderId="39" xfId="0" applyFont="1" applyFill="1" applyBorder="1" applyAlignment="1" applyProtection="1">
      <alignment horizontal="center"/>
      <protection locked="0"/>
    </xf>
    <xf numFmtId="0" fontId="0" fillId="0" borderId="1" xfId="0" applyBorder="1" applyAlignment="1">
      <alignment horizontal="center" vertical="center" wrapText="1"/>
    </xf>
    <xf numFmtId="49" fontId="8" fillId="0" borderId="1" xfId="0" applyNumberFormat="1" applyFont="1" applyBorder="1" applyAlignment="1">
      <alignment horizontal="center" vertical="center" wrapText="1"/>
    </xf>
    <xf numFmtId="49" fontId="102" fillId="69" borderId="1" xfId="0" applyNumberFormat="1" applyFont="1" applyFill="1" applyBorder="1" applyAlignment="1">
      <alignment horizontal="center" vertical="center" wrapText="1"/>
    </xf>
    <xf numFmtId="49" fontId="102" fillId="0" borderId="1" xfId="0" applyNumberFormat="1" applyFont="1" applyBorder="1" applyAlignment="1">
      <alignment horizontal="center" vertical="center" wrapText="1"/>
    </xf>
    <xf numFmtId="0" fontId="0" fillId="69" borderId="1" xfId="0" applyFill="1" applyBorder="1" applyAlignment="1">
      <alignment horizontal="center" vertical="center"/>
    </xf>
    <xf numFmtId="0" fontId="32" fillId="0" borderId="1" xfId="63" applyFont="1" applyBorder="1" applyAlignment="1">
      <alignment horizontal="center" vertical="center"/>
    </xf>
    <xf numFmtId="0" fontId="31" fillId="0" borderId="1" xfId="0" applyFont="1" applyBorder="1" applyAlignment="1">
      <alignment horizontal="center" vertical="center" wrapText="1"/>
    </xf>
    <xf numFmtId="0" fontId="95" fillId="0" borderId="1" xfId="0" applyFont="1" applyBorder="1" applyAlignment="1">
      <alignment horizontal="center" vertical="center"/>
    </xf>
    <xf numFmtId="0" fontId="95" fillId="0" borderId="1" xfId="0" applyFont="1" applyBorder="1" applyAlignment="1">
      <alignment horizontal="center" vertical="center" wrapText="1"/>
    </xf>
    <xf numFmtId="49" fontId="95" fillId="0" borderId="1"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0" fillId="9" borderId="1" xfId="0" applyFill="1" applyBorder="1" applyAlignment="1">
      <alignment horizontal="center" vertical="center" wrapText="1"/>
    </xf>
    <xf numFmtId="3" fontId="0" fillId="0" borderId="1" xfId="0" applyNumberFormat="1" applyBorder="1" applyAlignment="1">
      <alignment horizontal="center" vertical="center"/>
    </xf>
    <xf numFmtId="3" fontId="32" fillId="0" borderId="1" xfId="0" applyNumberFormat="1" applyFont="1" applyBorder="1" applyAlignment="1">
      <alignment horizontal="center" vertical="center"/>
    </xf>
    <xf numFmtId="3" fontId="95" fillId="0" borderId="1" xfId="0" applyNumberFormat="1" applyFont="1" applyBorder="1" applyAlignment="1">
      <alignment horizontal="center" vertical="center"/>
    </xf>
    <xf numFmtId="3" fontId="0" fillId="0" borderId="1" xfId="0" applyNumberFormat="1" applyBorder="1"/>
    <xf numFmtId="168" fontId="0" fillId="0" borderId="1" xfId="0" applyNumberFormat="1" applyBorder="1"/>
    <xf numFmtId="168" fontId="0" fillId="0" borderId="1" xfId="1" applyNumberFormat="1" applyFont="1" applyFill="1" applyBorder="1"/>
    <xf numFmtId="3" fontId="0" fillId="0" borderId="1" xfId="2" applyNumberFormat="1" applyFont="1" applyFill="1" applyBorder="1"/>
    <xf numFmtId="0" fontId="60" fillId="9" borderId="1" xfId="54" applyFill="1" applyBorder="1" applyAlignment="1">
      <alignment horizontal="left" vertical="center" wrapText="1"/>
    </xf>
    <xf numFmtId="0" fontId="32" fillId="0" borderId="1" xfId="0" applyFont="1" applyBorder="1" applyAlignment="1">
      <alignment horizontal="left" vertical="center" wrapText="1"/>
    </xf>
    <xf numFmtId="0" fontId="95" fillId="0" borderId="1" xfId="0" applyFont="1" applyBorder="1" applyAlignment="1">
      <alignment horizontal="left" vertical="center" wrapText="1"/>
    </xf>
    <xf numFmtId="0" fontId="95" fillId="9"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32" fillId="9" borderId="1" xfId="0" applyFont="1" applyFill="1" applyBorder="1" applyAlignment="1">
      <alignment horizontal="left" vertical="center" wrapText="1"/>
    </xf>
    <xf numFmtId="0" fontId="0" fillId="7" borderId="1" xfId="0" applyFill="1" applyBorder="1" applyAlignment="1">
      <alignment horizontal="left" vertical="center" wrapText="1"/>
    </xf>
    <xf numFmtId="0" fontId="32" fillId="7" borderId="47" xfId="0" applyFont="1" applyFill="1" applyBorder="1" applyAlignment="1">
      <alignment horizontal="left" vertical="center" wrapText="1"/>
    </xf>
    <xf numFmtId="0" fontId="32" fillId="7" borderId="8" xfId="0" applyFont="1" applyFill="1" applyBorder="1" applyAlignment="1">
      <alignment horizontal="left" vertical="center" wrapText="1"/>
    </xf>
    <xf numFmtId="0" fontId="0" fillId="7" borderId="8" xfId="0" applyFill="1" applyBorder="1" applyAlignment="1">
      <alignment horizontal="left" vertical="center" wrapText="1"/>
    </xf>
    <xf numFmtId="2" fontId="32" fillId="9" borderId="1" xfId="0" applyNumberFormat="1" applyFont="1" applyFill="1" applyBorder="1" applyAlignment="1">
      <alignment horizontal="left" vertical="center" wrapText="1"/>
    </xf>
    <xf numFmtId="2" fontId="32" fillId="7" borderId="1" xfId="0" applyNumberFormat="1" applyFont="1" applyFill="1" applyBorder="1" applyAlignment="1">
      <alignment horizontal="left" vertical="center" wrapText="1"/>
    </xf>
    <xf numFmtId="2" fontId="95" fillId="0" borderId="1" xfId="0" applyNumberFormat="1" applyFont="1" applyBorder="1" applyAlignment="1">
      <alignment horizontal="left" vertical="center" wrapText="1"/>
    </xf>
    <xf numFmtId="2" fontId="32" fillId="0" borderId="1" xfId="0" applyNumberFormat="1" applyFont="1" applyBorder="1" applyAlignment="1">
      <alignment horizontal="left" vertical="center" wrapText="1"/>
    </xf>
    <xf numFmtId="2" fontId="95" fillId="7" borderId="1" xfId="0" applyNumberFormat="1" applyFont="1" applyFill="1" applyBorder="1" applyAlignment="1">
      <alignment horizontal="left" vertical="center" wrapText="1"/>
    </xf>
    <xf numFmtId="0" fontId="95" fillId="7" borderId="1" xfId="0" applyFont="1" applyFill="1" applyBorder="1" applyAlignment="1">
      <alignment horizontal="left" vertical="center" wrapText="1"/>
    </xf>
    <xf numFmtId="2" fontId="0" fillId="0" borderId="1" xfId="0" applyNumberFormat="1" applyBorder="1" applyAlignment="1">
      <alignment horizontal="left" vertical="center" wrapText="1"/>
    </xf>
    <xf numFmtId="2" fontId="0" fillId="9" borderId="1" xfId="0" applyNumberFormat="1" applyFill="1" applyBorder="1" applyAlignment="1">
      <alignment horizontal="left" vertical="center" wrapText="1"/>
    </xf>
    <xf numFmtId="170" fontId="0" fillId="9" borderId="4" xfId="0" applyNumberFormat="1" applyFill="1" applyBorder="1" applyAlignment="1">
      <alignment horizontal="center" vertical="center" wrapText="1"/>
    </xf>
    <xf numFmtId="170" fontId="0" fillId="9" borderId="1" xfId="0" applyNumberFormat="1" applyFill="1" applyBorder="1" applyAlignment="1">
      <alignment horizontal="center" vertical="center" wrapText="1"/>
    </xf>
    <xf numFmtId="0" fontId="60" fillId="0" borderId="1" xfId="54" applyBorder="1" applyAlignment="1">
      <alignment horizontal="left" vertical="center" wrapText="1"/>
    </xf>
    <xf numFmtId="0" fontId="63" fillId="0" borderId="1" xfId="0" applyFont="1" applyBorder="1" applyAlignment="1">
      <alignment horizontal="left" vertical="center"/>
    </xf>
    <xf numFmtId="0" fontId="60" fillId="0" borderId="1" xfId="54" applyBorder="1" applyAlignment="1">
      <alignment horizontal="left" vertical="center"/>
    </xf>
    <xf numFmtId="0" fontId="0" fillId="0" borderId="8" xfId="0" applyBorder="1" applyAlignment="1">
      <alignment horizontal="left" vertical="center" wrapText="1"/>
    </xf>
    <xf numFmtId="0" fontId="32" fillId="0" borderId="8" xfId="0" applyFont="1" applyBorder="1" applyAlignment="1">
      <alignment horizontal="left" vertical="center" wrapText="1"/>
    </xf>
    <xf numFmtId="0" fontId="114" fillId="9" borderId="1" xfId="54" applyFont="1" applyFill="1" applyBorder="1" applyAlignment="1">
      <alignment horizontal="left" vertical="center" wrapText="1"/>
    </xf>
    <xf numFmtId="0" fontId="114" fillId="0" borderId="1" xfId="54" applyFont="1" applyBorder="1" applyAlignment="1">
      <alignment horizontal="left" vertical="center"/>
    </xf>
    <xf numFmtId="0" fontId="95" fillId="0" borderId="1" xfId="0" applyFont="1" applyBorder="1" applyAlignment="1">
      <alignment horizontal="left" vertical="center"/>
    </xf>
    <xf numFmtId="0" fontId="60" fillId="0" borderId="1" xfId="54" applyFill="1" applyBorder="1" applyAlignment="1">
      <alignment horizontal="left" vertical="center" wrapText="1"/>
    </xf>
    <xf numFmtId="0" fontId="32" fillId="0" borderId="1" xfId="54" applyFont="1" applyBorder="1" applyAlignment="1">
      <alignment horizontal="left" vertical="center"/>
    </xf>
    <xf numFmtId="0" fontId="87" fillId="0" borderId="1" xfId="54" applyFont="1" applyBorder="1" applyAlignment="1">
      <alignment horizontal="left" vertical="center" wrapText="1"/>
    </xf>
    <xf numFmtId="0" fontId="32" fillId="9" borderId="1" xfId="0" applyFont="1" applyFill="1" applyBorder="1" applyAlignment="1">
      <alignment horizontal="left" vertical="center"/>
    </xf>
    <xf numFmtId="0" fontId="114" fillId="0" borderId="1" xfId="54" applyFont="1" applyBorder="1" applyAlignment="1">
      <alignment horizontal="left" vertical="center" wrapText="1"/>
    </xf>
    <xf numFmtId="0" fontId="95" fillId="9" borderId="1" xfId="0" applyFont="1" applyFill="1" applyBorder="1" applyAlignment="1">
      <alignment horizontal="left" vertical="center"/>
    </xf>
    <xf numFmtId="0" fontId="32" fillId="9" borderId="1" xfId="54" applyFont="1" applyFill="1" applyBorder="1" applyAlignment="1">
      <alignment horizontal="left" vertical="center" wrapText="1"/>
    </xf>
    <xf numFmtId="0" fontId="63" fillId="0" borderId="1" xfId="0" applyFont="1" applyBorder="1" applyAlignment="1">
      <alignment horizontal="left" vertical="center" wrapText="1"/>
    </xf>
    <xf numFmtId="0" fontId="63" fillId="9" borderId="1" xfId="0" applyFont="1" applyFill="1" applyBorder="1" applyAlignment="1">
      <alignment horizontal="left" vertical="center" wrapText="1"/>
    </xf>
    <xf numFmtId="0" fontId="115" fillId="0" borderId="1" xfId="0" applyFont="1" applyBorder="1" applyAlignment="1">
      <alignment horizontal="left" vertical="center" wrapText="1"/>
    </xf>
    <xf numFmtId="0" fontId="115" fillId="9" borderId="1" xfId="0" applyFont="1" applyFill="1" applyBorder="1" applyAlignment="1">
      <alignment horizontal="left" vertical="center" wrapText="1"/>
    </xf>
    <xf numFmtId="0" fontId="63" fillId="9" borderId="2" xfId="0" applyFont="1" applyFill="1" applyBorder="1" applyAlignment="1">
      <alignment horizontal="left" vertical="center" wrapText="1"/>
    </xf>
    <xf numFmtId="0" fontId="1" fillId="0" borderId="0" xfId="66" applyAlignment="1">
      <alignment horizontal="center"/>
    </xf>
    <xf numFmtId="0" fontId="1" fillId="0" borderId="0" xfId="66"/>
    <xf numFmtId="0" fontId="116" fillId="11" borderId="1" xfId="66" applyFont="1" applyFill="1" applyBorder="1" applyAlignment="1">
      <alignment horizontal="center" vertical="center"/>
    </xf>
    <xf numFmtId="0" fontId="116" fillId="11" borderId="1" xfId="66" applyFont="1" applyFill="1" applyBorder="1" applyAlignment="1">
      <alignment horizontal="center" vertical="center" wrapText="1"/>
    </xf>
    <xf numFmtId="0" fontId="1" fillId="0" borderId="0" xfId="66" applyAlignment="1">
      <alignment vertical="center"/>
    </xf>
    <xf numFmtId="0" fontId="1" fillId="0" borderId="1" xfId="66" applyBorder="1" applyAlignment="1">
      <alignment horizontal="center" vertical="center"/>
    </xf>
    <xf numFmtId="0" fontId="1" fillId="0" borderId="1" xfId="66" applyBorder="1" applyAlignment="1">
      <alignment horizontal="center" vertical="center" wrapText="1"/>
    </xf>
    <xf numFmtId="0" fontId="28" fillId="54" borderId="38" xfId="0" applyFont="1" applyFill="1" applyBorder="1" applyAlignment="1" applyProtection="1">
      <alignment horizontal="center"/>
      <protection locked="0"/>
    </xf>
    <xf numFmtId="0" fontId="19" fillId="9" borderId="0" xfId="0" applyFont="1" applyFill="1" applyAlignment="1">
      <alignment vertical="center" wrapText="1"/>
    </xf>
    <xf numFmtId="0" fontId="19" fillId="51" borderId="0" xfId="0" applyFont="1" applyFill="1" applyAlignment="1">
      <alignment vertical="center" wrapText="1"/>
    </xf>
    <xf numFmtId="0" fontId="117" fillId="8" borderId="1" xfId="66" applyFont="1" applyFill="1" applyBorder="1" applyAlignment="1">
      <alignment horizontal="center" vertical="center"/>
    </xf>
    <xf numFmtId="0" fontId="32" fillId="10" borderId="78" xfId="0" applyFont="1" applyFill="1" applyBorder="1" applyProtection="1">
      <protection locked="0"/>
    </xf>
    <xf numFmtId="0" fontId="32" fillId="10" borderId="79" xfId="0" applyFont="1" applyFill="1" applyBorder="1" applyProtection="1">
      <protection locked="0"/>
    </xf>
    <xf numFmtId="0" fontId="46" fillId="13" borderId="80" xfId="0" applyFont="1" applyFill="1" applyBorder="1" applyAlignment="1" applyProtection="1">
      <alignment horizontal="center" vertical="center"/>
      <protection locked="0"/>
    </xf>
    <xf numFmtId="0" fontId="40" fillId="60" borderId="0" xfId="9" applyFill="1" applyAlignment="1" applyProtection="1"/>
    <xf numFmtId="0" fontId="40" fillId="60" borderId="0" xfId="9" applyFill="1" applyBorder="1" applyAlignment="1" applyProtection="1"/>
    <xf numFmtId="0" fontId="0" fillId="60" borderId="77" xfId="0" applyFill="1" applyBorder="1"/>
    <xf numFmtId="0" fontId="0" fillId="60" borderId="6" xfId="0" applyFill="1" applyBorder="1"/>
    <xf numFmtId="0" fontId="117" fillId="72" borderId="1" xfId="66" applyFont="1" applyFill="1" applyBorder="1" applyAlignment="1">
      <alignment horizontal="center" vertical="center" wrapText="1"/>
    </xf>
    <xf numFmtId="0" fontId="31" fillId="0" borderId="0" xfId="0" applyFont="1"/>
    <xf numFmtId="44" fontId="30" fillId="5" borderId="0" xfId="1" applyFont="1" applyFill="1" applyBorder="1" applyAlignment="1" applyProtection="1">
      <alignment horizontal="center" vertical="center"/>
    </xf>
    <xf numFmtId="0" fontId="38" fillId="62" borderId="0" xfId="0" applyFont="1" applyFill="1" applyAlignment="1" applyProtection="1">
      <alignment horizontal="left" vertical="top" wrapText="1"/>
      <protection locked="0"/>
    </xf>
    <xf numFmtId="0" fontId="12" fillId="2" borderId="0" xfId="0" applyFont="1" applyFill="1" applyAlignment="1">
      <alignment horizontal="center" vertical="top"/>
    </xf>
    <xf numFmtId="0" fontId="11" fillId="6" borderId="0" xfId="0" applyFont="1" applyFill="1" applyAlignment="1">
      <alignment horizontal="left" vertical="center"/>
    </xf>
    <xf numFmtId="0" fontId="19" fillId="54" borderId="62" xfId="0" applyFont="1" applyFill="1" applyBorder="1" applyAlignment="1">
      <alignment horizontal="left" vertical="top"/>
    </xf>
    <xf numFmtId="44" fontId="28" fillId="51" borderId="62" xfId="1" applyFont="1" applyFill="1" applyBorder="1" applyProtection="1">
      <protection locked="0"/>
    </xf>
    <xf numFmtId="0" fontId="71" fillId="11" borderId="24" xfId="0" applyFont="1" applyFill="1" applyBorder="1" applyAlignment="1">
      <alignment horizontal="center" vertical="center"/>
    </xf>
    <xf numFmtId="0" fontId="71" fillId="11" borderId="25" xfId="0" applyFont="1" applyFill="1" applyBorder="1" applyAlignment="1">
      <alignment horizontal="center" vertical="center"/>
    </xf>
    <xf numFmtId="0" fontId="71" fillId="11" borderId="58" xfId="0" applyFont="1" applyFill="1" applyBorder="1" applyAlignment="1">
      <alignment horizontal="center" vertical="center"/>
    </xf>
    <xf numFmtId="0" fontId="13" fillId="6" borderId="44" xfId="0" applyFont="1" applyFill="1" applyBorder="1" applyAlignment="1">
      <alignment horizontal="center" vertical="center" wrapText="1"/>
    </xf>
    <xf numFmtId="0" fontId="29" fillId="59" borderId="0" xfId="0" applyFont="1" applyFill="1" applyAlignment="1">
      <alignment horizontal="center" vertical="center" wrapText="1"/>
    </xf>
    <xf numFmtId="0" fontId="69" fillId="11" borderId="0" xfId="0" applyFont="1" applyFill="1" applyAlignment="1">
      <alignment horizontal="center" vertical="center" wrapText="1"/>
    </xf>
    <xf numFmtId="0" fontId="69" fillId="11" borderId="41" xfId="0" applyFont="1" applyFill="1" applyBorder="1" applyAlignment="1">
      <alignment horizontal="center" vertical="center" wrapText="1"/>
    </xf>
    <xf numFmtId="0" fontId="24" fillId="9" borderId="0" xfId="0" applyFont="1" applyFill="1" applyAlignment="1">
      <alignment horizontal="left"/>
    </xf>
    <xf numFmtId="0" fontId="25" fillId="9" borderId="0" xfId="0" applyFont="1" applyFill="1" applyAlignment="1">
      <alignment horizontal="left" vertical="top"/>
    </xf>
    <xf numFmtId="0" fontId="17" fillId="9" borderId="0" xfId="0" applyFont="1" applyFill="1" applyAlignment="1">
      <alignment horizontal="left" vertical="top"/>
    </xf>
    <xf numFmtId="0" fontId="29" fillId="59" borderId="38" xfId="0" applyFont="1" applyFill="1" applyBorder="1" applyAlignment="1">
      <alignment horizontal="center" vertical="center" wrapText="1"/>
    </xf>
    <xf numFmtId="0" fontId="11" fillId="54" borderId="44" xfId="0" applyFont="1" applyFill="1" applyBorder="1" applyAlignment="1">
      <alignment horizontal="center" wrapText="1"/>
    </xf>
    <xf numFmtId="0" fontId="40" fillId="6" borderId="37" xfId="9" applyFill="1" applyBorder="1" applyAlignment="1" applyProtection="1">
      <alignment horizontal="center" vertical="center" wrapText="1"/>
      <protection locked="0"/>
    </xf>
    <xf numFmtId="0" fontId="40" fillId="6" borderId="40" xfId="9" applyFill="1" applyBorder="1" applyAlignment="1" applyProtection="1">
      <alignment horizontal="center" vertical="center" wrapText="1"/>
      <protection locked="0"/>
    </xf>
    <xf numFmtId="0" fontId="19" fillId="51" borderId="38" xfId="0" applyFont="1" applyFill="1" applyBorder="1" applyAlignment="1" applyProtection="1">
      <alignment horizontal="left" vertical="center" wrapText="1"/>
      <protection locked="0"/>
    </xf>
    <xf numFmtId="0" fontId="19" fillId="51" borderId="41" xfId="0" applyFont="1" applyFill="1" applyBorder="1" applyAlignment="1" applyProtection="1">
      <alignment horizontal="left" vertical="center" wrapText="1"/>
      <protection locked="0"/>
    </xf>
    <xf numFmtId="0" fontId="40" fillId="6" borderId="0" xfId="9" applyFill="1" applyBorder="1" applyAlignment="1" applyProtection="1">
      <alignment horizontal="center" vertical="center" wrapText="1"/>
      <protection locked="0"/>
    </xf>
    <xf numFmtId="0" fontId="40" fillId="6" borderId="41" xfId="9" applyFill="1" applyBorder="1" applyAlignment="1" applyProtection="1">
      <alignment horizontal="center" vertical="center" wrapText="1"/>
      <protection locked="0"/>
    </xf>
    <xf numFmtId="0" fontId="19" fillId="51" borderId="0" xfId="0" applyFont="1" applyFill="1" applyAlignment="1" applyProtection="1">
      <alignment horizontal="left" vertical="center" wrapText="1"/>
      <protection locked="0"/>
    </xf>
    <xf numFmtId="0" fontId="40" fillId="6" borderId="30" xfId="9" applyFill="1" applyBorder="1" applyAlignment="1" applyProtection="1">
      <alignment horizontal="center" vertical="center" wrapText="1"/>
      <protection locked="0"/>
    </xf>
    <xf numFmtId="0" fontId="40" fillId="6" borderId="62" xfId="9" applyFill="1" applyBorder="1" applyAlignment="1" applyProtection="1">
      <alignment horizontal="center" vertical="center" wrapText="1"/>
      <protection locked="0"/>
    </xf>
    <xf numFmtId="0" fontId="19" fillId="51" borderId="62" xfId="0" applyFont="1" applyFill="1" applyBorder="1" applyAlignment="1" applyProtection="1">
      <alignment horizontal="left" vertical="center" wrapText="1"/>
      <protection locked="0"/>
    </xf>
    <xf numFmtId="0" fontId="70" fillId="2" borderId="24" xfId="0" applyFont="1" applyFill="1" applyBorder="1" applyAlignment="1" applyProtection="1">
      <alignment horizontal="center" vertical="center"/>
      <protection locked="0"/>
    </xf>
    <xf numFmtId="0" fontId="70" fillId="2" borderId="38" xfId="0" applyFont="1" applyFill="1" applyBorder="1" applyAlignment="1" applyProtection="1">
      <alignment horizontal="center" vertical="center"/>
      <protection locked="0"/>
    </xf>
    <xf numFmtId="0" fontId="70" fillId="2" borderId="39" xfId="0" applyFont="1" applyFill="1" applyBorder="1" applyAlignment="1" applyProtection="1">
      <alignment horizontal="center" vertical="center"/>
      <protection locked="0"/>
    </xf>
    <xf numFmtId="0" fontId="19" fillId="51" borderId="38" xfId="0" applyFont="1" applyFill="1" applyBorder="1" applyAlignment="1">
      <alignment horizontal="center" vertical="center" wrapText="1"/>
    </xf>
    <xf numFmtId="0" fontId="19" fillId="51" borderId="41" xfId="0" applyFont="1" applyFill="1" applyBorder="1" applyAlignment="1">
      <alignment horizontal="center" vertical="center" wrapText="1"/>
    </xf>
    <xf numFmtId="0" fontId="19" fillId="51" borderId="0" xfId="0" applyFont="1" applyFill="1" applyAlignment="1">
      <alignment horizontal="center" vertical="center" wrapText="1"/>
    </xf>
    <xf numFmtId="0" fontId="16" fillId="6" borderId="38"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6" fillId="6" borderId="0" xfId="0" applyFont="1" applyFill="1" applyAlignment="1">
      <alignment horizontal="center" vertical="center" wrapText="1"/>
    </xf>
    <xf numFmtId="0" fontId="117" fillId="71" borderId="0" xfId="66" applyFont="1" applyFill="1" applyAlignment="1">
      <alignment horizontal="center" vertical="center" wrapText="1"/>
    </xf>
    <xf numFmtId="0" fontId="118" fillId="70" borderId="1" xfId="66" applyFont="1" applyFill="1" applyBorder="1" applyAlignment="1">
      <alignment horizontal="center" vertical="center" wrapText="1"/>
    </xf>
    <xf numFmtId="0" fontId="116" fillId="11" borderId="74" xfId="66" applyFont="1" applyFill="1" applyBorder="1" applyAlignment="1">
      <alignment horizontal="center" vertical="center"/>
    </xf>
    <xf numFmtId="0" fontId="30" fillId="2" borderId="24" xfId="0" applyFont="1" applyFill="1" applyBorder="1" applyAlignment="1">
      <alignment horizontal="center" vertical="top"/>
    </xf>
    <xf numFmtId="0" fontId="30" fillId="2" borderId="25" xfId="0" applyFont="1" applyFill="1" applyBorder="1" applyAlignment="1">
      <alignment horizontal="center" vertical="top"/>
    </xf>
    <xf numFmtId="0" fontId="30" fillId="2" borderId="26" xfId="0" applyFont="1" applyFill="1" applyBorder="1" applyAlignment="1">
      <alignment horizontal="center" vertical="top"/>
    </xf>
    <xf numFmtId="0" fontId="12" fillId="2" borderId="24" xfId="0" applyFont="1" applyFill="1" applyBorder="1" applyAlignment="1">
      <alignment horizontal="center" vertical="top"/>
    </xf>
    <xf numFmtId="0" fontId="12" fillId="2" borderId="25" xfId="0" applyFont="1" applyFill="1" applyBorder="1" applyAlignment="1">
      <alignment horizontal="center" vertical="top"/>
    </xf>
    <xf numFmtId="0" fontId="12" fillId="2" borderId="26" xfId="0" applyFont="1" applyFill="1" applyBorder="1" applyAlignment="1">
      <alignment horizontal="center" vertical="top"/>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30" xfId="0" applyFont="1" applyBorder="1" applyAlignment="1">
      <alignment horizontal="left" vertical="center" wrapText="1"/>
    </xf>
    <xf numFmtId="0" fontId="13" fillId="0" borderId="0" xfId="0" applyFont="1" applyAlignment="1">
      <alignment horizontal="left" vertical="center" wrapText="1"/>
    </xf>
    <xf numFmtId="0" fontId="13" fillId="0" borderId="43" xfId="0" applyFont="1" applyBorder="1" applyAlignment="1">
      <alignment horizontal="left" vertical="center" wrapText="1"/>
    </xf>
    <xf numFmtId="0" fontId="80" fillId="9" borderId="40" xfId="0" applyFont="1" applyFill="1" applyBorder="1" applyAlignment="1">
      <alignment horizontal="left" vertical="top" wrapText="1"/>
    </xf>
    <xf numFmtId="0" fontId="80" fillId="9" borderId="41" xfId="0" applyFont="1" applyFill="1" applyBorder="1" applyAlignment="1">
      <alignment horizontal="left" vertical="top" wrapText="1"/>
    </xf>
    <xf numFmtId="0" fontId="80" fillId="9" borderId="42" xfId="0" applyFont="1" applyFill="1" applyBorder="1" applyAlignment="1">
      <alignment horizontal="left" vertical="top" wrapText="1"/>
    </xf>
    <xf numFmtId="0" fontId="11" fillId="54" borderId="27" xfId="0" applyFont="1" applyFill="1" applyBorder="1" applyAlignment="1">
      <alignment horizontal="left" vertical="center" wrapText="1"/>
    </xf>
    <xf numFmtId="0" fontId="11" fillId="54" borderId="28" xfId="0" applyFont="1" applyFill="1" applyBorder="1" applyAlignment="1">
      <alignment horizontal="left" vertical="center" wrapText="1"/>
    </xf>
    <xf numFmtId="0" fontId="11" fillId="54" borderId="29" xfId="0" applyFont="1" applyFill="1" applyBorder="1" applyAlignment="1">
      <alignment horizontal="left" vertical="center" wrapText="1"/>
    </xf>
    <xf numFmtId="0" fontId="29" fillId="6" borderId="0" xfId="0" applyFont="1" applyFill="1" applyAlignment="1">
      <alignment horizontal="center" vertical="center"/>
    </xf>
    <xf numFmtId="0" fontId="29" fillId="6" borderId="43" xfId="0" applyFont="1" applyFill="1" applyBorder="1" applyAlignment="1">
      <alignment horizontal="center" vertical="center"/>
    </xf>
    <xf numFmtId="0" fontId="29" fillId="66" borderId="30" xfId="0" applyFont="1" applyFill="1" applyBorder="1" applyAlignment="1" applyProtection="1">
      <alignment horizontal="center" vertical="center"/>
      <protection locked="0"/>
    </xf>
    <xf numFmtId="0" fontId="29" fillId="66" borderId="0" xfId="0" applyFont="1" applyFill="1" applyAlignment="1" applyProtection="1">
      <alignment horizontal="center" vertical="center"/>
      <protection locked="0"/>
    </xf>
    <xf numFmtId="0" fontId="16" fillId="6" borderId="0" xfId="0" applyFont="1" applyFill="1" applyAlignment="1">
      <alignment horizontal="center" vertical="center"/>
    </xf>
    <xf numFmtId="0" fontId="16" fillId="51" borderId="0" xfId="0" applyFont="1" applyFill="1" applyAlignment="1">
      <alignment horizontal="center" vertical="center"/>
    </xf>
    <xf numFmtId="0" fontId="16" fillId="6" borderId="38" xfId="0" applyFont="1" applyFill="1" applyBorder="1" applyAlignment="1">
      <alignment horizontal="center" vertical="center"/>
    </xf>
    <xf numFmtId="0" fontId="16" fillId="51" borderId="38" xfId="0" applyFont="1" applyFill="1" applyBorder="1" applyAlignment="1">
      <alignment horizontal="center" vertical="center"/>
    </xf>
    <xf numFmtId="0" fontId="16" fillId="59" borderId="41" xfId="0" applyFont="1" applyFill="1" applyBorder="1" applyAlignment="1" applyProtection="1">
      <alignment horizontal="center" vertical="center" wrapText="1"/>
      <protection locked="0"/>
    </xf>
    <xf numFmtId="0" fontId="16" fillId="51" borderId="41" xfId="0" applyFont="1" applyFill="1" applyBorder="1" applyAlignment="1">
      <alignment horizontal="center" vertical="center"/>
    </xf>
    <xf numFmtId="0" fontId="13" fillId="54" borderId="41" xfId="0" applyFont="1" applyFill="1" applyBorder="1" applyAlignment="1" applyProtection="1">
      <alignment horizontal="center" vertical="top" wrapText="1"/>
      <protection locked="0"/>
    </xf>
    <xf numFmtId="0" fontId="13" fillId="54" borderId="41" xfId="0" applyFont="1" applyFill="1" applyBorder="1" applyAlignment="1" applyProtection="1">
      <alignment horizontal="center" vertical="center" wrapText="1"/>
      <protection locked="0"/>
    </xf>
    <xf numFmtId="0" fontId="13" fillId="54" borderId="38" xfId="0" applyFont="1" applyFill="1" applyBorder="1" applyAlignment="1" applyProtection="1">
      <alignment horizontal="center" vertical="top" wrapText="1"/>
      <protection locked="0"/>
    </xf>
    <xf numFmtId="0" fontId="13" fillId="54" borderId="38" xfId="0" applyFont="1" applyFill="1" applyBorder="1" applyAlignment="1" applyProtection="1">
      <alignment horizontal="center" vertical="center" wrapText="1"/>
      <protection locked="0"/>
    </xf>
    <xf numFmtId="0" fontId="11" fillId="6" borderId="41" xfId="0" applyFont="1" applyFill="1" applyBorder="1" applyAlignment="1">
      <alignment horizontal="left"/>
    </xf>
    <xf numFmtId="0" fontId="38" fillId="51" borderId="0" xfId="0" applyFont="1" applyFill="1" applyAlignment="1" applyProtection="1">
      <alignment horizontal="left" vertical="top" wrapText="1"/>
      <protection locked="0"/>
    </xf>
    <xf numFmtId="0" fontId="38" fillId="0" borderId="2" xfId="0" applyFont="1" applyBorder="1" applyAlignment="1">
      <alignment horizontal="center" wrapText="1"/>
    </xf>
    <xf numFmtId="0" fontId="38" fillId="0" borderId="4" xfId="0" applyFont="1" applyBorder="1" applyAlignment="1">
      <alignment horizontal="center" wrapText="1"/>
    </xf>
    <xf numFmtId="44" fontId="11" fillId="6" borderId="41" xfId="1" applyFont="1" applyFill="1" applyBorder="1" applyAlignment="1" applyProtection="1">
      <alignment horizontal="center" vertical="center"/>
    </xf>
    <xf numFmtId="0" fontId="0" fillId="51" borderId="40" xfId="0" applyFill="1" applyBorder="1" applyAlignment="1" applyProtection="1">
      <alignment horizontal="center"/>
      <protection locked="0"/>
    </xf>
    <xf numFmtId="0" fontId="0" fillId="51" borderId="41" xfId="0" applyFill="1" applyBorder="1" applyAlignment="1" applyProtection="1">
      <alignment horizontal="center"/>
      <protection locked="0"/>
    </xf>
    <xf numFmtId="0" fontId="0" fillId="51" borderId="37" xfId="0" applyFill="1" applyBorder="1" applyAlignment="1" applyProtection="1">
      <alignment horizontal="center"/>
      <protection locked="0"/>
    </xf>
    <xf numFmtId="0" fontId="0" fillId="51" borderId="38" xfId="0" applyFill="1" applyBorder="1" applyAlignment="1" applyProtection="1">
      <alignment horizontal="center"/>
      <protection locked="0"/>
    </xf>
    <xf numFmtId="0" fontId="0" fillId="51" borderId="42" xfId="0" applyFill="1" applyBorder="1" applyAlignment="1" applyProtection="1">
      <alignment horizontal="center"/>
      <protection locked="0"/>
    </xf>
    <xf numFmtId="0" fontId="0" fillId="51" borderId="24" xfId="0" applyFill="1" applyBorder="1" applyAlignment="1" applyProtection="1">
      <alignment horizontal="center"/>
      <protection locked="0"/>
    </xf>
    <xf numFmtId="0" fontId="0" fillId="51" borderId="25" xfId="0" applyFill="1" applyBorder="1" applyAlignment="1" applyProtection="1">
      <alignment horizontal="center"/>
      <protection locked="0"/>
    </xf>
    <xf numFmtId="0" fontId="0" fillId="51" borderId="26" xfId="0" applyFill="1" applyBorder="1" applyAlignment="1" applyProtection="1">
      <alignment horizontal="center"/>
      <protection locked="0"/>
    </xf>
    <xf numFmtId="44" fontId="12" fillId="5" borderId="10" xfId="1" applyFont="1" applyFill="1" applyBorder="1" applyAlignment="1" applyProtection="1">
      <alignment horizontal="center" vertical="center"/>
    </xf>
    <xf numFmtId="44" fontId="12" fillId="5" borderId="11" xfId="1" applyFont="1" applyFill="1" applyBorder="1" applyAlignment="1" applyProtection="1">
      <alignment horizontal="center" vertical="center"/>
    </xf>
    <xf numFmtId="0" fontId="38" fillId="0" borderId="1" xfId="0" applyFont="1" applyBorder="1" applyAlignment="1">
      <alignment horizontal="center" wrapText="1"/>
    </xf>
    <xf numFmtId="0" fontId="12" fillId="2" borderId="8" xfId="0" applyFont="1" applyFill="1" applyBorder="1" applyAlignment="1">
      <alignment horizontal="center" vertical="top"/>
    </xf>
    <xf numFmtId="0" fontId="41" fillId="2" borderId="44" xfId="0" applyFont="1" applyFill="1" applyBorder="1" applyAlignment="1">
      <alignment horizontal="center" vertical="top"/>
    </xf>
    <xf numFmtId="0" fontId="13" fillId="47" borderId="44" xfId="0" applyFont="1" applyFill="1" applyBorder="1" applyAlignment="1">
      <alignment horizontal="left" vertical="center" wrapText="1"/>
    </xf>
    <xf numFmtId="0" fontId="11" fillId="52" borderId="44" xfId="0" applyFont="1" applyFill="1" applyBorder="1" applyAlignment="1">
      <alignment horizontal="left" vertical="center" wrapText="1"/>
    </xf>
    <xf numFmtId="0" fontId="11" fillId="6" borderId="44"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3" fontId="90" fillId="6" borderId="24" xfId="2" applyNumberFormat="1" applyFont="1" applyFill="1" applyBorder="1" applyAlignment="1" applyProtection="1">
      <alignment horizontal="center" vertical="center"/>
    </xf>
    <xf numFmtId="3" fontId="90" fillId="6" borderId="25" xfId="2" applyNumberFormat="1" applyFont="1" applyFill="1" applyBorder="1" applyAlignment="1" applyProtection="1">
      <alignment horizontal="center" vertical="center"/>
    </xf>
    <xf numFmtId="3" fontId="90" fillId="6" borderId="26" xfId="2" applyNumberFormat="1" applyFont="1" applyFill="1" applyBorder="1" applyAlignment="1" applyProtection="1">
      <alignment horizontal="center" vertical="center"/>
    </xf>
    <xf numFmtId="0" fontId="19" fillId="51" borderId="24" xfId="0" applyFont="1" applyFill="1" applyBorder="1" applyAlignment="1">
      <alignment horizontal="center" vertical="center" wrapText="1"/>
    </xf>
    <xf numFmtId="0" fontId="19" fillId="51" borderId="25" xfId="0" applyFont="1" applyFill="1" applyBorder="1" applyAlignment="1">
      <alignment horizontal="center" vertical="center"/>
    </xf>
    <xf numFmtId="0" fontId="19" fillId="51" borderId="26" xfId="0" applyFont="1" applyFill="1" applyBorder="1" applyAlignment="1">
      <alignment horizontal="center" vertical="center"/>
    </xf>
    <xf numFmtId="0" fontId="16" fillId="6" borderId="44" xfId="0" applyFont="1" applyFill="1" applyBorder="1" applyAlignment="1">
      <alignment horizontal="center" vertical="center"/>
    </xf>
    <xf numFmtId="0" fontId="16" fillId="10" borderId="44" xfId="0" applyFont="1" applyFill="1" applyBorder="1" applyAlignment="1">
      <alignment horizontal="center" vertical="center"/>
    </xf>
    <xf numFmtId="0" fontId="0" fillId="51" borderId="0" xfId="0" applyFill="1" applyAlignment="1" applyProtection="1">
      <alignment horizontal="center"/>
      <protection locked="0"/>
    </xf>
    <xf numFmtId="0" fontId="0" fillId="51" borderId="43" xfId="0" applyFill="1" applyBorder="1" applyAlignment="1" applyProtection="1">
      <alignment horizontal="center"/>
      <protection locked="0"/>
    </xf>
    <xf numFmtId="0" fontId="0" fillId="51" borderId="39" xfId="0" applyFill="1" applyBorder="1" applyAlignment="1" applyProtection="1">
      <alignment horizontal="center"/>
      <protection locked="0"/>
    </xf>
    <xf numFmtId="0" fontId="11" fillId="6" borderId="43" xfId="0" applyFont="1" applyFill="1" applyBorder="1" applyAlignment="1">
      <alignment horizontal="center" vertical="center"/>
    </xf>
    <xf numFmtId="0" fontId="92" fillId="51" borderId="30" xfId="0" applyFont="1" applyFill="1" applyBorder="1" applyAlignment="1">
      <alignment horizontal="center" vertical="center"/>
    </xf>
    <xf numFmtId="0" fontId="92" fillId="51" borderId="0" xfId="0" applyFont="1" applyFill="1" applyAlignment="1">
      <alignment horizontal="center" vertical="center"/>
    </xf>
    <xf numFmtId="44" fontId="11" fillId="52" borderId="40" xfId="0" applyNumberFormat="1" applyFont="1" applyFill="1" applyBorder="1" applyAlignment="1" applyProtection="1">
      <alignment horizontal="center" vertical="center"/>
      <protection locked="0"/>
    </xf>
    <xf numFmtId="44" fontId="11" fillId="52" borderId="41" xfId="0" applyNumberFormat="1" applyFont="1" applyFill="1" applyBorder="1" applyAlignment="1" applyProtection="1">
      <alignment horizontal="center" vertical="center"/>
      <protection locked="0"/>
    </xf>
    <xf numFmtId="0" fontId="16" fillId="51" borderId="30" xfId="0" applyFont="1" applyFill="1" applyBorder="1" applyAlignment="1">
      <alignment horizontal="right" vertical="center"/>
    </xf>
    <xf numFmtId="0" fontId="16" fillId="51" borderId="0" xfId="0" applyFont="1" applyFill="1" applyAlignment="1">
      <alignment horizontal="right" vertical="center"/>
    </xf>
    <xf numFmtId="0" fontId="29" fillId="51" borderId="30" xfId="0" applyFont="1" applyFill="1" applyBorder="1" applyAlignment="1">
      <alignment horizontal="center" vertical="center"/>
    </xf>
    <xf numFmtId="0" fontId="29" fillId="51" borderId="0" xfId="0" applyFont="1" applyFill="1" applyAlignment="1">
      <alignment horizontal="center" vertical="center"/>
    </xf>
    <xf numFmtId="0" fontId="19" fillId="51" borderId="0" xfId="0" applyFont="1" applyFill="1" applyAlignment="1" applyProtection="1">
      <alignment horizontal="center" vertical="center"/>
      <protection locked="0"/>
    </xf>
    <xf numFmtId="0" fontId="22" fillId="9" borderId="0" xfId="0" applyFont="1" applyFill="1" applyAlignment="1">
      <alignment horizontal="center" vertical="top"/>
    </xf>
    <xf numFmtId="0" fontId="3" fillId="0" borderId="0" xfId="0" applyFont="1" applyAlignment="1">
      <alignment horizontal="center"/>
    </xf>
    <xf numFmtId="43" fontId="28" fillId="10" borderId="25" xfId="2" applyFont="1" applyFill="1" applyBorder="1" applyAlignment="1" applyProtection="1">
      <alignment horizontal="center" vertical="top"/>
      <protection locked="0"/>
    </xf>
    <xf numFmtId="0" fontId="16" fillId="6" borderId="0" xfId="1" applyNumberFormat="1" applyFont="1" applyFill="1" applyBorder="1" applyAlignment="1">
      <alignment horizontal="left" vertical="center"/>
    </xf>
    <xf numFmtId="0" fontId="23" fillId="10" borderId="49" xfId="0" applyFont="1" applyFill="1" applyBorder="1" applyAlignment="1" applyProtection="1">
      <alignment horizontal="left" vertical="top"/>
      <protection locked="0"/>
    </xf>
    <xf numFmtId="0" fontId="23" fillId="10" borderId="45" xfId="0" applyFont="1" applyFill="1" applyBorder="1" applyAlignment="1" applyProtection="1">
      <alignment horizontal="left" vertical="top"/>
      <protection locked="0"/>
    </xf>
    <xf numFmtId="0" fontId="17" fillId="51" borderId="41" xfId="1" applyNumberFormat="1" applyFont="1" applyFill="1" applyBorder="1" applyAlignment="1" applyProtection="1">
      <alignment horizontal="center" vertical="top"/>
      <protection locked="0"/>
    </xf>
    <xf numFmtId="0" fontId="17" fillId="51" borderId="25" xfId="1" applyNumberFormat="1" applyFont="1" applyFill="1" applyBorder="1" applyAlignment="1" applyProtection="1">
      <alignment horizontal="center" vertical="top"/>
      <protection locked="0"/>
    </xf>
    <xf numFmtId="0" fontId="17" fillId="51" borderId="0" xfId="1" applyNumberFormat="1" applyFont="1" applyFill="1" applyBorder="1" applyAlignment="1" applyProtection="1">
      <alignment horizontal="center" vertical="top"/>
      <protection locked="0"/>
    </xf>
    <xf numFmtId="0" fontId="5" fillId="3" borderId="48" xfId="0" applyFont="1" applyFill="1" applyBorder="1" applyAlignment="1">
      <alignment horizontal="center" vertical="center" wrapText="1"/>
    </xf>
    <xf numFmtId="0" fontId="5" fillId="3" borderId="41" xfId="0" applyFont="1" applyFill="1" applyBorder="1" applyAlignment="1">
      <alignment horizontal="center" vertical="center" wrapText="1"/>
    </xf>
    <xf numFmtId="44" fontId="16" fillId="6" borderId="0" xfId="1" applyFont="1" applyFill="1" applyBorder="1" applyAlignment="1">
      <alignment horizontal="left" vertical="center"/>
    </xf>
    <xf numFmtId="44" fontId="19" fillId="51" borderId="41" xfId="1" applyFont="1" applyFill="1" applyBorder="1" applyAlignment="1" applyProtection="1">
      <alignment horizontal="center" vertical="top"/>
      <protection locked="0"/>
    </xf>
    <xf numFmtId="44" fontId="19" fillId="51" borderId="0" xfId="1" applyFont="1" applyFill="1" applyBorder="1" applyAlignment="1" applyProtection="1">
      <alignment horizontal="left" vertical="top"/>
      <protection locked="0"/>
    </xf>
    <xf numFmtId="44" fontId="19" fillId="51" borderId="41" xfId="1" applyFont="1" applyFill="1" applyBorder="1" applyAlignment="1" applyProtection="1">
      <alignment horizontal="left" vertical="top"/>
      <protection locked="0"/>
    </xf>
    <xf numFmtId="0" fontId="30" fillId="2" borderId="0" xfId="0" applyFont="1" applyFill="1" applyAlignment="1">
      <alignment horizontal="left" vertical="top"/>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44" fontId="20" fillId="5" borderId="0" xfId="1" applyFont="1" applyFill="1" applyBorder="1" applyAlignment="1">
      <alignment horizontal="left" vertical="center"/>
    </xf>
    <xf numFmtId="44" fontId="19" fillId="51" borderId="0" xfId="1" applyFont="1" applyFill="1" applyBorder="1" applyAlignment="1" applyProtection="1">
      <alignment horizontal="center" vertical="top"/>
      <protection locked="0"/>
    </xf>
    <xf numFmtId="0" fontId="22" fillId="9" borderId="0" xfId="0" applyFont="1" applyFill="1" applyAlignment="1">
      <alignment horizontal="left" vertical="top"/>
    </xf>
    <xf numFmtId="0" fontId="17" fillId="6" borderId="38" xfId="0" applyFont="1" applyFill="1" applyBorder="1" applyAlignment="1">
      <alignment horizontal="left" vertical="center"/>
    </xf>
    <xf numFmtId="0" fontId="12" fillId="3" borderId="0" xfId="0" applyFont="1" applyFill="1" applyAlignment="1">
      <alignment horizontal="center" vertical="center" wrapText="1"/>
    </xf>
    <xf numFmtId="43" fontId="28" fillId="10" borderId="24" xfId="2" applyFont="1" applyFill="1" applyBorder="1" applyAlignment="1" applyProtection="1">
      <alignment horizontal="center" vertical="top"/>
      <protection locked="0"/>
    </xf>
    <xf numFmtId="43" fontId="28" fillId="10" borderId="26" xfId="2" applyFont="1" applyFill="1" applyBorder="1" applyAlignment="1" applyProtection="1">
      <alignment horizontal="center" vertical="top"/>
      <protection locked="0"/>
    </xf>
    <xf numFmtId="43" fontId="28" fillId="10" borderId="30" xfId="2" applyFont="1" applyFill="1" applyBorder="1" applyAlignment="1" applyProtection="1">
      <alignment horizontal="center" vertical="top"/>
      <protection locked="0"/>
    </xf>
    <xf numFmtId="43" fontId="28" fillId="10" borderId="43" xfId="2" applyFont="1" applyFill="1" applyBorder="1" applyAlignment="1" applyProtection="1">
      <alignment horizontal="center" vertical="top"/>
      <protection locked="0"/>
    </xf>
    <xf numFmtId="44" fontId="17" fillId="51" borderId="0" xfId="1" applyFont="1" applyFill="1" applyBorder="1" applyAlignment="1" applyProtection="1">
      <alignment horizontal="center" vertical="top"/>
      <protection locked="0"/>
    </xf>
    <xf numFmtId="44" fontId="20" fillId="5" borderId="0" xfId="1" applyFont="1" applyFill="1" applyBorder="1" applyAlignment="1">
      <alignment horizontal="left" vertical="center" wrapText="1"/>
    </xf>
    <xf numFmtId="0" fontId="12" fillId="2" borderId="41" xfId="0" applyFont="1" applyFill="1" applyBorder="1" applyAlignment="1">
      <alignment horizontal="center" vertical="top"/>
    </xf>
    <xf numFmtId="0" fontId="11" fillId="10" borderId="30" xfId="0" applyFont="1" applyFill="1" applyBorder="1" applyAlignment="1">
      <alignment horizontal="left" vertical="center" wrapText="1"/>
    </xf>
    <xf numFmtId="0" fontId="11" fillId="10" borderId="0" xfId="0" applyFont="1" applyFill="1" applyAlignment="1">
      <alignment horizontal="left" vertical="center" wrapText="1"/>
    </xf>
    <xf numFmtId="0" fontId="65" fillId="6" borderId="0" xfId="0" applyFont="1" applyFill="1" applyAlignment="1">
      <alignment horizontal="center" vertical="center" wrapText="1"/>
    </xf>
    <xf numFmtId="0" fontId="64" fillId="6" borderId="0" xfId="0" applyFont="1" applyFill="1" applyAlignment="1">
      <alignment horizontal="center" vertical="center" wrapText="1"/>
    </xf>
    <xf numFmtId="44" fontId="22" fillId="6" borderId="38" xfId="1" applyFont="1" applyFill="1" applyBorder="1" applyAlignment="1" applyProtection="1">
      <alignment horizontal="center" vertical="top"/>
      <protection locked="0"/>
    </xf>
    <xf numFmtId="0" fontId="5" fillId="3" borderId="41" xfId="0" applyFont="1" applyFill="1" applyBorder="1" applyAlignment="1">
      <alignment horizontal="center" vertical="center"/>
    </xf>
    <xf numFmtId="0" fontId="19" fillId="6" borderId="38" xfId="0" applyFont="1" applyFill="1" applyBorder="1" applyAlignment="1">
      <alignment horizontal="left" vertical="center" wrapText="1"/>
    </xf>
    <xf numFmtId="0" fontId="43" fillId="10" borderId="41" xfId="0" applyFont="1" applyFill="1" applyBorder="1" applyAlignment="1" applyProtection="1">
      <alignment horizontal="left" vertical="top"/>
      <protection locked="0"/>
    </xf>
    <xf numFmtId="44" fontId="16" fillId="6" borderId="38" xfId="1" applyFont="1" applyFill="1" applyBorder="1" applyAlignment="1">
      <alignment horizontal="left" vertical="center"/>
    </xf>
    <xf numFmtId="0" fontId="30" fillId="2" borderId="0" xfId="0" applyFont="1" applyFill="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11" fillId="54" borderId="40" xfId="0" applyFont="1" applyFill="1" applyBorder="1" applyAlignment="1">
      <alignment horizontal="left" vertical="center"/>
    </xf>
    <xf numFmtId="0" fontId="11" fillId="54" borderId="41" xfId="0" applyFont="1" applyFill="1" applyBorder="1" applyAlignment="1">
      <alignment horizontal="left" vertical="center"/>
    </xf>
    <xf numFmtId="43" fontId="28" fillId="54" borderId="46" xfId="2" applyFont="1" applyFill="1" applyBorder="1" applyAlignment="1" applyProtection="1">
      <alignment horizontal="left" vertical="center"/>
      <protection locked="0"/>
    </xf>
    <xf numFmtId="43" fontId="16" fillId="12" borderId="45" xfId="2" applyFont="1" applyFill="1" applyBorder="1" applyAlignment="1" applyProtection="1">
      <alignment horizontal="left" vertical="center"/>
      <protection locked="0"/>
    </xf>
    <xf numFmtId="0" fontId="11" fillId="6" borderId="0" xfId="0" applyFont="1" applyFill="1" applyAlignment="1">
      <alignment horizontal="center" vertical="center" wrapText="1"/>
    </xf>
    <xf numFmtId="0" fontId="13" fillId="51" borderId="37" xfId="0" applyFont="1" applyFill="1" applyBorder="1" applyAlignment="1">
      <alignment horizontal="left" vertical="top" wrapText="1"/>
    </xf>
    <xf numFmtId="0" fontId="13" fillId="51" borderId="38" xfId="0" applyFont="1" applyFill="1" applyBorder="1" applyAlignment="1">
      <alignment horizontal="left" vertical="top" wrapText="1"/>
    </xf>
    <xf numFmtId="0" fontId="13" fillId="51" borderId="30" xfId="0" applyFont="1" applyFill="1" applyBorder="1" applyAlignment="1">
      <alignment horizontal="left" vertical="top" wrapText="1"/>
    </xf>
    <xf numFmtId="0" fontId="13" fillId="51" borderId="0" xfId="0" applyFont="1" applyFill="1" applyAlignment="1">
      <alignment horizontal="left" vertical="top" wrapText="1"/>
    </xf>
    <xf numFmtId="0" fontId="6" fillId="11" borderId="38" xfId="0" applyFont="1" applyFill="1" applyBorder="1" applyAlignment="1">
      <alignment horizontal="center" vertical="center" wrapText="1"/>
    </xf>
    <xf numFmtId="0" fontId="6" fillId="11" borderId="0" xfId="0" applyFont="1" applyFill="1" applyAlignment="1">
      <alignment horizontal="center" vertical="center" wrapText="1"/>
    </xf>
    <xf numFmtId="0" fontId="6" fillId="11" borderId="41" xfId="0" applyFont="1" applyFill="1" applyBorder="1" applyAlignment="1">
      <alignment horizontal="center" vertical="center" wrapText="1"/>
    </xf>
    <xf numFmtId="0" fontId="20" fillId="2" borderId="0" xfId="0" applyFont="1" applyFill="1" applyAlignment="1">
      <alignment horizontal="center" vertical="top" wrapText="1"/>
    </xf>
    <xf numFmtId="0" fontId="20" fillId="2" borderId="41" xfId="0" applyFont="1" applyFill="1" applyBorder="1" applyAlignment="1">
      <alignment horizontal="center" vertical="top" wrapText="1"/>
    </xf>
    <xf numFmtId="0" fontId="6" fillId="11" borderId="38" xfId="0" applyFont="1" applyFill="1" applyBorder="1" applyAlignment="1">
      <alignment horizontal="center" vertical="center"/>
    </xf>
    <xf numFmtId="0" fontId="6" fillId="11" borderId="0" xfId="0" applyFont="1" applyFill="1" applyAlignment="1">
      <alignment horizontal="center" vertical="center"/>
    </xf>
    <xf numFmtId="0" fontId="6" fillId="11" borderId="41" xfId="0" applyFont="1" applyFill="1" applyBorder="1" applyAlignment="1">
      <alignment horizontal="center" vertical="center"/>
    </xf>
    <xf numFmtId="0" fontId="30" fillId="2" borderId="41" xfId="0" applyFont="1" applyFill="1" applyBorder="1" applyAlignment="1">
      <alignment horizontal="center" vertical="center"/>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11" fillId="6" borderId="34"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6" fillId="6" borderId="37"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46" fillId="13" borderId="0" xfId="0" applyFont="1" applyFill="1" applyAlignment="1">
      <alignment horizontal="center" vertical="top"/>
    </xf>
    <xf numFmtId="0" fontId="0" fillId="6" borderId="0" xfId="0" applyFill="1" applyAlignment="1" applyProtection="1">
      <alignment horizontal="center"/>
      <protection locked="0"/>
    </xf>
    <xf numFmtId="0" fontId="28" fillId="66" borderId="0" xfId="0" applyFont="1" applyFill="1" applyAlignment="1" applyProtection="1">
      <alignment horizontal="left" vertical="top" wrapText="1"/>
      <protection locked="0"/>
    </xf>
    <xf numFmtId="0" fontId="44" fillId="2" borderId="52" xfId="0" applyFont="1" applyFill="1" applyBorder="1" applyAlignment="1">
      <alignment horizontal="left" vertical="center"/>
    </xf>
    <xf numFmtId="0" fontId="44" fillId="2" borderId="0" xfId="0" applyFont="1" applyFill="1" applyAlignment="1">
      <alignment horizontal="left" vertical="center"/>
    </xf>
    <xf numFmtId="0" fontId="44" fillId="2" borderId="51" xfId="0" applyFont="1" applyFill="1" applyBorder="1" applyAlignment="1">
      <alignment horizontal="left" vertical="center"/>
    </xf>
    <xf numFmtId="0" fontId="30" fillId="2" borderId="53" xfId="0" applyFont="1" applyFill="1" applyBorder="1" applyAlignment="1">
      <alignment vertical="center"/>
    </xf>
    <xf numFmtId="0" fontId="30" fillId="2" borderId="48" xfId="0" applyFont="1" applyFill="1" applyBorder="1" applyAlignment="1">
      <alignment vertical="center"/>
    </xf>
    <xf numFmtId="0" fontId="30" fillId="2" borderId="54" xfId="0" applyFont="1" applyFill="1" applyBorder="1" applyAlignment="1">
      <alignment vertical="center"/>
    </xf>
    <xf numFmtId="0" fontId="22" fillId="66" borderId="52" xfId="0" applyFont="1" applyFill="1" applyBorder="1" applyAlignment="1" applyProtection="1">
      <alignment horizontal="left" vertical="top" wrapText="1"/>
      <protection locked="0"/>
    </xf>
    <xf numFmtId="0" fontId="22" fillId="66" borderId="0" xfId="0" applyFont="1" applyFill="1" applyAlignment="1" applyProtection="1">
      <alignment horizontal="left" vertical="top" wrapText="1"/>
      <protection locked="0"/>
    </xf>
    <xf numFmtId="0" fontId="22" fillId="66" borderId="51" xfId="0" applyFont="1" applyFill="1" applyBorder="1" applyAlignment="1" applyProtection="1">
      <alignment horizontal="left" vertical="top" wrapText="1"/>
      <protection locked="0"/>
    </xf>
    <xf numFmtId="0" fontId="22" fillId="8" borderId="52" xfId="0" applyFont="1" applyFill="1" applyBorder="1" applyAlignment="1">
      <alignment horizontal="left" vertical="top" wrapText="1"/>
    </xf>
    <xf numFmtId="0" fontId="22" fillId="8" borderId="0" xfId="0" applyFont="1" applyFill="1" applyAlignment="1">
      <alignment horizontal="left" vertical="top" wrapText="1"/>
    </xf>
    <xf numFmtId="0" fontId="22" fillId="8" borderId="52" xfId="0" applyFont="1" applyFill="1" applyBorder="1" applyAlignment="1">
      <alignment horizontal="left" vertical="center"/>
    </xf>
    <xf numFmtId="0" fontId="22" fillId="8" borderId="0" xfId="0" applyFont="1" applyFill="1" applyAlignment="1">
      <alignment horizontal="left" vertical="center"/>
    </xf>
    <xf numFmtId="0" fontId="19" fillId="51" borderId="0" xfId="0" applyFont="1" applyFill="1" applyAlignment="1">
      <alignment horizontal="left" vertical="center" wrapText="1"/>
    </xf>
    <xf numFmtId="0" fontId="22" fillId="8" borderId="52" xfId="0" applyFont="1" applyFill="1" applyBorder="1" applyAlignment="1" applyProtection="1">
      <alignment horizontal="left" vertical="top" wrapText="1"/>
      <protection locked="0"/>
    </xf>
    <xf numFmtId="0" fontId="22" fillId="8" borderId="0" xfId="0" applyFont="1" applyFill="1" applyAlignment="1" applyProtection="1">
      <alignment horizontal="left" vertical="top" wrapText="1"/>
      <protection locked="0"/>
    </xf>
    <xf numFmtId="0" fontId="24" fillId="6" borderId="66" xfId="0" applyFont="1" applyFill="1" applyBorder="1" applyAlignment="1">
      <alignment horizontal="center" vertical="center" wrapText="1"/>
    </xf>
    <xf numFmtId="0" fontId="24" fillId="6" borderId="67"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0" fillId="9" borderId="0" xfId="0" applyFill="1" applyAlignment="1">
      <alignment horizontal="center"/>
    </xf>
    <xf numFmtId="0" fontId="0" fillId="9" borderId="66" xfId="0" applyFill="1" applyBorder="1" applyAlignment="1">
      <alignment horizontal="center" vertical="center" wrapText="1"/>
    </xf>
    <xf numFmtId="0" fontId="0" fillId="9" borderId="67" xfId="0" applyFill="1" applyBorder="1" applyAlignment="1">
      <alignment horizontal="center" vertical="center" wrapText="1"/>
    </xf>
    <xf numFmtId="0" fontId="0" fillId="9" borderId="68" xfId="0" applyFill="1" applyBorder="1" applyAlignment="1">
      <alignment horizontal="center" vertical="center" wrapText="1"/>
    </xf>
    <xf numFmtId="0" fontId="0" fillId="9" borderId="0" xfId="0" applyFill="1" applyAlignment="1">
      <alignment horizontal="left"/>
    </xf>
    <xf numFmtId="0" fontId="22" fillId="51" borderId="0" xfId="0" applyFont="1" applyFill="1" applyAlignment="1" applyProtection="1">
      <alignment horizontal="left" vertical="top" wrapText="1"/>
      <protection locked="0"/>
    </xf>
    <xf numFmtId="0" fontId="105" fillId="2" borderId="0" xfId="0" applyFont="1" applyFill="1" applyAlignment="1">
      <alignment horizontal="center" vertical="center" wrapText="1"/>
    </xf>
    <xf numFmtId="0" fontId="46" fillId="13" borderId="0" xfId="0" applyFont="1" applyFill="1" applyAlignment="1">
      <alignment horizontal="left" vertical="top"/>
    </xf>
    <xf numFmtId="0" fontId="23" fillId="51" borderId="57" xfId="0" applyFont="1" applyFill="1" applyBorder="1" applyAlignment="1">
      <alignment horizontal="left" vertical="top"/>
    </xf>
    <xf numFmtId="0" fontId="46" fillId="13" borderId="0" xfId="0" applyFont="1" applyFill="1" applyAlignment="1">
      <alignment horizontal="center" vertical="center"/>
    </xf>
    <xf numFmtId="0" fontId="23" fillId="66" borderId="57" xfId="0" applyFont="1" applyFill="1" applyBorder="1" applyAlignment="1" applyProtection="1">
      <alignment horizontal="left" vertical="top"/>
      <protection locked="0"/>
    </xf>
    <xf numFmtId="0" fontId="31" fillId="50" borderId="70" xfId="0" applyFont="1" applyFill="1" applyBorder="1" applyAlignment="1">
      <alignment horizontal="center"/>
    </xf>
    <xf numFmtId="0" fontId="31" fillId="50" borderId="69" xfId="0" applyFont="1" applyFill="1" applyBorder="1" applyAlignment="1">
      <alignment horizontal="center"/>
    </xf>
    <xf numFmtId="0" fontId="31" fillId="50" borderId="71" xfId="0" applyFont="1" applyFill="1" applyBorder="1" applyAlignment="1">
      <alignment horizontal="center"/>
    </xf>
    <xf numFmtId="0" fontId="72" fillId="4" borderId="0" xfId="0" applyFont="1" applyFill="1" applyAlignment="1">
      <alignment horizontal="left" vertical="top"/>
    </xf>
    <xf numFmtId="0" fontId="63" fillId="50" borderId="75" xfId="0" applyFont="1" applyFill="1" applyBorder="1" applyAlignment="1">
      <alignment horizontal="center" vertical="top"/>
    </xf>
    <xf numFmtId="0" fontId="63" fillId="50" borderId="76" xfId="0" applyFont="1" applyFill="1" applyBorder="1" applyAlignment="1">
      <alignment horizontal="center" vertical="top"/>
    </xf>
    <xf numFmtId="0" fontId="46" fillId="2" borderId="0" xfId="0" applyFont="1" applyFill="1" applyAlignment="1">
      <alignment horizontal="center" vertical="top"/>
    </xf>
    <xf numFmtId="0" fontId="22" fillId="51" borderId="52" xfId="0" applyFont="1" applyFill="1" applyBorder="1" applyAlignment="1" applyProtection="1">
      <alignment horizontal="center" vertical="top" wrapText="1"/>
      <protection locked="0"/>
    </xf>
    <xf numFmtId="0" fontId="22" fillId="51" borderId="0" xfId="0" applyFont="1" applyFill="1" applyAlignment="1" applyProtection="1">
      <alignment horizontal="center" vertical="top" wrapText="1"/>
      <protection locked="0"/>
    </xf>
    <xf numFmtId="0" fontId="22" fillId="51" borderId="51" xfId="0" applyFont="1" applyFill="1" applyBorder="1" applyAlignment="1" applyProtection="1">
      <alignment horizontal="center" vertical="top" wrapText="1"/>
      <protection locked="0"/>
    </xf>
    <xf numFmtId="0" fontId="22" fillId="51" borderId="52" xfId="0" applyFont="1" applyFill="1" applyBorder="1" applyAlignment="1" applyProtection="1">
      <alignment horizontal="left" vertical="top" wrapText="1"/>
      <protection locked="0"/>
    </xf>
    <xf numFmtId="0" fontId="22" fillId="51" borderId="51" xfId="0" applyFont="1" applyFill="1" applyBorder="1" applyAlignment="1" applyProtection="1">
      <alignment horizontal="left" vertical="top" wrapText="1"/>
      <protection locked="0"/>
    </xf>
    <xf numFmtId="0" fontId="46" fillId="2" borderId="41" xfId="0" applyFont="1" applyFill="1" applyBorder="1" applyAlignment="1">
      <alignment horizontal="center" vertical="top"/>
    </xf>
    <xf numFmtId="0" fontId="13" fillId="9" borderId="30" xfId="0" applyFont="1" applyFill="1" applyBorder="1" applyAlignment="1">
      <alignment horizontal="left" vertical="center" wrapText="1"/>
    </xf>
    <xf numFmtId="0" fontId="13" fillId="9" borderId="0" xfId="0" applyFont="1" applyFill="1" applyAlignment="1">
      <alignment horizontal="left" vertical="center" wrapText="1"/>
    </xf>
    <xf numFmtId="0" fontId="39" fillId="9" borderId="40" xfId="0" applyFont="1" applyFill="1" applyBorder="1" applyAlignment="1">
      <alignment horizontal="left" vertical="center" wrapText="1"/>
    </xf>
    <xf numFmtId="0" fontId="39" fillId="9" borderId="41" xfId="0" applyFont="1" applyFill="1" applyBorder="1" applyAlignment="1">
      <alignment horizontal="left" vertical="center" wrapText="1"/>
    </xf>
    <xf numFmtId="44" fontId="30" fillId="5" borderId="41" xfId="1" applyFont="1" applyFill="1" applyBorder="1" applyAlignment="1" applyProtection="1">
      <alignment horizontal="center" vertical="center"/>
    </xf>
    <xf numFmtId="44" fontId="15" fillId="5" borderId="0" xfId="1" applyFont="1" applyFill="1" applyBorder="1" applyAlignment="1" applyProtection="1">
      <alignment horizontal="left" vertical="center"/>
    </xf>
    <xf numFmtId="0" fontId="29" fillId="6" borderId="1" xfId="0" applyFont="1" applyFill="1" applyBorder="1" applyAlignment="1">
      <alignment horizontal="center" vertical="center"/>
    </xf>
    <xf numFmtId="44" fontId="30" fillId="5" borderId="0" xfId="1" applyFont="1" applyFill="1" applyBorder="1" applyAlignment="1" applyProtection="1">
      <alignment horizontal="left" vertical="center"/>
    </xf>
    <xf numFmtId="0" fontId="29" fillId="10" borderId="1" xfId="0" applyFont="1" applyFill="1" applyBorder="1" applyAlignment="1">
      <alignment horizontal="center" vertical="center"/>
    </xf>
    <xf numFmtId="0" fontId="19" fillId="51" borderId="25" xfId="0" applyFont="1" applyFill="1" applyBorder="1" applyAlignment="1">
      <alignment horizontal="left" vertical="center" wrapText="1"/>
    </xf>
    <xf numFmtId="0" fontId="19" fillId="51" borderId="0" xfId="0" applyFont="1" applyFill="1" applyAlignment="1">
      <alignment horizontal="left" vertical="center"/>
    </xf>
    <xf numFmtId="0" fontId="19" fillId="54" borderId="24" xfId="0" applyFont="1" applyFill="1" applyBorder="1" applyAlignment="1" applyProtection="1">
      <alignment horizontal="center"/>
      <protection locked="0"/>
    </xf>
    <xf numFmtId="0" fontId="19" fillId="54" borderId="26" xfId="0" applyFont="1" applyFill="1" applyBorder="1" applyAlignment="1" applyProtection="1">
      <alignment horizontal="center"/>
      <protection locked="0"/>
    </xf>
    <xf numFmtId="44" fontId="20" fillId="5" borderId="41" xfId="1" applyFont="1" applyFill="1" applyBorder="1" applyAlignment="1" applyProtection="1">
      <alignment horizontal="left" vertical="center"/>
    </xf>
    <xf numFmtId="44" fontId="19" fillId="54" borderId="41" xfId="1" applyFont="1" applyFill="1" applyBorder="1" applyAlignment="1" applyProtection="1">
      <alignment horizontal="left" vertical="center"/>
    </xf>
    <xf numFmtId="0" fontId="28" fillId="54" borderId="24" xfId="0" applyFont="1" applyFill="1" applyBorder="1" applyAlignment="1" applyProtection="1">
      <alignment horizontal="center"/>
      <protection locked="0"/>
    </xf>
    <xf numFmtId="0" fontId="28" fillId="54" borderId="26" xfId="0" applyFont="1" applyFill="1" applyBorder="1" applyAlignment="1" applyProtection="1">
      <alignment horizontal="center"/>
      <protection locked="0"/>
    </xf>
    <xf numFmtId="0" fontId="28" fillId="51" borderId="44" xfId="0" applyFont="1" applyFill="1" applyBorder="1" applyAlignment="1">
      <alignment horizontal="center"/>
    </xf>
    <xf numFmtId="44" fontId="6" fillId="3" borderId="25" xfId="1" applyFont="1" applyFill="1" applyBorder="1" applyAlignment="1" applyProtection="1">
      <alignment horizontal="center" vertical="center" wrapText="1"/>
    </xf>
    <xf numFmtId="44" fontId="6" fillId="3" borderId="38" xfId="1" applyFont="1" applyFill="1" applyBorder="1" applyAlignment="1" applyProtection="1">
      <alignment horizontal="center" vertical="center"/>
    </xf>
    <xf numFmtId="44" fontId="21" fillId="5" borderId="41" xfId="1" applyFont="1" applyFill="1" applyBorder="1" applyAlignment="1" applyProtection="1">
      <alignment horizontal="left" vertical="center"/>
    </xf>
    <xf numFmtId="0" fontId="19" fillId="54" borderId="24" xfId="0" applyFont="1" applyFill="1" applyBorder="1" applyAlignment="1">
      <alignment horizontal="center"/>
    </xf>
    <xf numFmtId="0" fontId="19" fillId="54" borderId="26" xfId="0" applyFont="1" applyFill="1" applyBorder="1" applyAlignment="1">
      <alignment horizontal="center"/>
    </xf>
    <xf numFmtId="44" fontId="30" fillId="5" borderId="0" xfId="1" applyFont="1" applyFill="1" applyBorder="1" applyAlignment="1" applyProtection="1">
      <alignment horizontal="left" vertical="center" wrapText="1"/>
    </xf>
    <xf numFmtId="44" fontId="15" fillId="5" borderId="0" xfId="1" applyFont="1" applyFill="1" applyBorder="1" applyAlignment="1" applyProtection="1">
      <alignment horizontal="left" vertical="center" wrapText="1"/>
    </xf>
    <xf numFmtId="0" fontId="28" fillId="54" borderId="37" xfId="0" applyFont="1" applyFill="1" applyBorder="1" applyAlignment="1" applyProtection="1">
      <alignment horizontal="center"/>
      <protection locked="0"/>
    </xf>
    <xf numFmtId="0" fontId="28" fillId="54" borderId="39" xfId="0" applyFont="1" applyFill="1" applyBorder="1" applyAlignment="1" applyProtection="1">
      <alignment horizontal="center"/>
      <protection locked="0"/>
    </xf>
    <xf numFmtId="0" fontId="43" fillId="0" borderId="0" xfId="0" applyFont="1" applyAlignment="1">
      <alignment horizontal="left" vertical="center"/>
    </xf>
    <xf numFmtId="0" fontId="43" fillId="0" borderId="0" xfId="0" applyFont="1" applyAlignment="1" applyProtection="1">
      <alignment horizontal="left" vertical="center"/>
      <protection locked="0"/>
    </xf>
    <xf numFmtId="0" fontId="16" fillId="6" borderId="41"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6" fillId="10" borderId="40" xfId="0" applyFont="1" applyFill="1" applyBorder="1" applyAlignment="1" applyProtection="1">
      <alignment horizontal="center" vertical="center"/>
      <protection locked="0"/>
    </xf>
    <xf numFmtId="0" fontId="16" fillId="10" borderId="41" xfId="0" applyFont="1" applyFill="1" applyBorder="1" applyAlignment="1" applyProtection="1">
      <alignment horizontal="center" vertical="center"/>
      <protection locked="0"/>
    </xf>
    <xf numFmtId="0" fontId="43" fillId="51" borderId="0" xfId="0" applyFont="1" applyFill="1" applyAlignment="1">
      <alignment horizontal="left" vertical="center"/>
    </xf>
    <xf numFmtId="0" fontId="43" fillId="51" borderId="0" xfId="0" applyFont="1" applyFill="1" applyAlignment="1" applyProtection="1">
      <alignment horizontal="left" vertical="center"/>
      <protection locked="0"/>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0"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44" fontId="6" fillId="3" borderId="0" xfId="1" applyFont="1" applyFill="1" applyBorder="1" applyAlignment="1" applyProtection="1">
      <alignment horizontal="center" vertical="center"/>
    </xf>
    <xf numFmtId="44" fontId="6" fillId="3" borderId="24" xfId="1" applyFont="1" applyFill="1" applyBorder="1" applyAlignment="1" applyProtection="1">
      <alignment horizontal="center" vertical="center"/>
    </xf>
    <xf numFmtId="44" fontId="6" fillId="3" borderId="25" xfId="1" applyFont="1" applyFill="1" applyBorder="1" applyAlignment="1" applyProtection="1">
      <alignment horizontal="center" vertical="center"/>
    </xf>
    <xf numFmtId="44" fontId="6" fillId="3" borderId="26" xfId="1" applyFont="1" applyFill="1" applyBorder="1" applyAlignment="1" applyProtection="1">
      <alignment horizontal="center" vertical="center"/>
    </xf>
    <xf numFmtId="0" fontId="28" fillId="54" borderId="25" xfId="0" applyFont="1" applyFill="1" applyBorder="1" applyAlignment="1" applyProtection="1">
      <alignment horizontal="center"/>
      <protection locked="0"/>
    </xf>
    <xf numFmtId="0" fontId="43" fillId="54" borderId="44" xfId="0" applyFont="1" applyFill="1" applyBorder="1" applyAlignment="1" applyProtection="1">
      <alignment horizontal="center"/>
      <protection locked="0"/>
    </xf>
    <xf numFmtId="0" fontId="6" fillId="3" borderId="0" xfId="1" applyNumberFormat="1" applyFont="1" applyFill="1" applyBorder="1" applyAlignment="1" applyProtection="1">
      <alignment horizontal="center" vertical="center"/>
    </xf>
    <xf numFmtId="0" fontId="28" fillId="50" borderId="24" xfId="0" applyFont="1" applyFill="1" applyBorder="1" applyAlignment="1" applyProtection="1">
      <alignment horizontal="center"/>
      <protection locked="0"/>
    </xf>
    <xf numFmtId="0" fontId="28" fillId="50" borderId="25" xfId="0" applyFont="1" applyFill="1" applyBorder="1" applyAlignment="1" applyProtection="1">
      <alignment horizontal="center"/>
      <protection locked="0"/>
    </xf>
    <xf numFmtId="44" fontId="6" fillId="3" borderId="41" xfId="1" applyFont="1" applyFill="1" applyBorder="1" applyAlignment="1" applyProtection="1">
      <alignment horizontal="center" vertical="center"/>
    </xf>
    <xf numFmtId="44" fontId="19" fillId="53" borderId="0" xfId="1" applyFont="1" applyFill="1" applyBorder="1" applyAlignment="1" applyProtection="1">
      <alignment horizontal="left" vertical="center"/>
    </xf>
    <xf numFmtId="44" fontId="20" fillId="5" borderId="0" xfId="1" applyFont="1" applyFill="1" applyBorder="1" applyAlignment="1" applyProtection="1">
      <alignment horizontal="left" vertical="center"/>
    </xf>
    <xf numFmtId="0" fontId="19" fillId="50" borderId="24" xfId="0" applyFont="1" applyFill="1" applyBorder="1" applyAlignment="1">
      <alignment horizontal="left"/>
    </xf>
    <xf numFmtId="0" fontId="19" fillId="50" borderId="26" xfId="0" applyFont="1" applyFill="1" applyBorder="1" applyAlignment="1">
      <alignment horizontal="left"/>
    </xf>
    <xf numFmtId="0" fontId="16" fillId="10" borderId="30" xfId="0" applyFont="1" applyFill="1" applyBorder="1" applyAlignment="1">
      <alignment horizontal="center" vertical="center"/>
    </xf>
    <xf numFmtId="0" fontId="16" fillId="10" borderId="0" xfId="0" applyFont="1" applyFill="1" applyAlignment="1">
      <alignment horizontal="center" vertical="center"/>
    </xf>
    <xf numFmtId="0" fontId="16" fillId="6" borderId="43" xfId="0" applyFont="1" applyFill="1" applyBorder="1" applyAlignment="1">
      <alignment horizontal="center" vertical="center"/>
    </xf>
    <xf numFmtId="0" fontId="16" fillId="12" borderId="0" xfId="0" applyFont="1" applyFill="1" applyAlignment="1">
      <alignment horizontal="center" vertical="center" wrapText="1"/>
    </xf>
    <xf numFmtId="0" fontId="16" fillId="12" borderId="38" xfId="0" applyFont="1" applyFill="1" applyBorder="1" applyAlignment="1">
      <alignment horizontal="center" vertical="center" wrapText="1"/>
    </xf>
    <xf numFmtId="0" fontId="6" fillId="3" borderId="41" xfId="1" applyNumberFormat="1" applyFont="1" applyFill="1" applyBorder="1" applyAlignment="1" applyProtection="1">
      <alignment horizontal="center" vertical="center"/>
    </xf>
    <xf numFmtId="0" fontId="19" fillId="50" borderId="40" xfId="0" applyFont="1" applyFill="1" applyBorder="1" applyAlignment="1">
      <alignment horizontal="left"/>
    </xf>
    <xf numFmtId="0" fontId="19" fillId="50" borderId="42" xfId="0" applyFont="1" applyFill="1" applyBorder="1" applyAlignment="1">
      <alignment horizontal="left"/>
    </xf>
    <xf numFmtId="0" fontId="6" fillId="3" borderId="25" xfId="1" applyNumberFormat="1" applyFont="1" applyFill="1" applyBorder="1" applyAlignment="1" applyProtection="1">
      <alignment horizontal="center" vertical="center"/>
      <protection locked="0"/>
    </xf>
    <xf numFmtId="0" fontId="28" fillId="54" borderId="41" xfId="0" applyFont="1" applyFill="1" applyBorder="1" applyAlignment="1" applyProtection="1">
      <alignment horizontal="center"/>
      <protection locked="0"/>
    </xf>
    <xf numFmtId="0" fontId="28" fillId="54" borderId="42" xfId="0" applyFont="1" applyFill="1" applyBorder="1" applyAlignment="1" applyProtection="1">
      <alignment horizontal="center"/>
      <protection locked="0"/>
    </xf>
    <xf numFmtId="0" fontId="6" fillId="3" borderId="38" xfId="1" applyNumberFormat="1" applyFont="1" applyFill="1" applyBorder="1" applyAlignment="1" applyProtection="1">
      <alignment horizontal="center" vertical="center"/>
    </xf>
    <xf numFmtId="0" fontId="19" fillId="50" borderId="41" xfId="0" applyFont="1" applyFill="1" applyBorder="1" applyAlignment="1" applyProtection="1">
      <alignment horizontal="left"/>
      <protection hidden="1"/>
    </xf>
    <xf numFmtId="0" fontId="19" fillId="50" borderId="42" xfId="0" applyFont="1" applyFill="1" applyBorder="1" applyAlignment="1" applyProtection="1">
      <alignment horizontal="left"/>
      <protection hidden="1"/>
    </xf>
    <xf numFmtId="44" fontId="30" fillId="5" borderId="0" xfId="1" applyFont="1" applyFill="1" applyBorder="1" applyAlignment="1" applyProtection="1">
      <alignment horizontal="center" vertical="center"/>
    </xf>
    <xf numFmtId="0" fontId="12" fillId="2" borderId="0" xfId="0" applyFont="1" applyFill="1" applyAlignment="1">
      <alignment horizontal="center" vertical="top"/>
    </xf>
    <xf numFmtId="0" fontId="13" fillId="48" borderId="30" xfId="0" applyFont="1" applyFill="1" applyBorder="1" applyAlignment="1">
      <alignment horizontal="left" vertical="center" wrapText="1"/>
    </xf>
    <xf numFmtId="0" fontId="13" fillId="48" borderId="0" xfId="0" applyFont="1" applyFill="1" applyAlignment="1">
      <alignment horizontal="left" vertical="center" wrapText="1"/>
    </xf>
    <xf numFmtId="0" fontId="39" fillId="48" borderId="30" xfId="0" applyFont="1" applyFill="1" applyBorder="1" applyAlignment="1">
      <alignment horizontal="left" vertical="center" wrapText="1"/>
    </xf>
    <xf numFmtId="0" fontId="39" fillId="48" borderId="0" xfId="0" applyFont="1" applyFill="1" applyAlignment="1">
      <alignment horizontal="left" vertical="center" wrapText="1"/>
    </xf>
    <xf numFmtId="44" fontId="20" fillId="60" borderId="0" xfId="1" applyFont="1" applyFill="1" applyBorder="1" applyAlignment="1" applyProtection="1">
      <alignment horizontal="left" vertical="center"/>
    </xf>
    <xf numFmtId="0" fontId="13" fillId="6" borderId="0" xfId="0" applyFont="1" applyFill="1" applyAlignment="1">
      <alignment horizontal="left" vertical="center" wrapText="1"/>
    </xf>
    <xf numFmtId="44" fontId="6" fillId="3" borderId="0" xfId="1" applyFont="1" applyFill="1" applyBorder="1" applyAlignment="1">
      <alignment horizontal="center" vertical="center"/>
    </xf>
    <xf numFmtId="44" fontId="6" fillId="3" borderId="41" xfId="1" applyFont="1" applyFill="1" applyBorder="1" applyAlignment="1">
      <alignment horizontal="center" vertical="center"/>
    </xf>
    <xf numFmtId="0" fontId="43" fillId="54" borderId="41" xfId="0" applyFont="1" applyFill="1" applyBorder="1" applyAlignment="1">
      <alignment horizontal="center"/>
    </xf>
    <xf numFmtId="0" fontId="43" fillId="54" borderId="42" xfId="0" applyFont="1" applyFill="1" applyBorder="1" applyAlignment="1">
      <alignment horizontal="center"/>
    </xf>
    <xf numFmtId="0" fontId="19" fillId="50" borderId="41" xfId="0" applyFont="1" applyFill="1" applyBorder="1" applyAlignment="1">
      <alignment horizontal="left"/>
    </xf>
    <xf numFmtId="0" fontId="19" fillId="50" borderId="25" xfId="0" applyFont="1" applyFill="1" applyBorder="1" applyAlignment="1">
      <alignment horizontal="left"/>
    </xf>
    <xf numFmtId="0" fontId="13" fillId="51" borderId="30" xfId="0" applyFont="1" applyFill="1" applyBorder="1" applyAlignment="1">
      <alignment horizontal="left" vertical="center" wrapText="1"/>
    </xf>
    <xf numFmtId="0" fontId="13" fillId="51" borderId="0" xfId="0" applyFont="1" applyFill="1" applyAlignment="1">
      <alignment horizontal="left" vertical="center" wrapText="1"/>
    </xf>
    <xf numFmtId="0" fontId="11" fillId="6" borderId="41" xfId="0" applyFont="1" applyFill="1" applyBorder="1" applyAlignment="1">
      <alignment horizontal="left" vertical="center"/>
    </xf>
    <xf numFmtId="0" fontId="38" fillId="62" borderId="0" xfId="0" applyFont="1" applyFill="1" applyAlignment="1" applyProtection="1">
      <alignment horizontal="left" vertical="top" wrapText="1"/>
      <protection locked="0"/>
    </xf>
    <xf numFmtId="0" fontId="11" fillId="6" borderId="0" xfId="0" applyFont="1" applyFill="1" applyAlignment="1">
      <alignment horizontal="center" vertical="center"/>
    </xf>
    <xf numFmtId="0" fontId="6" fillId="3" borderId="41" xfId="0" applyFont="1" applyFill="1" applyBorder="1" applyAlignment="1">
      <alignment horizontal="center" vertical="center" wrapText="1"/>
    </xf>
    <xf numFmtId="0" fontId="19" fillId="54" borderId="0" xfId="0" applyFont="1" applyFill="1" applyAlignment="1">
      <alignment horizontal="left" vertical="top"/>
    </xf>
    <xf numFmtId="0" fontId="6" fillId="3" borderId="41" xfId="0" applyFont="1" applyFill="1" applyBorder="1" applyAlignment="1">
      <alignment horizontal="center" vertical="center"/>
    </xf>
    <xf numFmtId="0" fontId="6" fillId="3" borderId="38" xfId="0" applyFont="1" applyFill="1" applyBorder="1" applyAlignment="1">
      <alignment horizontal="center" vertical="center" wrapText="1"/>
    </xf>
    <xf numFmtId="0" fontId="38" fillId="62" borderId="38" xfId="0" applyFont="1" applyFill="1" applyBorder="1" applyAlignment="1" applyProtection="1">
      <alignment horizontal="center" vertical="top" wrapText="1"/>
      <protection locked="0"/>
    </xf>
    <xf numFmtId="0" fontId="38" fillId="62" borderId="0" xfId="0" applyFont="1" applyFill="1" applyAlignment="1" applyProtection="1">
      <alignment horizontal="center" vertical="top" wrapText="1"/>
      <protection locked="0"/>
    </xf>
    <xf numFmtId="0" fontId="13" fillId="51" borderId="37" xfId="0" applyFont="1" applyFill="1" applyBorder="1" applyAlignment="1">
      <alignment horizontal="left" vertical="center" wrapText="1"/>
    </xf>
    <xf numFmtId="0" fontId="13" fillId="51" borderId="38" xfId="0" applyFont="1" applyFill="1" applyBorder="1" applyAlignment="1">
      <alignment horizontal="left" vertical="center" wrapText="1"/>
    </xf>
    <xf numFmtId="44" fontId="30" fillId="49" borderId="0" xfId="1" applyFont="1" applyFill="1" applyBorder="1" applyAlignment="1" applyProtection="1">
      <alignment horizontal="center" vertical="center"/>
    </xf>
    <xf numFmtId="0" fontId="13" fillId="51" borderId="44" xfId="0" applyFont="1" applyFill="1" applyBorder="1" applyAlignment="1" applyProtection="1">
      <alignment vertical="center"/>
      <protection hidden="1"/>
    </xf>
    <xf numFmtId="0" fontId="31" fillId="67" borderId="38" xfId="0" applyFont="1" applyFill="1" applyBorder="1" applyAlignment="1">
      <alignment horizontal="center" vertical="center" wrapText="1"/>
    </xf>
    <xf numFmtId="0" fontId="31" fillId="67" borderId="41" xfId="0" applyFont="1" applyFill="1" applyBorder="1" applyAlignment="1">
      <alignment horizontal="center" vertical="center" wrapText="1"/>
    </xf>
    <xf numFmtId="0" fontId="13" fillId="51" borderId="24" xfId="0" applyFont="1" applyFill="1" applyBorder="1" applyAlignment="1" applyProtection="1">
      <alignment horizontal="center" vertical="center"/>
      <protection hidden="1"/>
    </xf>
    <xf numFmtId="0" fontId="13" fillId="51" borderId="26" xfId="0" applyFont="1" applyFill="1" applyBorder="1" applyAlignment="1" applyProtection="1">
      <alignment horizontal="center" vertical="center"/>
      <protection hidden="1"/>
    </xf>
    <xf numFmtId="0" fontId="13" fillId="62" borderId="41" xfId="0" applyFont="1" applyFill="1" applyBorder="1" applyAlignment="1">
      <alignment horizontal="center" vertical="center" wrapText="1"/>
    </xf>
    <xf numFmtId="0" fontId="31" fillId="67" borderId="0" xfId="0" applyFont="1" applyFill="1" applyAlignment="1">
      <alignment horizontal="center" vertical="center"/>
    </xf>
    <xf numFmtId="0" fontId="31" fillId="67" borderId="41" xfId="0" applyFont="1" applyFill="1" applyBorder="1" applyAlignment="1">
      <alignment horizontal="center" vertical="center"/>
    </xf>
    <xf numFmtId="0" fontId="4" fillId="50" borderId="63" xfId="0" applyFont="1" applyFill="1" applyBorder="1" applyAlignment="1">
      <alignment horizontal="center" vertical="center" wrapText="1"/>
    </xf>
    <xf numFmtId="0" fontId="4" fillId="50" borderId="46" xfId="0" applyFont="1" applyFill="1" applyBorder="1" applyAlignment="1">
      <alignment horizontal="center" vertical="center" wrapText="1"/>
    </xf>
    <xf numFmtId="0" fontId="4" fillId="50" borderId="64" xfId="0" applyFont="1" applyFill="1" applyBorder="1" applyAlignment="1">
      <alignment horizontal="center" vertical="center" wrapText="1"/>
    </xf>
    <xf numFmtId="0" fontId="13" fillId="6" borderId="38"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0" fillId="54" borderId="38" xfId="0" applyFill="1" applyBorder="1" applyAlignment="1" applyProtection="1">
      <alignment horizontal="center" vertical="center"/>
      <protection locked="0"/>
    </xf>
    <xf numFmtId="0" fontId="0" fillId="54" borderId="41" xfId="0" applyFill="1" applyBorder="1" applyAlignment="1" applyProtection="1">
      <alignment horizontal="center" vertical="center"/>
      <protection locked="0"/>
    </xf>
    <xf numFmtId="0" fontId="39" fillId="24" borderId="38" xfId="30" applyFont="1" applyBorder="1" applyAlignment="1" applyProtection="1">
      <alignment horizontal="left" vertical="top" wrapText="1"/>
      <protection hidden="1"/>
    </xf>
    <xf numFmtId="0" fontId="39" fillId="51" borderId="0" xfId="0" applyFont="1" applyFill="1" applyAlignment="1" applyProtection="1">
      <alignment horizontal="left" vertical="top" wrapText="1"/>
      <protection locked="0" hidden="1"/>
    </xf>
    <xf numFmtId="0" fontId="13" fillId="62" borderId="44" xfId="0" applyFont="1" applyFill="1" applyBorder="1" applyAlignment="1" applyProtection="1">
      <alignment horizontal="center" vertical="center"/>
      <protection locked="0" hidden="1"/>
    </xf>
    <xf numFmtId="0" fontId="31" fillId="12" borderId="38" xfId="0" applyFont="1" applyFill="1" applyBorder="1" applyAlignment="1">
      <alignment horizontal="center" vertical="center" wrapText="1"/>
    </xf>
    <xf numFmtId="0" fontId="31" fillId="12" borderId="41" xfId="0" applyFont="1" applyFill="1" applyBorder="1" applyAlignment="1">
      <alignment horizontal="center" vertical="center" wrapText="1"/>
    </xf>
    <xf numFmtId="44" fontId="0" fillId="10" borderId="37" xfId="1" applyFont="1" applyFill="1" applyBorder="1" applyAlignment="1" applyProtection="1">
      <alignment horizontal="center"/>
      <protection locked="0"/>
    </xf>
    <xf numFmtId="44" fontId="0" fillId="10" borderId="39" xfId="1" applyFont="1" applyFill="1" applyBorder="1" applyAlignment="1" applyProtection="1">
      <alignment horizontal="center"/>
      <protection locked="0"/>
    </xf>
    <xf numFmtId="0" fontId="31" fillId="6" borderId="41" xfId="0" applyFont="1" applyFill="1" applyBorder="1" applyAlignment="1">
      <alignment horizontal="center"/>
    </xf>
    <xf numFmtId="44" fontId="0" fillId="57" borderId="37" xfId="1" applyFont="1" applyFill="1" applyBorder="1" applyAlignment="1" applyProtection="1">
      <alignment horizontal="center" vertical="center"/>
    </xf>
    <xf numFmtId="44" fontId="0" fillId="57" borderId="39" xfId="1" applyFont="1" applyFill="1" applyBorder="1" applyAlignment="1" applyProtection="1">
      <alignment horizontal="center" vertical="center"/>
    </xf>
    <xf numFmtId="0" fontId="32" fillId="57" borderId="24" xfId="0" applyFont="1" applyFill="1" applyBorder="1" applyAlignment="1">
      <alignment horizontal="center"/>
    </xf>
    <xf numFmtId="0" fontId="32" fillId="57" borderId="25" xfId="0" applyFont="1" applyFill="1" applyBorder="1" applyAlignment="1">
      <alignment horizontal="center"/>
    </xf>
    <xf numFmtId="0" fontId="32" fillId="57" borderId="26" xfId="0" applyFont="1" applyFill="1" applyBorder="1" applyAlignment="1">
      <alignment horizontal="center"/>
    </xf>
    <xf numFmtId="3" fontId="0" fillId="57" borderId="37" xfId="2" applyNumberFormat="1" applyFont="1" applyFill="1" applyBorder="1" applyAlignment="1" applyProtection="1">
      <alignment horizontal="center" vertical="center"/>
    </xf>
    <xf numFmtId="3" fontId="0" fillId="57" borderId="39" xfId="2" applyNumberFormat="1" applyFont="1" applyFill="1" applyBorder="1" applyAlignment="1" applyProtection="1">
      <alignment horizontal="center" vertical="center"/>
    </xf>
    <xf numFmtId="0" fontId="32" fillId="51" borderId="37" xfId="0" applyFont="1" applyFill="1" applyBorder="1" applyAlignment="1">
      <alignment horizontal="center"/>
    </xf>
    <xf numFmtId="0" fontId="32" fillId="51" borderId="38" xfId="0" applyFont="1" applyFill="1" applyBorder="1" applyAlignment="1">
      <alignment horizontal="center"/>
    </xf>
    <xf numFmtId="0" fontId="32" fillId="51" borderId="39" xfId="0" applyFont="1" applyFill="1" applyBorder="1" applyAlignment="1">
      <alignment horizontal="center"/>
    </xf>
    <xf numFmtId="3" fontId="0" fillId="62" borderId="37" xfId="2" applyNumberFormat="1" applyFont="1" applyFill="1" applyBorder="1" applyAlignment="1" applyProtection="1">
      <alignment horizontal="center" vertical="center"/>
    </xf>
    <xf numFmtId="3" fontId="0" fillId="62" borderId="39" xfId="2" applyNumberFormat="1" applyFont="1" applyFill="1" applyBorder="1" applyAlignment="1" applyProtection="1">
      <alignment horizontal="center" vertical="center"/>
    </xf>
    <xf numFmtId="44" fontId="91" fillId="67" borderId="0" xfId="1" applyFont="1" applyFill="1" applyBorder="1" applyAlignment="1" applyProtection="1">
      <alignment horizontal="center" vertical="center" wrapText="1"/>
    </xf>
    <xf numFmtId="44" fontId="91" fillId="67" borderId="0" xfId="1" applyFont="1" applyFill="1" applyBorder="1" applyAlignment="1" applyProtection="1">
      <alignment horizontal="center" vertical="center"/>
    </xf>
    <xf numFmtId="0" fontId="4" fillId="67" borderId="41" xfId="0" applyFont="1" applyFill="1" applyBorder="1" applyAlignment="1">
      <alignment horizontal="center" vertical="center" wrapText="1"/>
    </xf>
    <xf numFmtId="0" fontId="31" fillId="12" borderId="38" xfId="0" applyFont="1" applyFill="1" applyBorder="1" applyAlignment="1">
      <alignment horizontal="center" vertical="center"/>
    </xf>
    <xf numFmtId="0" fontId="31" fillId="12" borderId="41" xfId="0" applyFont="1" applyFill="1" applyBorder="1" applyAlignment="1">
      <alignment horizontal="center" vertical="center"/>
    </xf>
    <xf numFmtId="0" fontId="47" fillId="9" borderId="0" xfId="0" applyFont="1" applyFill="1" applyAlignment="1">
      <alignment horizontal="left" vertical="center"/>
    </xf>
    <xf numFmtId="0" fontId="11" fillId="6" borderId="40" xfId="0" applyFont="1" applyFill="1" applyBorder="1" applyAlignment="1">
      <alignment horizontal="left" vertical="center"/>
    </xf>
    <xf numFmtId="164" fontId="39" fillId="51" borderId="38" xfId="2" applyNumberFormat="1" applyFont="1" applyFill="1" applyBorder="1" applyAlignment="1" applyProtection="1">
      <alignment horizontal="center"/>
      <protection locked="0"/>
    </xf>
    <xf numFmtId="164" fontId="39" fillId="51" borderId="0" xfId="2" applyNumberFormat="1" applyFont="1" applyFill="1" applyBorder="1" applyAlignment="1" applyProtection="1">
      <alignment horizontal="center"/>
      <protection locked="0"/>
    </xf>
    <xf numFmtId="0" fontId="11" fillId="6" borderId="51" xfId="0" applyFont="1" applyFill="1" applyBorder="1" applyAlignment="1">
      <alignment horizontal="center" vertical="center"/>
    </xf>
    <xf numFmtId="0" fontId="11" fillId="6" borderId="50" xfId="0" applyFont="1" applyFill="1" applyBorder="1" applyAlignment="1">
      <alignment horizontal="center" vertical="center"/>
    </xf>
    <xf numFmtId="0" fontId="13" fillId="50" borderId="37" xfId="0" applyFont="1" applyFill="1" applyBorder="1" applyAlignment="1">
      <alignment horizontal="left" vertical="center" wrapText="1"/>
    </xf>
    <xf numFmtId="0" fontId="13" fillId="50" borderId="38" xfId="0" applyFont="1" applyFill="1" applyBorder="1" applyAlignment="1">
      <alignment horizontal="left" vertical="center" wrapText="1"/>
    </xf>
    <xf numFmtId="0" fontId="13" fillId="50" borderId="30" xfId="0" applyFont="1" applyFill="1" applyBorder="1" applyAlignment="1">
      <alignment horizontal="left" vertical="center" wrapText="1"/>
    </xf>
    <xf numFmtId="0" fontId="13" fillId="50" borderId="0" xfId="0" applyFont="1" applyFill="1" applyAlignment="1">
      <alignment horizontal="left" vertical="center" wrapText="1"/>
    </xf>
    <xf numFmtId="0" fontId="13" fillId="50" borderId="40" xfId="0" applyFont="1" applyFill="1" applyBorder="1" applyAlignment="1">
      <alignment horizontal="left" vertical="center" wrapText="1"/>
    </xf>
    <xf numFmtId="0" fontId="13" fillId="50" borderId="41" xfId="0" applyFont="1" applyFill="1" applyBorder="1" applyAlignment="1">
      <alignment horizontal="left" vertical="center" wrapText="1"/>
    </xf>
    <xf numFmtId="0" fontId="11" fillId="10" borderId="37" xfId="0" applyFont="1" applyFill="1" applyBorder="1" applyAlignment="1">
      <alignment horizontal="left" vertical="center" wrapText="1"/>
    </xf>
    <xf numFmtId="0" fontId="11" fillId="10" borderId="38" xfId="0" applyFont="1" applyFill="1" applyBorder="1" applyAlignment="1">
      <alignment horizontal="left" vertical="center" wrapText="1"/>
    </xf>
    <xf numFmtId="0" fontId="11" fillId="51" borderId="40" xfId="0" applyFont="1" applyFill="1" applyBorder="1" applyAlignment="1">
      <alignment horizontal="left" vertical="center" wrapText="1"/>
    </xf>
    <xf numFmtId="0" fontId="11" fillId="51" borderId="41" xfId="0" applyFont="1" applyFill="1" applyBorder="1" applyAlignment="1">
      <alignment horizontal="left" vertical="center" wrapText="1"/>
    </xf>
    <xf numFmtId="0" fontId="11" fillId="51" borderId="42" xfId="0" applyFont="1" applyFill="1" applyBorder="1" applyAlignment="1">
      <alignment horizontal="left" vertical="center" wrapText="1"/>
    </xf>
    <xf numFmtId="0" fontId="11" fillId="51" borderId="24" xfId="0" applyFont="1" applyFill="1" applyBorder="1" applyAlignment="1">
      <alignment horizontal="left" vertical="center" wrapText="1"/>
    </xf>
    <xf numFmtId="0" fontId="11" fillId="51" borderId="25" xfId="0" applyFont="1" applyFill="1" applyBorder="1" applyAlignment="1">
      <alignment horizontal="left" vertical="center" wrapText="1"/>
    </xf>
    <xf numFmtId="0" fontId="11" fillId="51" borderId="26" xfId="0" applyFont="1" applyFill="1" applyBorder="1" applyAlignment="1">
      <alignment horizontal="left" vertical="center" wrapText="1"/>
    </xf>
    <xf numFmtId="0" fontId="46" fillId="49" borderId="25" xfId="0" applyFont="1" applyFill="1" applyBorder="1" applyAlignment="1">
      <alignment horizontal="left" vertical="center"/>
    </xf>
    <xf numFmtId="0" fontId="19" fillId="51" borderId="38" xfId="0" applyFont="1" applyFill="1" applyBorder="1" applyAlignment="1">
      <alignment horizontal="left" vertical="center"/>
    </xf>
    <xf numFmtId="164" fontId="13" fillId="51" borderId="0" xfId="2" applyNumberFormat="1" applyFont="1" applyFill="1" applyBorder="1" applyAlignment="1" applyProtection="1">
      <alignment horizontal="left" vertical="top"/>
      <protection locked="0"/>
    </xf>
    <xf numFmtId="164" fontId="11" fillId="6" borderId="0" xfId="2" applyNumberFormat="1" applyFont="1" applyFill="1" applyBorder="1" applyAlignment="1" applyProtection="1">
      <alignment horizontal="left"/>
      <protection locked="0"/>
    </xf>
    <xf numFmtId="0" fontId="46" fillId="49" borderId="41" xfId="0" applyFont="1" applyFill="1" applyBorder="1" applyAlignment="1">
      <alignment horizontal="left" vertical="center" wrapText="1"/>
    </xf>
    <xf numFmtId="0" fontId="0" fillId="10" borderId="30" xfId="0" applyFill="1" applyBorder="1" applyAlignment="1" applyProtection="1">
      <alignment horizontal="center"/>
      <protection locked="0"/>
    </xf>
    <xf numFmtId="0" fontId="0" fillId="10" borderId="0" xfId="0" applyFill="1" applyAlignment="1" applyProtection="1">
      <alignment horizontal="center"/>
      <protection locked="0"/>
    </xf>
    <xf numFmtId="0" fontId="31" fillId="25" borderId="0" xfId="31" applyFont="1" applyBorder="1" applyAlignment="1" applyProtection="1">
      <alignment horizontal="center"/>
    </xf>
    <xf numFmtId="164" fontId="39" fillId="62" borderId="38" xfId="2" applyNumberFormat="1" applyFont="1" applyFill="1" applyBorder="1" applyAlignment="1" applyProtection="1">
      <alignment horizontal="center"/>
      <protection locked="0"/>
    </xf>
    <xf numFmtId="164" fontId="39" fillId="62" borderId="0" xfId="2" applyNumberFormat="1" applyFont="1" applyFill="1" applyBorder="1" applyAlignment="1" applyProtection="1">
      <alignment horizontal="center"/>
      <protection locked="0"/>
    </xf>
    <xf numFmtId="0" fontId="31" fillId="25" borderId="38" xfId="31" applyFont="1" applyBorder="1" applyAlignment="1" applyProtection="1">
      <alignment horizontal="center"/>
    </xf>
    <xf numFmtId="0" fontId="11" fillId="6" borderId="41" xfId="0" applyFont="1" applyFill="1" applyBorder="1" applyAlignment="1">
      <alignment horizontal="left" vertical="center" wrapText="1"/>
    </xf>
    <xf numFmtId="0" fontId="0" fillId="9" borderId="0" xfId="0" applyFill="1"/>
    <xf numFmtId="0" fontId="0" fillId="62" borderId="0" xfId="0" applyFill="1" applyAlignment="1">
      <alignment horizontal="center"/>
    </xf>
    <xf numFmtId="0" fontId="11" fillId="6" borderId="0" xfId="0" applyFont="1" applyFill="1" applyAlignment="1">
      <alignment horizontal="left"/>
    </xf>
    <xf numFmtId="0" fontId="12" fillId="13" borderId="0" xfId="0" applyFont="1" applyFill="1" applyAlignment="1">
      <alignment horizontal="center" vertical="center"/>
    </xf>
    <xf numFmtId="0" fontId="12" fillId="13" borderId="41" xfId="0" applyFont="1" applyFill="1" applyBorder="1" applyAlignment="1">
      <alignment horizontal="center" vertical="center"/>
    </xf>
    <xf numFmtId="0" fontId="12" fillId="13" borderId="0" xfId="0" applyFont="1" applyFill="1" applyAlignment="1">
      <alignment horizontal="center" vertical="center" wrapText="1"/>
    </xf>
    <xf numFmtId="0" fontId="12" fillId="13" borderId="41" xfId="0" applyFont="1" applyFill="1" applyBorder="1" applyAlignment="1">
      <alignment horizontal="center" vertical="center" wrapText="1"/>
    </xf>
    <xf numFmtId="0" fontId="39" fillId="51" borderId="38" xfId="0" applyFont="1" applyFill="1" applyBorder="1" applyAlignment="1" applyProtection="1">
      <alignment horizontal="left" vertical="top" wrapText="1"/>
      <protection locked="0" hidden="1"/>
    </xf>
    <xf numFmtId="0" fontId="13" fillId="6" borderId="38" xfId="0" applyFont="1" applyFill="1" applyBorder="1" applyAlignment="1">
      <alignment horizontal="left" vertical="center"/>
    </xf>
    <xf numFmtId="0" fontId="13" fillId="6" borderId="41" xfId="0" applyFont="1" applyFill="1" applyBorder="1" applyAlignment="1">
      <alignment horizontal="left" vertical="center"/>
    </xf>
    <xf numFmtId="0" fontId="13" fillId="6" borderId="37" xfId="0" applyFont="1" applyFill="1" applyBorder="1" applyAlignment="1">
      <alignment horizontal="left" vertical="center" wrapText="1"/>
    </xf>
    <xf numFmtId="0" fontId="13" fillId="6" borderId="40" xfId="0" applyFont="1" applyFill="1" applyBorder="1" applyAlignment="1">
      <alignment horizontal="left" vertical="center" wrapText="1"/>
    </xf>
    <xf numFmtId="0" fontId="13" fillId="6" borderId="0" xfId="0" applyFont="1" applyFill="1" applyAlignment="1" applyProtection="1">
      <alignment horizontal="left" vertical="center"/>
      <protection locked="0"/>
    </xf>
    <xf numFmtId="0" fontId="13" fillId="6" borderId="0" xfId="0" applyFont="1" applyFill="1" applyAlignment="1" applyProtection="1">
      <alignment horizontal="left" vertical="center" wrapText="1"/>
      <protection locked="0" hidden="1"/>
    </xf>
    <xf numFmtId="0" fontId="13" fillId="59" borderId="38" xfId="0" applyFont="1" applyFill="1" applyBorder="1" applyAlignment="1" applyProtection="1">
      <alignment horizontal="left" vertical="center" wrapText="1"/>
      <protection hidden="1"/>
    </xf>
    <xf numFmtId="0" fontId="13" fillId="50" borderId="44" xfId="0" applyFont="1" applyFill="1" applyBorder="1" applyAlignment="1" applyProtection="1">
      <alignment horizontal="left" vertical="center"/>
      <protection hidden="1"/>
    </xf>
    <xf numFmtId="0" fontId="13" fillId="50" borderId="44" xfId="0" applyFont="1" applyFill="1" applyBorder="1" applyAlignment="1" applyProtection="1">
      <alignment horizontal="center" vertical="center"/>
      <protection hidden="1"/>
    </xf>
    <xf numFmtId="44" fontId="11" fillId="10" borderId="30" xfId="0" applyNumberFormat="1" applyFont="1" applyFill="1" applyBorder="1" applyAlignment="1" applyProtection="1">
      <alignment horizontal="center" vertical="center"/>
      <protection locked="0"/>
    </xf>
    <xf numFmtId="44" fontId="11" fillId="10" borderId="0" xfId="0" applyNumberFormat="1" applyFont="1" applyFill="1" applyAlignment="1" applyProtection="1">
      <alignment horizontal="center" vertical="center"/>
      <protection locked="0"/>
    </xf>
    <xf numFmtId="0" fontId="10" fillId="5" borderId="41" xfId="0" applyFont="1" applyFill="1" applyBorder="1" applyAlignment="1">
      <alignment horizontal="center" vertical="center" wrapText="1"/>
    </xf>
    <xf numFmtId="0" fontId="11" fillId="6" borderId="43" xfId="0" applyFont="1" applyFill="1" applyBorder="1" applyAlignment="1">
      <alignment horizontal="center" vertical="center" wrapText="1"/>
    </xf>
    <xf numFmtId="44" fontId="30" fillId="5" borderId="0" xfId="1" applyFont="1" applyFill="1" applyBorder="1" applyAlignment="1" applyProtection="1">
      <alignment horizontal="center" vertical="center" wrapText="1"/>
    </xf>
    <xf numFmtId="0" fontId="12" fillId="13" borderId="38" xfId="0" applyFont="1" applyFill="1" applyBorder="1" applyAlignment="1">
      <alignment horizontal="center" vertical="center"/>
    </xf>
    <xf numFmtId="0" fontId="12" fillId="13" borderId="38" xfId="0" applyFont="1" applyFill="1" applyBorder="1" applyAlignment="1">
      <alignment horizontal="center" vertical="center" wrapText="1"/>
    </xf>
    <xf numFmtId="0" fontId="13" fillId="50" borderId="44" xfId="0" applyFont="1" applyFill="1" applyBorder="1" applyAlignment="1" applyProtection="1">
      <alignment vertical="center"/>
      <protection hidden="1"/>
    </xf>
    <xf numFmtId="0" fontId="13" fillId="6" borderId="0" xfId="0" applyFont="1" applyFill="1" applyAlignment="1">
      <alignment horizontal="left" vertical="center"/>
    </xf>
    <xf numFmtId="0" fontId="0" fillId="54" borderId="0" xfId="0" applyFill="1" applyAlignment="1" applyProtection="1">
      <alignment horizontal="center" vertical="center"/>
      <protection locked="0"/>
    </xf>
    <xf numFmtId="0" fontId="13" fillId="58" borderId="38" xfId="0" applyFont="1" applyFill="1" applyBorder="1" applyAlignment="1" applyProtection="1">
      <alignment horizontal="left" vertical="center"/>
      <protection hidden="1"/>
    </xf>
    <xf numFmtId="2" fontId="32" fillId="0" borderId="8" xfId="0" applyNumberFormat="1" applyFont="1" applyBorder="1" applyAlignment="1">
      <alignment horizontal="center" vertical="center" wrapText="1"/>
    </xf>
    <xf numFmtId="2" fontId="32" fillId="0" borderId="6" xfId="0" applyNumberFormat="1" applyFont="1" applyBorder="1" applyAlignment="1">
      <alignment horizontal="center" vertical="center" wrapText="1"/>
    </xf>
    <xf numFmtId="2" fontId="32" fillId="0" borderId="47"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47" xfId="0" applyFont="1" applyBorder="1" applyAlignment="1">
      <alignment horizontal="center" vertical="center" wrapText="1"/>
    </xf>
  </cellXfs>
  <cellStyles count="6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2" builtinId="3"/>
    <cellStyle name="Comma 2" xfId="7" xr:uid="{00000000-0005-0000-0000-00001C000000}"/>
    <cellStyle name="Comma 2 2" xfId="58" xr:uid="{00000000-0005-0000-0000-00001D000000}"/>
    <cellStyle name="Comma 2 3" xfId="57" xr:uid="{00000000-0005-0000-0000-00001E000000}"/>
    <cellStyle name="Comma 3" xfId="59" xr:uid="{00000000-0005-0000-0000-00001F000000}"/>
    <cellStyle name="Comma 4" xfId="56" xr:uid="{00000000-0005-0000-0000-000020000000}"/>
    <cellStyle name="Currency" xfId="1" builtinId="4"/>
    <cellStyle name="Currency 2" xfId="4" xr:uid="{00000000-0005-0000-0000-000022000000}"/>
    <cellStyle name="Currency 3" xfId="60" xr:uid="{00000000-0005-0000-0000-000023000000}"/>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9" builtinId="8"/>
    <cellStyle name="Hyperlink 2" xfId="53" xr:uid="{00000000-0005-0000-0000-00002B000000}"/>
    <cellStyle name="Hyperlink 3" xfId="54" xr:uid="{00000000-0005-0000-0000-00002C000000}"/>
    <cellStyle name="Hyperlink 4" xfId="61" xr:uid="{00000000-0005-0000-0000-00002D000000}"/>
    <cellStyle name="Input" xfId="20" builtinId="20" customBuiltin="1"/>
    <cellStyle name="Linked Cell" xfId="23" builtinId="24" customBuiltin="1"/>
    <cellStyle name="Neutral" xfId="19" builtinId="28" customBuiltin="1"/>
    <cellStyle name="Normal" xfId="0" builtinId="0"/>
    <cellStyle name="Normal 2" xfId="3" xr:uid="{00000000-0005-0000-0000-000032000000}"/>
    <cellStyle name="Normal 2 2" xfId="63" xr:uid="{00000000-0005-0000-0000-000033000000}"/>
    <cellStyle name="Normal 2 3" xfId="62" xr:uid="{00000000-0005-0000-0000-000034000000}"/>
    <cellStyle name="Normal 3" xfId="64" xr:uid="{00000000-0005-0000-0000-000035000000}"/>
    <cellStyle name="Normal 4" xfId="55" xr:uid="{00000000-0005-0000-0000-000036000000}"/>
    <cellStyle name="Normal 5" xfId="66" xr:uid="{98DA0B8B-E7F6-4124-9E3B-D15355561730}"/>
    <cellStyle name="Normal_Sheet1" xfId="11" xr:uid="{00000000-0005-0000-0000-000037000000}"/>
    <cellStyle name="Normal_Sheet6" xfId="8" xr:uid="{00000000-0005-0000-0000-000038000000}"/>
    <cellStyle name="Normal_Source" xfId="10" xr:uid="{00000000-0005-0000-0000-000039000000}"/>
    <cellStyle name="Note" xfId="26" builtinId="10" customBuiltin="1"/>
    <cellStyle name="Output" xfId="21" builtinId="21" customBuiltin="1"/>
    <cellStyle name="Percent" xfId="5" builtinId="5"/>
    <cellStyle name="Percent 2" xfId="6" xr:uid="{00000000-0005-0000-0000-00003D000000}"/>
    <cellStyle name="Percent 3" xfId="65" xr:uid="{00000000-0005-0000-0000-00003E000000}"/>
    <cellStyle name="Title" xfId="12" builtinId="15" customBuiltin="1"/>
    <cellStyle name="Total" xfId="28" builtinId="25" customBuiltin="1"/>
    <cellStyle name="Warning Text" xfId="25" builtinId="11" customBuiltin="1"/>
  </cellStyles>
  <dxfs count="40">
    <dxf>
      <fill>
        <patternFill>
          <bgColor rgb="FFFFFFA3"/>
        </patternFill>
      </fill>
    </dxf>
    <dxf>
      <fill>
        <patternFill>
          <bgColor rgb="FFFFFFA3"/>
        </patternFill>
      </fill>
    </dxf>
    <dxf>
      <fill>
        <patternFill>
          <bgColor rgb="FFFFFF93"/>
        </patternFill>
      </fill>
    </dxf>
    <dxf>
      <font>
        <color rgb="FFF1F5F9"/>
      </font>
      <fill>
        <patternFill>
          <bgColor rgb="FFF4F7FA"/>
        </patternFill>
      </fill>
    </dxf>
    <dxf>
      <fill>
        <patternFill>
          <bgColor rgb="FFFFFF93"/>
        </patternFill>
      </fill>
    </dxf>
    <dxf>
      <fill>
        <patternFill>
          <bgColor rgb="FFFFFF93"/>
        </patternFill>
      </fill>
    </dxf>
    <dxf>
      <font>
        <color theme="3"/>
      </font>
    </dxf>
    <dxf>
      <font>
        <color rgb="FFEEF3F8"/>
      </font>
      <fill>
        <patternFill>
          <bgColor rgb="FFECF2F8"/>
        </patternFill>
      </fill>
    </dxf>
    <dxf>
      <fill>
        <patternFill>
          <bgColor rgb="FFFFFF93"/>
        </patternFill>
      </fill>
    </dxf>
    <dxf>
      <fill>
        <patternFill>
          <bgColor rgb="FFFFFF85"/>
        </patternFill>
      </fill>
    </dxf>
    <dxf>
      <fill>
        <patternFill>
          <bgColor rgb="FFFFFF9B"/>
        </patternFill>
      </fill>
    </dxf>
    <dxf>
      <font>
        <color theme="0"/>
      </font>
      <fill>
        <patternFill>
          <bgColor theme="0"/>
        </patternFill>
      </fill>
    </dxf>
    <dxf>
      <font>
        <color theme="0"/>
      </font>
      <fill>
        <patternFill>
          <bgColor theme="0"/>
        </patternFill>
      </fill>
    </dxf>
    <dxf>
      <font>
        <color theme="3"/>
      </font>
      <fill>
        <patternFill>
          <bgColor rgb="FFFFFF9B"/>
        </patternFill>
      </fill>
    </dxf>
    <dxf>
      <font>
        <color rgb="FFEAF0F6"/>
      </font>
      <fill>
        <patternFill>
          <bgColor rgb="FFEAF0F6"/>
        </patternFill>
      </fill>
    </dxf>
    <dxf>
      <font>
        <b/>
        <i val="0"/>
        <color theme="3"/>
      </font>
      <fill>
        <patternFill>
          <bgColor rgb="FFFFFF8B"/>
        </patternFill>
      </fill>
    </dxf>
    <dxf>
      <fill>
        <patternFill>
          <bgColor rgb="FFFFFF9B"/>
        </patternFill>
      </fill>
    </dxf>
    <dxf>
      <fill>
        <patternFill>
          <bgColor rgb="FFFFFF85"/>
        </patternFill>
      </fill>
    </dxf>
    <dxf>
      <font>
        <color rgb="FF00B050"/>
      </font>
    </dxf>
    <dxf>
      <font>
        <color rgb="FF00B050"/>
      </font>
    </dxf>
    <dxf>
      <font>
        <color rgb="FF00B050"/>
      </font>
    </dxf>
    <dxf>
      <font>
        <color rgb="FF00B050"/>
      </font>
    </dxf>
    <dxf>
      <font>
        <color rgb="FF00B050"/>
      </font>
    </dxf>
    <dxf>
      <font>
        <b val="0"/>
        <i val="0"/>
        <color rgb="FF00B050"/>
      </font>
    </dxf>
    <dxf>
      <font>
        <b val="0"/>
        <i val="0"/>
        <color rgb="FF00B050"/>
      </font>
    </dxf>
    <dxf>
      <font>
        <b val="0"/>
        <i val="0"/>
        <color rgb="FF00B050"/>
      </font>
    </dxf>
    <dxf>
      <fill>
        <patternFill>
          <bgColor rgb="FFFFFFA3"/>
        </patternFill>
      </fill>
    </dxf>
    <dxf>
      <fill>
        <patternFill>
          <bgColor rgb="FFFFFFA3"/>
        </patternFill>
      </fill>
    </dxf>
    <dxf>
      <font>
        <color rgb="FFEAF0F6"/>
      </font>
      <fill>
        <patternFill>
          <bgColor rgb="FFEAF0F6"/>
        </patternFill>
      </fill>
    </dxf>
    <dxf>
      <font>
        <color rgb="FFEAF0F6"/>
      </font>
      <fill>
        <patternFill>
          <bgColor rgb="FFEAF0F6"/>
        </patternFill>
      </fill>
    </dxf>
    <dxf>
      <font>
        <color rgb="FFEAF0F6"/>
      </font>
      <fill>
        <patternFill>
          <bgColor rgb="FFEAF0F6"/>
        </patternFill>
      </fill>
    </dxf>
    <dxf>
      <font>
        <color auto="1"/>
      </font>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ill>
        <patternFill>
          <bgColor rgb="FFFFFF9F"/>
        </patternFill>
      </fill>
    </dxf>
    <dxf>
      <fill>
        <patternFill>
          <bgColor rgb="FFFFFFA3"/>
        </patternFill>
      </fill>
      <border>
        <left style="thin">
          <color theme="0"/>
        </left>
        <vertical/>
        <horizontal/>
      </border>
    </dxf>
    <dxf>
      <fill>
        <patternFill>
          <bgColor rgb="FFFFFFA3"/>
        </patternFill>
      </fill>
    </dxf>
    <dxf>
      <font>
        <b/>
        <i val="0"/>
        <color theme="3"/>
      </font>
      <fill>
        <patternFill>
          <bgColor rgb="FFFFFF8B"/>
        </patternFill>
      </fill>
    </dxf>
    <dxf>
      <fill>
        <patternFill>
          <bgColor theme="5" tint="0.39994506668294322"/>
        </patternFill>
      </fill>
    </dxf>
  </dxfs>
  <tableStyles count="0" defaultTableStyle="TableStyleMedium9" defaultPivotStyle="PivotStyleLight16"/>
  <colors>
    <mruColors>
      <color rgb="FFFFFF99"/>
      <color rgb="FFECF2F8"/>
      <color rgb="FFEAF0F6"/>
      <color rgb="FFF1F5F9"/>
      <color rgb="FFEEF3F8"/>
      <color rgb="FFFFFFA7"/>
      <color rgb="FFFFFF97"/>
      <color rgb="FFFFFFA3"/>
      <color rgb="FFFFFF9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419100</xdr:colOff>
      <xdr:row>1</xdr:row>
      <xdr:rowOff>9526</xdr:rowOff>
    </xdr:from>
    <xdr:to>
      <xdr:col>19</xdr:col>
      <xdr:colOff>457199</xdr:colOff>
      <xdr:row>5</xdr:row>
      <xdr:ro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77600" y="9526"/>
          <a:ext cx="1460499" cy="1041400"/>
        </a:xfrm>
        <a:prstGeom prst="rect">
          <a:avLst/>
        </a:prstGeom>
        <a:noFill/>
      </xdr:spPr>
    </xdr:pic>
    <xdr:clientData/>
  </xdr:twoCellAnchor>
  <xdr:twoCellAnchor>
    <xdr:from>
      <xdr:col>14</xdr:col>
      <xdr:colOff>457200</xdr:colOff>
      <xdr:row>0</xdr:row>
      <xdr:rowOff>127000</xdr:rowOff>
    </xdr:from>
    <xdr:to>
      <xdr:col>15</xdr:col>
      <xdr:colOff>977899</xdr:colOff>
      <xdr:row>5</xdr:row>
      <xdr:rowOff>165100</xdr:rowOff>
    </xdr:to>
    <xdr:pic>
      <xdr:nvPicPr>
        <xdr:cNvPr id="3" name="Picture 2" descr="Leading-By-Example-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34900" y="127000"/>
          <a:ext cx="1295399" cy="1041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howlett/Local%20Settings/Temporary%20Internet%20Files/Content.Outlook/EZ1D14J8/SQA%20pv-proj-detail-form%20for%20Stephen%20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cell r="G2" t="str">
            <v>National Grid</v>
          </cell>
          <cell r="H2" t="str">
            <v>Massachusetts Clean Energy Center (CEC)</v>
          </cell>
        </row>
        <row r="3">
          <cell r="E3" t="str">
            <v>AK</v>
          </cell>
          <cell r="F3" t="str">
            <v>Acton</v>
          </cell>
          <cell r="G3" t="str">
            <v>NSTAR</v>
          </cell>
        </row>
        <row r="4">
          <cell r="E4" t="str">
            <v>AZ</v>
          </cell>
          <cell r="F4" t="str">
            <v>Acushnet</v>
          </cell>
          <cell r="G4" t="str">
            <v>Unitil (Fitchburg Gas &amp; Electric)</v>
          </cell>
        </row>
        <row r="5">
          <cell r="E5" t="str">
            <v>AR</v>
          </cell>
          <cell r="F5" t="str">
            <v>Adams</v>
          </cell>
          <cell r="G5" t="str">
            <v>Western Massachusetts Electric Company</v>
          </cell>
        </row>
        <row r="6">
          <cell r="E6" t="str">
            <v>CA</v>
          </cell>
          <cell r="F6" t="str">
            <v>Agawam</v>
          </cell>
          <cell r="G6" t="str">
            <v>Municipal Light Plant</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persons/person.xml><?xml version="1.0" encoding="utf-8"?>
<personList xmlns="http://schemas.microsoft.com/office/spreadsheetml/2018/threadedcomments" xmlns:x="http://schemas.openxmlformats.org/spreadsheetml/2006/main">
  <person displayName="Ryan Kingston" id="{65F521D2-0005-4FC7-A6B8-F7FC385153AF}" userId="7d5ac8568ab42d70" providerId="Windows Live"/>
  <person displayName="Vitello, Sophia (ENE)" id="{887BD2B6-7469-4F6F-BBE1-C9BD4B157BA1}" userId="Sophia.Vitello@mass.gov" providerId="PeoplePicker"/>
  <person displayName="Kingston, Ryan (ENE)" id="{7F9CA2B6-7158-40A9-8893-7F2B5CD676CE}" userId="S::Ryan.Kingston@mass.gov::33742edd-98fa-45f5-827d-bca258824be9" providerId="AD"/>
  <person displayName="Sophia" id="{CB1CE036-B786-4B7B-802C-6C165908F936}" userId="S::Sophia.Vitello@mass.gov::901a5a57-0f88-4322-9ffe-fb3ca6d0a65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01" dT="2023-01-13T19:47:56.75" personId="{7F9CA2B6-7158-40A9-8893-7F2B5CD676CE}" id="{ABA54F30-AD6E-4C97-A315-A04CBDC8FBD5}">
    <text>@Vitello, Sophia (ENE) Noticed that these two solar PV numbers (MWRA Wachusett) don't match column R, or what we have in other spots. Might just want to check and make sure we have the right number for these two...</text>
    <mentions>
      <mention mentionpersonId="{887BD2B6-7469-4F6F-BBE1-C9BD4B157BA1}" mentionId="{33E17496-2CB4-4CD9-B822-61BBBB30C6B7}" startIndex="0" length="22"/>
    </mentions>
  </threadedComment>
  <threadedComment ref="F101" dT="2023-01-20T14:22:50.71" personId="{CB1CE036-B786-4B7B-802C-6C165908F936}" id="{3C59A88C-D7E1-4652-B6F0-955D0D0225E0}" parentId="{ABA54F30-AD6E-4C97-A315-A04CBDC8FBD5}">
    <text>Thanks for flagging! Just checked with Denise and updated -- should be 36 &amp; 36 in row H and R</text>
  </threadedComment>
</ThreadedComments>
</file>

<file path=xl/threadedComments/threadedComment2.xml><?xml version="1.0" encoding="utf-8"?>
<ThreadedComments xmlns="http://schemas.microsoft.com/office/spreadsheetml/2018/threadedcomments" xmlns:x="http://schemas.openxmlformats.org/spreadsheetml/2006/main">
  <threadedComment ref="AD31" dT="2020-08-26T15:07:51.43" personId="{65F521D2-0005-4FC7-A6B8-F7FC385153AF}" id="{745DA904-F801-40A8-B3BA-B7D6D1F7004F}">
    <text>Add "including seed mix or species planted, if applicable"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19-08-21T17:03:49.02" personId="{00000000-0000-0000-0000-000000000000}" id="{221ECB09-67B0-462E-8126-B49A172D4D54}">
    <text>Exact size TBD; likely 4-4.5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mass.gov/how-to/large-entity-reporting-requirement"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microsoft.com/office/2017/10/relationships/threadedComment" Target="../threadedComments/threadedComment2.xml"/></Relationships>
</file>

<file path=xl/worksheets/_rels/sheet22.xml.rels><?xml version="1.0" encoding="UTF-8" standalone="yes"?>
<Relationships xmlns="http://schemas.openxmlformats.org/package/2006/relationships"><Relationship Id="rId26" Type="http://schemas.openxmlformats.org/officeDocument/2006/relationships/hyperlink" Target="mailto:Erik_Shaw@uml.edu" TargetMode="External"/><Relationship Id="rId21" Type="http://schemas.openxmlformats.org/officeDocument/2006/relationships/hyperlink" Target="../../../Photos/Green%20Buildings/UML%20University%20Crossing%20(Green%20Roof).jpg" TargetMode="External"/><Relationship Id="rId42" Type="http://schemas.openxmlformats.org/officeDocument/2006/relationships/hyperlink" Target="../../../Photos/Green%20Buildings/MCLA%20Feigenbaum%20(2).JPG" TargetMode="External"/><Relationship Id="rId47" Type="http://schemas.openxmlformats.org/officeDocument/2006/relationships/hyperlink" Target="mailto:tara.mitchell@dot.state.ma.us" TargetMode="External"/><Relationship Id="rId63" Type="http://schemas.openxmlformats.org/officeDocument/2006/relationships/hyperlink" Target="mailto:tara.mitchell@dot.state.ma.us" TargetMode="External"/><Relationship Id="rId68" Type="http://schemas.openxmlformats.org/officeDocument/2006/relationships/hyperlink" Target="../../../Photos/Pollinator%20Photos/UMass%20Lowell" TargetMode="External"/><Relationship Id="rId84" Type="http://schemas.openxmlformats.org/officeDocument/2006/relationships/hyperlink" Target="file:///\\env.govt.state.ma.us\enterprise\ENE-Saltonstall-WKGRP\LBE\Photos\Pollinator\MassDOT\No%20&amp;%20Low%20Mow%20Zones" TargetMode="External"/><Relationship Id="rId89" Type="http://schemas.openxmlformats.org/officeDocument/2006/relationships/comments" Target="../comments5.xml"/><Relationship Id="rId16" Type="http://schemas.openxmlformats.org/officeDocument/2006/relationships/hyperlink" Target="mailto:Denise.Breiteneicher@mwra.com" TargetMode="External"/><Relationship Id="rId11" Type="http://schemas.openxmlformats.org/officeDocument/2006/relationships/hyperlink" Target="../../../Photos/Pollinator/Bristol%20CC/Bristol%20CC%20No%20Mow%20Area.jpg" TargetMode="External"/><Relationship Id="rId32" Type="http://schemas.openxmlformats.org/officeDocument/2006/relationships/hyperlink" Target="../../../Photos/Pollinator/Dept.%20of%20Correction" TargetMode="External"/><Relationship Id="rId37" Type="http://schemas.openxmlformats.org/officeDocument/2006/relationships/hyperlink" Target="../../../Photos/Green%20Buildings/MBTA%20Orient%20Heights%20Station%20(Green%20Roof).JPG" TargetMode="External"/><Relationship Id="rId53" Type="http://schemas.openxmlformats.org/officeDocument/2006/relationships/hyperlink" Target="mailto:tara.mitchell@dot.state.ma.us" TargetMode="External"/><Relationship Id="rId58" Type="http://schemas.openxmlformats.org/officeDocument/2006/relationships/hyperlink" Target="mailto:tara.mitchell@dot.state.ma.us" TargetMode="External"/><Relationship Id="rId74" Type="http://schemas.openxmlformats.org/officeDocument/2006/relationships/hyperlink" Target="../../../Photos/Pollinator%20Photos/UMass%20Amherst/Limited%20Mow%20Zone%202019" TargetMode="External"/><Relationship Id="rId79" Type="http://schemas.openxmlformats.org/officeDocument/2006/relationships/hyperlink" Target="mailto:matt.villamaino@mass.gov" TargetMode="External"/><Relationship Id="rId5" Type="http://schemas.openxmlformats.org/officeDocument/2006/relationships/hyperlink" Target="mailto:joan.muller@mass.gov" TargetMode="External"/><Relationship Id="rId90" Type="http://schemas.microsoft.com/office/2017/10/relationships/threadedComment" Target="../threadedComments/threadedComment3.xml"/><Relationship Id="rId14" Type="http://schemas.openxmlformats.org/officeDocument/2006/relationships/hyperlink" Target="../../../Photos/Pollinator/DCR/Waquoit%20Bay" TargetMode="External"/><Relationship Id="rId22" Type="http://schemas.openxmlformats.org/officeDocument/2006/relationships/hyperlink" Target="../../../Photos/Green%20Buildings/UMA%20Integrative%20Learning%20Center%20(ILC)%20with%20Green%20Roof.jpg" TargetMode="External"/><Relationship Id="rId27" Type="http://schemas.openxmlformats.org/officeDocument/2006/relationships/hyperlink" Target="mailto:Erik_Shaw@uml.edu" TargetMode="External"/><Relationship Id="rId30" Type="http://schemas.openxmlformats.org/officeDocument/2006/relationships/hyperlink" Target="mailto:joe.desa@bristolcc.edu" TargetMode="External"/><Relationship Id="rId35" Type="http://schemas.openxmlformats.org/officeDocument/2006/relationships/hyperlink" Target="../../../Photos/Pollinator/State%20Police%20Academy%20(New%20Braintree)%20-%20No%20Mow%20Zones" TargetMode="External"/><Relationship Id="rId43" Type="http://schemas.openxmlformats.org/officeDocument/2006/relationships/hyperlink" Target="mailto:tara.mitchell@dot.state.ma.us" TargetMode="External"/><Relationship Id="rId48" Type="http://schemas.openxmlformats.org/officeDocument/2006/relationships/hyperlink" Target="../../../Photos/Pollinator/MassDOT/Native%20Meadows" TargetMode="External"/><Relationship Id="rId56" Type="http://schemas.openxmlformats.org/officeDocument/2006/relationships/hyperlink" Target="mailto:tara.mitchell@dot.state.ma.us" TargetMode="External"/><Relationship Id="rId64" Type="http://schemas.openxmlformats.org/officeDocument/2006/relationships/hyperlink" Target="mailto:tara.mitchell@dot.state.ma.us" TargetMode="External"/><Relationship Id="rId69" Type="http://schemas.openxmlformats.org/officeDocument/2006/relationships/hyperlink" Target="mailto:aoguma@massasoit.mass.edu;%20mbankson@massasoit.mass.edu" TargetMode="External"/><Relationship Id="rId77" Type="http://schemas.openxmlformats.org/officeDocument/2006/relationships/hyperlink" Target="mailto:drew.forest@mass.gov" TargetMode="External"/><Relationship Id="rId8" Type="http://schemas.openxmlformats.org/officeDocument/2006/relationships/hyperlink" Target="../../../Photos/Pollinator/DCR/DCR%20Purgatory%20Chasm%20Visitor%20Center%20Butterfly%20Garden.JPG" TargetMode="External"/><Relationship Id="rId51" Type="http://schemas.openxmlformats.org/officeDocument/2006/relationships/hyperlink" Target="mailto:ken.mackenzie@mass.gov" TargetMode="External"/><Relationship Id="rId72" Type="http://schemas.openxmlformats.org/officeDocument/2006/relationships/hyperlink" Target="mailto:lmichalopoul@umass.edu" TargetMode="External"/><Relationship Id="rId80" Type="http://schemas.openxmlformats.org/officeDocument/2006/relationships/hyperlink" Target="file:///\\env.govt.state.ma.us\enterprise\ENE-Saltonstall-WKGRP\LBE\Photos\Pollinator\MassDOT\Native%20Meadows" TargetMode="External"/><Relationship Id="rId85" Type="http://schemas.openxmlformats.org/officeDocument/2006/relationships/hyperlink" Target="file:///\\env.govt.state.ma.us\enterprise\ENE-Saltonstall-WKGRP\LBE\Photos\Pollinator\MassDOT\No%20&amp;%20Low%20Mow%20Zones" TargetMode="External"/><Relationship Id="rId3" Type="http://schemas.openxmlformats.org/officeDocument/2006/relationships/hyperlink" Target="mailto:szisk@qcc.mass.edu" TargetMode="External"/><Relationship Id="rId12" Type="http://schemas.openxmlformats.org/officeDocument/2006/relationships/hyperlink" Target="mailto:joe.desa@bristolcc.edu" TargetMode="External"/><Relationship Id="rId17" Type="http://schemas.openxmlformats.org/officeDocument/2006/relationships/hyperlink" Target="mailto:david.paulson@mass.gov" TargetMode="External"/><Relationship Id="rId25" Type="http://schemas.openxmlformats.org/officeDocument/2006/relationships/hyperlink" Target="../../../Photos/Green%20Buildings/MassDEP%20Wall%20Experiment%20Station%20-%20Green%20Roof.jpg" TargetMode="External"/><Relationship Id="rId33" Type="http://schemas.openxmlformats.org/officeDocument/2006/relationships/hyperlink" Target="../../../Photos/Pollinator%20Photos/Taunton%20State%20Hospital" TargetMode="External"/><Relationship Id="rId38" Type="http://schemas.openxmlformats.org/officeDocument/2006/relationships/hyperlink" Target="../../../Photos/Green%20Buildings/MBTA%20Hingham%20Terminal%20(Green%20Roof).JPG" TargetMode="External"/><Relationship Id="rId46" Type="http://schemas.openxmlformats.org/officeDocument/2006/relationships/hyperlink" Target="http://www.beecityusa.org/current-bee-campuses.html" TargetMode="External"/><Relationship Id="rId59" Type="http://schemas.openxmlformats.org/officeDocument/2006/relationships/hyperlink" Target="mailto:tara.mitchell@dot.state.ma.us" TargetMode="External"/><Relationship Id="rId67" Type="http://schemas.openxmlformats.org/officeDocument/2006/relationships/hyperlink" Target="mailto:jmoser@westfield.ma.edu" TargetMode="External"/><Relationship Id="rId20" Type="http://schemas.openxmlformats.org/officeDocument/2006/relationships/hyperlink" Target="mailto:jwicks@northshore.edu" TargetMode="External"/><Relationship Id="rId41" Type="http://schemas.openxmlformats.org/officeDocument/2006/relationships/hyperlink" Target="mailto:joe.desa@bristolcc.edu" TargetMode="External"/><Relationship Id="rId54" Type="http://schemas.openxmlformats.org/officeDocument/2006/relationships/hyperlink" Target="mailto:tara.mitchell@dot.state.ma.us" TargetMode="External"/><Relationship Id="rId62" Type="http://schemas.openxmlformats.org/officeDocument/2006/relationships/hyperlink" Target="mailto:tara.mitchell@dot.state.ma.us" TargetMode="External"/><Relationship Id="rId70" Type="http://schemas.openxmlformats.org/officeDocument/2006/relationships/hyperlink" Target="mailto:aoguma@massasoit.mass.edu;%20mbankson@massasoit.mass.edu" TargetMode="External"/><Relationship Id="rId75" Type="http://schemas.openxmlformats.org/officeDocument/2006/relationships/hyperlink" Target="https://goo.gl/maps/9e6uY2CFLjUQrjKa7" TargetMode="External"/><Relationship Id="rId83" Type="http://schemas.openxmlformats.org/officeDocument/2006/relationships/hyperlink" Target="file:///\\env.govt.state.ma.us\enterprise\ENE-Saltonstall-WKGRP\LBE\Photos\Pollinator%20Photos\Taunton%20State%20Hospital" TargetMode="External"/><Relationship Id="rId88" Type="http://schemas.openxmlformats.org/officeDocument/2006/relationships/vmlDrawing" Target="../drawings/vmlDrawing5.vml"/><Relationship Id="rId1" Type="http://schemas.openxmlformats.org/officeDocument/2006/relationships/hyperlink" Target="http://www.mcla.edu/news1/2017-Nov/sophomore-spearheads-save-the-bees-campaignLBE%20requested%20information" TargetMode="External"/><Relationship Id="rId6" Type="http://schemas.openxmlformats.org/officeDocument/2006/relationships/hyperlink" Target="mailto:joan.muller@mass.gov" TargetMode="External"/><Relationship Id="rId15" Type="http://schemas.openxmlformats.org/officeDocument/2006/relationships/hyperlink" Target="mailto:Denise.Breiteneicher@mwra.com" TargetMode="External"/><Relationship Id="rId23" Type="http://schemas.openxmlformats.org/officeDocument/2006/relationships/hyperlink" Target="../../../Photos/Pollinator/UMass%20Amherst" TargetMode="External"/><Relationship Id="rId28" Type="http://schemas.openxmlformats.org/officeDocument/2006/relationships/hyperlink" Target="mailto:tgallagher@salemstate.edu" TargetMode="External"/><Relationship Id="rId36" Type="http://schemas.openxmlformats.org/officeDocument/2006/relationships/hyperlink" Target="../../../Photos/Pollinator/DFW%20Headquarters" TargetMode="External"/><Relationship Id="rId49" Type="http://schemas.openxmlformats.org/officeDocument/2006/relationships/hyperlink" Target="../../../Photos/Pollinator/MassDOT/No%20&amp;%20Low%20Mow%20Zones" TargetMode="External"/><Relationship Id="rId57" Type="http://schemas.openxmlformats.org/officeDocument/2006/relationships/hyperlink" Target="mailto:tara.mitchell@dot.state.ma.us" TargetMode="External"/><Relationship Id="rId10" Type="http://schemas.openxmlformats.org/officeDocument/2006/relationships/hyperlink" Target="mailto:ruth.helfeld@mass.gov" TargetMode="External"/><Relationship Id="rId31" Type="http://schemas.openxmlformats.org/officeDocument/2006/relationships/hyperlink" Target="../../../Photos/Pollinator/Dept.%20of%20Correction" TargetMode="External"/><Relationship Id="rId44" Type="http://schemas.openxmlformats.org/officeDocument/2006/relationships/hyperlink" Target="https://www.mass.gov/info-details/leading-by-example-progress-overview" TargetMode="External"/><Relationship Id="rId52" Type="http://schemas.openxmlformats.org/officeDocument/2006/relationships/hyperlink" Target="mailto:ken.mackenzie@mass.gov" TargetMode="External"/><Relationship Id="rId60" Type="http://schemas.openxmlformats.org/officeDocument/2006/relationships/hyperlink" Target="mailto:tara.mitchell@dot.state.ma.us" TargetMode="External"/><Relationship Id="rId65" Type="http://schemas.openxmlformats.org/officeDocument/2006/relationships/hyperlink" Target="mailto:tara.mitchell@dot.state.ma.us" TargetMode="External"/><Relationship Id="rId73" Type="http://schemas.openxmlformats.org/officeDocument/2006/relationships/hyperlink" Target="../../../Photos/Pollinator%20Photos/UMass%20Amherst/Limited%20Mow%20Zone%202019" TargetMode="External"/><Relationship Id="rId78" Type="http://schemas.openxmlformats.org/officeDocument/2006/relationships/hyperlink" Target="https://www.ernstseed.com/product/showy-northeast-native-wildflower-grass-mix/?anchor=45" TargetMode="External"/><Relationship Id="rId81" Type="http://schemas.openxmlformats.org/officeDocument/2006/relationships/hyperlink" Target="file:///\\env.govt.state.ma.us\enterprise\ENE-Saltonstall-WKGRP\LBE\Photos\Pollinator\MassDOT\No%20&amp;%20Low%20Mow%20Zones" TargetMode="External"/><Relationship Id="rId86" Type="http://schemas.openxmlformats.org/officeDocument/2006/relationships/hyperlink" Target="mailto:jdelisle@massbay.edu" TargetMode="External"/><Relationship Id="rId4" Type="http://schemas.openxmlformats.org/officeDocument/2006/relationships/hyperlink" Target="https://www.umass.edu/cp/john-w-olver-design-building" TargetMode="External"/><Relationship Id="rId9" Type="http://schemas.openxmlformats.org/officeDocument/2006/relationships/hyperlink" Target="mailto:ruth.helfeld@mass.gov" TargetMode="External"/><Relationship Id="rId13" Type="http://schemas.openxmlformats.org/officeDocument/2006/relationships/hyperlink" Target="../../../Photos/Pollinator/DCR/Waquoit%20Bay" TargetMode="External"/><Relationship Id="rId18" Type="http://schemas.openxmlformats.org/officeDocument/2006/relationships/hyperlink" Target="mailto:Umbe.Green@umb.edu" TargetMode="External"/><Relationship Id="rId39" Type="http://schemas.openxmlformats.org/officeDocument/2006/relationships/hyperlink" Target="../../../Photos/Pollinator/Massasoit%20CC" TargetMode="External"/><Relationship Id="rId34" Type="http://schemas.openxmlformats.org/officeDocument/2006/relationships/hyperlink" Target="../../../Photos/Pollinator/State%20Police%20Academy%20(New%20Braintree)%20-%20No%20Mow%20Zones" TargetMode="External"/><Relationship Id="rId50" Type="http://schemas.openxmlformats.org/officeDocument/2006/relationships/hyperlink" Target="mailto:ken.mackenzie@mass.gov" TargetMode="External"/><Relationship Id="rId55" Type="http://schemas.openxmlformats.org/officeDocument/2006/relationships/hyperlink" Target="mailto:tara.mitchell@dot.state.ma.us" TargetMode="External"/><Relationship Id="rId76" Type="http://schemas.openxmlformats.org/officeDocument/2006/relationships/hyperlink" Target="mailto:matt.villamaino@mass.gov" TargetMode="External"/><Relationship Id="rId7" Type="http://schemas.openxmlformats.org/officeDocument/2006/relationships/hyperlink" Target="../../../Photos/Pollinator/DCR/DCR%20Finnegan%20Park%20Wildflower%20Meadow.jpg" TargetMode="External"/><Relationship Id="rId71" Type="http://schemas.openxmlformats.org/officeDocument/2006/relationships/hyperlink" Target="mailto:lmichalopoul@umass.edu" TargetMode="External"/><Relationship Id="rId2" Type="http://schemas.openxmlformats.org/officeDocument/2006/relationships/hyperlink" Target="../../../Photos/Pollinator/DCR/DCR%20Middlesex%20Fells%20Botume%20House%20Visitor%20Center.jpg" TargetMode="External"/><Relationship Id="rId29" Type="http://schemas.openxmlformats.org/officeDocument/2006/relationships/hyperlink" Target="mailto:esmall@facil.umass.edu" TargetMode="External"/><Relationship Id="rId24" Type="http://schemas.openxmlformats.org/officeDocument/2006/relationships/hyperlink" Target="../../../Photos/Green%20Buildings/NSCC%20Health%20Professions%20Building%20(Green%20Roof).jpg" TargetMode="External"/><Relationship Id="rId40" Type="http://schemas.openxmlformats.org/officeDocument/2006/relationships/hyperlink" Target="../../../Photos/Pollinator/Massasoit%20CC" TargetMode="External"/><Relationship Id="rId45" Type="http://schemas.openxmlformats.org/officeDocument/2006/relationships/hyperlink" Target="http://www.beecityusa.org/current-bee-campuses.html" TargetMode="External"/><Relationship Id="rId66" Type="http://schemas.openxmlformats.org/officeDocument/2006/relationships/hyperlink" Target="mailto:tara.mitchell@dot.state.ma.us" TargetMode="External"/><Relationship Id="rId87" Type="http://schemas.openxmlformats.org/officeDocument/2006/relationships/hyperlink" Target="https://www.northshore.edu/news/2022/pollinator_garden.html" TargetMode="External"/><Relationship Id="rId61" Type="http://schemas.openxmlformats.org/officeDocument/2006/relationships/hyperlink" Target="mailto:tara.mitchell@dot.state.ma.us" TargetMode="External"/><Relationship Id="rId82" Type="http://schemas.openxmlformats.org/officeDocument/2006/relationships/hyperlink" Target="file:///\\env.govt.state.ma.us\enterprise\ENE-Saltonstall-WKGRP\LBE\Photos\Pollinator\MassDOT\No%20&amp;%20Low%20Mow%20Zones" TargetMode="External"/><Relationship Id="rId19" Type="http://schemas.openxmlformats.org/officeDocument/2006/relationships/hyperlink" Target="../../../Photos/Green%20Buildings/SSU%20Marsh%20Hall%20green%20roof.jpg"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3" Type="http://schemas.openxmlformats.org/officeDocument/2006/relationships/hyperlink" Target="mailto:ametcalfe@maritime.edu" TargetMode="External"/><Relationship Id="rId18" Type="http://schemas.openxmlformats.org/officeDocument/2006/relationships/hyperlink" Target="mailto:trina.moruzzi@mass.gov" TargetMode="External"/><Relationship Id="rId26" Type="http://schemas.openxmlformats.org/officeDocument/2006/relationships/hyperlink" Target="mailto:squaye1@mwcc.mass.edu" TargetMode="External"/><Relationship Id="rId39" Type="http://schemas.openxmlformats.org/officeDocument/2006/relationships/hyperlink" Target="mailto:dmargolis@necc.mass.edu" TargetMode="External"/><Relationship Id="rId21" Type="http://schemas.openxmlformats.org/officeDocument/2006/relationships/hyperlink" Target="mailto:michael.lynch2@mass.gov" TargetMode="External"/><Relationship Id="rId34" Type="http://schemas.openxmlformats.org/officeDocument/2006/relationships/hyperlink" Target="mailto:jeffrey.tatro@mcla.edu" TargetMode="External"/><Relationship Id="rId42" Type="http://schemas.openxmlformats.org/officeDocument/2006/relationships/hyperlink" Target="mailto:kpkane@stcc.edu" TargetMode="External"/><Relationship Id="rId7" Type="http://schemas.openxmlformats.org/officeDocument/2006/relationships/hyperlink" Target="mailto:Jhead2@fitchburgstate.edu" TargetMode="External"/><Relationship Id="rId2" Type="http://schemas.openxmlformats.org/officeDocument/2006/relationships/hyperlink" Target="mailto:m1carmody@bridgew.edu" TargetMode="External"/><Relationship Id="rId16" Type="http://schemas.openxmlformats.org/officeDocument/2006/relationships/hyperlink" Target="mailto:Frederic.Corazzini@mass.gov" TargetMode="External"/><Relationship Id="rId29" Type="http://schemas.openxmlformats.org/officeDocument/2006/relationships/hyperlink" Target="mailto:JoAnn.Bentley@bristolcc.edu" TargetMode="External"/><Relationship Id="rId1" Type="http://schemas.openxmlformats.org/officeDocument/2006/relationships/hyperlink" Target="mailto:kjason@bridgew.edu" TargetMode="External"/><Relationship Id="rId6" Type="http://schemas.openxmlformats.org/officeDocument/2006/relationships/hyperlink" Target="mailto:szazzera@capecod.edu" TargetMode="External"/><Relationship Id="rId11" Type="http://schemas.openxmlformats.org/officeDocument/2006/relationships/hyperlink" Target="mailto:Khall@rcc.mass.edu" TargetMode="External"/><Relationship Id="rId24" Type="http://schemas.openxmlformats.org/officeDocument/2006/relationships/hyperlink" Target="mailto:rgoulet@salemstate.edu" TargetMode="External"/><Relationship Id="rId32" Type="http://schemas.openxmlformats.org/officeDocument/2006/relationships/hyperlink" Target="mailto:Mbangra4@fitchburgstate.edu" TargetMode="External"/><Relationship Id="rId37" Type="http://schemas.openxmlformats.org/officeDocument/2006/relationships/hyperlink" Target="mailto:gfox1@mwcc.mass.edu" TargetMode="External"/><Relationship Id="rId40" Type="http://schemas.openxmlformats.org/officeDocument/2006/relationships/hyperlink" Target="mailto:sqazi@rcc.mass.edu" TargetMode="External"/><Relationship Id="rId45" Type="http://schemas.openxmlformats.org/officeDocument/2006/relationships/hyperlink" Target="mailto:srobbins@westfield.ma.edu" TargetMode="External"/><Relationship Id="rId5" Type="http://schemas.openxmlformats.org/officeDocument/2006/relationships/hyperlink" Target="mailto:jjacquart@umassd.edu" TargetMode="External"/><Relationship Id="rId15" Type="http://schemas.openxmlformats.org/officeDocument/2006/relationships/hyperlink" Target="mailto:susan.f.hamilton@mass.gov" TargetMode="External"/><Relationship Id="rId23" Type="http://schemas.openxmlformats.org/officeDocument/2006/relationships/hyperlink" Target="mailto:jcrow@northshore.edu" TargetMode="External"/><Relationship Id="rId28" Type="http://schemas.openxmlformats.org/officeDocument/2006/relationships/hyperlink" Target="mailto:Nicole_Kelly@uml.edu" TargetMode="External"/><Relationship Id="rId36" Type="http://schemas.openxmlformats.org/officeDocument/2006/relationships/hyperlink" Target="mailto:cvolz1@massasoit.mass.edu" TargetMode="External"/><Relationship Id="rId10" Type="http://schemas.openxmlformats.org/officeDocument/2006/relationships/hyperlink" Target="mailto:scott.davidson@northshore.edu" TargetMode="External"/><Relationship Id="rId19" Type="http://schemas.openxmlformats.org/officeDocument/2006/relationships/hyperlink" Target="mailto:michael.lazo2@mass.gov" TargetMode="External"/><Relationship Id="rId31" Type="http://schemas.openxmlformats.org/officeDocument/2006/relationships/hyperlink" Target="mailto:scott.consaul2@mass.gov" TargetMode="External"/><Relationship Id="rId44" Type="http://schemas.openxmlformats.org/officeDocument/2006/relationships/hyperlink" Target="mailto:msocha@westfield.ma.edu" TargetMode="External"/><Relationship Id="rId4" Type="http://schemas.openxmlformats.org/officeDocument/2006/relationships/hyperlink" Target="mailto:memckenzie@fitchburgstate.edu" TargetMode="External"/><Relationship Id="rId9" Type="http://schemas.openxmlformats.org/officeDocument/2006/relationships/hyperlink" Target="mailto:jholbroo2@massasoit.mass.edu" TargetMode="External"/><Relationship Id="rId14" Type="http://schemas.openxmlformats.org/officeDocument/2006/relationships/hyperlink" Target="mailto:john.masters@mass.gov" TargetMode="External"/><Relationship Id="rId22" Type="http://schemas.openxmlformats.org/officeDocument/2006/relationships/hyperlink" Target="mailto:richard.polwrek@mass.gov" TargetMode="External"/><Relationship Id="rId27" Type="http://schemas.openxmlformats.org/officeDocument/2006/relationships/hyperlink" Target="mailto:svbush2101@stcc.edu" TargetMode="External"/><Relationship Id="rId30" Type="http://schemas.openxmlformats.org/officeDocument/2006/relationships/hyperlink" Target="mailto:robert.maniatis@mass.gov" TargetMode="External"/><Relationship Id="rId35" Type="http://schemas.openxmlformats.org/officeDocument/2006/relationships/hyperlink" Target="mailto:william.norcross@mcla.edu" TargetMode="External"/><Relationship Id="rId43" Type="http://schemas.openxmlformats.org/officeDocument/2006/relationships/hyperlink" Target="mailto:kparker8@umassd.edu" TargetMode="External"/><Relationship Id="rId8" Type="http://schemas.openxmlformats.org/officeDocument/2006/relationships/hyperlink" Target="mailto:jfk@massart.edu" TargetMode="External"/><Relationship Id="rId3" Type="http://schemas.openxmlformats.org/officeDocument/2006/relationships/hyperlink" Target="mailto:Barbara.Cadima@bristolcc.edu" TargetMode="External"/><Relationship Id="rId12" Type="http://schemas.openxmlformats.org/officeDocument/2006/relationships/hyperlink" Target="mailto:kbrasili@framingham.edu" TargetMode="External"/><Relationship Id="rId17" Type="http://schemas.openxmlformats.org/officeDocument/2006/relationships/hyperlink" Target="mailto:Meaghan.Hencir@mass.gov" TargetMode="External"/><Relationship Id="rId25" Type="http://schemas.openxmlformats.org/officeDocument/2006/relationships/hyperlink" Target="mailto:sgray2@salemstate.edu" TargetMode="External"/><Relationship Id="rId33" Type="http://schemas.openxmlformats.org/officeDocument/2006/relationships/hyperlink" Target="mailto:rperry@massart.edu" TargetMode="External"/><Relationship Id="rId38" Type="http://schemas.openxmlformats.org/officeDocument/2006/relationships/hyperlink" Target="mailto:sbolden1@mwcc.mass.edu" TargetMode="External"/><Relationship Id="rId46" Type="http://schemas.openxmlformats.org/officeDocument/2006/relationships/printerSettings" Target="../printerSettings/printerSettings2.bin"/><Relationship Id="rId20" Type="http://schemas.openxmlformats.org/officeDocument/2006/relationships/hyperlink" Target="mailto:glen.hevy@mass.gov" TargetMode="External"/><Relationship Id="rId41" Type="http://schemas.openxmlformats.org/officeDocument/2006/relationships/hyperlink" Target="mailto:khall@rcc.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T94"/>
  <sheetViews>
    <sheetView topLeftCell="A34" zoomScale="80" zoomScaleNormal="80" workbookViewId="0">
      <selection activeCell="C49" sqref="C49:P50"/>
    </sheetView>
  </sheetViews>
  <sheetFormatPr defaultColWidth="0" defaultRowHeight="14.5" zeroHeight="1"/>
  <cols>
    <col min="1" max="1" width="2.26953125" style="82" customWidth="1"/>
    <col min="2" max="2" width="19" style="43" customWidth="1"/>
    <col min="3" max="3" width="10.1796875" style="43" customWidth="1"/>
    <col min="4" max="10" width="12.26953125" style="43" customWidth="1"/>
    <col min="11" max="15" width="10.1796875" style="43" customWidth="1"/>
    <col min="16" max="16" width="15.453125" style="43" customWidth="1"/>
    <col min="17" max="17" width="23.81640625" style="43" customWidth="1"/>
    <col min="18" max="16384" width="9.1796875" style="43" hidden="1"/>
  </cols>
  <sheetData>
    <row r="1" spans="1:20"/>
    <row r="2" spans="1:20" ht="15.5">
      <c r="B2" s="918" t="s">
        <v>0</v>
      </c>
      <c r="C2" s="918"/>
      <c r="D2" s="918"/>
      <c r="E2" s="918"/>
      <c r="F2" s="918"/>
      <c r="G2" s="918"/>
      <c r="H2" s="918"/>
      <c r="I2" s="918"/>
      <c r="J2" s="918"/>
      <c r="K2" s="529"/>
      <c r="L2" s="529"/>
      <c r="M2" s="529"/>
      <c r="N2" s="529"/>
      <c r="O2" s="529"/>
      <c r="P2" s="529"/>
      <c r="Q2" s="529"/>
      <c r="R2" s="529"/>
      <c r="S2" s="529"/>
      <c r="T2" s="529"/>
    </row>
    <row r="3" spans="1:20" ht="15.5">
      <c r="B3" s="918" t="s">
        <v>1</v>
      </c>
      <c r="C3" s="918"/>
      <c r="D3" s="918"/>
      <c r="E3" s="918"/>
      <c r="F3" s="918"/>
      <c r="G3" s="918"/>
      <c r="H3" s="918"/>
      <c r="I3" s="918"/>
      <c r="J3" s="918"/>
      <c r="K3" s="529"/>
      <c r="L3" s="529"/>
      <c r="M3" s="529"/>
      <c r="N3" s="529"/>
      <c r="O3" s="529"/>
      <c r="P3" s="529"/>
      <c r="Q3" s="529"/>
      <c r="R3" s="529"/>
      <c r="S3" s="529"/>
      <c r="T3" s="529"/>
    </row>
    <row r="4" spans="1:20" ht="15.5">
      <c r="B4" s="919" t="s">
        <v>2</v>
      </c>
      <c r="C4" s="919"/>
      <c r="D4" s="919"/>
      <c r="E4" s="919"/>
      <c r="F4" s="919"/>
      <c r="G4" s="919"/>
      <c r="H4" s="919"/>
      <c r="I4" s="919"/>
      <c r="J4" s="919"/>
      <c r="K4" s="529"/>
      <c r="L4" s="529"/>
      <c r="M4" s="529"/>
      <c r="N4" s="529"/>
      <c r="O4" s="529"/>
      <c r="P4" s="529"/>
      <c r="Q4" s="529"/>
      <c r="R4" s="529"/>
      <c r="S4" s="529"/>
      <c r="T4" s="529"/>
    </row>
    <row r="5" spans="1:20" ht="15.5">
      <c r="B5" s="919" t="s">
        <v>1807</v>
      </c>
      <c r="C5" s="919"/>
      <c r="D5" s="919"/>
      <c r="E5" s="919"/>
      <c r="F5" s="919"/>
      <c r="G5" s="919"/>
      <c r="H5" s="919"/>
      <c r="I5" s="919"/>
      <c r="J5" s="919"/>
      <c r="K5" s="529"/>
      <c r="L5" s="529"/>
      <c r="M5" s="529"/>
      <c r="N5" s="529"/>
      <c r="O5" s="529"/>
      <c r="P5" s="529"/>
      <c r="Q5" s="529"/>
      <c r="R5" s="529"/>
      <c r="S5" s="529"/>
      <c r="T5" s="529"/>
    </row>
    <row r="6" spans="1:20" ht="15.5">
      <c r="B6" s="920" t="s">
        <v>2565</v>
      </c>
      <c r="C6" s="920"/>
      <c r="D6" s="920"/>
      <c r="E6" s="920"/>
      <c r="F6" s="920"/>
      <c r="G6" s="920"/>
      <c r="H6" s="920"/>
      <c r="I6" s="920"/>
      <c r="J6" s="920"/>
      <c r="K6" s="529"/>
      <c r="L6" s="529"/>
      <c r="M6" s="529"/>
      <c r="N6" s="529"/>
      <c r="O6" s="529"/>
      <c r="P6" s="529"/>
      <c r="Q6" s="529"/>
      <c r="R6" s="529"/>
      <c r="S6" s="529"/>
      <c r="T6" s="529"/>
    </row>
    <row r="7" spans="1:20" ht="15" thickBot="1"/>
    <row r="8" spans="1:20" customFormat="1" ht="24" thickBot="1">
      <c r="A8" s="82"/>
      <c r="B8" s="911" t="s">
        <v>1805</v>
      </c>
      <c r="C8" s="912"/>
      <c r="D8" s="912"/>
      <c r="E8" s="912"/>
      <c r="F8" s="912"/>
      <c r="G8" s="912"/>
      <c r="H8" s="912"/>
      <c r="I8" s="912"/>
      <c r="J8" s="912"/>
      <c r="K8" s="912"/>
      <c r="L8" s="912"/>
      <c r="M8" s="912"/>
      <c r="N8" s="912"/>
      <c r="O8" s="912"/>
      <c r="P8" s="913"/>
      <c r="Q8" s="511"/>
      <c r="R8" s="509"/>
      <c r="S8" s="509"/>
      <c r="T8" s="510"/>
    </row>
    <row r="9" spans="1:20" customFormat="1" ht="39" customHeight="1" thickBot="1">
      <c r="A9" s="82"/>
      <c r="B9" s="914" t="s">
        <v>2495</v>
      </c>
      <c r="C9" s="914"/>
      <c r="D9" s="914"/>
      <c r="E9" s="914"/>
      <c r="F9" s="914"/>
      <c r="G9" s="914"/>
      <c r="H9" s="914"/>
      <c r="I9" s="914"/>
      <c r="J9" s="914"/>
      <c r="K9" s="914"/>
      <c r="L9" s="914"/>
      <c r="M9" s="914"/>
      <c r="N9" s="914"/>
      <c r="O9" s="914"/>
      <c r="P9" s="914"/>
      <c r="Q9" s="43"/>
    </row>
    <row r="10" spans="1:20" customFormat="1" ht="39" customHeight="1" thickBot="1">
      <c r="A10" s="82"/>
      <c r="B10" s="914"/>
      <c r="C10" s="914"/>
      <c r="D10" s="914"/>
      <c r="E10" s="914"/>
      <c r="F10" s="914"/>
      <c r="G10" s="914"/>
      <c r="H10" s="914"/>
      <c r="I10" s="914"/>
      <c r="J10" s="914"/>
      <c r="K10" s="914"/>
      <c r="L10" s="914"/>
      <c r="M10" s="914"/>
      <c r="N10" s="914"/>
      <c r="O10" s="914"/>
      <c r="P10" s="914"/>
      <c r="Q10" s="43"/>
    </row>
    <row r="11" spans="1:20" customFormat="1" ht="60" customHeight="1" thickBot="1">
      <c r="A11" s="82"/>
      <c r="B11" s="914"/>
      <c r="C11" s="914"/>
      <c r="D11" s="914"/>
      <c r="E11" s="914"/>
      <c r="F11" s="914"/>
      <c r="G11" s="914"/>
      <c r="H11" s="914"/>
      <c r="I11" s="914"/>
      <c r="J11" s="914"/>
      <c r="K11" s="914"/>
      <c r="L11" s="914"/>
      <c r="M11" s="914"/>
      <c r="N11" s="914"/>
      <c r="O11" s="914"/>
      <c r="P11" s="914"/>
      <c r="Q11" s="43"/>
    </row>
    <row r="12" spans="1:20" s="82" customFormat="1" ht="9" customHeight="1"/>
    <row r="13" spans="1:20" customFormat="1" ht="15" customHeight="1">
      <c r="A13" s="82"/>
      <c r="B13" s="915" t="s">
        <v>2589</v>
      </c>
      <c r="C13" s="915"/>
      <c r="D13" s="915"/>
      <c r="E13" s="915"/>
      <c r="F13" s="915"/>
      <c r="G13" s="915"/>
      <c r="H13" s="915"/>
      <c r="I13" s="915"/>
      <c r="J13" s="915"/>
      <c r="K13" s="915"/>
      <c r="L13" s="915"/>
      <c r="M13" s="915"/>
      <c r="N13" s="915"/>
      <c r="O13" s="915"/>
      <c r="P13" s="915"/>
      <c r="Q13" s="43"/>
    </row>
    <row r="14" spans="1:20" customFormat="1" ht="15" customHeight="1">
      <c r="A14" s="82"/>
      <c r="B14" s="915"/>
      <c r="C14" s="915"/>
      <c r="D14" s="915"/>
      <c r="E14" s="915"/>
      <c r="F14" s="915"/>
      <c r="G14" s="915"/>
      <c r="H14" s="915"/>
      <c r="I14" s="915"/>
      <c r="J14" s="915"/>
      <c r="K14" s="915"/>
      <c r="L14" s="915"/>
      <c r="M14" s="915"/>
      <c r="N14" s="915"/>
      <c r="O14" s="915"/>
      <c r="P14" s="915"/>
      <c r="Q14" s="43"/>
    </row>
    <row r="15" spans="1:20" customFormat="1" ht="15" customHeight="1">
      <c r="A15" s="82"/>
      <c r="B15" s="915"/>
      <c r="C15" s="915"/>
      <c r="D15" s="915"/>
      <c r="E15" s="915"/>
      <c r="F15" s="915"/>
      <c r="G15" s="915"/>
      <c r="H15" s="915"/>
      <c r="I15" s="915"/>
      <c r="J15" s="915"/>
      <c r="K15" s="915"/>
      <c r="L15" s="915"/>
      <c r="M15" s="915"/>
      <c r="N15" s="915"/>
      <c r="O15" s="915"/>
      <c r="P15" s="915"/>
      <c r="Q15" s="43"/>
    </row>
    <row r="16" spans="1:20" customFormat="1" ht="15.75" customHeight="1">
      <c r="A16" s="82"/>
      <c r="B16" s="915"/>
      <c r="C16" s="915"/>
      <c r="D16" s="915"/>
      <c r="E16" s="915"/>
      <c r="F16" s="915"/>
      <c r="G16" s="915"/>
      <c r="H16" s="915"/>
      <c r="I16" s="915"/>
      <c r="J16" s="915"/>
      <c r="K16" s="915"/>
      <c r="L16" s="915"/>
      <c r="M16" s="915"/>
      <c r="N16" s="915"/>
      <c r="O16" s="915"/>
      <c r="P16" s="915"/>
      <c r="Q16" s="43"/>
    </row>
    <row r="17" spans="1:19" ht="11.15" customHeight="1">
      <c r="B17" s="512"/>
      <c r="C17" s="512"/>
      <c r="D17" s="512"/>
      <c r="E17" s="512"/>
      <c r="F17" s="512"/>
      <c r="G17" s="512"/>
      <c r="H17" s="512"/>
      <c r="I17" s="512"/>
      <c r="J17" s="512"/>
      <c r="K17" s="512"/>
      <c r="L17" s="512"/>
      <c r="M17" s="512"/>
      <c r="N17" s="512"/>
      <c r="O17" s="512"/>
      <c r="P17" s="512"/>
    </row>
    <row r="18" spans="1:19" ht="24" customHeight="1">
      <c r="B18" s="916" t="s">
        <v>1806</v>
      </c>
      <c r="C18" s="916"/>
      <c r="D18" s="916"/>
      <c r="E18" s="916"/>
      <c r="F18" s="916"/>
      <c r="G18" s="916"/>
      <c r="H18" s="916"/>
      <c r="I18" s="916"/>
      <c r="J18" s="916"/>
      <c r="K18" s="916"/>
      <c r="L18" s="916"/>
      <c r="M18" s="916"/>
      <c r="N18" s="916"/>
      <c r="O18" s="916"/>
      <c r="P18" s="916"/>
      <c r="Q18" s="505"/>
      <c r="R18" s="499"/>
      <c r="S18" s="499"/>
    </row>
    <row r="19" spans="1:19" s="45" customFormat="1" ht="15" customHeight="1">
      <c r="B19" s="916"/>
      <c r="C19" s="916"/>
      <c r="D19" s="916"/>
      <c r="E19" s="916"/>
      <c r="F19" s="916"/>
      <c r="G19" s="916"/>
      <c r="H19" s="916"/>
      <c r="I19" s="916"/>
      <c r="J19" s="916"/>
      <c r="K19" s="916"/>
      <c r="L19" s="916"/>
      <c r="M19" s="916"/>
      <c r="N19" s="916"/>
      <c r="O19" s="916"/>
      <c r="P19" s="916"/>
      <c r="Q19" s="506"/>
      <c r="R19" s="500"/>
      <c r="S19" s="500"/>
    </row>
    <row r="20" spans="1:19" s="45" customFormat="1" ht="16" customHeight="1" thickBot="1">
      <c r="A20" s="502"/>
      <c r="B20" s="917"/>
      <c r="C20" s="917"/>
      <c r="D20" s="917"/>
      <c r="E20" s="917"/>
      <c r="F20" s="917"/>
      <c r="G20" s="917"/>
      <c r="H20" s="917"/>
      <c r="I20" s="917"/>
      <c r="J20" s="917"/>
      <c r="K20" s="917"/>
      <c r="L20" s="917"/>
      <c r="M20" s="917"/>
      <c r="N20" s="917"/>
      <c r="O20" s="917"/>
      <c r="P20" s="917"/>
      <c r="Q20" s="502"/>
      <c r="R20" s="501"/>
      <c r="S20" s="501"/>
    </row>
    <row r="21" spans="1:19" s="45" customFormat="1" ht="25" customHeight="1">
      <c r="A21" s="62"/>
      <c r="B21" s="939" t="s">
        <v>3</v>
      </c>
      <c r="C21" s="939"/>
      <c r="D21" s="936" t="s">
        <v>4</v>
      </c>
      <c r="E21" s="936"/>
      <c r="F21" s="936"/>
      <c r="G21" s="936"/>
      <c r="H21" s="936"/>
      <c r="I21" s="936"/>
      <c r="J21" s="936"/>
      <c r="K21" s="936"/>
      <c r="L21" s="936"/>
      <c r="M21" s="936"/>
      <c r="N21" s="936"/>
      <c r="O21" s="936"/>
      <c r="P21" s="936"/>
      <c r="Q21" s="507"/>
      <c r="R21" s="503"/>
      <c r="S21" s="503"/>
    </row>
    <row r="22" spans="1:19" s="45" customFormat="1" ht="25" customHeight="1" thickBot="1">
      <c r="A22" s="62"/>
      <c r="B22" s="940"/>
      <c r="C22" s="940"/>
      <c r="D22" s="937"/>
      <c r="E22" s="937"/>
      <c r="F22" s="937"/>
      <c r="G22" s="937"/>
      <c r="H22" s="937"/>
      <c r="I22" s="937"/>
      <c r="J22" s="937"/>
      <c r="K22" s="937"/>
      <c r="L22" s="937"/>
      <c r="M22" s="937"/>
      <c r="N22" s="937"/>
      <c r="O22" s="937"/>
      <c r="P22" s="937"/>
      <c r="Q22" s="508"/>
      <c r="R22" s="504"/>
      <c r="S22" s="504"/>
    </row>
    <row r="23" spans="1:19" s="45" customFormat="1" ht="25" customHeight="1">
      <c r="A23" s="62"/>
      <c r="B23" s="939" t="s">
        <v>2496</v>
      </c>
      <c r="C23" s="939"/>
      <c r="D23" s="936" t="s">
        <v>2497</v>
      </c>
      <c r="E23" s="936"/>
      <c r="F23" s="936"/>
      <c r="G23" s="936"/>
      <c r="H23" s="936"/>
      <c r="I23" s="936"/>
      <c r="J23" s="936"/>
      <c r="K23" s="936"/>
      <c r="L23" s="936"/>
      <c r="M23" s="936"/>
      <c r="N23" s="936"/>
      <c r="O23" s="936"/>
      <c r="P23" s="936"/>
      <c r="Q23" s="893"/>
      <c r="R23" s="894"/>
      <c r="S23" s="894"/>
    </row>
    <row r="24" spans="1:19" s="45" customFormat="1" ht="25" customHeight="1">
      <c r="A24" s="62"/>
      <c r="B24" s="941"/>
      <c r="C24" s="941"/>
      <c r="D24" s="938"/>
      <c r="E24" s="938"/>
      <c r="F24" s="938"/>
      <c r="G24" s="938"/>
      <c r="H24" s="938"/>
      <c r="I24" s="938"/>
      <c r="J24" s="938"/>
      <c r="K24" s="938"/>
      <c r="L24" s="938"/>
      <c r="M24" s="938"/>
      <c r="N24" s="938"/>
      <c r="O24" s="938"/>
      <c r="P24" s="938"/>
      <c r="Q24" s="893"/>
      <c r="R24" s="894"/>
      <c r="S24" s="894"/>
    </row>
    <row r="25" spans="1:19" s="45" customFormat="1" ht="16" thickBot="1">
      <c r="A25" s="82"/>
      <c r="B25" s="83"/>
      <c r="C25" s="83"/>
      <c r="D25" s="83"/>
      <c r="E25" s="83"/>
      <c r="F25" s="83"/>
      <c r="G25" s="83"/>
      <c r="H25" s="83"/>
      <c r="I25" s="83"/>
      <c r="J25" s="83"/>
      <c r="K25" s="83"/>
      <c r="L25" s="83"/>
      <c r="M25" s="83"/>
      <c r="N25" s="83"/>
      <c r="O25" s="83"/>
      <c r="P25" s="83"/>
      <c r="Q25" s="43"/>
      <c r="R25" s="43"/>
      <c r="S25" s="43"/>
    </row>
    <row r="26" spans="1:19" s="45" customFormat="1" ht="19" thickBot="1">
      <c r="A26" s="198"/>
      <c r="B26" s="933" t="s">
        <v>6</v>
      </c>
      <c r="C26" s="934"/>
      <c r="D26" s="934"/>
      <c r="E26" s="934"/>
      <c r="F26" s="934"/>
      <c r="G26" s="934"/>
      <c r="H26" s="934"/>
      <c r="I26" s="934"/>
      <c r="J26" s="934"/>
      <c r="K26" s="934"/>
      <c r="L26" s="934"/>
      <c r="M26" s="934"/>
      <c r="N26" s="934"/>
      <c r="O26" s="934"/>
      <c r="P26" s="935"/>
      <c r="Q26" s="62"/>
    </row>
    <row r="27" spans="1:19" s="45" customFormat="1">
      <c r="A27" s="197"/>
      <c r="B27" s="923" t="s">
        <v>7</v>
      </c>
      <c r="C27" s="925" t="s">
        <v>8</v>
      </c>
      <c r="D27" s="925"/>
      <c r="E27" s="925"/>
      <c r="F27" s="925"/>
      <c r="G27" s="925"/>
      <c r="H27" s="925"/>
      <c r="I27" s="925"/>
      <c r="J27" s="925"/>
      <c r="K27" s="925"/>
      <c r="L27" s="925"/>
      <c r="M27" s="925"/>
      <c r="N27" s="925"/>
      <c r="O27" s="925"/>
      <c r="P27" s="925"/>
      <c r="Q27" s="62"/>
    </row>
    <row r="28" spans="1:19" s="45" customFormat="1" ht="15" customHeight="1">
      <c r="A28" s="197"/>
      <c r="B28" s="930"/>
      <c r="C28" s="929"/>
      <c r="D28" s="929"/>
      <c r="E28" s="929"/>
      <c r="F28" s="929"/>
      <c r="G28" s="929"/>
      <c r="H28" s="929"/>
      <c r="I28" s="929"/>
      <c r="J28" s="929"/>
      <c r="K28" s="929"/>
      <c r="L28" s="929"/>
      <c r="M28" s="929"/>
      <c r="N28" s="929"/>
      <c r="O28" s="929"/>
      <c r="P28" s="929"/>
      <c r="Q28" s="62"/>
    </row>
    <row r="29" spans="1:19" s="45" customFormat="1" ht="15" customHeight="1" thickBot="1">
      <c r="A29" s="197"/>
      <c r="B29" s="924"/>
      <c r="C29" s="929"/>
      <c r="D29" s="929"/>
      <c r="E29" s="929"/>
      <c r="F29" s="929"/>
      <c r="G29" s="929"/>
      <c r="H29" s="929"/>
      <c r="I29" s="929"/>
      <c r="J29" s="929"/>
      <c r="K29" s="929"/>
      <c r="L29" s="929"/>
      <c r="M29" s="929"/>
      <c r="N29" s="929"/>
      <c r="O29" s="929"/>
      <c r="P29" s="929"/>
      <c r="Q29" s="62"/>
    </row>
    <row r="30" spans="1:19" s="45" customFormat="1" ht="16" customHeight="1">
      <c r="A30" s="197"/>
      <c r="B30" s="923" t="s">
        <v>9</v>
      </c>
      <c r="C30" s="925" t="s">
        <v>1808</v>
      </c>
      <c r="D30" s="925"/>
      <c r="E30" s="925"/>
      <c r="F30" s="925"/>
      <c r="G30" s="925"/>
      <c r="H30" s="925"/>
      <c r="I30" s="925"/>
      <c r="J30" s="925"/>
      <c r="K30" s="925"/>
      <c r="L30" s="925"/>
      <c r="M30" s="925"/>
      <c r="N30" s="925"/>
      <c r="O30" s="925"/>
      <c r="P30" s="925"/>
      <c r="Q30" s="62"/>
    </row>
    <row r="31" spans="1:19" s="45" customFormat="1">
      <c r="A31" s="197"/>
      <c r="B31" s="930"/>
      <c r="C31" s="929"/>
      <c r="D31" s="929"/>
      <c r="E31" s="929"/>
      <c r="F31" s="929"/>
      <c r="G31" s="929"/>
      <c r="H31" s="929"/>
      <c r="I31" s="929"/>
      <c r="J31" s="929"/>
      <c r="K31" s="929"/>
      <c r="L31" s="929"/>
      <c r="M31" s="929"/>
      <c r="N31" s="929"/>
      <c r="O31" s="929"/>
      <c r="P31" s="929"/>
      <c r="Q31" s="62"/>
    </row>
    <row r="32" spans="1:19" s="45" customFormat="1" ht="15" thickBot="1">
      <c r="A32" s="197"/>
      <c r="B32" s="924"/>
      <c r="C32" s="929"/>
      <c r="D32" s="929"/>
      <c r="E32" s="929"/>
      <c r="F32" s="929"/>
      <c r="G32" s="929"/>
      <c r="H32" s="929"/>
      <c r="I32" s="929"/>
      <c r="J32" s="929"/>
      <c r="K32" s="929"/>
      <c r="L32" s="929"/>
      <c r="M32" s="929"/>
      <c r="N32" s="929"/>
      <c r="O32" s="929"/>
      <c r="P32" s="929"/>
      <c r="Q32" s="62"/>
    </row>
    <row r="33" spans="1:17" s="45" customFormat="1">
      <c r="A33" s="197"/>
      <c r="B33" s="923" t="s">
        <v>10</v>
      </c>
      <c r="C33" s="925" t="s">
        <v>11</v>
      </c>
      <c r="D33" s="925"/>
      <c r="E33" s="925"/>
      <c r="F33" s="925"/>
      <c r="G33" s="925"/>
      <c r="H33" s="925"/>
      <c r="I33" s="925"/>
      <c r="J33" s="925"/>
      <c r="K33" s="925"/>
      <c r="L33" s="925"/>
      <c r="M33" s="925"/>
      <c r="N33" s="925"/>
      <c r="O33" s="925"/>
      <c r="P33" s="925"/>
      <c r="Q33" s="62"/>
    </row>
    <row r="34" spans="1:17" s="45" customFormat="1">
      <c r="A34" s="197"/>
      <c r="B34" s="930"/>
      <c r="C34" s="929"/>
      <c r="D34" s="929"/>
      <c r="E34" s="929"/>
      <c r="F34" s="929"/>
      <c r="G34" s="929"/>
      <c r="H34" s="929"/>
      <c r="I34" s="929"/>
      <c r="J34" s="929"/>
      <c r="K34" s="929"/>
      <c r="L34" s="929"/>
      <c r="M34" s="929"/>
      <c r="N34" s="929"/>
      <c r="O34" s="929"/>
      <c r="P34" s="929"/>
      <c r="Q34" s="62"/>
    </row>
    <row r="35" spans="1:17" s="45" customFormat="1">
      <c r="A35" s="197"/>
      <c r="B35" s="930"/>
      <c r="C35" s="929"/>
      <c r="D35" s="929"/>
      <c r="E35" s="929"/>
      <c r="F35" s="929"/>
      <c r="G35" s="929"/>
      <c r="H35" s="929"/>
      <c r="I35" s="929"/>
      <c r="J35" s="929"/>
      <c r="K35" s="929"/>
      <c r="L35" s="929"/>
      <c r="M35" s="929"/>
      <c r="N35" s="929"/>
      <c r="O35" s="929"/>
      <c r="P35" s="929"/>
      <c r="Q35" s="62"/>
    </row>
    <row r="36" spans="1:17" s="45" customFormat="1" ht="9" customHeight="1" thickBot="1">
      <c r="A36" s="197"/>
      <c r="B36" s="924"/>
      <c r="C36" s="926"/>
      <c r="D36" s="926"/>
      <c r="E36" s="926"/>
      <c r="F36" s="926"/>
      <c r="G36" s="926"/>
      <c r="H36" s="926"/>
      <c r="I36" s="926"/>
      <c r="J36" s="926"/>
      <c r="K36" s="926"/>
      <c r="L36" s="926"/>
      <c r="M36" s="926"/>
      <c r="N36" s="926"/>
      <c r="O36" s="926"/>
      <c r="P36" s="926"/>
      <c r="Q36" s="62"/>
    </row>
    <row r="37" spans="1:17" s="45" customFormat="1">
      <c r="A37" s="197"/>
      <c r="B37" s="923" t="s">
        <v>12</v>
      </c>
      <c r="C37" s="925" t="s">
        <v>13</v>
      </c>
      <c r="D37" s="925"/>
      <c r="E37" s="925"/>
      <c r="F37" s="925"/>
      <c r="G37" s="925"/>
      <c r="H37" s="925"/>
      <c r="I37" s="925"/>
      <c r="J37" s="925"/>
      <c r="K37" s="925"/>
      <c r="L37" s="925"/>
      <c r="M37" s="925"/>
      <c r="N37" s="925"/>
      <c r="O37" s="925"/>
      <c r="P37" s="925"/>
      <c r="Q37" s="62"/>
    </row>
    <row r="38" spans="1:17" s="45" customFormat="1">
      <c r="A38" s="197"/>
      <c r="B38" s="930"/>
      <c r="C38" s="929"/>
      <c r="D38" s="929"/>
      <c r="E38" s="929"/>
      <c r="F38" s="929"/>
      <c r="G38" s="929"/>
      <c r="H38" s="929"/>
      <c r="I38" s="929"/>
      <c r="J38" s="929"/>
      <c r="K38" s="929"/>
      <c r="L38" s="929"/>
      <c r="M38" s="929"/>
      <c r="N38" s="929"/>
      <c r="O38" s="929"/>
      <c r="P38" s="929"/>
      <c r="Q38" s="62"/>
    </row>
    <row r="39" spans="1:17" s="45" customFormat="1" ht="15" thickBot="1">
      <c r="A39" s="197"/>
      <c r="B39" s="924"/>
      <c r="C39" s="926"/>
      <c r="D39" s="926"/>
      <c r="E39" s="926"/>
      <c r="F39" s="926"/>
      <c r="G39" s="926"/>
      <c r="H39" s="926"/>
      <c r="I39" s="926"/>
      <c r="J39" s="926"/>
      <c r="K39" s="926"/>
      <c r="L39" s="926"/>
      <c r="M39" s="926"/>
      <c r="N39" s="926"/>
      <c r="O39" s="926"/>
      <c r="P39" s="926"/>
      <c r="Q39" s="62"/>
    </row>
    <row r="40" spans="1:17" s="45" customFormat="1">
      <c r="A40" s="197"/>
      <c r="B40" s="923" t="s">
        <v>14</v>
      </c>
      <c r="C40" s="925" t="s">
        <v>15</v>
      </c>
      <c r="D40" s="925"/>
      <c r="E40" s="925"/>
      <c r="F40" s="925"/>
      <c r="G40" s="925"/>
      <c r="H40" s="925"/>
      <c r="I40" s="925"/>
      <c r="J40" s="925"/>
      <c r="K40" s="925"/>
      <c r="L40" s="925"/>
      <c r="M40" s="925"/>
      <c r="N40" s="925"/>
      <c r="O40" s="925"/>
      <c r="P40" s="925"/>
      <c r="Q40" s="62"/>
    </row>
    <row r="41" spans="1:17" s="45" customFormat="1">
      <c r="A41" s="197"/>
      <c r="B41" s="930"/>
      <c r="C41" s="929"/>
      <c r="D41" s="929"/>
      <c r="E41" s="929"/>
      <c r="F41" s="929"/>
      <c r="G41" s="929"/>
      <c r="H41" s="929"/>
      <c r="I41" s="929"/>
      <c r="J41" s="929"/>
      <c r="K41" s="929"/>
      <c r="L41" s="929"/>
      <c r="M41" s="929"/>
      <c r="N41" s="929"/>
      <c r="O41" s="929"/>
      <c r="P41" s="929"/>
      <c r="Q41" s="62"/>
    </row>
    <row r="42" spans="1:17" s="45" customFormat="1" ht="15" thickBot="1">
      <c r="A42" s="197"/>
      <c r="B42" s="924"/>
      <c r="C42" s="926"/>
      <c r="D42" s="926"/>
      <c r="E42" s="926"/>
      <c r="F42" s="926"/>
      <c r="G42" s="926"/>
      <c r="H42" s="926"/>
      <c r="I42" s="926"/>
      <c r="J42" s="926"/>
      <c r="K42" s="926"/>
      <c r="L42" s="926"/>
      <c r="M42" s="926"/>
      <c r="N42" s="926"/>
      <c r="O42" s="926"/>
      <c r="P42" s="926"/>
      <c r="Q42" s="62"/>
    </row>
    <row r="43" spans="1:17" s="45" customFormat="1">
      <c r="A43" s="197"/>
      <c r="B43" s="923" t="s">
        <v>16</v>
      </c>
      <c r="C43" s="925" t="s">
        <v>17</v>
      </c>
      <c r="D43" s="925"/>
      <c r="E43" s="925"/>
      <c r="F43" s="925"/>
      <c r="G43" s="925"/>
      <c r="H43" s="925"/>
      <c r="I43" s="925"/>
      <c r="J43" s="925"/>
      <c r="K43" s="925"/>
      <c r="L43" s="925"/>
      <c r="M43" s="925"/>
      <c r="N43" s="925"/>
      <c r="O43" s="925"/>
      <c r="P43" s="925"/>
      <c r="Q43" s="62"/>
    </row>
    <row r="44" spans="1:17" s="45" customFormat="1">
      <c r="A44" s="197"/>
      <c r="B44" s="930"/>
      <c r="C44" s="929"/>
      <c r="D44" s="929"/>
      <c r="E44" s="929"/>
      <c r="F44" s="929"/>
      <c r="G44" s="929"/>
      <c r="H44" s="929"/>
      <c r="I44" s="929"/>
      <c r="J44" s="929"/>
      <c r="K44" s="929"/>
      <c r="L44" s="929"/>
      <c r="M44" s="929"/>
      <c r="N44" s="929"/>
      <c r="O44" s="929"/>
      <c r="P44" s="929"/>
      <c r="Q44" s="62"/>
    </row>
    <row r="45" spans="1:17" s="45" customFormat="1" ht="15" thickBot="1">
      <c r="A45" s="197"/>
      <c r="B45" s="930"/>
      <c r="C45" s="929"/>
      <c r="D45" s="929"/>
      <c r="E45" s="929"/>
      <c r="F45" s="929"/>
      <c r="G45" s="929"/>
      <c r="H45" s="929"/>
      <c r="I45" s="929"/>
      <c r="J45" s="929"/>
      <c r="K45" s="929"/>
      <c r="L45" s="929"/>
      <c r="M45" s="929"/>
      <c r="N45" s="929"/>
      <c r="O45" s="929"/>
      <c r="P45" s="929"/>
      <c r="Q45" s="62"/>
    </row>
    <row r="46" spans="1:17" s="45" customFormat="1">
      <c r="A46" s="197"/>
      <c r="B46" s="923" t="s">
        <v>18</v>
      </c>
      <c r="C46" s="925" t="s">
        <v>2592</v>
      </c>
      <c r="D46" s="925"/>
      <c r="E46" s="925"/>
      <c r="F46" s="925"/>
      <c r="G46" s="925"/>
      <c r="H46" s="925"/>
      <c r="I46" s="925"/>
      <c r="J46" s="925"/>
      <c r="K46" s="925"/>
      <c r="L46" s="925"/>
      <c r="M46" s="925"/>
      <c r="N46" s="925"/>
      <c r="O46" s="925"/>
      <c r="P46" s="925"/>
      <c r="Q46" s="62"/>
    </row>
    <row r="47" spans="1:17" s="45" customFormat="1" ht="21" customHeight="1">
      <c r="A47" s="197"/>
      <c r="B47" s="930"/>
      <c r="C47" s="929"/>
      <c r="D47" s="929"/>
      <c r="E47" s="929"/>
      <c r="F47" s="929"/>
      <c r="G47" s="929"/>
      <c r="H47" s="929"/>
      <c r="I47" s="929"/>
      <c r="J47" s="929"/>
      <c r="K47" s="929"/>
      <c r="L47" s="929"/>
      <c r="M47" s="929"/>
      <c r="N47" s="929"/>
      <c r="O47" s="929"/>
      <c r="P47" s="929"/>
      <c r="Q47" s="62"/>
    </row>
    <row r="48" spans="1:17" s="45" customFormat="1" ht="26.15" customHeight="1" thickBot="1">
      <c r="A48" s="197"/>
      <c r="B48" s="930"/>
      <c r="C48" s="929"/>
      <c r="D48" s="929"/>
      <c r="E48" s="929"/>
      <c r="F48" s="929"/>
      <c r="G48" s="929"/>
      <c r="H48" s="929"/>
      <c r="I48" s="929"/>
      <c r="J48" s="929"/>
      <c r="K48" s="929"/>
      <c r="L48" s="929"/>
      <c r="M48" s="929"/>
      <c r="N48" s="929"/>
      <c r="O48" s="929"/>
      <c r="P48" s="929"/>
      <c r="Q48" s="62"/>
    </row>
    <row r="49" spans="1:19" customFormat="1" ht="17.149999999999999" customHeight="1">
      <c r="A49" s="197"/>
      <c r="B49" s="923" t="s">
        <v>19</v>
      </c>
      <c r="C49" s="925" t="s">
        <v>20</v>
      </c>
      <c r="D49" s="925"/>
      <c r="E49" s="925"/>
      <c r="F49" s="925"/>
      <c r="G49" s="925"/>
      <c r="H49" s="925"/>
      <c r="I49" s="925"/>
      <c r="J49" s="925"/>
      <c r="K49" s="925"/>
      <c r="L49" s="925"/>
      <c r="M49" s="925"/>
      <c r="N49" s="925"/>
      <c r="O49" s="925"/>
      <c r="P49" s="925"/>
      <c r="Q49" s="62"/>
      <c r="R49" s="45"/>
      <c r="S49" s="45"/>
    </row>
    <row r="50" spans="1:19" customFormat="1" ht="17.149999999999999" customHeight="1" thickBot="1">
      <c r="A50" s="197"/>
      <c r="B50" s="924"/>
      <c r="C50" s="926"/>
      <c r="D50" s="926"/>
      <c r="E50" s="926"/>
      <c r="F50" s="926"/>
      <c r="G50" s="926"/>
      <c r="H50" s="926"/>
      <c r="I50" s="926"/>
      <c r="J50" s="926"/>
      <c r="K50" s="926"/>
      <c r="L50" s="926"/>
      <c r="M50" s="926"/>
      <c r="N50" s="926"/>
      <c r="O50" s="926"/>
      <c r="P50" s="926"/>
      <c r="Q50" s="62"/>
      <c r="R50" s="45"/>
      <c r="S50" s="45"/>
    </row>
    <row r="51" spans="1:19" customFormat="1" ht="17.149999999999999" customHeight="1">
      <c r="A51" s="197"/>
      <c r="B51" s="923" t="s">
        <v>21</v>
      </c>
      <c r="C51" s="929" t="s">
        <v>2590</v>
      </c>
      <c r="D51" s="929"/>
      <c r="E51" s="929"/>
      <c r="F51" s="929"/>
      <c r="G51" s="929"/>
      <c r="H51" s="929"/>
      <c r="I51" s="929"/>
      <c r="J51" s="929"/>
      <c r="K51" s="929"/>
      <c r="L51" s="929"/>
      <c r="M51" s="929"/>
      <c r="N51" s="929"/>
      <c r="O51" s="929"/>
      <c r="P51" s="929"/>
      <c r="Q51" s="62"/>
      <c r="R51" s="45"/>
      <c r="S51" s="45"/>
    </row>
    <row r="52" spans="1:19" customFormat="1" ht="17.149999999999999" customHeight="1">
      <c r="A52" s="197"/>
      <c r="B52" s="930"/>
      <c r="C52" s="929"/>
      <c r="D52" s="929"/>
      <c r="E52" s="929"/>
      <c r="F52" s="929"/>
      <c r="G52" s="929"/>
      <c r="H52" s="929"/>
      <c r="I52" s="929"/>
      <c r="J52" s="929"/>
      <c r="K52" s="929"/>
      <c r="L52" s="929"/>
      <c r="M52" s="929"/>
      <c r="N52" s="929"/>
      <c r="O52" s="929"/>
      <c r="P52" s="929"/>
      <c r="Q52" s="62"/>
      <c r="R52" s="45"/>
      <c r="S52" s="45"/>
    </row>
    <row r="53" spans="1:19" customFormat="1" ht="17.149999999999999" customHeight="1">
      <c r="A53" s="197"/>
      <c r="B53" s="931" t="s">
        <v>2582</v>
      </c>
      <c r="C53" s="932" t="s">
        <v>2591</v>
      </c>
      <c r="D53" s="932"/>
      <c r="E53" s="932"/>
      <c r="F53" s="932"/>
      <c r="G53" s="932"/>
      <c r="H53" s="932"/>
      <c r="I53" s="932"/>
      <c r="J53" s="932"/>
      <c r="K53" s="932"/>
      <c r="L53" s="932"/>
      <c r="M53" s="932"/>
      <c r="N53" s="932"/>
      <c r="O53" s="932"/>
      <c r="P53" s="932"/>
      <c r="Q53" s="62"/>
      <c r="R53" s="45"/>
      <c r="S53" s="45"/>
    </row>
    <row r="54" spans="1:19" customFormat="1" ht="17.149999999999999" customHeight="1">
      <c r="A54" s="197"/>
      <c r="B54" s="931"/>
      <c r="C54" s="932"/>
      <c r="D54" s="932"/>
      <c r="E54" s="932"/>
      <c r="F54" s="932"/>
      <c r="G54" s="932"/>
      <c r="H54" s="932"/>
      <c r="I54" s="932"/>
      <c r="J54" s="932"/>
      <c r="K54" s="932"/>
      <c r="L54" s="932"/>
      <c r="M54" s="932"/>
      <c r="N54" s="932"/>
      <c r="O54" s="932"/>
      <c r="P54" s="932"/>
      <c r="Q54" s="62"/>
      <c r="R54" s="45"/>
      <c r="S54" s="45"/>
    </row>
    <row r="55" spans="1:19" customFormat="1" ht="17.149999999999999" customHeight="1">
      <c r="A55" s="197"/>
      <c r="B55" s="927" t="s">
        <v>5</v>
      </c>
      <c r="C55" s="929" t="s">
        <v>22</v>
      </c>
      <c r="D55" s="929"/>
      <c r="E55" s="929"/>
      <c r="F55" s="929"/>
      <c r="G55" s="929"/>
      <c r="H55" s="929"/>
      <c r="I55" s="929"/>
      <c r="J55" s="929"/>
      <c r="K55" s="929"/>
      <c r="L55" s="929"/>
      <c r="M55" s="929"/>
      <c r="N55" s="929"/>
      <c r="O55" s="929"/>
      <c r="P55" s="929"/>
      <c r="Q55" s="62"/>
      <c r="R55" s="45"/>
      <c r="S55" s="45"/>
    </row>
    <row r="56" spans="1:19" customFormat="1" ht="17.149999999999999" customHeight="1" thickBot="1">
      <c r="A56" s="197"/>
      <c r="B56" s="928"/>
      <c r="C56" s="926"/>
      <c r="D56" s="926"/>
      <c r="E56" s="926"/>
      <c r="F56" s="926"/>
      <c r="G56" s="926"/>
      <c r="H56" s="926"/>
      <c r="I56" s="926"/>
      <c r="J56" s="926"/>
      <c r="K56" s="926"/>
      <c r="L56" s="926"/>
      <c r="M56" s="926"/>
      <c r="N56" s="926"/>
      <c r="O56" s="926"/>
      <c r="P56" s="926"/>
      <c r="Q56" s="62"/>
      <c r="R56" s="45"/>
      <c r="S56" s="45"/>
    </row>
    <row r="57" spans="1:19" ht="15" thickBot="1">
      <c r="B57" s="199"/>
      <c r="C57" s="199"/>
      <c r="D57" s="199"/>
      <c r="E57" s="199"/>
      <c r="F57" s="199"/>
      <c r="G57" s="199"/>
      <c r="H57" s="199"/>
      <c r="I57" s="199"/>
      <c r="J57" s="199"/>
      <c r="K57" s="199"/>
      <c r="L57" s="199"/>
      <c r="M57" s="199"/>
      <c r="N57" s="199"/>
      <c r="O57" s="199"/>
      <c r="P57" s="199"/>
    </row>
    <row r="58" spans="1:19" ht="15" thickBot="1">
      <c r="B58" s="922" t="s">
        <v>2578</v>
      </c>
      <c r="C58" s="922"/>
      <c r="D58" s="922"/>
      <c r="E58" s="922"/>
      <c r="F58" s="922"/>
      <c r="G58" s="922"/>
      <c r="H58" s="922"/>
      <c r="I58" s="922"/>
      <c r="J58" s="922"/>
      <c r="K58" s="922"/>
      <c r="L58" s="922"/>
      <c r="M58" s="922"/>
      <c r="N58" s="922"/>
      <c r="O58" s="922"/>
      <c r="P58" s="922"/>
      <c r="R58"/>
      <c r="S58"/>
    </row>
    <row r="59" spans="1:19">
      <c r="B59" s="921" t="s">
        <v>2589</v>
      </c>
      <c r="C59" s="921"/>
      <c r="D59" s="921"/>
      <c r="E59" s="921"/>
      <c r="F59" s="921"/>
      <c r="G59" s="921"/>
      <c r="H59" s="921"/>
      <c r="I59" s="921"/>
      <c r="J59" s="921"/>
      <c r="K59" s="921"/>
      <c r="L59" s="921"/>
      <c r="M59" s="921"/>
      <c r="N59" s="921"/>
      <c r="O59" s="921"/>
      <c r="P59" s="921"/>
      <c r="R59"/>
      <c r="S59"/>
    </row>
    <row r="60" spans="1:19">
      <c r="B60" s="915"/>
      <c r="C60" s="915"/>
      <c r="D60" s="915"/>
      <c r="E60" s="915"/>
      <c r="F60" s="915"/>
      <c r="G60" s="915"/>
      <c r="H60" s="915"/>
      <c r="I60" s="915"/>
      <c r="J60" s="915"/>
      <c r="K60" s="915"/>
      <c r="L60" s="915"/>
      <c r="M60" s="915"/>
      <c r="N60" s="915"/>
      <c r="O60" s="915"/>
      <c r="P60" s="915"/>
      <c r="R60"/>
      <c r="S60"/>
    </row>
    <row r="61" spans="1:19" hidden="1">
      <c r="B61" s="915"/>
      <c r="C61" s="915"/>
      <c r="D61" s="915"/>
      <c r="E61" s="915"/>
      <c r="F61" s="915"/>
      <c r="G61" s="915"/>
      <c r="H61" s="915"/>
      <c r="I61" s="915"/>
      <c r="J61" s="915"/>
      <c r="K61" s="915"/>
      <c r="L61" s="915"/>
      <c r="M61" s="915"/>
      <c r="N61" s="915"/>
      <c r="O61" s="915"/>
      <c r="P61" s="915"/>
      <c r="R61"/>
      <c r="S61"/>
    </row>
    <row r="62" spans="1:19">
      <c r="B62" s="915"/>
      <c r="C62" s="915"/>
      <c r="D62" s="915"/>
      <c r="E62" s="915"/>
      <c r="F62" s="915"/>
      <c r="G62" s="915"/>
      <c r="H62" s="915"/>
      <c r="I62" s="915"/>
      <c r="J62" s="915"/>
      <c r="K62" s="915"/>
      <c r="L62" s="915"/>
      <c r="M62" s="915"/>
      <c r="N62" s="915"/>
      <c r="O62" s="915"/>
      <c r="P62" s="915"/>
      <c r="R62"/>
      <c r="S62"/>
    </row>
    <row r="63" spans="1:19" hidden="1">
      <c r="B63" s="915"/>
      <c r="C63" s="915"/>
      <c r="D63" s="915"/>
      <c r="E63" s="915"/>
      <c r="F63" s="915"/>
      <c r="G63" s="915"/>
      <c r="H63" s="915"/>
      <c r="I63" s="915"/>
      <c r="J63" s="915"/>
      <c r="K63" s="915"/>
      <c r="L63" s="915"/>
      <c r="M63" s="915"/>
      <c r="N63" s="915"/>
      <c r="O63" s="915"/>
      <c r="P63" s="915"/>
      <c r="R63"/>
      <c r="S63"/>
    </row>
    <row r="64" spans="1:19" hidden="1">
      <c r="A64"/>
      <c r="B64" s="915"/>
      <c r="C64" s="915"/>
      <c r="D64" s="915"/>
      <c r="E64" s="915"/>
      <c r="F64" s="915"/>
      <c r="G64" s="915"/>
      <c r="H64" s="915"/>
      <c r="I64" s="915"/>
      <c r="J64" s="915"/>
      <c r="K64" s="915"/>
      <c r="L64" s="915"/>
      <c r="M64" s="915"/>
      <c r="N64" s="915"/>
      <c r="O64" s="915"/>
      <c r="P64" s="915"/>
      <c r="R64"/>
      <c r="S64"/>
    </row>
    <row r="65" spans="2:16">
      <c r="B65" s="915"/>
      <c r="C65" s="915"/>
      <c r="D65" s="915"/>
      <c r="E65" s="915"/>
      <c r="F65" s="915"/>
      <c r="G65" s="915"/>
      <c r="H65" s="915"/>
      <c r="I65" s="915"/>
      <c r="J65" s="915"/>
      <c r="K65" s="915"/>
      <c r="L65" s="915"/>
      <c r="M65" s="915"/>
      <c r="N65" s="915"/>
      <c r="O65" s="915"/>
      <c r="P65" s="915"/>
    </row>
    <row r="66" spans="2:16"/>
    <row r="67" spans="2:16"/>
    <row r="68" spans="2:16"/>
    <row r="69" spans="2:16"/>
    <row r="70" spans="2:16"/>
    <row r="71" spans="2:16"/>
    <row r="72" spans="2:16"/>
    <row r="73" spans="2:16"/>
    <row r="74" spans="2:16"/>
    <row r="75" spans="2:16"/>
    <row r="76" spans="2:16"/>
    <row r="77" spans="2:16"/>
    <row r="78" spans="2:16"/>
    <row r="79" spans="2:16"/>
    <row r="80" spans="2:16"/>
    <row r="81"/>
    <row r="82"/>
    <row r="83"/>
    <row r="84"/>
    <row r="85"/>
    <row r="86"/>
    <row r="87"/>
    <row r="88"/>
    <row r="89"/>
    <row r="90"/>
    <row r="91"/>
    <row r="92"/>
    <row r="93"/>
    <row r="94"/>
  </sheetData>
  <sheetProtection selectLockedCells="1"/>
  <mergeCells count="38">
    <mergeCell ref="B26:P26"/>
    <mergeCell ref="B27:B29"/>
    <mergeCell ref="C27:P29"/>
    <mergeCell ref="D21:P22"/>
    <mergeCell ref="D23:P24"/>
    <mergeCell ref="B21:C22"/>
    <mergeCell ref="B23:C24"/>
    <mergeCell ref="B30:B32"/>
    <mergeCell ref="C30:P32"/>
    <mergeCell ref="B33:B36"/>
    <mergeCell ref="C33:P36"/>
    <mergeCell ref="B37:B39"/>
    <mergeCell ref="C37:P39"/>
    <mergeCell ref="B40:B42"/>
    <mergeCell ref="C40:P42"/>
    <mergeCell ref="B43:B45"/>
    <mergeCell ref="C43:P45"/>
    <mergeCell ref="B46:B48"/>
    <mergeCell ref="C46:P48"/>
    <mergeCell ref="B59:P65"/>
    <mergeCell ref="B58:P58"/>
    <mergeCell ref="B49:B50"/>
    <mergeCell ref="C49:P50"/>
    <mergeCell ref="B55:B56"/>
    <mergeCell ref="C55:P56"/>
    <mergeCell ref="B51:B52"/>
    <mergeCell ref="C51:P52"/>
    <mergeCell ref="B53:B54"/>
    <mergeCell ref="C53:P54"/>
    <mergeCell ref="B8:P8"/>
    <mergeCell ref="B9:P11"/>
    <mergeCell ref="B13:P16"/>
    <mergeCell ref="B18:P20"/>
    <mergeCell ref="B2:J2"/>
    <mergeCell ref="B3:J3"/>
    <mergeCell ref="B4:J4"/>
    <mergeCell ref="B5:J5"/>
    <mergeCell ref="B6:J6"/>
  </mergeCells>
  <hyperlinks>
    <hyperlink ref="B27:B29" location="'Contact Information'!A1" display="Contact Info" xr:uid="{00000000-0004-0000-0200-000000000000}"/>
    <hyperlink ref="B30:B32" location="'Square Footage'!A1" display="Square Footage" xr:uid="{00000000-0004-0000-0200-000001000000}"/>
    <hyperlink ref="B33:B36" location="'Electricity Consumption'!A1" display="Electricity Consumption" xr:uid="{00000000-0004-0000-0200-000002000000}"/>
    <hyperlink ref="B40:B42" location="'Vehicle&amp;Other Fuel Consumption'!A1" display="Vehicle &amp; Other Fuel Consumption" xr:uid="{00000000-0004-0000-0200-000004000000}"/>
    <hyperlink ref="B43:B45" location="'Installed Clean Power'!A1" display="Installed Clean Power" xr:uid="{00000000-0004-0000-0200-000006000000}"/>
    <hyperlink ref="B49:B50" location="'EV Charging Stations'!A1" display="EV Charging Stations" xr:uid="{00000000-0004-0000-0200-000007000000}"/>
    <hyperlink ref="B46:B48" location="'Vehicle Fleet'!A1" display="Vehicle Fleet" xr:uid="{00000000-0004-0000-0200-00000C000000}"/>
    <hyperlink ref="B37:B39" location="'Building Fuel Consumption'!A1" display="Building Fuel Consumption" xr:uid="{00000000-0004-0000-0200-000003000000}"/>
    <hyperlink ref="B55" location="Recycling!A1" display="Recycling" xr:uid="{00000000-0004-0000-0200-000008000000}"/>
    <hyperlink ref="B55:B56" location="Sustainability!A1" display="Sustainability" xr:uid="{F18C06E5-DCF5-5F45-B4BF-B23070F3FC6A}"/>
    <hyperlink ref="B53:B54" location="'Decarb Projects'!A1" display="Decarb Projects" xr:uid="{7C098A71-F995-4EE4-8D9D-0802BD298139}"/>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A186"/>
  <sheetViews>
    <sheetView zoomScale="70" zoomScaleNormal="70" workbookViewId="0">
      <selection activeCell="AA168" sqref="AA168"/>
    </sheetView>
  </sheetViews>
  <sheetFormatPr defaultColWidth="8.81640625" defaultRowHeight="14.5"/>
  <cols>
    <col min="1" max="1" width="42.453125" customWidth="1"/>
    <col min="2" max="2" width="18.26953125" bestFit="1" customWidth="1"/>
    <col min="3" max="3" width="27.453125" customWidth="1"/>
    <col min="4" max="4" width="18.26953125" bestFit="1" customWidth="1"/>
    <col min="5" max="5" width="61.26953125" bestFit="1" customWidth="1"/>
    <col min="6" max="6" width="11.453125" style="13" customWidth="1"/>
    <col min="7" max="7" width="16.26953125" customWidth="1"/>
    <col min="8" max="8" width="12.453125" customWidth="1"/>
    <col min="9" max="9" width="5.453125" customWidth="1"/>
    <col min="10" max="10" width="6" customWidth="1"/>
    <col min="11" max="11" width="10.7265625" customWidth="1"/>
    <col min="12" max="12" width="10.7265625" style="14" customWidth="1"/>
    <col min="13" max="13" width="13" style="13" customWidth="1"/>
    <col min="14" max="14" width="11" customWidth="1"/>
    <col min="15" max="15" width="20.453125" customWidth="1"/>
    <col min="16" max="17" width="9.1796875" customWidth="1"/>
    <col min="18" max="18" width="10.453125" customWidth="1"/>
    <col min="19" max="19" width="13.81640625" customWidth="1"/>
    <col min="20" max="20" width="16.7265625" customWidth="1"/>
    <col min="21" max="21" width="9.1796875" style="171" customWidth="1"/>
    <col min="22" max="22" width="11.453125" customWidth="1"/>
    <col min="23" max="23" width="19.26953125" customWidth="1"/>
    <col min="24" max="24" width="12.26953125" customWidth="1"/>
    <col min="25" max="25" width="49.1796875" bestFit="1" customWidth="1"/>
  </cols>
  <sheetData>
    <row r="1" spans="1:27" ht="58">
      <c r="A1" s="258" t="str">
        <f t="shared" ref="A1" si="0">Y1&amp;Z1</f>
        <v>Agency#</v>
      </c>
      <c r="B1" s="258" t="s">
        <v>319</v>
      </c>
      <c r="C1" s="258" t="s">
        <v>444</v>
      </c>
      <c r="D1" s="10" t="s">
        <v>445</v>
      </c>
      <c r="E1" s="10" t="s">
        <v>446</v>
      </c>
      <c r="F1" s="11" t="s">
        <v>447</v>
      </c>
      <c r="G1" s="10" t="s">
        <v>448</v>
      </c>
      <c r="H1" s="10" t="s">
        <v>449</v>
      </c>
      <c r="I1" s="10" t="s">
        <v>450</v>
      </c>
      <c r="J1" s="10" t="s">
        <v>451</v>
      </c>
      <c r="K1" s="10" t="s">
        <v>452</v>
      </c>
      <c r="L1" s="12" t="s">
        <v>453</v>
      </c>
      <c r="M1" s="11" t="s">
        <v>447</v>
      </c>
      <c r="N1" s="258" t="s">
        <v>454</v>
      </c>
      <c r="O1" s="258" t="s">
        <v>455</v>
      </c>
      <c r="P1" s="258" t="s">
        <v>456</v>
      </c>
      <c r="Q1" s="259" t="s">
        <v>457</v>
      </c>
      <c r="R1" s="259" t="s">
        <v>458</v>
      </c>
      <c r="S1" s="259" t="s">
        <v>459</v>
      </c>
      <c r="T1" s="258" t="s">
        <v>460</v>
      </c>
      <c r="U1" s="170" t="s">
        <v>461</v>
      </c>
      <c r="V1" s="258" t="s">
        <v>462</v>
      </c>
      <c r="W1" s="258" t="s">
        <v>463</v>
      </c>
      <c r="X1" s="258" t="s">
        <v>464</v>
      </c>
      <c r="Y1" s="258" t="s">
        <v>433</v>
      </c>
      <c r="Z1" s="258" t="s">
        <v>434</v>
      </c>
    </row>
    <row r="2" spans="1:27">
      <c r="A2" s="17" t="str">
        <f t="shared" ref="A2:A33" si="1">Y2&amp;Z2</f>
        <v>Berkshire Comm. College1</v>
      </c>
      <c r="B2" s="260" t="s">
        <v>465</v>
      </c>
      <c r="C2" s="17" t="s">
        <v>293</v>
      </c>
      <c r="D2" s="20" t="s">
        <v>467</v>
      </c>
      <c r="E2" s="21" t="s">
        <v>468</v>
      </c>
      <c r="F2" s="630">
        <v>110.88</v>
      </c>
      <c r="G2" s="22" t="s">
        <v>469</v>
      </c>
      <c r="H2" s="22" t="s">
        <v>470</v>
      </c>
      <c r="I2" s="23" t="s">
        <v>471</v>
      </c>
      <c r="J2" s="24">
        <v>1201</v>
      </c>
      <c r="K2" s="25">
        <v>40751</v>
      </c>
      <c r="L2" s="28">
        <v>2011</v>
      </c>
      <c r="M2" s="631">
        <v>110.88</v>
      </c>
      <c r="N2" s="27" t="s">
        <v>472</v>
      </c>
      <c r="O2" s="17" t="s">
        <v>1212</v>
      </c>
      <c r="P2" s="17" t="s">
        <v>750</v>
      </c>
      <c r="Q2" s="17"/>
      <c r="R2" s="17"/>
      <c r="S2" s="17"/>
      <c r="T2" s="17" t="s">
        <v>473</v>
      </c>
      <c r="U2" s="638">
        <v>0.13350000000000001</v>
      </c>
      <c r="V2" s="635">
        <v>129669.7248</v>
      </c>
      <c r="W2" s="17"/>
      <c r="X2" s="17"/>
      <c r="Y2" s="21" t="s">
        <v>52</v>
      </c>
      <c r="Z2" s="17">
        <v>1</v>
      </c>
      <c r="AA2" t="str">
        <f>VLOOKUP(Y2,Source!F:F,1,FALSE)</f>
        <v>Berkshire Comm. College</v>
      </c>
    </row>
    <row r="3" spans="1:27">
      <c r="A3" s="17" t="str">
        <f t="shared" si="1"/>
        <v>Berkshire Comm. College2</v>
      </c>
      <c r="B3" s="260" t="s">
        <v>465</v>
      </c>
      <c r="C3" s="17" t="s">
        <v>293</v>
      </c>
      <c r="D3" s="20" t="s">
        <v>474</v>
      </c>
      <c r="E3" s="21" t="s">
        <v>475</v>
      </c>
      <c r="F3" s="630">
        <v>73.92</v>
      </c>
      <c r="G3" s="22" t="s">
        <v>469</v>
      </c>
      <c r="H3" s="22" t="s">
        <v>470</v>
      </c>
      <c r="I3" s="23" t="s">
        <v>471</v>
      </c>
      <c r="J3" s="24">
        <v>1201</v>
      </c>
      <c r="K3" s="25">
        <v>40751</v>
      </c>
      <c r="L3" s="28">
        <v>2011</v>
      </c>
      <c r="M3" s="631">
        <v>73.92</v>
      </c>
      <c r="N3" s="27" t="s">
        <v>472</v>
      </c>
      <c r="O3" s="17" t="s">
        <v>1212</v>
      </c>
      <c r="P3" s="17" t="s">
        <v>750</v>
      </c>
      <c r="Q3" s="17"/>
      <c r="R3" s="17"/>
      <c r="S3" s="17"/>
      <c r="T3" s="17" t="s">
        <v>473</v>
      </c>
      <c r="U3" s="638">
        <v>0.13350000000000001</v>
      </c>
      <c r="V3" s="635">
        <v>86446.483200000017</v>
      </c>
      <c r="W3" s="17"/>
      <c r="X3" s="17"/>
      <c r="Y3" s="21" t="s">
        <v>52</v>
      </c>
      <c r="Z3" s="17">
        <v>2</v>
      </c>
      <c r="AA3" t="str">
        <f>VLOOKUP(Y3,Source!F:F,1,FALSE)</f>
        <v>Berkshire Comm. College</v>
      </c>
    </row>
    <row r="4" spans="1:27">
      <c r="A4" s="17" t="str">
        <f t="shared" si="1"/>
        <v>Berkshire Comm. College3</v>
      </c>
      <c r="B4" s="260" t="s">
        <v>465</v>
      </c>
      <c r="C4" s="17" t="s">
        <v>293</v>
      </c>
      <c r="D4" s="20" t="s">
        <v>476</v>
      </c>
      <c r="E4" s="21" t="s">
        <v>477</v>
      </c>
      <c r="F4" s="630">
        <v>69.3</v>
      </c>
      <c r="G4" s="22" t="s">
        <v>469</v>
      </c>
      <c r="H4" s="22" t="s">
        <v>470</v>
      </c>
      <c r="I4" s="23" t="s">
        <v>471</v>
      </c>
      <c r="J4" s="24">
        <v>1201</v>
      </c>
      <c r="K4" s="25">
        <v>40751</v>
      </c>
      <c r="L4" s="28">
        <v>2011</v>
      </c>
      <c r="M4" s="631">
        <v>69.3</v>
      </c>
      <c r="N4" s="27" t="s">
        <v>472</v>
      </c>
      <c r="O4" s="17" t="s">
        <v>1212</v>
      </c>
      <c r="P4" s="17" t="s">
        <v>750</v>
      </c>
      <c r="Q4" s="17"/>
      <c r="R4" s="17"/>
      <c r="S4" s="17"/>
      <c r="T4" s="17" t="s">
        <v>473</v>
      </c>
      <c r="U4" s="638">
        <v>0.13350000000000001</v>
      </c>
      <c r="V4" s="635">
        <v>81043.578000000009</v>
      </c>
      <c r="W4" s="17"/>
      <c r="X4" s="17"/>
      <c r="Y4" s="21" t="s">
        <v>52</v>
      </c>
      <c r="Z4" s="17">
        <v>3</v>
      </c>
      <c r="AA4" t="str">
        <f>VLOOKUP(Y4,Source!F:F,1,FALSE)</f>
        <v>Berkshire Comm. College</v>
      </c>
    </row>
    <row r="5" spans="1:27">
      <c r="A5" s="17" t="str">
        <f t="shared" si="1"/>
        <v>Berkshire Comm. College4</v>
      </c>
      <c r="B5" s="260" t="s">
        <v>465</v>
      </c>
      <c r="C5" s="17" t="s">
        <v>293</v>
      </c>
      <c r="D5" s="20" t="s">
        <v>478</v>
      </c>
      <c r="E5" s="21" t="s">
        <v>479</v>
      </c>
      <c r="F5" s="630">
        <v>17.64</v>
      </c>
      <c r="G5" s="22" t="s">
        <v>469</v>
      </c>
      <c r="H5" s="22" t="s">
        <v>470</v>
      </c>
      <c r="I5" s="23" t="s">
        <v>471</v>
      </c>
      <c r="J5" s="24">
        <v>1201</v>
      </c>
      <c r="K5" s="25">
        <v>40751</v>
      </c>
      <c r="L5" s="28">
        <v>2011</v>
      </c>
      <c r="M5" s="631">
        <v>17.64</v>
      </c>
      <c r="N5" s="27" t="s">
        <v>472</v>
      </c>
      <c r="O5" s="17" t="s">
        <v>1212</v>
      </c>
      <c r="P5" s="17" t="s">
        <v>750</v>
      </c>
      <c r="Q5" s="17"/>
      <c r="R5" s="17"/>
      <c r="S5" s="17"/>
      <c r="T5" s="17" t="s">
        <v>473</v>
      </c>
      <c r="U5" s="638">
        <v>0.13350000000000001</v>
      </c>
      <c r="V5" s="635">
        <v>20629.274400000002</v>
      </c>
      <c r="W5" s="17"/>
      <c r="X5" s="17"/>
      <c r="Y5" s="21" t="s">
        <v>52</v>
      </c>
      <c r="Z5" s="17">
        <v>4</v>
      </c>
      <c r="AA5" t="str">
        <f>VLOOKUP(Y5,Source!F:F,1,FALSE)</f>
        <v>Berkshire Comm. College</v>
      </c>
    </row>
    <row r="6" spans="1:27">
      <c r="A6" s="17" t="str">
        <f t="shared" si="1"/>
        <v>Berkshire Comm. College5</v>
      </c>
      <c r="B6" s="260" t="s">
        <v>465</v>
      </c>
      <c r="C6" s="17" t="s">
        <v>293</v>
      </c>
      <c r="D6" s="20" t="s">
        <v>480</v>
      </c>
      <c r="E6" s="21" t="s">
        <v>481</v>
      </c>
      <c r="F6" s="630">
        <v>92.4</v>
      </c>
      <c r="G6" s="22" t="s">
        <v>469</v>
      </c>
      <c r="H6" s="22" t="s">
        <v>470</v>
      </c>
      <c r="I6" s="23" t="s">
        <v>471</v>
      </c>
      <c r="J6" s="24">
        <v>1201</v>
      </c>
      <c r="K6" s="25">
        <v>40751</v>
      </c>
      <c r="L6" s="28">
        <v>2011</v>
      </c>
      <c r="M6" s="631">
        <v>92.4</v>
      </c>
      <c r="N6" s="27" t="s">
        <v>472</v>
      </c>
      <c r="O6" s="17" t="s">
        <v>1212</v>
      </c>
      <c r="P6" s="17" t="s">
        <v>750</v>
      </c>
      <c r="Q6" s="17"/>
      <c r="R6" s="17"/>
      <c r="S6" s="17"/>
      <c r="T6" s="17" t="s">
        <v>473</v>
      </c>
      <c r="U6" s="638">
        <v>0.13350000000000001</v>
      </c>
      <c r="V6" s="635">
        <v>108058.10400000001</v>
      </c>
      <c r="W6" s="17"/>
      <c r="X6" s="17"/>
      <c r="Y6" s="21" t="s">
        <v>52</v>
      </c>
      <c r="Z6" s="17">
        <v>5</v>
      </c>
      <c r="AA6" t="str">
        <f>VLOOKUP(Y6,Source!F:F,1,FALSE)</f>
        <v>Berkshire Comm. College</v>
      </c>
    </row>
    <row r="7" spans="1:27" s="280" customFormat="1">
      <c r="A7" s="17" t="str">
        <f t="shared" si="1"/>
        <v>Berkshire Sheriff1</v>
      </c>
      <c r="B7" s="260" t="s">
        <v>465</v>
      </c>
      <c r="C7" s="17" t="s">
        <v>293</v>
      </c>
      <c r="D7" s="20" t="s">
        <v>1951</v>
      </c>
      <c r="E7" s="21" t="s">
        <v>1823</v>
      </c>
      <c r="F7" s="630">
        <v>303</v>
      </c>
      <c r="G7" s="22" t="s">
        <v>1898</v>
      </c>
      <c r="H7" s="22" t="s">
        <v>470</v>
      </c>
      <c r="I7" s="23" t="s">
        <v>471</v>
      </c>
      <c r="J7" s="24">
        <v>1201</v>
      </c>
      <c r="K7" s="25">
        <v>42325</v>
      </c>
      <c r="L7" s="28">
        <v>2016</v>
      </c>
      <c r="M7" s="631">
        <v>303</v>
      </c>
      <c r="N7" s="27" t="s">
        <v>529</v>
      </c>
      <c r="O7" s="17" t="s">
        <v>1212</v>
      </c>
      <c r="P7" s="17" t="s">
        <v>1967</v>
      </c>
      <c r="Q7" s="274"/>
      <c r="R7" s="274"/>
      <c r="S7" s="274"/>
      <c r="T7" s="17" t="s">
        <v>473</v>
      </c>
      <c r="U7" s="638">
        <v>0.13350000000000001</v>
      </c>
      <c r="V7" s="635">
        <v>354346.38</v>
      </c>
      <c r="W7" s="274"/>
      <c r="X7" s="274"/>
      <c r="Y7" s="276" t="s">
        <v>1968</v>
      </c>
      <c r="Z7" s="274">
        <v>1</v>
      </c>
      <c r="AA7" t="e">
        <f>VLOOKUP(Y7,Source!F:F,1,FALSE)</f>
        <v>#N/A</v>
      </c>
    </row>
    <row r="8" spans="1:27" s="280" customFormat="1">
      <c r="A8" s="17" t="str">
        <f t="shared" si="1"/>
        <v>Bridgewater State University1</v>
      </c>
      <c r="B8" s="260" t="s">
        <v>486</v>
      </c>
      <c r="C8" s="27" t="s">
        <v>487</v>
      </c>
      <c r="D8" s="20"/>
      <c r="E8" s="27" t="s">
        <v>61</v>
      </c>
      <c r="F8" s="630">
        <v>1300</v>
      </c>
      <c r="G8" s="20" t="s">
        <v>483</v>
      </c>
      <c r="H8" s="27" t="s">
        <v>484</v>
      </c>
      <c r="I8" s="23" t="s">
        <v>471</v>
      </c>
      <c r="J8" s="24">
        <v>2325</v>
      </c>
      <c r="K8" s="25"/>
      <c r="L8" s="28">
        <v>2005</v>
      </c>
      <c r="M8" s="630">
        <v>1300</v>
      </c>
      <c r="N8" s="27" t="s">
        <v>472</v>
      </c>
      <c r="O8" s="743"/>
      <c r="P8" s="743"/>
      <c r="Q8" s="281"/>
      <c r="R8" s="274"/>
      <c r="S8" s="274"/>
      <c r="T8" s="17" t="s">
        <v>473</v>
      </c>
      <c r="U8" s="17"/>
      <c r="V8" s="17"/>
      <c r="W8" s="279"/>
      <c r="X8" s="274"/>
      <c r="Y8" s="276" t="s">
        <v>61</v>
      </c>
      <c r="Z8" s="274">
        <v>1</v>
      </c>
      <c r="AA8" t="str">
        <f>VLOOKUP(Y8,Source!F:F,1,FALSE)</f>
        <v>Bridgewater State University</v>
      </c>
    </row>
    <row r="9" spans="1:27" s="280" customFormat="1">
      <c r="A9" s="17" t="str">
        <f t="shared" si="1"/>
        <v>Bridgewater State University2</v>
      </c>
      <c r="B9" s="260" t="s">
        <v>465</v>
      </c>
      <c r="C9" s="17" t="s">
        <v>293</v>
      </c>
      <c r="D9" s="20" t="s">
        <v>482</v>
      </c>
      <c r="E9" s="21" t="s">
        <v>1824</v>
      </c>
      <c r="F9" s="630">
        <v>103.488</v>
      </c>
      <c r="G9" s="20" t="s">
        <v>483</v>
      </c>
      <c r="H9" s="22" t="s">
        <v>484</v>
      </c>
      <c r="I9" s="23" t="s">
        <v>471</v>
      </c>
      <c r="J9" s="24">
        <v>2325</v>
      </c>
      <c r="K9" s="25">
        <v>40682</v>
      </c>
      <c r="L9" s="28">
        <v>2011</v>
      </c>
      <c r="M9" s="631">
        <v>103.488</v>
      </c>
      <c r="N9" s="27" t="s">
        <v>472</v>
      </c>
      <c r="O9" s="17" t="s">
        <v>485</v>
      </c>
      <c r="P9" s="17" t="s">
        <v>750</v>
      </c>
      <c r="Q9" s="274"/>
      <c r="R9" s="274"/>
      <c r="S9" s="274"/>
      <c r="T9" s="17" t="s">
        <v>473</v>
      </c>
      <c r="U9" s="638">
        <v>0.13350000000000001</v>
      </c>
      <c r="V9" s="635">
        <v>121025.07648</v>
      </c>
      <c r="W9" s="275"/>
      <c r="X9" s="275"/>
      <c r="Y9" s="276" t="s">
        <v>61</v>
      </c>
      <c r="Z9" s="274">
        <v>2</v>
      </c>
      <c r="AA9" t="str">
        <f>VLOOKUP(Y9,Source!F:F,1,FALSE)</f>
        <v>Bridgewater State University</v>
      </c>
    </row>
    <row r="10" spans="1:27" s="280" customFormat="1">
      <c r="A10" s="17" t="str">
        <f t="shared" si="1"/>
        <v>Bristol Comm. College1</v>
      </c>
      <c r="B10" s="260" t="s">
        <v>465</v>
      </c>
      <c r="C10" s="27" t="s">
        <v>293</v>
      </c>
      <c r="D10" s="20" t="s">
        <v>488</v>
      </c>
      <c r="E10" s="21" t="s">
        <v>1045</v>
      </c>
      <c r="F10" s="630">
        <v>86</v>
      </c>
      <c r="G10" s="17" t="s">
        <v>489</v>
      </c>
      <c r="H10" s="27" t="s">
        <v>490</v>
      </c>
      <c r="I10" s="23" t="s">
        <v>471</v>
      </c>
      <c r="J10" s="24">
        <v>2720</v>
      </c>
      <c r="K10" s="25">
        <v>40544</v>
      </c>
      <c r="L10" s="28">
        <v>2009</v>
      </c>
      <c r="M10" s="631">
        <v>86</v>
      </c>
      <c r="N10" s="27" t="s">
        <v>472</v>
      </c>
      <c r="O10" s="17" t="s">
        <v>1212</v>
      </c>
      <c r="P10" s="17" t="s">
        <v>750</v>
      </c>
      <c r="Q10" s="274"/>
      <c r="R10" s="274"/>
      <c r="S10" s="274"/>
      <c r="T10" s="17" t="s">
        <v>473</v>
      </c>
      <c r="U10" s="638">
        <v>0.13350000000000001</v>
      </c>
      <c r="V10" s="635">
        <v>100573.56000000001</v>
      </c>
      <c r="W10" s="274"/>
      <c r="X10" s="274"/>
      <c r="Y10" s="276" t="s">
        <v>28</v>
      </c>
      <c r="Z10" s="274">
        <v>1</v>
      </c>
      <c r="AA10" t="str">
        <f>VLOOKUP(Y10,Source!F:F,1,FALSE)</f>
        <v>Bristol Comm. College</v>
      </c>
    </row>
    <row r="11" spans="1:27" s="280" customFormat="1">
      <c r="A11" s="17" t="str">
        <f t="shared" si="1"/>
        <v>Bristol Comm. College2</v>
      </c>
      <c r="B11" s="260" t="s">
        <v>465</v>
      </c>
      <c r="C11" s="27" t="s">
        <v>293</v>
      </c>
      <c r="D11" s="20"/>
      <c r="E11" s="21" t="s">
        <v>1045</v>
      </c>
      <c r="F11" s="630">
        <v>3187.14</v>
      </c>
      <c r="G11" s="17" t="s">
        <v>489</v>
      </c>
      <c r="H11" s="27" t="s">
        <v>490</v>
      </c>
      <c r="I11" s="17" t="s">
        <v>471</v>
      </c>
      <c r="J11" s="24">
        <v>2720</v>
      </c>
      <c r="K11" s="25"/>
      <c r="L11" s="29">
        <v>2015</v>
      </c>
      <c r="M11" s="730">
        <v>3187.14</v>
      </c>
      <c r="N11" s="27" t="s">
        <v>472</v>
      </c>
      <c r="O11" s="17" t="s">
        <v>485</v>
      </c>
      <c r="P11" s="17" t="s">
        <v>748</v>
      </c>
      <c r="Q11" s="274"/>
      <c r="R11" s="274"/>
      <c r="S11" s="275"/>
      <c r="T11" s="17" t="s">
        <v>473</v>
      </c>
      <c r="U11" s="638">
        <v>0.13350000000000001</v>
      </c>
      <c r="V11" s="635">
        <v>3727232.7444000002</v>
      </c>
      <c r="W11" s="279"/>
      <c r="X11" s="274"/>
      <c r="Y11" s="276" t="s">
        <v>28</v>
      </c>
      <c r="Z11" s="274">
        <v>2</v>
      </c>
      <c r="AA11" t="str">
        <f>VLOOKUP(Y11,Source!F:F,1,FALSE)</f>
        <v>Bristol Comm. College</v>
      </c>
    </row>
    <row r="12" spans="1:27" s="280" customFormat="1">
      <c r="A12" s="17" t="str">
        <f t="shared" si="1"/>
        <v>Bristol Comm. College3</v>
      </c>
      <c r="B12" s="260" t="s">
        <v>465</v>
      </c>
      <c r="C12" s="27" t="s">
        <v>293</v>
      </c>
      <c r="D12" s="20"/>
      <c r="E12" s="21" t="s">
        <v>1045</v>
      </c>
      <c r="F12" s="630">
        <v>50</v>
      </c>
      <c r="G12" s="17" t="s">
        <v>489</v>
      </c>
      <c r="H12" s="27" t="s">
        <v>490</v>
      </c>
      <c r="I12" s="17" t="s">
        <v>471</v>
      </c>
      <c r="J12" s="24">
        <v>2720</v>
      </c>
      <c r="K12" s="25"/>
      <c r="L12" s="29">
        <v>2015</v>
      </c>
      <c r="M12" s="631">
        <v>50</v>
      </c>
      <c r="N12" s="27" t="s">
        <v>472</v>
      </c>
      <c r="O12" s="17" t="s">
        <v>1212</v>
      </c>
      <c r="P12" s="17" t="s">
        <v>750</v>
      </c>
      <c r="Q12" s="274"/>
      <c r="R12" s="274"/>
      <c r="S12" s="274"/>
      <c r="T12" s="17" t="s">
        <v>473</v>
      </c>
      <c r="U12" s="638">
        <v>0.13350000000000001</v>
      </c>
      <c r="V12" s="635">
        <v>58473</v>
      </c>
      <c r="W12" s="274"/>
      <c r="X12" s="274"/>
      <c r="Y12" s="276" t="s">
        <v>28</v>
      </c>
      <c r="Z12" s="274">
        <v>3</v>
      </c>
      <c r="AA12" t="str">
        <f>VLOOKUP(Y12,Source!F:F,1,FALSE)</f>
        <v>Bristol Comm. College</v>
      </c>
    </row>
    <row r="13" spans="1:27" ht="15.5">
      <c r="A13" s="17" t="str">
        <f t="shared" si="1"/>
        <v>Bristol Comm. College4</v>
      </c>
      <c r="B13" s="260" t="s">
        <v>465</v>
      </c>
      <c r="C13" s="27" t="s">
        <v>296</v>
      </c>
      <c r="D13" s="20"/>
      <c r="E13" s="516" t="s">
        <v>1825</v>
      </c>
      <c r="F13" s="630">
        <v>6</v>
      </c>
      <c r="G13" s="17" t="s">
        <v>489</v>
      </c>
      <c r="H13" s="27" t="s">
        <v>490</v>
      </c>
      <c r="I13" s="17" t="s">
        <v>471</v>
      </c>
      <c r="J13" s="24">
        <v>2720</v>
      </c>
      <c r="K13" s="25"/>
      <c r="L13" s="28">
        <v>2009</v>
      </c>
      <c r="M13" s="631">
        <v>6</v>
      </c>
      <c r="N13" s="27" t="s">
        <v>472</v>
      </c>
      <c r="O13" s="17"/>
      <c r="P13" s="17"/>
      <c r="Q13" s="17"/>
      <c r="R13" s="17"/>
      <c r="S13" s="17"/>
      <c r="T13" s="17" t="s">
        <v>473</v>
      </c>
      <c r="U13" s="743">
        <v>0.26</v>
      </c>
      <c r="V13" s="635">
        <v>13665.6</v>
      </c>
      <c r="W13" s="17"/>
      <c r="X13" s="17"/>
      <c r="Y13" s="276" t="s">
        <v>28</v>
      </c>
      <c r="Z13" s="274">
        <v>4</v>
      </c>
      <c r="AA13" t="str">
        <f>VLOOKUP(Y13,Source!F:F,1,FALSE)</f>
        <v>Bristol Comm. College</v>
      </c>
    </row>
    <row r="14" spans="1:27">
      <c r="A14" s="17" t="str">
        <f t="shared" si="1"/>
        <v>Bristol Comm. College5</v>
      </c>
      <c r="B14" s="260" t="s">
        <v>465</v>
      </c>
      <c r="C14" s="27" t="s">
        <v>293</v>
      </c>
      <c r="D14" s="20"/>
      <c r="E14" s="21" t="s">
        <v>1825</v>
      </c>
      <c r="F14" s="630">
        <v>10</v>
      </c>
      <c r="G14" s="17" t="s">
        <v>489</v>
      </c>
      <c r="H14" s="27" t="s">
        <v>490</v>
      </c>
      <c r="I14" s="17" t="s">
        <v>471</v>
      </c>
      <c r="J14" s="24">
        <v>2720</v>
      </c>
      <c r="K14" s="25"/>
      <c r="L14" s="28">
        <v>2009</v>
      </c>
      <c r="M14" s="631">
        <v>10</v>
      </c>
      <c r="N14" s="27" t="s">
        <v>472</v>
      </c>
      <c r="O14" s="17" t="s">
        <v>1212</v>
      </c>
      <c r="P14" s="17" t="s">
        <v>750</v>
      </c>
      <c r="Q14" s="17"/>
      <c r="R14" s="17"/>
      <c r="S14" s="17"/>
      <c r="T14" s="17" t="s">
        <v>473</v>
      </c>
      <c r="U14" s="638">
        <v>0.13350000000000001</v>
      </c>
      <c r="V14" s="635">
        <v>11694.6</v>
      </c>
      <c r="W14" s="17"/>
      <c r="X14" s="17"/>
      <c r="Y14" s="276" t="s">
        <v>28</v>
      </c>
      <c r="Z14" s="274">
        <v>5</v>
      </c>
      <c r="AA14" t="str">
        <f>VLOOKUP(Y14,Source!F:F,1,FALSE)</f>
        <v>Bristol Comm. College</v>
      </c>
    </row>
    <row r="15" spans="1:27">
      <c r="A15" s="17" t="str">
        <f t="shared" si="1"/>
        <v>Bunker Hill Comm. College1</v>
      </c>
      <c r="B15" s="680" t="s">
        <v>465</v>
      </c>
      <c r="C15" s="741" t="s">
        <v>293</v>
      </c>
      <c r="D15" s="701"/>
      <c r="E15" s="684" t="s">
        <v>1826</v>
      </c>
      <c r="F15" s="688">
        <v>12</v>
      </c>
      <c r="G15" s="701"/>
      <c r="H15" s="706"/>
      <c r="I15" s="701"/>
      <c r="J15" s="708"/>
      <c r="K15" s="716">
        <v>41197</v>
      </c>
      <c r="L15" s="723">
        <v>2013</v>
      </c>
      <c r="M15" s="731">
        <v>12</v>
      </c>
      <c r="N15" s="706" t="s">
        <v>472</v>
      </c>
      <c r="O15" s="701" t="s">
        <v>1212</v>
      </c>
      <c r="P15" s="701" t="s">
        <v>750</v>
      </c>
      <c r="Q15" s="17"/>
      <c r="R15" s="17"/>
      <c r="S15" s="17"/>
      <c r="T15" s="701" t="s">
        <v>473</v>
      </c>
      <c r="U15" s="638">
        <v>0.13350000000000001</v>
      </c>
      <c r="V15" s="745">
        <v>14033.52</v>
      </c>
      <c r="W15" s="17"/>
      <c r="X15" s="17"/>
      <c r="Y15" s="21" t="s">
        <v>76</v>
      </c>
      <c r="Z15" s="17">
        <v>1</v>
      </c>
      <c r="AA15" t="str">
        <f>VLOOKUP(Y15,Source!F:F,1,FALSE)</f>
        <v>Bunker Hill Comm. College</v>
      </c>
    </row>
    <row r="16" spans="1:27">
      <c r="A16" s="17" t="str">
        <f t="shared" si="1"/>
        <v>Bunker Hill Comm. College2</v>
      </c>
      <c r="B16" s="260" t="s">
        <v>486</v>
      </c>
      <c r="C16" s="27" t="s">
        <v>487</v>
      </c>
      <c r="D16" s="20" t="s">
        <v>492</v>
      </c>
      <c r="E16" s="21" t="s">
        <v>493</v>
      </c>
      <c r="F16" s="630">
        <v>75</v>
      </c>
      <c r="G16" s="17"/>
      <c r="H16" s="27" t="s">
        <v>494</v>
      </c>
      <c r="I16" s="17" t="s">
        <v>471</v>
      </c>
      <c r="J16" s="17"/>
      <c r="K16" s="25">
        <v>41612</v>
      </c>
      <c r="L16" s="29">
        <v>2014</v>
      </c>
      <c r="M16" s="630">
        <v>75</v>
      </c>
      <c r="N16" s="27" t="s">
        <v>472</v>
      </c>
      <c r="O16" s="17"/>
      <c r="P16" s="17"/>
      <c r="Q16" s="17"/>
      <c r="R16" s="17"/>
      <c r="S16" s="17"/>
      <c r="T16" s="17" t="s">
        <v>473</v>
      </c>
      <c r="U16" s="17"/>
      <c r="V16" s="17"/>
      <c r="W16" s="17"/>
      <c r="X16" s="17"/>
      <c r="Y16" s="21" t="s">
        <v>76</v>
      </c>
      <c r="Z16" s="17">
        <v>2</v>
      </c>
      <c r="AA16" t="str">
        <f>VLOOKUP(Y16,Source!F:F,1,FALSE)</f>
        <v>Bunker Hill Comm. College</v>
      </c>
    </row>
    <row r="17" spans="1:27">
      <c r="A17" s="17" t="str">
        <f t="shared" si="1"/>
        <v>Bureau of the State House1</v>
      </c>
      <c r="B17" s="260" t="s">
        <v>465</v>
      </c>
      <c r="C17" s="27" t="s">
        <v>293</v>
      </c>
      <c r="D17" s="20"/>
      <c r="E17" s="27" t="s">
        <v>495</v>
      </c>
      <c r="F17" s="630">
        <v>15</v>
      </c>
      <c r="G17" s="17" t="s">
        <v>496</v>
      </c>
      <c r="H17" s="17" t="s">
        <v>494</v>
      </c>
      <c r="I17" s="17" t="s">
        <v>471</v>
      </c>
      <c r="J17" s="24">
        <v>1233</v>
      </c>
      <c r="K17" s="25"/>
      <c r="L17" s="29">
        <v>2010</v>
      </c>
      <c r="M17" s="17">
        <v>15</v>
      </c>
      <c r="N17" s="17" t="s">
        <v>497</v>
      </c>
      <c r="O17" s="17" t="s">
        <v>1212</v>
      </c>
      <c r="P17" s="17" t="s">
        <v>750</v>
      </c>
      <c r="Q17" s="17"/>
      <c r="R17" s="17"/>
      <c r="S17" s="17"/>
      <c r="T17" s="17" t="s">
        <v>473</v>
      </c>
      <c r="U17" s="638">
        <v>0.13350000000000001</v>
      </c>
      <c r="V17" s="635">
        <v>17541.900000000001</v>
      </c>
      <c r="W17" s="17"/>
      <c r="X17" s="17"/>
      <c r="Y17" s="21" t="s">
        <v>81</v>
      </c>
      <c r="Z17" s="17">
        <v>1</v>
      </c>
      <c r="AA17" t="str">
        <f>VLOOKUP(Y17,Source!F:F,1,FALSE)</f>
        <v>Bureau of the State House</v>
      </c>
    </row>
    <row r="18" spans="1:27">
      <c r="A18" s="17" t="str">
        <f t="shared" si="1"/>
        <v>Cape Cod Comm. College1</v>
      </c>
      <c r="B18" s="260" t="s">
        <v>465</v>
      </c>
      <c r="C18" s="17" t="s">
        <v>293</v>
      </c>
      <c r="D18" s="20" t="s">
        <v>498</v>
      </c>
      <c r="E18" s="21" t="s">
        <v>499</v>
      </c>
      <c r="F18" s="630">
        <v>1.7549999999999999</v>
      </c>
      <c r="G18" s="20" t="s">
        <v>500</v>
      </c>
      <c r="H18" s="22" t="s">
        <v>501</v>
      </c>
      <c r="I18" s="23" t="s">
        <v>471</v>
      </c>
      <c r="J18" s="24">
        <v>2668</v>
      </c>
      <c r="K18" s="25">
        <v>39686</v>
      </c>
      <c r="L18" s="28">
        <v>2013</v>
      </c>
      <c r="M18" s="631">
        <v>1.7549999999999999</v>
      </c>
      <c r="N18" s="27" t="s">
        <v>472</v>
      </c>
      <c r="O18" s="17" t="s">
        <v>1212</v>
      </c>
      <c r="P18" s="17" t="s">
        <v>750</v>
      </c>
      <c r="Q18" s="17"/>
      <c r="R18" s="17"/>
      <c r="S18" s="17"/>
      <c r="T18" s="17" t="s">
        <v>473</v>
      </c>
      <c r="U18" s="638">
        <v>0.13350000000000001</v>
      </c>
      <c r="V18" s="635">
        <v>2052.4023000000002</v>
      </c>
      <c r="W18" s="17"/>
      <c r="X18" s="17"/>
      <c r="Y18" s="21" t="s">
        <v>82</v>
      </c>
      <c r="Z18" s="17">
        <v>1</v>
      </c>
      <c r="AA18" t="str">
        <f>VLOOKUP(Y18,Source!F:F,1,FALSE)</f>
        <v>Cape Cod Comm. College</v>
      </c>
    </row>
    <row r="19" spans="1:27">
      <c r="A19" s="17" t="str">
        <f t="shared" si="1"/>
        <v>Cape Cod Comm. College2</v>
      </c>
      <c r="B19" s="260" t="s">
        <v>465</v>
      </c>
      <c r="C19" s="17" t="s">
        <v>293</v>
      </c>
      <c r="D19" s="20" t="s">
        <v>503</v>
      </c>
      <c r="E19" s="21" t="s">
        <v>499</v>
      </c>
      <c r="F19" s="630">
        <v>661.5</v>
      </c>
      <c r="G19" s="20" t="s">
        <v>500</v>
      </c>
      <c r="H19" s="22" t="s">
        <v>501</v>
      </c>
      <c r="I19" s="23" t="s">
        <v>471</v>
      </c>
      <c r="J19" s="24">
        <v>2668</v>
      </c>
      <c r="K19" s="25">
        <v>41233</v>
      </c>
      <c r="L19" s="28">
        <v>2013</v>
      </c>
      <c r="M19" s="631">
        <v>661.5</v>
      </c>
      <c r="N19" s="27" t="s">
        <v>472</v>
      </c>
      <c r="O19" s="17" t="s">
        <v>1212</v>
      </c>
      <c r="P19" s="17" t="s">
        <v>1967</v>
      </c>
      <c r="Q19" s="17"/>
      <c r="R19" s="17"/>
      <c r="S19" s="17"/>
      <c r="T19" s="17" t="s">
        <v>473</v>
      </c>
      <c r="U19" s="638">
        <v>0.13350000000000001</v>
      </c>
      <c r="V19" s="635">
        <v>773597.79</v>
      </c>
      <c r="W19" s="17"/>
      <c r="X19" s="17"/>
      <c r="Y19" s="21" t="s">
        <v>82</v>
      </c>
      <c r="Z19" s="17">
        <v>2</v>
      </c>
      <c r="AA19" t="str">
        <f>VLOOKUP(Y19,Source!F:F,1,FALSE)</f>
        <v>Cape Cod Comm. College</v>
      </c>
    </row>
    <row r="20" spans="1:27">
      <c r="A20" s="17" t="str">
        <f t="shared" si="1"/>
        <v>Cape Cod Comm. College3</v>
      </c>
      <c r="B20" s="260" t="s">
        <v>465</v>
      </c>
      <c r="C20" s="17" t="s">
        <v>293</v>
      </c>
      <c r="D20" s="20" t="s">
        <v>508</v>
      </c>
      <c r="E20" s="21" t="s">
        <v>1827</v>
      </c>
      <c r="F20" s="630">
        <v>25.73</v>
      </c>
      <c r="G20" s="20" t="s">
        <v>500</v>
      </c>
      <c r="H20" s="22" t="s">
        <v>501</v>
      </c>
      <c r="I20" s="23" t="s">
        <v>471</v>
      </c>
      <c r="J20" s="24">
        <v>2668</v>
      </c>
      <c r="K20" s="25">
        <v>38718</v>
      </c>
      <c r="L20" s="28">
        <v>2006</v>
      </c>
      <c r="M20" s="631">
        <v>25.73</v>
      </c>
      <c r="N20" s="27" t="s">
        <v>472</v>
      </c>
      <c r="O20" s="17" t="s">
        <v>1212</v>
      </c>
      <c r="P20" s="17" t="s">
        <v>750</v>
      </c>
      <c r="Q20" s="17"/>
      <c r="R20" s="17"/>
      <c r="S20" s="17"/>
      <c r="T20" s="17" t="s">
        <v>473</v>
      </c>
      <c r="U20" s="638">
        <v>0.13350000000000001</v>
      </c>
      <c r="V20" s="635">
        <v>30090.205800000003</v>
      </c>
      <c r="W20" s="260"/>
      <c r="X20" s="260"/>
      <c r="Y20" s="21" t="s">
        <v>82</v>
      </c>
      <c r="Z20" s="17">
        <v>3</v>
      </c>
      <c r="AA20" t="str">
        <f>VLOOKUP(Y20,Source!F:F,1,FALSE)</f>
        <v>Cape Cod Comm. College</v>
      </c>
    </row>
    <row r="21" spans="1:27">
      <c r="A21" s="17" t="str">
        <f t="shared" si="1"/>
        <v>Cape Cod Comm. College4</v>
      </c>
      <c r="B21" s="260" t="s">
        <v>465</v>
      </c>
      <c r="C21" s="17" t="s">
        <v>293</v>
      </c>
      <c r="D21" s="20" t="s">
        <v>504</v>
      </c>
      <c r="E21" s="21" t="s">
        <v>505</v>
      </c>
      <c r="F21" s="630">
        <v>2.5</v>
      </c>
      <c r="G21" s="20" t="s">
        <v>500</v>
      </c>
      <c r="H21" s="22" t="s">
        <v>501</v>
      </c>
      <c r="I21" s="23" t="s">
        <v>471</v>
      </c>
      <c r="J21" s="24">
        <v>2668</v>
      </c>
      <c r="K21" s="25">
        <v>38572</v>
      </c>
      <c r="L21" s="28">
        <v>2013</v>
      </c>
      <c r="M21" s="631">
        <v>2.5</v>
      </c>
      <c r="N21" s="27" t="s">
        <v>472</v>
      </c>
      <c r="O21" s="17" t="s">
        <v>1212</v>
      </c>
      <c r="P21" s="17" t="s">
        <v>750</v>
      </c>
      <c r="Q21" s="17"/>
      <c r="R21" s="17"/>
      <c r="S21" s="17"/>
      <c r="T21" s="17" t="s">
        <v>473</v>
      </c>
      <c r="U21" s="638">
        <v>0.13350000000000001</v>
      </c>
      <c r="V21" s="635">
        <v>2923.65</v>
      </c>
      <c r="W21" s="17"/>
      <c r="X21" s="17"/>
      <c r="Y21" s="21" t="s">
        <v>82</v>
      </c>
      <c r="Z21" s="17">
        <v>4</v>
      </c>
      <c r="AA21" t="str">
        <f>VLOOKUP(Y21,Source!F:F,1,FALSE)</f>
        <v>Cape Cod Comm. College</v>
      </c>
    </row>
    <row r="22" spans="1:27">
      <c r="A22" s="17" t="str">
        <f t="shared" si="1"/>
        <v>Cape Cod Comm. College5</v>
      </c>
      <c r="B22" s="260" t="s">
        <v>465</v>
      </c>
      <c r="C22" s="17" t="s">
        <v>293</v>
      </c>
      <c r="D22" s="20" t="s">
        <v>506</v>
      </c>
      <c r="E22" s="21" t="s">
        <v>507</v>
      </c>
      <c r="F22" s="630">
        <v>2.52</v>
      </c>
      <c r="G22" s="20" t="s">
        <v>500</v>
      </c>
      <c r="H22" s="22" t="s">
        <v>501</v>
      </c>
      <c r="I22" s="23" t="s">
        <v>471</v>
      </c>
      <c r="J22" s="24">
        <v>2668</v>
      </c>
      <c r="K22" s="25">
        <v>39251</v>
      </c>
      <c r="L22" s="28">
        <v>2013</v>
      </c>
      <c r="M22" s="631">
        <v>2.52</v>
      </c>
      <c r="N22" s="27" t="s">
        <v>472</v>
      </c>
      <c r="O22" s="17" t="s">
        <v>1212</v>
      </c>
      <c r="P22" s="17" t="s">
        <v>750</v>
      </c>
      <c r="Q22" s="17"/>
      <c r="R22" s="17"/>
      <c r="S22" s="17"/>
      <c r="T22" s="17" t="s">
        <v>473</v>
      </c>
      <c r="U22" s="638">
        <v>0.13350000000000001</v>
      </c>
      <c r="V22" s="635">
        <v>2947.0392000000002</v>
      </c>
      <c r="W22" s="17"/>
      <c r="X22" s="17"/>
      <c r="Y22" s="21" t="s">
        <v>82</v>
      </c>
      <c r="Z22" s="17">
        <v>5</v>
      </c>
      <c r="AA22" t="str">
        <f>VLOOKUP(Y22,Source!F:F,1,FALSE)</f>
        <v>Cape Cod Comm. College</v>
      </c>
    </row>
    <row r="23" spans="1:27">
      <c r="A23" s="17" t="str">
        <f t="shared" si="1"/>
        <v>Cape Cod Regional Transit Authority1</v>
      </c>
      <c r="B23" s="260" t="s">
        <v>465</v>
      </c>
      <c r="C23" s="27" t="s">
        <v>293</v>
      </c>
      <c r="D23" s="20"/>
      <c r="E23" s="27" t="s">
        <v>1828</v>
      </c>
      <c r="F23" s="630">
        <v>360</v>
      </c>
      <c r="G23" s="702" t="s">
        <v>1899</v>
      </c>
      <c r="H23" s="27" t="s">
        <v>1324</v>
      </c>
      <c r="I23" s="17" t="s">
        <v>471</v>
      </c>
      <c r="J23" s="24"/>
      <c r="K23" s="25">
        <v>43709</v>
      </c>
      <c r="L23" s="28">
        <v>2020</v>
      </c>
      <c r="M23" s="730">
        <v>360</v>
      </c>
      <c r="N23" s="17" t="s">
        <v>611</v>
      </c>
      <c r="O23" s="17" t="s">
        <v>485</v>
      </c>
      <c r="P23" s="17" t="s">
        <v>748</v>
      </c>
      <c r="Q23" s="17"/>
      <c r="R23" s="17"/>
      <c r="S23" s="17"/>
      <c r="T23" s="17" t="s">
        <v>473</v>
      </c>
      <c r="U23" s="638">
        <v>0.13350000000000001</v>
      </c>
      <c r="V23" s="635">
        <v>421005.60000000003</v>
      </c>
      <c r="W23" s="17"/>
      <c r="X23" s="17"/>
      <c r="Y23" s="755" t="s">
        <v>1321</v>
      </c>
      <c r="Z23" s="17">
        <v>1</v>
      </c>
      <c r="AA23" t="e">
        <f>VLOOKUP(Y23,Source!F:F,1,FALSE)</f>
        <v>#N/A</v>
      </c>
    </row>
    <row r="24" spans="1:27">
      <c r="A24" s="17" t="str">
        <f t="shared" si="1"/>
        <v>Chelsea Soldiers' Home1</v>
      </c>
      <c r="B24" s="260" t="s">
        <v>465</v>
      </c>
      <c r="C24" s="27" t="s">
        <v>293</v>
      </c>
      <c r="D24" s="20" t="s">
        <v>509</v>
      </c>
      <c r="E24" s="27" t="s">
        <v>510</v>
      </c>
      <c r="F24" s="630">
        <v>58.5</v>
      </c>
      <c r="G24" s="20" t="s">
        <v>511</v>
      </c>
      <c r="H24" s="27" t="s">
        <v>512</v>
      </c>
      <c r="I24" s="17" t="s">
        <v>471</v>
      </c>
      <c r="J24" s="24">
        <v>2150</v>
      </c>
      <c r="K24" s="25">
        <v>40544</v>
      </c>
      <c r="L24" s="28">
        <v>2008</v>
      </c>
      <c r="M24" s="631">
        <v>58.5</v>
      </c>
      <c r="N24" s="17" t="s">
        <v>513</v>
      </c>
      <c r="O24" s="17" t="s">
        <v>1212</v>
      </c>
      <c r="P24" s="17" t="s">
        <v>750</v>
      </c>
      <c r="Q24" s="17"/>
      <c r="R24" s="17"/>
      <c r="S24" s="17"/>
      <c r="T24" s="17" t="s">
        <v>473</v>
      </c>
      <c r="U24" s="638">
        <v>0.13350000000000001</v>
      </c>
      <c r="V24" s="635">
        <v>68413.41</v>
      </c>
      <c r="W24" s="17"/>
      <c r="X24" s="17"/>
      <c r="Y24" s="417" t="s">
        <v>1969</v>
      </c>
      <c r="Z24" s="17">
        <v>1</v>
      </c>
      <c r="AA24" t="e">
        <f>VLOOKUP(Y24,Source!F:F,1,FALSE)</f>
        <v>#N/A</v>
      </c>
    </row>
    <row r="25" spans="1:27">
      <c r="A25" s="17" t="str">
        <f t="shared" si="1"/>
        <v>Chelsea Soldiers' Home2</v>
      </c>
      <c r="B25" s="260" t="s">
        <v>465</v>
      </c>
      <c r="C25" s="17" t="s">
        <v>293</v>
      </c>
      <c r="D25" s="17"/>
      <c r="E25" s="21" t="s">
        <v>1894</v>
      </c>
      <c r="F25" s="636">
        <v>495.8</v>
      </c>
      <c r="G25" s="20" t="s">
        <v>1926</v>
      </c>
      <c r="H25" s="27" t="s">
        <v>512</v>
      </c>
      <c r="I25" s="23" t="s">
        <v>471</v>
      </c>
      <c r="J25" s="24">
        <v>2150</v>
      </c>
      <c r="K25" s="193">
        <v>45323</v>
      </c>
      <c r="L25" s="29">
        <v>2024</v>
      </c>
      <c r="M25" s="636">
        <v>495.8</v>
      </c>
      <c r="N25" s="17" t="s">
        <v>1498</v>
      </c>
      <c r="O25" s="17"/>
      <c r="P25" s="17" t="s">
        <v>750</v>
      </c>
      <c r="Q25" s="17"/>
      <c r="R25" s="17"/>
      <c r="S25" s="17"/>
      <c r="T25" s="17" t="s">
        <v>473</v>
      </c>
      <c r="U25" s="638">
        <v>0.13350000000000001</v>
      </c>
      <c r="V25" s="635">
        <v>579818.26800000004</v>
      </c>
      <c r="W25" s="17"/>
      <c r="X25" s="17"/>
      <c r="Y25" s="555" t="s">
        <v>1969</v>
      </c>
      <c r="Z25" s="17">
        <v>2</v>
      </c>
      <c r="AA25" t="e">
        <f>VLOOKUP(Y25,Source!F:F,1,FALSE)</f>
        <v>#N/A</v>
      </c>
    </row>
    <row r="26" spans="1:27" s="280" customFormat="1">
      <c r="A26" s="17" t="str">
        <f t="shared" si="1"/>
        <v>Dept. of Conservation and Recreation1</v>
      </c>
      <c r="B26" s="260" t="s">
        <v>465</v>
      </c>
      <c r="C26" s="17" t="s">
        <v>293</v>
      </c>
      <c r="D26" s="20" t="s">
        <v>521</v>
      </c>
      <c r="E26" s="21" t="s">
        <v>522</v>
      </c>
      <c r="F26" s="630">
        <v>47.8</v>
      </c>
      <c r="G26" s="22" t="s">
        <v>523</v>
      </c>
      <c r="H26" s="22" t="s">
        <v>524</v>
      </c>
      <c r="I26" s="23" t="s">
        <v>471</v>
      </c>
      <c r="J26" s="24">
        <v>2186</v>
      </c>
      <c r="K26" s="25">
        <v>40681</v>
      </c>
      <c r="L26" s="28">
        <v>2011</v>
      </c>
      <c r="M26" s="631">
        <v>47.8</v>
      </c>
      <c r="N26" s="27" t="s">
        <v>516</v>
      </c>
      <c r="O26" s="17" t="s">
        <v>1212</v>
      </c>
      <c r="P26" s="17" t="s">
        <v>1967</v>
      </c>
      <c r="Q26" s="17"/>
      <c r="R26" s="17"/>
      <c r="S26" s="17"/>
      <c r="T26" s="17" t="s">
        <v>473</v>
      </c>
      <c r="U26" s="638">
        <v>0.13350000000000001</v>
      </c>
      <c r="V26" s="635">
        <v>55900.188000000002</v>
      </c>
      <c r="W26" s="17"/>
      <c r="X26" s="17"/>
      <c r="Y26" s="40" t="s">
        <v>96</v>
      </c>
      <c r="Z26" s="17">
        <v>1</v>
      </c>
      <c r="AA26" t="str">
        <f>VLOOKUP(Y26,Source!F:F,1,FALSE)</f>
        <v>Dept. of Conservation and Recreation</v>
      </c>
    </row>
    <row r="27" spans="1:27" s="280" customFormat="1">
      <c r="A27" s="17" t="str">
        <f t="shared" si="1"/>
        <v>Dept. of Conservation and Recreation2</v>
      </c>
      <c r="B27" s="681" t="s">
        <v>465</v>
      </c>
      <c r="C27" s="555" t="s">
        <v>293</v>
      </c>
      <c r="D27" s="556" t="s">
        <v>1952</v>
      </c>
      <c r="E27" s="685" t="s">
        <v>1829</v>
      </c>
      <c r="F27" s="689">
        <v>30</v>
      </c>
      <c r="G27" s="703" t="s">
        <v>1900</v>
      </c>
      <c r="H27" s="703" t="s">
        <v>1931</v>
      </c>
      <c r="I27" s="703" t="s">
        <v>471</v>
      </c>
      <c r="J27" s="709">
        <v>2453</v>
      </c>
      <c r="K27" s="717"/>
      <c r="L27" s="724">
        <v>2012</v>
      </c>
      <c r="M27" s="732">
        <v>30</v>
      </c>
      <c r="N27" s="739" t="s">
        <v>516</v>
      </c>
      <c r="O27" s="739" t="s">
        <v>1212</v>
      </c>
      <c r="P27" s="739" t="s">
        <v>750</v>
      </c>
      <c r="Q27" s="275"/>
      <c r="R27" s="275"/>
      <c r="S27" s="275"/>
      <c r="T27" s="739" t="s">
        <v>473</v>
      </c>
      <c r="U27" s="638">
        <v>0.13350000000000001</v>
      </c>
      <c r="V27" s="746">
        <v>35083.800000000003</v>
      </c>
      <c r="W27" s="279"/>
      <c r="X27" s="275"/>
      <c r="Y27" s="40" t="s">
        <v>96</v>
      </c>
      <c r="Z27" s="274">
        <v>2</v>
      </c>
      <c r="AA27" t="str">
        <f>VLOOKUP(Y27,Source!F:F,1,FALSE)</f>
        <v>Dept. of Conservation and Recreation</v>
      </c>
    </row>
    <row r="28" spans="1:27" s="280" customFormat="1">
      <c r="A28" s="17" t="str">
        <f t="shared" si="1"/>
        <v>Dept. of Conservation and Recreation3</v>
      </c>
      <c r="B28" s="260" t="s">
        <v>465</v>
      </c>
      <c r="C28" s="27" t="s">
        <v>293</v>
      </c>
      <c r="D28" s="20" t="s">
        <v>1952</v>
      </c>
      <c r="E28" s="27" t="s">
        <v>514</v>
      </c>
      <c r="F28" s="630">
        <v>29.4</v>
      </c>
      <c r="G28" s="17" t="s">
        <v>515</v>
      </c>
      <c r="H28" s="27" t="s">
        <v>494</v>
      </c>
      <c r="I28" s="17" t="s">
        <v>471</v>
      </c>
      <c r="J28" s="24"/>
      <c r="K28" s="25"/>
      <c r="L28" s="28">
        <v>2012</v>
      </c>
      <c r="M28" s="631">
        <v>31.5</v>
      </c>
      <c r="N28" s="27" t="s">
        <v>516</v>
      </c>
      <c r="O28" s="17" t="s">
        <v>1212</v>
      </c>
      <c r="P28" s="17" t="s">
        <v>750</v>
      </c>
      <c r="Q28" s="275"/>
      <c r="R28" s="275"/>
      <c r="S28" s="275"/>
      <c r="T28" s="17" t="s">
        <v>473</v>
      </c>
      <c r="U28" s="638">
        <v>0.13350000000000001</v>
      </c>
      <c r="V28" s="635">
        <v>36837.990000000005</v>
      </c>
      <c r="W28" s="279"/>
      <c r="X28" s="275"/>
      <c r="Y28" s="40" t="s">
        <v>96</v>
      </c>
      <c r="Z28" s="17">
        <v>3</v>
      </c>
      <c r="AA28" t="str">
        <f>VLOOKUP(Y28,Source!F:F,1,FALSE)</f>
        <v>Dept. of Conservation and Recreation</v>
      </c>
    </row>
    <row r="29" spans="1:27" s="280" customFormat="1">
      <c r="A29" s="17" t="str">
        <f t="shared" si="1"/>
        <v>Dept. of Conservation and Recreation4</v>
      </c>
      <c r="B29" s="260" t="s">
        <v>465</v>
      </c>
      <c r="C29" s="27" t="s">
        <v>293</v>
      </c>
      <c r="D29" s="20"/>
      <c r="E29" s="27" t="s">
        <v>1830</v>
      </c>
      <c r="F29" s="690">
        <v>1</v>
      </c>
      <c r="G29" s="17"/>
      <c r="H29" s="27"/>
      <c r="I29" s="17"/>
      <c r="J29" s="24"/>
      <c r="K29" s="25"/>
      <c r="L29" s="28">
        <v>2019</v>
      </c>
      <c r="M29" s="631"/>
      <c r="N29" s="27" t="s">
        <v>516</v>
      </c>
      <c r="O29" s="17" t="s">
        <v>1212</v>
      </c>
      <c r="P29" s="17" t="s">
        <v>750</v>
      </c>
      <c r="Q29" s="274"/>
      <c r="R29" s="274"/>
      <c r="S29" s="274"/>
      <c r="T29" s="17" t="s">
        <v>473</v>
      </c>
      <c r="U29" s="638">
        <v>0.13350000000000001</v>
      </c>
      <c r="V29" s="635">
        <v>0</v>
      </c>
      <c r="W29" s="274"/>
      <c r="X29" s="274"/>
      <c r="Y29" s="40" t="s">
        <v>96</v>
      </c>
      <c r="Z29" s="274">
        <v>4</v>
      </c>
      <c r="AA29" t="str">
        <f>VLOOKUP(Y29,Source!F:F,1,FALSE)</f>
        <v>Dept. of Conservation and Recreation</v>
      </c>
    </row>
    <row r="30" spans="1:27" s="280" customFormat="1">
      <c r="A30" s="17" t="str">
        <f t="shared" si="1"/>
        <v>Dept. of Conservation and Recreation5</v>
      </c>
      <c r="B30" s="260" t="s">
        <v>465</v>
      </c>
      <c r="C30" s="27" t="s">
        <v>293</v>
      </c>
      <c r="D30" s="20" t="s">
        <v>1952</v>
      </c>
      <c r="E30" s="27" t="s">
        <v>517</v>
      </c>
      <c r="F30" s="630">
        <v>9.6</v>
      </c>
      <c r="G30" s="17" t="s">
        <v>515</v>
      </c>
      <c r="H30" s="27" t="s">
        <v>494</v>
      </c>
      <c r="I30" s="17" t="s">
        <v>471</v>
      </c>
      <c r="J30" s="24"/>
      <c r="K30" s="25"/>
      <c r="L30" s="28">
        <v>2012</v>
      </c>
      <c r="M30" s="631">
        <v>8</v>
      </c>
      <c r="N30" s="27" t="s">
        <v>516</v>
      </c>
      <c r="O30" s="17" t="s">
        <v>1212</v>
      </c>
      <c r="P30" s="17" t="s">
        <v>750</v>
      </c>
      <c r="Q30" s="274"/>
      <c r="R30" s="274"/>
      <c r="S30" s="274"/>
      <c r="T30" s="17" t="s">
        <v>473</v>
      </c>
      <c r="U30" s="638">
        <v>0.13350000000000001</v>
      </c>
      <c r="V30" s="635">
        <v>9355.68</v>
      </c>
      <c r="W30" s="274"/>
      <c r="X30" s="274"/>
      <c r="Y30" s="40" t="s">
        <v>96</v>
      </c>
      <c r="Z30" s="17">
        <v>5</v>
      </c>
      <c r="AA30" t="str">
        <f>VLOOKUP(Y30,Source!F:F,1,FALSE)</f>
        <v>Dept. of Conservation and Recreation</v>
      </c>
    </row>
    <row r="31" spans="1:27" s="280" customFormat="1">
      <c r="A31" s="17" t="str">
        <f t="shared" si="1"/>
        <v>Dept. of Conservation and Recreation6</v>
      </c>
      <c r="B31" s="260" t="s">
        <v>465</v>
      </c>
      <c r="C31" s="27" t="s">
        <v>293</v>
      </c>
      <c r="D31" s="17"/>
      <c r="E31" s="17" t="s">
        <v>1831</v>
      </c>
      <c r="F31" s="636">
        <v>100</v>
      </c>
      <c r="G31" s="620" t="s">
        <v>1901</v>
      </c>
      <c r="H31" s="27" t="s">
        <v>526</v>
      </c>
      <c r="I31" s="23" t="s">
        <v>471</v>
      </c>
      <c r="J31" s="17"/>
      <c r="K31" s="17"/>
      <c r="L31" s="29">
        <v>2016</v>
      </c>
      <c r="M31" s="635">
        <v>100</v>
      </c>
      <c r="N31" s="27" t="s">
        <v>516</v>
      </c>
      <c r="O31" s="17" t="s">
        <v>1212</v>
      </c>
      <c r="P31" s="17" t="s">
        <v>748</v>
      </c>
      <c r="Q31" s="275"/>
      <c r="R31" s="275"/>
      <c r="S31" s="275"/>
      <c r="T31" s="17" t="s">
        <v>473</v>
      </c>
      <c r="U31" s="638">
        <v>0.13350000000000001</v>
      </c>
      <c r="V31" s="635">
        <v>116946</v>
      </c>
      <c r="W31" s="279"/>
      <c r="X31" s="275"/>
      <c r="Y31" s="40" t="s">
        <v>96</v>
      </c>
      <c r="Z31" s="274">
        <v>6</v>
      </c>
      <c r="AA31" t="str">
        <f>VLOOKUP(Y31,Source!F:F,1,FALSE)</f>
        <v>Dept. of Conservation and Recreation</v>
      </c>
    </row>
    <row r="32" spans="1:27" s="280" customFormat="1">
      <c r="A32" s="17" t="str">
        <f t="shared" si="1"/>
        <v>Dept. of Conservation and Recreation7</v>
      </c>
      <c r="B32" s="260" t="s">
        <v>465</v>
      </c>
      <c r="C32" s="27" t="s">
        <v>293</v>
      </c>
      <c r="D32" s="17"/>
      <c r="E32" s="17" t="s">
        <v>1832</v>
      </c>
      <c r="F32" s="691">
        <v>100</v>
      </c>
      <c r="G32" s="17" t="s">
        <v>1902</v>
      </c>
      <c r="H32" s="27" t="s">
        <v>494</v>
      </c>
      <c r="I32" s="23" t="s">
        <v>471</v>
      </c>
      <c r="J32" s="17"/>
      <c r="K32" s="17"/>
      <c r="L32" s="16">
        <v>2023</v>
      </c>
      <c r="M32" s="38">
        <v>100</v>
      </c>
      <c r="N32" s="27" t="s">
        <v>516</v>
      </c>
      <c r="O32" s="17" t="s">
        <v>1212</v>
      </c>
      <c r="P32" s="17" t="s">
        <v>750</v>
      </c>
      <c r="Q32" s="281"/>
      <c r="R32" s="274"/>
      <c r="S32" s="274"/>
      <c r="T32" s="17" t="s">
        <v>473</v>
      </c>
      <c r="U32" s="184">
        <v>0.13350000000000001</v>
      </c>
      <c r="V32" s="38">
        <v>116946</v>
      </c>
      <c r="W32" s="279"/>
      <c r="X32" s="274"/>
      <c r="Y32" s="40" t="s">
        <v>96</v>
      </c>
      <c r="Z32" s="17">
        <v>7</v>
      </c>
      <c r="AA32" t="str">
        <f>VLOOKUP(Y32,Source!F:F,1,FALSE)</f>
        <v>Dept. of Conservation and Recreation</v>
      </c>
    </row>
    <row r="33" spans="1:27" s="280" customFormat="1">
      <c r="A33" s="17" t="str">
        <f t="shared" si="1"/>
        <v>Dept. of Conservation and Recreation8</v>
      </c>
      <c r="B33" s="260" t="s">
        <v>465</v>
      </c>
      <c r="C33" s="27" t="s">
        <v>293</v>
      </c>
      <c r="D33" s="17"/>
      <c r="E33" s="17" t="s">
        <v>1833</v>
      </c>
      <c r="F33" s="691">
        <v>100</v>
      </c>
      <c r="G33" s="17" t="s">
        <v>1903</v>
      </c>
      <c r="H33" s="27" t="s">
        <v>494</v>
      </c>
      <c r="I33" s="23" t="s">
        <v>471</v>
      </c>
      <c r="J33" s="17"/>
      <c r="K33" s="17"/>
      <c r="L33" s="16">
        <v>2023</v>
      </c>
      <c r="M33" s="38">
        <v>100</v>
      </c>
      <c r="N33" s="27" t="s">
        <v>516</v>
      </c>
      <c r="O33" s="17" t="s">
        <v>1212</v>
      </c>
      <c r="P33" s="17" t="s">
        <v>750</v>
      </c>
      <c r="Q33" s="274"/>
      <c r="R33" s="274"/>
      <c r="S33" s="274"/>
      <c r="T33" s="17" t="s">
        <v>473</v>
      </c>
      <c r="U33" s="184">
        <v>0.13350000000000001</v>
      </c>
      <c r="V33" s="38">
        <v>116946</v>
      </c>
      <c r="W33" s="274"/>
      <c r="X33" s="274"/>
      <c r="Y33" s="40" t="s">
        <v>96</v>
      </c>
      <c r="Z33" s="274">
        <v>8</v>
      </c>
      <c r="AA33" t="str">
        <f>VLOOKUP(Y33,Source!F:F,1,FALSE)</f>
        <v>Dept. of Conservation and Recreation</v>
      </c>
    </row>
    <row r="34" spans="1:27" s="280" customFormat="1">
      <c r="A34" s="17" t="str">
        <f t="shared" ref="A34:A65" si="2">Y34&amp;Z34</f>
        <v>Dept. of Conservation and Recreation9</v>
      </c>
      <c r="B34" s="260" t="s">
        <v>465</v>
      </c>
      <c r="C34" s="27" t="s">
        <v>293</v>
      </c>
      <c r="D34" s="20"/>
      <c r="E34" s="27" t="s">
        <v>518</v>
      </c>
      <c r="F34" s="639">
        <v>19</v>
      </c>
      <c r="G34" s="17" t="s">
        <v>519</v>
      </c>
      <c r="H34" s="27" t="s">
        <v>520</v>
      </c>
      <c r="I34" s="17" t="s">
        <v>471</v>
      </c>
      <c r="J34" s="24">
        <v>2536</v>
      </c>
      <c r="K34" s="25"/>
      <c r="L34" s="26">
        <v>2012</v>
      </c>
      <c r="M34" s="733">
        <v>19</v>
      </c>
      <c r="N34" s="27" t="s">
        <v>516</v>
      </c>
      <c r="O34" s="17" t="s">
        <v>1212</v>
      </c>
      <c r="P34" s="17" t="s">
        <v>1967</v>
      </c>
      <c r="Q34" s="275"/>
      <c r="R34" s="275"/>
      <c r="S34" s="275"/>
      <c r="T34" s="17" t="s">
        <v>473</v>
      </c>
      <c r="U34" s="638">
        <v>0.13350000000000001</v>
      </c>
      <c r="V34" s="635">
        <v>22219.74</v>
      </c>
      <c r="W34" s="279"/>
      <c r="X34" s="275"/>
      <c r="Y34" s="40" t="s">
        <v>96</v>
      </c>
      <c r="Z34" s="17">
        <v>9</v>
      </c>
      <c r="AA34" t="str">
        <f>VLOOKUP(Y34,Source!F:F,1,FALSE)</f>
        <v>Dept. of Conservation and Recreation</v>
      </c>
    </row>
    <row r="35" spans="1:27" s="280" customFormat="1">
      <c r="A35" s="17" t="str">
        <f t="shared" si="2"/>
        <v>Dept. of Conservation and Recreation10</v>
      </c>
      <c r="B35" s="260" t="s">
        <v>465</v>
      </c>
      <c r="C35" s="17" t="s">
        <v>293</v>
      </c>
      <c r="D35" s="17"/>
      <c r="E35" s="21" t="s">
        <v>1893</v>
      </c>
      <c r="F35" s="636">
        <v>57.6</v>
      </c>
      <c r="G35" s="20" t="s">
        <v>1925</v>
      </c>
      <c r="H35" s="27" t="s">
        <v>573</v>
      </c>
      <c r="I35" s="23" t="s">
        <v>471</v>
      </c>
      <c r="J35" s="24">
        <v>1607</v>
      </c>
      <c r="K35" s="193">
        <v>45170</v>
      </c>
      <c r="L35" s="29">
        <v>2024</v>
      </c>
      <c r="M35" s="636">
        <v>57.6</v>
      </c>
      <c r="N35" s="17" t="s">
        <v>516</v>
      </c>
      <c r="O35" s="17"/>
      <c r="P35" s="17" t="s">
        <v>750</v>
      </c>
      <c r="Q35" s="17"/>
      <c r="R35" s="17"/>
      <c r="S35" s="17"/>
      <c r="T35" s="17" t="s">
        <v>473</v>
      </c>
      <c r="U35" s="638">
        <v>0.13350000000000001</v>
      </c>
      <c r="V35" s="635">
        <v>67360.896000000008</v>
      </c>
      <c r="W35" s="17"/>
      <c r="X35" s="17"/>
      <c r="Y35" s="555" t="s">
        <v>96</v>
      </c>
      <c r="Z35" s="274">
        <v>10</v>
      </c>
      <c r="AA35" t="str">
        <f>VLOOKUP(Y35,Source!F:F,1,FALSE)</f>
        <v>Dept. of Conservation and Recreation</v>
      </c>
    </row>
    <row r="36" spans="1:27" s="280" customFormat="1">
      <c r="A36" s="17" t="str">
        <f t="shared" si="2"/>
        <v>Dept. of Correction1</v>
      </c>
      <c r="B36" s="260" t="s">
        <v>486</v>
      </c>
      <c r="C36" s="27" t="s">
        <v>487</v>
      </c>
      <c r="D36" s="20"/>
      <c r="E36" s="555" t="s">
        <v>1834</v>
      </c>
      <c r="F36" s="630">
        <v>1400</v>
      </c>
      <c r="G36" s="260" t="s">
        <v>528</v>
      </c>
      <c r="H36" s="27" t="s">
        <v>484</v>
      </c>
      <c r="I36" s="17" t="s">
        <v>471</v>
      </c>
      <c r="J36" s="24">
        <v>2324</v>
      </c>
      <c r="K36" s="25"/>
      <c r="L36" s="28">
        <v>2010</v>
      </c>
      <c r="M36" s="630">
        <v>1400</v>
      </c>
      <c r="N36" s="30" t="s">
        <v>529</v>
      </c>
      <c r="O36" s="743"/>
      <c r="P36" s="743"/>
      <c r="Q36" s="275"/>
      <c r="R36" s="275"/>
      <c r="S36" s="275"/>
      <c r="T36" s="17" t="s">
        <v>473</v>
      </c>
      <c r="U36" s="17"/>
      <c r="V36" s="17"/>
      <c r="W36" s="279"/>
      <c r="X36" s="275"/>
      <c r="Y36" s="279" t="s">
        <v>97</v>
      </c>
      <c r="Z36" s="274">
        <v>1</v>
      </c>
      <c r="AA36" t="str">
        <f>VLOOKUP(Y36,Source!F:F,1,FALSE)</f>
        <v>Dept. of Correction</v>
      </c>
    </row>
    <row r="37" spans="1:27" s="280" customFormat="1">
      <c r="A37" s="17" t="str">
        <f t="shared" si="2"/>
        <v>Dept. of Correction2</v>
      </c>
      <c r="B37" s="260" t="s">
        <v>465</v>
      </c>
      <c r="C37" s="27" t="s">
        <v>293</v>
      </c>
      <c r="D37" s="20"/>
      <c r="E37" s="555" t="s">
        <v>546</v>
      </c>
      <c r="F37" s="630">
        <v>4</v>
      </c>
      <c r="G37" s="260" t="s">
        <v>547</v>
      </c>
      <c r="H37" s="27" t="s">
        <v>548</v>
      </c>
      <c r="I37" s="17" t="s">
        <v>471</v>
      </c>
      <c r="J37" s="710">
        <v>1702</v>
      </c>
      <c r="K37" s="25"/>
      <c r="L37" s="28">
        <v>2008</v>
      </c>
      <c r="M37" s="17">
        <v>4</v>
      </c>
      <c r="N37" s="27" t="s">
        <v>529</v>
      </c>
      <c r="O37" s="17" t="s">
        <v>1212</v>
      </c>
      <c r="P37" s="17" t="s">
        <v>1967</v>
      </c>
      <c r="Q37" s="275"/>
      <c r="R37" s="275"/>
      <c r="S37" s="275"/>
      <c r="T37" s="17" t="s">
        <v>473</v>
      </c>
      <c r="U37" s="638">
        <v>0.13350000000000001</v>
      </c>
      <c r="V37" s="635">
        <v>4677.84</v>
      </c>
      <c r="W37" s="279"/>
      <c r="X37" s="275"/>
      <c r="Y37" s="279" t="s">
        <v>97</v>
      </c>
      <c r="Z37" s="274">
        <v>2</v>
      </c>
      <c r="AA37" t="str">
        <f>VLOOKUP(Y37,Source!F:F,1,FALSE)</f>
        <v>Dept. of Correction</v>
      </c>
    </row>
    <row r="38" spans="1:27" s="280" customFormat="1">
      <c r="A38" s="17" t="str">
        <f t="shared" si="2"/>
        <v>Dept. of Correction3</v>
      </c>
      <c r="B38" s="260" t="s">
        <v>465</v>
      </c>
      <c r="C38" s="27" t="s">
        <v>293</v>
      </c>
      <c r="D38" s="20"/>
      <c r="E38" s="27" t="s">
        <v>1835</v>
      </c>
      <c r="F38" s="630">
        <v>56.4</v>
      </c>
      <c r="G38" s="260" t="s">
        <v>549</v>
      </c>
      <c r="H38" s="27" t="s">
        <v>548</v>
      </c>
      <c r="I38" s="17" t="s">
        <v>471</v>
      </c>
      <c r="J38" s="710">
        <v>1702</v>
      </c>
      <c r="K38" s="25"/>
      <c r="L38" s="28">
        <v>2008</v>
      </c>
      <c r="M38" s="17">
        <v>72</v>
      </c>
      <c r="N38" s="27" t="s">
        <v>529</v>
      </c>
      <c r="O38" s="17" t="s">
        <v>1212</v>
      </c>
      <c r="P38" s="17" t="s">
        <v>1967</v>
      </c>
      <c r="Q38" s="274"/>
      <c r="R38" s="274"/>
      <c r="S38" s="275"/>
      <c r="T38" s="17" t="s">
        <v>473</v>
      </c>
      <c r="U38" s="638">
        <v>0.13350000000000001</v>
      </c>
      <c r="V38" s="635">
        <v>84201.12000000001</v>
      </c>
      <c r="W38" s="279"/>
      <c r="X38" s="274"/>
      <c r="Y38" s="279" t="s">
        <v>97</v>
      </c>
      <c r="Z38" s="274">
        <v>3</v>
      </c>
      <c r="AA38" t="str">
        <f>VLOOKUP(Y38,Source!F:F,1,FALSE)</f>
        <v>Dept. of Correction</v>
      </c>
    </row>
    <row r="39" spans="1:27">
      <c r="A39" s="17" t="str">
        <f t="shared" si="2"/>
        <v>Dept. of Correction4</v>
      </c>
      <c r="B39" s="260" t="s">
        <v>465</v>
      </c>
      <c r="C39" s="27" t="s">
        <v>296</v>
      </c>
      <c r="D39" s="20" t="s">
        <v>550</v>
      </c>
      <c r="E39" s="27" t="s">
        <v>551</v>
      </c>
      <c r="F39" s="630">
        <v>3300</v>
      </c>
      <c r="G39" s="17" t="s">
        <v>552</v>
      </c>
      <c r="H39" s="27" t="s">
        <v>553</v>
      </c>
      <c r="I39" s="33" t="s">
        <v>471</v>
      </c>
      <c r="J39" s="24">
        <v>1440</v>
      </c>
      <c r="K39" s="25">
        <v>41306</v>
      </c>
      <c r="L39" s="28">
        <v>2012</v>
      </c>
      <c r="M39" s="17">
        <v>72</v>
      </c>
      <c r="N39" s="27" t="s">
        <v>529</v>
      </c>
      <c r="O39" s="17"/>
      <c r="P39" s="17"/>
      <c r="Q39" s="274"/>
      <c r="R39" s="274"/>
      <c r="S39" s="274"/>
      <c r="T39" s="17" t="s">
        <v>473</v>
      </c>
      <c r="U39" s="743">
        <v>0.26</v>
      </c>
      <c r="V39" s="635">
        <v>163987.20000000001</v>
      </c>
      <c r="W39" s="274"/>
      <c r="X39" s="274"/>
      <c r="Y39" s="279" t="s">
        <v>97</v>
      </c>
      <c r="Z39" s="274">
        <v>4</v>
      </c>
      <c r="AA39" t="str">
        <f>VLOOKUP(Y39,Source!F:F,1,FALSE)</f>
        <v>Dept. of Correction</v>
      </c>
    </row>
    <row r="40" spans="1:27">
      <c r="A40" s="17" t="str">
        <f t="shared" si="2"/>
        <v>Dept. of Correction5</v>
      </c>
      <c r="B40" s="260" t="s">
        <v>465</v>
      </c>
      <c r="C40" s="17" t="s">
        <v>293</v>
      </c>
      <c r="D40" s="20" t="s">
        <v>554</v>
      </c>
      <c r="E40" s="770" t="s">
        <v>555</v>
      </c>
      <c r="F40" s="630">
        <v>80.5</v>
      </c>
      <c r="G40" s="32" t="s">
        <v>556</v>
      </c>
      <c r="H40" s="32" t="s">
        <v>532</v>
      </c>
      <c r="I40" s="23" t="s">
        <v>471</v>
      </c>
      <c r="J40" s="710">
        <v>2056</v>
      </c>
      <c r="K40" s="25">
        <v>40589</v>
      </c>
      <c r="L40" s="28">
        <v>2011</v>
      </c>
      <c r="M40" s="631">
        <v>80.5</v>
      </c>
      <c r="N40" s="27" t="s">
        <v>529</v>
      </c>
      <c r="O40" s="17" t="s">
        <v>1212</v>
      </c>
      <c r="P40" s="17" t="s">
        <v>1967</v>
      </c>
      <c r="Q40" s="17"/>
      <c r="R40" s="17"/>
      <c r="S40" s="17"/>
      <c r="T40" s="17" t="s">
        <v>473</v>
      </c>
      <c r="U40" s="638">
        <v>0.13350000000000001</v>
      </c>
      <c r="V40" s="635">
        <v>94141.53</v>
      </c>
      <c r="W40" s="17"/>
      <c r="X40" s="17"/>
      <c r="Y40" s="27" t="s">
        <v>97</v>
      </c>
      <c r="Z40" s="274">
        <v>5</v>
      </c>
      <c r="AA40" t="str">
        <f>VLOOKUP(Y40,Source!F:F,1,FALSE)</f>
        <v>Dept. of Correction</v>
      </c>
    </row>
    <row r="41" spans="1:27">
      <c r="A41" s="17" t="str">
        <f t="shared" si="2"/>
        <v>Dept. of Correction6</v>
      </c>
      <c r="B41" s="260" t="s">
        <v>465</v>
      </c>
      <c r="C41" s="17" t="s">
        <v>293</v>
      </c>
      <c r="D41" s="20" t="s">
        <v>536</v>
      </c>
      <c r="E41" s="770" t="s">
        <v>537</v>
      </c>
      <c r="F41" s="630">
        <v>103.04</v>
      </c>
      <c r="G41" s="32" t="s">
        <v>538</v>
      </c>
      <c r="H41" s="32" t="s">
        <v>539</v>
      </c>
      <c r="I41" s="23" t="s">
        <v>471</v>
      </c>
      <c r="J41" s="710">
        <v>2071</v>
      </c>
      <c r="K41" s="25">
        <v>40736</v>
      </c>
      <c r="L41" s="28">
        <v>2011</v>
      </c>
      <c r="M41" s="631">
        <v>103.04</v>
      </c>
      <c r="N41" s="27" t="s">
        <v>529</v>
      </c>
      <c r="O41" s="17" t="s">
        <v>1212</v>
      </c>
      <c r="P41" s="17" t="s">
        <v>750</v>
      </c>
      <c r="Q41" s="17"/>
      <c r="R41" s="17"/>
      <c r="S41" s="17"/>
      <c r="T41" s="17" t="s">
        <v>473</v>
      </c>
      <c r="U41" s="638">
        <v>0.13350000000000001</v>
      </c>
      <c r="V41" s="635">
        <v>120501.15840000001</v>
      </c>
      <c r="W41" s="17"/>
      <c r="X41" s="17"/>
      <c r="Y41" s="27" t="s">
        <v>97</v>
      </c>
      <c r="Z41" s="274">
        <v>6</v>
      </c>
      <c r="AA41" t="str">
        <f>VLOOKUP(Y41,Source!F:F,1,FALSE)</f>
        <v>Dept. of Correction</v>
      </c>
    </row>
    <row r="42" spans="1:27">
      <c r="A42" s="17" t="str">
        <f t="shared" si="2"/>
        <v>Dept. of Correction7</v>
      </c>
      <c r="B42" s="260" t="s">
        <v>465</v>
      </c>
      <c r="C42" s="17" t="s">
        <v>293</v>
      </c>
      <c r="D42" s="20" t="s">
        <v>557</v>
      </c>
      <c r="E42" s="770" t="s">
        <v>558</v>
      </c>
      <c r="F42" s="630">
        <v>154.6</v>
      </c>
      <c r="G42" s="32" t="s">
        <v>531</v>
      </c>
      <c r="H42" s="32" t="s">
        <v>532</v>
      </c>
      <c r="I42" s="23" t="s">
        <v>471</v>
      </c>
      <c r="J42" s="710">
        <v>2056</v>
      </c>
      <c r="K42" s="25">
        <v>40623</v>
      </c>
      <c r="L42" s="28">
        <v>2011</v>
      </c>
      <c r="M42" s="631">
        <v>154.6</v>
      </c>
      <c r="N42" s="27" t="s">
        <v>529</v>
      </c>
      <c r="O42" s="17" t="s">
        <v>1212</v>
      </c>
      <c r="P42" s="17" t="s">
        <v>1967</v>
      </c>
      <c r="Q42" s="17"/>
      <c r="R42" s="17"/>
      <c r="S42" s="17"/>
      <c r="T42" s="17" t="s">
        <v>473</v>
      </c>
      <c r="U42" s="638">
        <v>0.13350000000000001</v>
      </c>
      <c r="V42" s="635">
        <v>180798.516</v>
      </c>
      <c r="W42" s="17"/>
      <c r="X42" s="17"/>
      <c r="Y42" s="27" t="s">
        <v>97</v>
      </c>
      <c r="Z42" s="274">
        <v>7</v>
      </c>
      <c r="AA42" t="str">
        <f>VLOOKUP(Y42,Source!F:F,1,FALSE)</f>
        <v>Dept. of Correction</v>
      </c>
    </row>
    <row r="43" spans="1:27">
      <c r="A43" s="17" t="str">
        <f t="shared" si="2"/>
        <v>Dept. of Correction8</v>
      </c>
      <c r="B43" s="260" t="s">
        <v>465</v>
      </c>
      <c r="C43" s="17" t="s">
        <v>293</v>
      </c>
      <c r="D43" s="20" t="s">
        <v>541</v>
      </c>
      <c r="E43" s="770" t="s">
        <v>542</v>
      </c>
      <c r="F43" s="630">
        <v>103.03</v>
      </c>
      <c r="G43" s="32" t="s">
        <v>543</v>
      </c>
      <c r="H43" s="32" t="s">
        <v>526</v>
      </c>
      <c r="I43" s="23" t="s">
        <v>471</v>
      </c>
      <c r="J43" s="24">
        <v>1742</v>
      </c>
      <c r="K43" s="25">
        <v>40515</v>
      </c>
      <c r="L43" s="28">
        <v>2011</v>
      </c>
      <c r="M43" s="631">
        <v>103.03</v>
      </c>
      <c r="N43" s="27" t="s">
        <v>529</v>
      </c>
      <c r="O43" s="17" t="s">
        <v>1212</v>
      </c>
      <c r="P43" s="17" t="s">
        <v>1967</v>
      </c>
      <c r="Q43" s="17"/>
      <c r="R43" s="17"/>
      <c r="S43" s="17"/>
      <c r="T43" s="17" t="s">
        <v>473</v>
      </c>
      <c r="U43" s="638">
        <v>0.13350000000000001</v>
      </c>
      <c r="V43" s="635">
        <v>120489.46380000001</v>
      </c>
      <c r="W43" s="17"/>
      <c r="X43" s="17"/>
      <c r="Y43" s="27" t="s">
        <v>97</v>
      </c>
      <c r="Z43" s="274">
        <v>8</v>
      </c>
      <c r="AA43" t="str">
        <f>VLOOKUP(Y43,Source!F:F,1,FALSE)</f>
        <v>Dept. of Correction</v>
      </c>
    </row>
    <row r="44" spans="1:27">
      <c r="A44" s="17" t="str">
        <f t="shared" si="2"/>
        <v>Dept. of Correction9</v>
      </c>
      <c r="B44" s="260" t="s">
        <v>465</v>
      </c>
      <c r="C44" s="17" t="s">
        <v>293</v>
      </c>
      <c r="D44" s="20" t="s">
        <v>533</v>
      </c>
      <c r="E44" s="770" t="s">
        <v>1978</v>
      </c>
      <c r="F44" s="630">
        <v>206</v>
      </c>
      <c r="G44" s="32" t="s">
        <v>534</v>
      </c>
      <c r="H44" s="32" t="s">
        <v>535</v>
      </c>
      <c r="I44" s="23" t="s">
        <v>471</v>
      </c>
      <c r="J44" s="24">
        <v>1464</v>
      </c>
      <c r="K44" s="25">
        <v>40688</v>
      </c>
      <c r="L44" s="28">
        <v>2011</v>
      </c>
      <c r="M44" s="631">
        <v>206</v>
      </c>
      <c r="N44" s="27" t="s">
        <v>529</v>
      </c>
      <c r="O44" s="17" t="s">
        <v>1212</v>
      </c>
      <c r="P44" s="17" t="s">
        <v>1967</v>
      </c>
      <c r="Q44" s="17"/>
      <c r="R44" s="17"/>
      <c r="S44" s="17"/>
      <c r="T44" s="17" t="s">
        <v>473</v>
      </c>
      <c r="U44" s="638">
        <v>0.13350000000000001</v>
      </c>
      <c r="V44" s="635">
        <v>240908.76</v>
      </c>
      <c r="W44" s="17"/>
      <c r="X44" s="17"/>
      <c r="Y44" s="27" t="s">
        <v>97</v>
      </c>
      <c r="Z44" s="274">
        <v>9</v>
      </c>
      <c r="AA44" t="str">
        <f>VLOOKUP(Y44,Source!F:F,1,FALSE)</f>
        <v>Dept. of Correction</v>
      </c>
    </row>
    <row r="45" spans="1:27">
      <c r="A45" s="17" t="str">
        <f t="shared" si="2"/>
        <v>Dept. of Correction10</v>
      </c>
      <c r="B45" s="260" t="s">
        <v>465</v>
      </c>
      <c r="C45" s="27" t="s">
        <v>293</v>
      </c>
      <c r="D45" s="20"/>
      <c r="E45" s="555" t="s">
        <v>527</v>
      </c>
      <c r="F45" s="692">
        <v>112</v>
      </c>
      <c r="G45" s="260" t="s">
        <v>528</v>
      </c>
      <c r="H45" s="27" t="s">
        <v>484</v>
      </c>
      <c r="I45" s="17" t="s">
        <v>471</v>
      </c>
      <c r="J45" s="24">
        <v>2324</v>
      </c>
      <c r="K45" s="25"/>
      <c r="L45" s="28">
        <v>2008</v>
      </c>
      <c r="M45" s="17">
        <v>112</v>
      </c>
      <c r="N45" s="27" t="s">
        <v>529</v>
      </c>
      <c r="O45" s="17" t="s">
        <v>1212</v>
      </c>
      <c r="P45" s="17" t="s">
        <v>1967</v>
      </c>
      <c r="Q45" s="17"/>
      <c r="R45" s="17"/>
      <c r="S45" s="17"/>
      <c r="T45" s="17" t="s">
        <v>473</v>
      </c>
      <c r="U45" s="638">
        <v>0.13350000000000001</v>
      </c>
      <c r="V45" s="635">
        <v>130979.52</v>
      </c>
      <c r="W45" s="17"/>
      <c r="X45" s="17"/>
      <c r="Y45" s="27" t="s">
        <v>97</v>
      </c>
      <c r="Z45" s="274">
        <v>10</v>
      </c>
      <c r="AA45" t="str">
        <f>VLOOKUP(Y45,Source!F:F,1,FALSE)</f>
        <v>Dept. of Correction</v>
      </c>
    </row>
    <row r="46" spans="1:27" s="280" customFormat="1">
      <c r="A46" s="17" t="str">
        <f t="shared" si="2"/>
        <v>Dept. of Correction11</v>
      </c>
      <c r="B46" s="260" t="s">
        <v>465</v>
      </c>
      <c r="C46" s="27" t="s">
        <v>293</v>
      </c>
      <c r="D46" s="20"/>
      <c r="E46" s="555" t="s">
        <v>1979</v>
      </c>
      <c r="F46" s="630">
        <v>61</v>
      </c>
      <c r="G46" s="260" t="s">
        <v>540</v>
      </c>
      <c r="H46" s="27" t="s">
        <v>539</v>
      </c>
      <c r="I46" s="17" t="s">
        <v>471</v>
      </c>
      <c r="J46" s="24">
        <v>2081</v>
      </c>
      <c r="K46" s="25"/>
      <c r="L46" s="28">
        <v>2008</v>
      </c>
      <c r="M46" s="17">
        <v>61</v>
      </c>
      <c r="N46" s="27" t="s">
        <v>529</v>
      </c>
      <c r="O46" s="17" t="s">
        <v>1212</v>
      </c>
      <c r="P46" s="17" t="s">
        <v>750</v>
      </c>
      <c r="Q46" s="17"/>
      <c r="R46" s="17"/>
      <c r="S46" s="17"/>
      <c r="T46" s="17" t="s">
        <v>473</v>
      </c>
      <c r="U46" s="638">
        <v>0.13350000000000001</v>
      </c>
      <c r="V46" s="635">
        <v>71337.06</v>
      </c>
      <c r="W46" s="17"/>
      <c r="X46" s="17"/>
      <c r="Y46" s="27" t="s">
        <v>97</v>
      </c>
      <c r="Z46" s="274">
        <v>11</v>
      </c>
      <c r="AA46" t="str">
        <f>VLOOKUP(Y46,Source!F:F,1,FALSE)</f>
        <v>Dept. of Correction</v>
      </c>
    </row>
    <row r="47" spans="1:27" s="280" customFormat="1">
      <c r="A47" s="17" t="str">
        <f t="shared" si="2"/>
        <v>Dept. of Correction12</v>
      </c>
      <c r="B47" s="260" t="s">
        <v>465</v>
      </c>
      <c r="C47" s="27" t="s">
        <v>293</v>
      </c>
      <c r="D47" s="20"/>
      <c r="E47" s="555" t="s">
        <v>544</v>
      </c>
      <c r="F47" s="630">
        <v>60</v>
      </c>
      <c r="G47" s="260" t="s">
        <v>545</v>
      </c>
      <c r="H47" s="27" t="s">
        <v>526</v>
      </c>
      <c r="I47" s="17" t="s">
        <v>471</v>
      </c>
      <c r="J47" s="24">
        <v>1742</v>
      </c>
      <c r="K47" s="25"/>
      <c r="L47" s="28">
        <v>2008</v>
      </c>
      <c r="M47" s="17">
        <v>60</v>
      </c>
      <c r="N47" s="27" t="s">
        <v>529</v>
      </c>
      <c r="O47" s="17" t="s">
        <v>1212</v>
      </c>
      <c r="P47" s="17" t="s">
        <v>1967</v>
      </c>
      <c r="Q47" s="17"/>
      <c r="R47" s="17"/>
      <c r="S47" s="17"/>
      <c r="T47" s="17" t="s">
        <v>473</v>
      </c>
      <c r="U47" s="638">
        <v>0.13350000000000001</v>
      </c>
      <c r="V47" s="635">
        <v>70167.600000000006</v>
      </c>
      <c r="W47" s="17"/>
      <c r="X47" s="17"/>
      <c r="Y47" s="27" t="s">
        <v>97</v>
      </c>
      <c r="Z47" s="274">
        <v>12</v>
      </c>
      <c r="AA47" t="str">
        <f>VLOOKUP(Y47,Source!F:F,1,FALSE)</f>
        <v>Dept. of Correction</v>
      </c>
    </row>
    <row r="48" spans="1:27" s="280" customFormat="1">
      <c r="A48" s="17" t="str">
        <f t="shared" si="2"/>
        <v>Dept. of Correction13</v>
      </c>
      <c r="B48" s="260" t="s">
        <v>465</v>
      </c>
      <c r="C48" s="27" t="s">
        <v>293</v>
      </c>
      <c r="D48" s="20"/>
      <c r="E48" s="555" t="s">
        <v>530</v>
      </c>
      <c r="F48" s="630">
        <v>103</v>
      </c>
      <c r="G48" s="260" t="s">
        <v>1977</v>
      </c>
      <c r="H48" s="27" t="s">
        <v>532</v>
      </c>
      <c r="I48" s="17" t="s">
        <v>471</v>
      </c>
      <c r="J48" s="710">
        <v>2056</v>
      </c>
      <c r="K48" s="25"/>
      <c r="L48" s="28">
        <v>2008</v>
      </c>
      <c r="M48" s="17">
        <v>106</v>
      </c>
      <c r="N48" s="27" t="s">
        <v>529</v>
      </c>
      <c r="O48" s="17" t="s">
        <v>1212</v>
      </c>
      <c r="P48" s="17" t="s">
        <v>1967</v>
      </c>
      <c r="Q48" s="17"/>
      <c r="R48" s="17"/>
      <c r="S48" s="17"/>
      <c r="T48" s="17" t="s">
        <v>473</v>
      </c>
      <c r="U48" s="638">
        <v>0.13350000000000001</v>
      </c>
      <c r="V48" s="635">
        <v>123962.76000000001</v>
      </c>
      <c r="W48" s="17"/>
      <c r="X48" s="17"/>
      <c r="Y48" s="27" t="s">
        <v>97</v>
      </c>
      <c r="Z48" s="274">
        <v>13</v>
      </c>
      <c r="AA48" t="str">
        <f>VLOOKUP(Y48,Source!F:F,1,FALSE)</f>
        <v>Dept. of Correction</v>
      </c>
    </row>
    <row r="49" spans="1:27" s="280" customFormat="1">
      <c r="A49" s="17" t="str">
        <f t="shared" si="2"/>
        <v>Dept. of Developmental Services1</v>
      </c>
      <c r="B49" s="260" t="s">
        <v>465</v>
      </c>
      <c r="C49" s="27" t="s">
        <v>293</v>
      </c>
      <c r="D49" s="20" t="s">
        <v>563</v>
      </c>
      <c r="E49" s="27" t="s">
        <v>560</v>
      </c>
      <c r="F49" s="630">
        <v>501.6</v>
      </c>
      <c r="G49" s="17" t="s">
        <v>561</v>
      </c>
      <c r="H49" s="27" t="s">
        <v>562</v>
      </c>
      <c r="I49" s="17" t="s">
        <v>471</v>
      </c>
      <c r="J49" s="24">
        <v>2093</v>
      </c>
      <c r="K49" s="25">
        <v>41338</v>
      </c>
      <c r="L49" s="28">
        <v>2013</v>
      </c>
      <c r="M49" s="631">
        <v>501.6</v>
      </c>
      <c r="N49" s="17" t="s">
        <v>513</v>
      </c>
      <c r="O49" s="17" t="s">
        <v>1212</v>
      </c>
      <c r="P49" s="17" t="s">
        <v>1967</v>
      </c>
      <c r="Q49" s="274"/>
      <c r="R49" s="274"/>
      <c r="S49" s="274"/>
      <c r="T49" s="17" t="s">
        <v>473</v>
      </c>
      <c r="U49" s="638">
        <v>0.13350000000000001</v>
      </c>
      <c r="V49" s="635">
        <v>586601.13600000006</v>
      </c>
      <c r="W49" s="274"/>
      <c r="X49" s="274"/>
      <c r="Y49" s="21" t="s">
        <v>105</v>
      </c>
      <c r="Z49" s="274">
        <v>1</v>
      </c>
      <c r="AA49" t="str">
        <f>VLOOKUP(Y49,Source!F:F,1,FALSE)</f>
        <v>Dept. of Developmental Services</v>
      </c>
    </row>
    <row r="50" spans="1:27" s="280" customFormat="1">
      <c r="A50" s="17" t="str">
        <f t="shared" si="2"/>
        <v>Dept. of Developmental Services2</v>
      </c>
      <c r="B50" s="260" t="s">
        <v>486</v>
      </c>
      <c r="C50" s="27" t="s">
        <v>487</v>
      </c>
      <c r="D50" s="20" t="s">
        <v>559</v>
      </c>
      <c r="E50" s="27" t="s">
        <v>560</v>
      </c>
      <c r="F50" s="630">
        <v>625</v>
      </c>
      <c r="G50" s="17" t="s">
        <v>561</v>
      </c>
      <c r="H50" s="260" t="s">
        <v>562</v>
      </c>
      <c r="I50" s="17" t="s">
        <v>471</v>
      </c>
      <c r="J50" s="24">
        <v>2093</v>
      </c>
      <c r="K50" s="25">
        <v>41244</v>
      </c>
      <c r="L50" s="28">
        <v>2012</v>
      </c>
      <c r="M50" s="630">
        <v>625</v>
      </c>
      <c r="N50" s="30" t="s">
        <v>513</v>
      </c>
      <c r="O50" s="743"/>
      <c r="P50" s="743"/>
      <c r="Q50" s="37"/>
      <c r="R50" s="17"/>
      <c r="S50" s="17"/>
      <c r="T50" s="17" t="s">
        <v>473</v>
      </c>
      <c r="U50" s="17"/>
      <c r="V50" s="17"/>
      <c r="W50" s="27"/>
      <c r="X50" s="17"/>
      <c r="Y50" s="21" t="s">
        <v>105</v>
      </c>
      <c r="Z50" s="17">
        <v>2</v>
      </c>
      <c r="AA50" t="str">
        <f>VLOOKUP(Y50,Source!F:F,1,FALSE)</f>
        <v>Dept. of Developmental Services</v>
      </c>
    </row>
    <row r="51" spans="1:27" s="629" customFormat="1">
      <c r="A51" s="17" t="str">
        <f t="shared" si="2"/>
        <v>Dept. of Fire Services1</v>
      </c>
      <c r="B51" s="260" t="s">
        <v>465</v>
      </c>
      <c r="C51" s="27" t="s">
        <v>293</v>
      </c>
      <c r="D51" s="20"/>
      <c r="E51" s="27" t="s">
        <v>564</v>
      </c>
      <c r="F51" s="630">
        <v>72</v>
      </c>
      <c r="G51" s="260" t="s">
        <v>565</v>
      </c>
      <c r="H51" s="27" t="s">
        <v>566</v>
      </c>
      <c r="I51" s="17" t="s">
        <v>471</v>
      </c>
      <c r="J51" s="24">
        <v>1775</v>
      </c>
      <c r="K51" s="25"/>
      <c r="L51" s="28">
        <v>2010</v>
      </c>
      <c r="M51" s="631">
        <v>72</v>
      </c>
      <c r="N51" s="27" t="s">
        <v>516</v>
      </c>
      <c r="O51" s="17" t="s">
        <v>1212</v>
      </c>
      <c r="P51" s="260" t="s">
        <v>750</v>
      </c>
      <c r="Q51" s="17"/>
      <c r="R51" s="17"/>
      <c r="S51" s="17"/>
      <c r="T51" s="17" t="s">
        <v>473</v>
      </c>
      <c r="U51" s="638">
        <v>0.13350000000000001</v>
      </c>
      <c r="V51" s="635">
        <v>84201.12000000001</v>
      </c>
      <c r="W51" s="17"/>
      <c r="X51" s="17"/>
      <c r="Y51" s="279" t="s">
        <v>106</v>
      </c>
      <c r="Z51" s="17">
        <v>1</v>
      </c>
      <c r="AA51" t="str">
        <f>VLOOKUP(Y51,Source!F:F,1,FALSE)</f>
        <v>Dept. of Fire Services</v>
      </c>
    </row>
    <row r="52" spans="1:27" s="280" customFormat="1">
      <c r="A52" s="17" t="str">
        <f t="shared" si="2"/>
        <v>Dept. of Fish &amp; Game1</v>
      </c>
      <c r="B52" s="260" t="s">
        <v>465</v>
      </c>
      <c r="C52" s="27" t="s">
        <v>293</v>
      </c>
      <c r="D52" s="17"/>
      <c r="E52" s="17" t="s">
        <v>567</v>
      </c>
      <c r="F52" s="636">
        <v>294</v>
      </c>
      <c r="G52" s="17" t="s">
        <v>568</v>
      </c>
      <c r="H52" s="17" t="s">
        <v>569</v>
      </c>
      <c r="I52" s="17" t="s">
        <v>471</v>
      </c>
      <c r="J52" s="17"/>
      <c r="K52" s="17"/>
      <c r="L52" s="29">
        <v>2015</v>
      </c>
      <c r="M52" s="635">
        <v>294</v>
      </c>
      <c r="N52" s="30" t="s">
        <v>1944</v>
      </c>
      <c r="O52" s="17" t="s">
        <v>1212</v>
      </c>
      <c r="P52" s="17" t="s">
        <v>750</v>
      </c>
      <c r="Q52" s="17"/>
      <c r="R52" s="17"/>
      <c r="S52" s="260"/>
      <c r="T52" s="17" t="s">
        <v>473</v>
      </c>
      <c r="U52" s="638">
        <v>0.13350000000000001</v>
      </c>
      <c r="V52" s="635">
        <v>343821.24</v>
      </c>
      <c r="W52" s="27"/>
      <c r="X52" s="260"/>
      <c r="Y52" s="279" t="s">
        <v>1970</v>
      </c>
      <c r="Z52" s="17">
        <v>1</v>
      </c>
      <c r="AA52" t="e">
        <f>VLOOKUP(Y52,Source!F:F,1,FALSE)</f>
        <v>#N/A</v>
      </c>
    </row>
    <row r="53" spans="1:27">
      <c r="A53" s="17" t="str">
        <f t="shared" si="2"/>
        <v>Dept. of Mental Health1</v>
      </c>
      <c r="B53" s="260" t="s">
        <v>486</v>
      </c>
      <c r="C53" s="27" t="s">
        <v>487</v>
      </c>
      <c r="D53" s="20" t="s">
        <v>570</v>
      </c>
      <c r="E53" s="34" t="s">
        <v>571</v>
      </c>
      <c r="F53" s="630">
        <v>250</v>
      </c>
      <c r="G53" s="20" t="s">
        <v>572</v>
      </c>
      <c r="H53" s="27" t="s">
        <v>573</v>
      </c>
      <c r="I53" s="17" t="s">
        <v>471</v>
      </c>
      <c r="J53" s="24">
        <v>1602</v>
      </c>
      <c r="K53" s="25">
        <v>41183</v>
      </c>
      <c r="L53" s="28">
        <v>2013</v>
      </c>
      <c r="M53" s="636">
        <v>250</v>
      </c>
      <c r="N53" s="17" t="s">
        <v>513</v>
      </c>
      <c r="O53" s="17"/>
      <c r="P53" s="17"/>
      <c r="Q53" s="17"/>
      <c r="R53" s="17"/>
      <c r="S53" s="260"/>
      <c r="T53" s="17" t="s">
        <v>473</v>
      </c>
      <c r="U53" s="17"/>
      <c r="V53" s="17"/>
      <c r="W53" s="27"/>
      <c r="X53" s="260"/>
      <c r="Y53" s="779" t="s">
        <v>108</v>
      </c>
      <c r="Z53" s="260">
        <v>1</v>
      </c>
      <c r="AA53" t="str">
        <f>VLOOKUP(Y53,Source!F:F,1,FALSE)</f>
        <v>Dept. of Mental Health</v>
      </c>
    </row>
    <row r="54" spans="1:27">
      <c r="A54" s="17" t="str">
        <f t="shared" si="2"/>
        <v>Dept. of Youth Services1</v>
      </c>
      <c r="B54" s="260" t="s">
        <v>465</v>
      </c>
      <c r="C54" s="17" t="s">
        <v>293</v>
      </c>
      <c r="D54" s="20"/>
      <c r="E54" s="34" t="s">
        <v>1836</v>
      </c>
      <c r="F54" s="630">
        <v>100</v>
      </c>
      <c r="G54" s="20" t="s">
        <v>1904</v>
      </c>
      <c r="H54" s="27" t="s">
        <v>1932</v>
      </c>
      <c r="I54" s="17" t="s">
        <v>471</v>
      </c>
      <c r="J54" s="24">
        <v>1949</v>
      </c>
      <c r="K54" s="25"/>
      <c r="L54" s="28">
        <v>2021</v>
      </c>
      <c r="M54" s="636">
        <v>100</v>
      </c>
      <c r="N54" s="17" t="s">
        <v>1945</v>
      </c>
      <c r="O54" s="17" t="s">
        <v>1212</v>
      </c>
      <c r="P54" s="17" t="s">
        <v>750</v>
      </c>
      <c r="Q54" s="17"/>
      <c r="R54" s="17"/>
      <c r="S54" s="17"/>
      <c r="T54" s="17" t="s">
        <v>473</v>
      </c>
      <c r="U54" s="638">
        <v>0.13350000000000001</v>
      </c>
      <c r="V54" s="747">
        <v>116946</v>
      </c>
      <c r="W54" s="17"/>
      <c r="X54" s="17"/>
      <c r="Y54" s="39" t="s">
        <v>111</v>
      </c>
      <c r="Z54" s="17">
        <v>1</v>
      </c>
      <c r="AA54" t="str">
        <f>VLOOKUP(Y54,Source!F:F,1,FALSE)</f>
        <v>Dept. of Youth Services</v>
      </c>
    </row>
    <row r="55" spans="1:27">
      <c r="A55" s="17" t="str">
        <f t="shared" si="2"/>
        <v>Div. of Capital Asset Management1</v>
      </c>
      <c r="B55" s="260" t="s">
        <v>465</v>
      </c>
      <c r="C55" s="17" t="s">
        <v>293</v>
      </c>
      <c r="D55" s="20" t="s">
        <v>578</v>
      </c>
      <c r="E55" s="35" t="s">
        <v>579</v>
      </c>
      <c r="F55" s="630">
        <v>29.4</v>
      </c>
      <c r="G55" s="33" t="s">
        <v>1905</v>
      </c>
      <c r="H55" s="33" t="s">
        <v>580</v>
      </c>
      <c r="I55" s="33" t="s">
        <v>471</v>
      </c>
      <c r="J55" s="24">
        <v>1523</v>
      </c>
      <c r="K55" s="25">
        <v>41023</v>
      </c>
      <c r="L55" s="28">
        <v>2012</v>
      </c>
      <c r="M55" s="631">
        <v>29.4</v>
      </c>
      <c r="N55" s="17" t="s">
        <v>497</v>
      </c>
      <c r="O55" s="17" t="s">
        <v>1212</v>
      </c>
      <c r="P55" s="17" t="s">
        <v>1967</v>
      </c>
      <c r="Q55" s="17"/>
      <c r="R55" s="17"/>
      <c r="S55" s="17"/>
      <c r="T55" s="17" t="s">
        <v>473</v>
      </c>
      <c r="U55" s="638">
        <v>0.13350000000000001</v>
      </c>
      <c r="V55" s="635">
        <v>34382.124000000003</v>
      </c>
      <c r="W55" s="17"/>
      <c r="X55" s="17"/>
      <c r="Y55" s="39" t="s">
        <v>112</v>
      </c>
      <c r="Z55" s="17">
        <v>1</v>
      </c>
      <c r="AA55" t="str">
        <f>VLOOKUP(Y55,Source!F:F,1,FALSE)</f>
        <v>Div. of Capital Asset Management</v>
      </c>
    </row>
    <row r="56" spans="1:27">
      <c r="A56" s="17" t="str">
        <f t="shared" si="2"/>
        <v>Div. of Capital Asset Management2</v>
      </c>
      <c r="B56" s="260" t="s">
        <v>465</v>
      </c>
      <c r="C56" s="17" t="s">
        <v>293</v>
      </c>
      <c r="D56" s="17"/>
      <c r="E56" s="21" t="s">
        <v>1895</v>
      </c>
      <c r="F56" s="636">
        <v>43.5</v>
      </c>
      <c r="G56" s="20" t="s">
        <v>1927</v>
      </c>
      <c r="H56" s="27" t="s">
        <v>1941</v>
      </c>
      <c r="I56" s="23" t="s">
        <v>471</v>
      </c>
      <c r="J56" s="24">
        <v>1581</v>
      </c>
      <c r="K56" s="193">
        <v>45323</v>
      </c>
      <c r="L56" s="29">
        <v>2024</v>
      </c>
      <c r="M56" s="636">
        <v>43.5</v>
      </c>
      <c r="N56" s="17" t="s">
        <v>1946</v>
      </c>
      <c r="O56" s="17"/>
      <c r="P56" s="17" t="s">
        <v>750</v>
      </c>
      <c r="Q56" s="17"/>
      <c r="R56" s="17"/>
      <c r="S56" s="17"/>
      <c r="T56" s="17" t="s">
        <v>473</v>
      </c>
      <c r="U56" s="638">
        <v>0.13350000000000001</v>
      </c>
      <c r="V56" s="635">
        <v>50871.51</v>
      </c>
      <c r="W56" s="17"/>
      <c r="X56" s="17"/>
      <c r="Y56" s="778" t="s">
        <v>112</v>
      </c>
      <c r="Z56" s="17">
        <v>2</v>
      </c>
      <c r="AA56" t="str">
        <f>VLOOKUP(Y56,Source!F:F,1,FALSE)</f>
        <v>Div. of Capital Asset Management</v>
      </c>
    </row>
    <row r="57" spans="1:27">
      <c r="A57" s="17" t="str">
        <f t="shared" si="2"/>
        <v>Essex Sheriff1</v>
      </c>
      <c r="B57" s="260" t="s">
        <v>465</v>
      </c>
      <c r="C57" s="17" t="s">
        <v>293</v>
      </c>
      <c r="D57" s="17"/>
      <c r="E57" s="21" t="s">
        <v>648</v>
      </c>
      <c r="F57" s="636">
        <v>45</v>
      </c>
      <c r="G57" s="20" t="s">
        <v>1928</v>
      </c>
      <c r="H57" s="27" t="s">
        <v>648</v>
      </c>
      <c r="I57" s="23" t="s">
        <v>471</v>
      </c>
      <c r="J57" s="24">
        <v>1841</v>
      </c>
      <c r="K57" s="193">
        <v>42873</v>
      </c>
      <c r="L57" s="29">
        <v>2017</v>
      </c>
      <c r="M57" s="636">
        <v>45</v>
      </c>
      <c r="N57" s="17" t="s">
        <v>1947</v>
      </c>
      <c r="O57" s="17"/>
      <c r="P57" s="17" t="s">
        <v>750</v>
      </c>
      <c r="Q57" s="17"/>
      <c r="R57" s="17"/>
      <c r="S57" s="17"/>
      <c r="T57" s="17" t="s">
        <v>473</v>
      </c>
      <c r="U57" s="638">
        <v>0.13350000000000001</v>
      </c>
      <c r="V57" s="635">
        <v>52625.700000000004</v>
      </c>
      <c r="W57" s="17"/>
      <c r="X57" s="17"/>
      <c r="Y57" s="778" t="s">
        <v>1976</v>
      </c>
      <c r="Z57" s="17">
        <v>1</v>
      </c>
      <c r="AA57" t="e">
        <f>VLOOKUP(Y57,Source!F:F,1,FALSE)</f>
        <v>#N/A</v>
      </c>
    </row>
    <row r="58" spans="1:27">
      <c r="A58" s="17" t="str">
        <f t="shared" si="2"/>
        <v>Fitchburg State University1</v>
      </c>
      <c r="B58" s="260" t="s">
        <v>465</v>
      </c>
      <c r="C58" s="17" t="s">
        <v>293</v>
      </c>
      <c r="D58" s="20" t="s">
        <v>581</v>
      </c>
      <c r="E58" s="21" t="s">
        <v>582</v>
      </c>
      <c r="F58" s="630">
        <v>26.88</v>
      </c>
      <c r="G58" s="22" t="s">
        <v>583</v>
      </c>
      <c r="H58" s="22" t="s">
        <v>584</v>
      </c>
      <c r="I58" s="23" t="s">
        <v>471</v>
      </c>
      <c r="J58" s="24">
        <v>1420</v>
      </c>
      <c r="K58" s="25">
        <v>40679</v>
      </c>
      <c r="L58" s="28">
        <v>2011</v>
      </c>
      <c r="M58" s="631">
        <v>26.88</v>
      </c>
      <c r="N58" s="27" t="s">
        <v>472</v>
      </c>
      <c r="O58" s="17" t="s">
        <v>1212</v>
      </c>
      <c r="P58" s="17" t="s">
        <v>750</v>
      </c>
      <c r="Q58" s="274"/>
      <c r="R58" s="274"/>
      <c r="S58" s="274"/>
      <c r="T58" s="17" t="s">
        <v>473</v>
      </c>
      <c r="U58" s="638">
        <v>0.13350000000000001</v>
      </c>
      <c r="V58" s="635">
        <v>31435.084800000001</v>
      </c>
      <c r="W58" s="274"/>
      <c r="X58" s="274"/>
      <c r="Y58" s="418" t="s">
        <v>114</v>
      </c>
      <c r="Z58" s="274">
        <v>1</v>
      </c>
      <c r="AA58" t="str">
        <f>VLOOKUP(Y58,Source!F:F,1,FALSE)</f>
        <v>Fitchburg State University</v>
      </c>
    </row>
    <row r="59" spans="1:27" s="3" customFormat="1">
      <c r="A59" s="17" t="str">
        <f t="shared" si="2"/>
        <v>Fitchburg State University2</v>
      </c>
      <c r="B59" s="260" t="s">
        <v>465</v>
      </c>
      <c r="C59" s="17" t="s">
        <v>293</v>
      </c>
      <c r="D59" s="20" t="s">
        <v>585</v>
      </c>
      <c r="E59" s="21" t="s">
        <v>586</v>
      </c>
      <c r="F59" s="630">
        <v>61.74</v>
      </c>
      <c r="G59" s="22" t="s">
        <v>583</v>
      </c>
      <c r="H59" s="22" t="s">
        <v>584</v>
      </c>
      <c r="I59" s="23" t="s">
        <v>471</v>
      </c>
      <c r="J59" s="24">
        <v>1420</v>
      </c>
      <c r="K59" s="25">
        <v>40679</v>
      </c>
      <c r="L59" s="28">
        <v>2011</v>
      </c>
      <c r="M59" s="631">
        <v>61.74</v>
      </c>
      <c r="N59" s="27" t="s">
        <v>472</v>
      </c>
      <c r="O59" s="17" t="s">
        <v>1212</v>
      </c>
      <c r="P59" s="17" t="s">
        <v>750</v>
      </c>
      <c r="Q59" s="274"/>
      <c r="R59" s="274"/>
      <c r="S59" s="274"/>
      <c r="T59" s="17" t="s">
        <v>473</v>
      </c>
      <c r="U59" s="638">
        <v>0.13350000000000001</v>
      </c>
      <c r="V59" s="635">
        <v>72202.460400000011</v>
      </c>
      <c r="W59" s="274"/>
      <c r="X59" s="274"/>
      <c r="Y59" s="418" t="s">
        <v>114</v>
      </c>
      <c r="Z59" s="274">
        <v>2</v>
      </c>
      <c r="AA59" t="str">
        <f>VLOOKUP(Y59,Source!F:F,1,FALSE)</f>
        <v>Fitchburg State University</v>
      </c>
    </row>
    <row r="60" spans="1:27">
      <c r="A60" s="17" t="str">
        <f t="shared" si="2"/>
        <v>Fitchburg State University3</v>
      </c>
      <c r="B60" s="260" t="s">
        <v>486</v>
      </c>
      <c r="C60" s="27" t="s">
        <v>487</v>
      </c>
      <c r="D60" s="20"/>
      <c r="E60" s="21" t="s">
        <v>114</v>
      </c>
      <c r="F60" s="636"/>
      <c r="G60" s="22" t="s">
        <v>583</v>
      </c>
      <c r="H60" s="22" t="s">
        <v>584</v>
      </c>
      <c r="I60" s="23" t="s">
        <v>471</v>
      </c>
      <c r="J60" s="24">
        <v>1420</v>
      </c>
      <c r="K60" s="25"/>
      <c r="L60" s="28">
        <v>2011</v>
      </c>
      <c r="M60" s="630"/>
      <c r="N60" s="27" t="s">
        <v>472</v>
      </c>
      <c r="O60" s="17"/>
      <c r="P60" s="17"/>
      <c r="Q60" s="274"/>
      <c r="R60" s="274"/>
      <c r="S60" s="274"/>
      <c r="T60" s="17" t="s">
        <v>473</v>
      </c>
      <c r="U60" s="748"/>
      <c r="V60" s="635"/>
      <c r="W60" s="277"/>
      <c r="X60" s="274"/>
      <c r="Y60" s="418" t="s">
        <v>114</v>
      </c>
      <c r="Z60" s="274">
        <v>3</v>
      </c>
      <c r="AA60" t="str">
        <f>VLOOKUP(Y60,Source!F:F,1,FALSE)</f>
        <v>Fitchburg State University</v>
      </c>
    </row>
    <row r="61" spans="1:27">
      <c r="A61" s="17" t="str">
        <f t="shared" si="2"/>
        <v>Framingham State University1</v>
      </c>
      <c r="B61" s="260" t="s">
        <v>465</v>
      </c>
      <c r="C61" s="17" t="s">
        <v>293</v>
      </c>
      <c r="D61" s="20" t="s">
        <v>587</v>
      </c>
      <c r="E61" s="21" t="s">
        <v>588</v>
      </c>
      <c r="F61" s="630">
        <v>69.3</v>
      </c>
      <c r="G61" s="22" t="s">
        <v>589</v>
      </c>
      <c r="H61" s="22" t="s">
        <v>548</v>
      </c>
      <c r="I61" s="23" t="s">
        <v>471</v>
      </c>
      <c r="J61" s="24">
        <v>1701</v>
      </c>
      <c r="K61" s="25">
        <v>40688</v>
      </c>
      <c r="L61" s="28">
        <v>2011</v>
      </c>
      <c r="M61" s="631">
        <v>69.3</v>
      </c>
      <c r="N61" s="27" t="s">
        <v>472</v>
      </c>
      <c r="O61" s="17" t="s">
        <v>1212</v>
      </c>
      <c r="P61" s="17" t="s">
        <v>750</v>
      </c>
      <c r="Q61" s="274"/>
      <c r="R61" s="274"/>
      <c r="S61" s="274"/>
      <c r="T61" s="17" t="s">
        <v>473</v>
      </c>
      <c r="U61" s="638">
        <v>0.13350000000000001</v>
      </c>
      <c r="V61" s="635">
        <v>81043.578000000009</v>
      </c>
      <c r="W61" s="274"/>
      <c r="X61" s="274"/>
      <c r="Y61" s="418" t="s">
        <v>36</v>
      </c>
      <c r="Z61" s="274">
        <v>1</v>
      </c>
      <c r="AA61" t="str">
        <f>VLOOKUP(Y61,Source!F:F,1,FALSE)</f>
        <v>Framingham State University</v>
      </c>
    </row>
    <row r="62" spans="1:27" s="3" customFormat="1">
      <c r="A62" s="17" t="str">
        <f t="shared" si="2"/>
        <v>Framingham State University2</v>
      </c>
      <c r="B62" s="262" t="s">
        <v>465</v>
      </c>
      <c r="C62" s="23" t="s">
        <v>293</v>
      </c>
      <c r="D62" s="633"/>
      <c r="E62" s="21" t="s">
        <v>1490</v>
      </c>
      <c r="F62" s="630">
        <v>84</v>
      </c>
      <c r="G62" s="22" t="s">
        <v>1491</v>
      </c>
      <c r="H62" s="22" t="s">
        <v>548</v>
      </c>
      <c r="I62" s="23" t="s">
        <v>471</v>
      </c>
      <c r="J62" s="24">
        <v>1701</v>
      </c>
      <c r="K62" s="25"/>
      <c r="L62" s="632">
        <v>2022</v>
      </c>
      <c r="M62" s="631">
        <v>84</v>
      </c>
      <c r="N62" s="263" t="s">
        <v>472</v>
      </c>
      <c r="O62" s="23" t="s">
        <v>1212</v>
      </c>
      <c r="P62" s="23" t="s">
        <v>750</v>
      </c>
      <c r="Q62" s="274"/>
      <c r="R62" s="274"/>
      <c r="S62" s="274"/>
      <c r="T62" s="23" t="s">
        <v>473</v>
      </c>
      <c r="U62" s="634">
        <v>0.13350000000000001</v>
      </c>
      <c r="V62" s="635">
        <v>98234.64</v>
      </c>
      <c r="W62" s="274"/>
      <c r="X62" s="274"/>
      <c r="Y62" s="418" t="s">
        <v>36</v>
      </c>
      <c r="Z62" s="274">
        <v>2</v>
      </c>
      <c r="AA62" t="str">
        <f>VLOOKUP(Y62,Source!F:F,1,FALSE)</f>
        <v>Framingham State University</v>
      </c>
    </row>
    <row r="63" spans="1:27">
      <c r="A63" s="17" t="str">
        <f t="shared" si="2"/>
        <v>Framingham State University3</v>
      </c>
      <c r="B63" s="260" t="s">
        <v>465</v>
      </c>
      <c r="C63" s="17" t="s">
        <v>293</v>
      </c>
      <c r="D63" s="20" t="s">
        <v>590</v>
      </c>
      <c r="E63" s="21" t="s">
        <v>591</v>
      </c>
      <c r="F63" s="630">
        <v>29.4</v>
      </c>
      <c r="G63" s="22" t="s">
        <v>589</v>
      </c>
      <c r="H63" s="22" t="s">
        <v>548</v>
      </c>
      <c r="I63" s="23" t="s">
        <v>471</v>
      </c>
      <c r="J63" s="24">
        <v>1701</v>
      </c>
      <c r="K63" s="25">
        <v>40693</v>
      </c>
      <c r="L63" s="28">
        <v>2011</v>
      </c>
      <c r="M63" s="631">
        <v>29.4</v>
      </c>
      <c r="N63" s="27" t="s">
        <v>472</v>
      </c>
      <c r="O63" s="17" t="s">
        <v>1212</v>
      </c>
      <c r="P63" s="17" t="s">
        <v>750</v>
      </c>
      <c r="Q63" s="633"/>
      <c r="R63" s="633"/>
      <c r="S63" s="633"/>
      <c r="T63" s="17" t="s">
        <v>473</v>
      </c>
      <c r="U63" s="638">
        <v>0.13350000000000001</v>
      </c>
      <c r="V63" s="635">
        <v>34382.124000000003</v>
      </c>
      <c r="W63" s="633"/>
      <c r="X63" s="633"/>
      <c r="Y63" s="418" t="s">
        <v>36</v>
      </c>
      <c r="Z63" s="274">
        <v>3</v>
      </c>
      <c r="AA63" t="str">
        <f>VLOOKUP(Y63,Source!F:F,1,FALSE)</f>
        <v>Framingham State University</v>
      </c>
    </row>
    <row r="64" spans="1:27">
      <c r="A64" s="17" t="str">
        <f t="shared" si="2"/>
        <v>Franklin Sheriff1</v>
      </c>
      <c r="B64" s="260" t="s">
        <v>465</v>
      </c>
      <c r="C64" s="17" t="s">
        <v>293</v>
      </c>
      <c r="D64" s="20"/>
      <c r="E64" s="21" t="s">
        <v>1339</v>
      </c>
      <c r="F64" s="630">
        <v>436</v>
      </c>
      <c r="G64" s="22" t="s">
        <v>1906</v>
      </c>
      <c r="H64" s="22" t="s">
        <v>595</v>
      </c>
      <c r="I64" s="23" t="s">
        <v>471</v>
      </c>
      <c r="J64" s="24">
        <v>1301</v>
      </c>
      <c r="K64" s="25"/>
      <c r="L64" s="28">
        <v>2018</v>
      </c>
      <c r="M64" s="730">
        <v>436</v>
      </c>
      <c r="N64" s="27" t="s">
        <v>529</v>
      </c>
      <c r="O64" s="17" t="s">
        <v>1212</v>
      </c>
      <c r="P64" s="17" t="s">
        <v>748</v>
      </c>
      <c r="Q64" s="274"/>
      <c r="R64" s="274"/>
      <c r="S64" s="274"/>
      <c r="T64" s="17" t="s">
        <v>473</v>
      </c>
      <c r="U64" s="638">
        <v>0.13350000000000001</v>
      </c>
      <c r="V64" s="635">
        <v>439000</v>
      </c>
      <c r="W64" s="274"/>
      <c r="X64" s="274"/>
      <c r="Y64" s="291" t="s">
        <v>1972</v>
      </c>
      <c r="Z64" s="274">
        <v>1</v>
      </c>
      <c r="AA64" t="e">
        <f>VLOOKUP(Y64,Source!F:F,1,FALSE)</f>
        <v>#N/A</v>
      </c>
    </row>
    <row r="65" spans="1:27" ht="15.5">
      <c r="A65" s="17" t="str">
        <f t="shared" si="2"/>
        <v>Greenfield Comm. College1</v>
      </c>
      <c r="B65" s="260" t="s">
        <v>465</v>
      </c>
      <c r="C65" s="17" t="s">
        <v>293</v>
      </c>
      <c r="D65" s="20" t="s">
        <v>592</v>
      </c>
      <c r="E65" s="35" t="s">
        <v>593</v>
      </c>
      <c r="F65" s="630">
        <v>78.540000000000006</v>
      </c>
      <c r="G65" s="33" t="s">
        <v>594</v>
      </c>
      <c r="H65" s="33" t="s">
        <v>595</v>
      </c>
      <c r="I65" s="33" t="s">
        <v>471</v>
      </c>
      <c r="J65" s="24">
        <v>1301</v>
      </c>
      <c r="K65" s="25">
        <v>40945</v>
      </c>
      <c r="L65" s="28">
        <v>2012</v>
      </c>
      <c r="M65" s="631">
        <v>78.540000000000006</v>
      </c>
      <c r="N65" s="27" t="s">
        <v>472</v>
      </c>
      <c r="O65" s="17" t="s">
        <v>1212</v>
      </c>
      <c r="P65" s="17" t="s">
        <v>1967</v>
      </c>
      <c r="Q65" s="17"/>
      <c r="R65" s="27"/>
      <c r="S65" s="260"/>
      <c r="T65" s="17" t="s">
        <v>473</v>
      </c>
      <c r="U65" s="638">
        <v>0.13350000000000001</v>
      </c>
      <c r="V65" s="635">
        <v>91849.388400000011</v>
      </c>
      <c r="W65" s="516"/>
      <c r="X65" s="260"/>
      <c r="Y65" s="276" t="s">
        <v>129</v>
      </c>
      <c r="Z65" s="17">
        <v>1</v>
      </c>
      <c r="AA65" t="str">
        <f>VLOOKUP(Y65,Source!F:F,1,FALSE)</f>
        <v>Greenfield Comm. College</v>
      </c>
    </row>
    <row r="66" spans="1:27">
      <c r="A66" s="17" t="str">
        <f t="shared" ref="A66:A97" si="3">Y66&amp;Z66</f>
        <v>Housing and Livable Communities1</v>
      </c>
      <c r="B66" s="260" t="s">
        <v>465</v>
      </c>
      <c r="C66" s="17" t="s">
        <v>293</v>
      </c>
      <c r="D66" s="20" t="s">
        <v>574</v>
      </c>
      <c r="E66" s="21" t="s">
        <v>575</v>
      </c>
      <c r="F66" s="630">
        <v>51.07</v>
      </c>
      <c r="G66" s="20" t="s">
        <v>576</v>
      </c>
      <c r="H66" s="22" t="s">
        <v>577</v>
      </c>
      <c r="I66" s="23" t="s">
        <v>471</v>
      </c>
      <c r="J66" s="24">
        <v>2021</v>
      </c>
      <c r="K66" s="25">
        <v>40905</v>
      </c>
      <c r="L66" s="28">
        <v>2012</v>
      </c>
      <c r="M66" s="631">
        <v>51.07</v>
      </c>
      <c r="N66" s="17" t="s">
        <v>513</v>
      </c>
      <c r="O66" s="17" t="s">
        <v>1212</v>
      </c>
      <c r="P66" s="17" t="s">
        <v>750</v>
      </c>
      <c r="Q66" s="17"/>
      <c r="R66" s="17"/>
      <c r="S66" s="17"/>
      <c r="T66" s="17" t="s">
        <v>473</v>
      </c>
      <c r="U66" s="638">
        <v>0.13350000000000001</v>
      </c>
      <c r="V66" s="635">
        <v>59724.322200000002</v>
      </c>
      <c r="W66" s="17"/>
      <c r="X66" s="17"/>
      <c r="Y66" s="21" t="s">
        <v>1971</v>
      </c>
      <c r="Z66" s="17">
        <v>1</v>
      </c>
      <c r="AA66" t="e">
        <f>VLOOKUP(Y66,Source!F:F,1,FALSE)</f>
        <v>#N/A</v>
      </c>
    </row>
    <row r="67" spans="1:27" s="3" customFormat="1">
      <c r="A67" s="17" t="str">
        <f t="shared" si="3"/>
        <v>Mass. Bay Transportation Authority1</v>
      </c>
      <c r="B67" s="260" t="s">
        <v>465</v>
      </c>
      <c r="C67" s="27" t="s">
        <v>293</v>
      </c>
      <c r="D67" s="20"/>
      <c r="E67" s="686" t="s">
        <v>1853</v>
      </c>
      <c r="F67" s="630">
        <v>100</v>
      </c>
      <c r="G67" s="20" t="s">
        <v>1909</v>
      </c>
      <c r="H67" s="27" t="s">
        <v>668</v>
      </c>
      <c r="I67" s="17" t="s">
        <v>471</v>
      </c>
      <c r="J67" s="24">
        <v>2128</v>
      </c>
      <c r="K67" s="25"/>
      <c r="L67" s="28">
        <v>2017</v>
      </c>
      <c r="M67" s="17">
        <v>100</v>
      </c>
      <c r="N67" s="30" t="s">
        <v>611</v>
      </c>
      <c r="O67" s="17" t="s">
        <v>1212</v>
      </c>
      <c r="P67" s="17" t="s">
        <v>750</v>
      </c>
      <c r="Q67" s="17"/>
      <c r="R67" s="17"/>
      <c r="S67" s="17"/>
      <c r="T67" s="17" t="s">
        <v>473</v>
      </c>
      <c r="U67" s="638">
        <v>0.13350000000000001</v>
      </c>
      <c r="V67" s="635">
        <v>116946</v>
      </c>
      <c r="W67" s="17"/>
      <c r="X67" s="17"/>
      <c r="Y67" s="40" t="s">
        <v>1105</v>
      </c>
      <c r="Z67" s="260">
        <v>1</v>
      </c>
      <c r="AA67" t="str">
        <f>VLOOKUP(Y67,Source!F:F,1,FALSE)</f>
        <v>Mass. Bay Transportation Authority</v>
      </c>
    </row>
    <row r="68" spans="1:27" s="3" customFormat="1" ht="15.5">
      <c r="A68" s="17" t="str">
        <f t="shared" si="3"/>
        <v>Mass. Bay Transportation Authority2</v>
      </c>
      <c r="B68" s="262" t="s">
        <v>465</v>
      </c>
      <c r="C68" s="753" t="s">
        <v>296</v>
      </c>
      <c r="D68" s="23" t="s">
        <v>1954</v>
      </c>
      <c r="E68" s="263" t="s">
        <v>1854</v>
      </c>
      <c r="F68" s="630">
        <v>750</v>
      </c>
      <c r="G68" s="23" t="s">
        <v>1910</v>
      </c>
      <c r="H68" s="263" t="s">
        <v>484</v>
      </c>
      <c r="I68" s="23" t="s">
        <v>471</v>
      </c>
      <c r="J68" s="24">
        <v>2324</v>
      </c>
      <c r="K68" s="25"/>
      <c r="L68" s="632">
        <v>2019</v>
      </c>
      <c r="M68" s="23">
        <v>750</v>
      </c>
      <c r="N68" s="740" t="s">
        <v>611</v>
      </c>
      <c r="O68" s="23" t="s">
        <v>1212</v>
      </c>
      <c r="P68" s="23"/>
      <c r="Q68" s="260"/>
      <c r="R68" s="260"/>
      <c r="S68" s="260"/>
      <c r="T68" s="23" t="s">
        <v>473</v>
      </c>
      <c r="U68" s="743">
        <v>0.26</v>
      </c>
      <c r="V68" s="635">
        <v>1708200</v>
      </c>
      <c r="W68" s="27"/>
      <c r="X68" s="260"/>
      <c r="Y68" s="40" t="s">
        <v>1105</v>
      </c>
      <c r="Z68" s="260">
        <v>2</v>
      </c>
      <c r="AA68" t="str">
        <f>VLOOKUP(Y68,Source!F:F,1,FALSE)</f>
        <v>Mass. Bay Transportation Authority</v>
      </c>
    </row>
    <row r="69" spans="1:27" s="3" customFormat="1">
      <c r="A69" s="17" t="str">
        <f t="shared" si="3"/>
        <v>Mass. Bay Transportation Authority3</v>
      </c>
      <c r="B69" s="262" t="s">
        <v>465</v>
      </c>
      <c r="C69" s="27" t="s">
        <v>296</v>
      </c>
      <c r="D69" s="20" t="s">
        <v>1955</v>
      </c>
      <c r="E69" s="686" t="s">
        <v>1855</v>
      </c>
      <c r="F69" s="630">
        <v>100</v>
      </c>
      <c r="G69" s="262" t="s">
        <v>1911</v>
      </c>
      <c r="H69" s="263" t="s">
        <v>1933</v>
      </c>
      <c r="I69" s="23" t="s">
        <v>471</v>
      </c>
      <c r="J69" s="24">
        <v>2364</v>
      </c>
      <c r="K69" s="25"/>
      <c r="L69" s="632">
        <v>2017</v>
      </c>
      <c r="M69" s="23">
        <v>150</v>
      </c>
      <c r="N69" s="740" t="s">
        <v>611</v>
      </c>
      <c r="O69" s="23" t="s">
        <v>1212</v>
      </c>
      <c r="P69" s="23"/>
      <c r="Q69" s="260"/>
      <c r="R69" s="260"/>
      <c r="S69" s="260"/>
      <c r="T69" s="23" t="s">
        <v>473</v>
      </c>
      <c r="U69" s="743">
        <v>0.26</v>
      </c>
      <c r="V69" s="635">
        <v>341640</v>
      </c>
      <c r="W69" s="27"/>
      <c r="X69" s="260"/>
      <c r="Y69" s="40" t="s">
        <v>1105</v>
      </c>
      <c r="Z69" s="260">
        <v>3</v>
      </c>
      <c r="AA69" t="str">
        <f>VLOOKUP(Y69,Source!F:F,1,FALSE)</f>
        <v>Mass. Bay Transportation Authority</v>
      </c>
    </row>
    <row r="70" spans="1:27" s="3" customFormat="1" ht="15.5">
      <c r="A70" s="17" t="str">
        <f t="shared" si="3"/>
        <v>Mass. Bay Transportation Authority4</v>
      </c>
      <c r="B70" s="262" t="s">
        <v>465</v>
      </c>
      <c r="C70" s="753" t="s">
        <v>293</v>
      </c>
      <c r="D70" s="23"/>
      <c r="E70" s="687" t="s">
        <v>1856</v>
      </c>
      <c r="F70" s="759">
        <v>423.52941176470591</v>
      </c>
      <c r="G70" s="267" t="s">
        <v>1912</v>
      </c>
      <c r="H70" s="265" t="s">
        <v>1934</v>
      </c>
      <c r="I70" s="17" t="s">
        <v>471</v>
      </c>
      <c r="J70" s="24"/>
      <c r="K70" s="25"/>
      <c r="L70" s="632">
        <v>2019</v>
      </c>
      <c r="M70" s="730">
        <v>423.529</v>
      </c>
      <c r="N70" s="740" t="s">
        <v>611</v>
      </c>
      <c r="O70" s="23" t="s">
        <v>1949</v>
      </c>
      <c r="P70" s="23" t="s">
        <v>748</v>
      </c>
      <c r="Q70" s="260"/>
      <c r="R70" s="260"/>
      <c r="S70" s="260"/>
      <c r="T70" s="23" t="s">
        <v>1495</v>
      </c>
      <c r="U70" s="638">
        <v>0.13350000000000001</v>
      </c>
      <c r="V70" s="635">
        <v>495300.22434000002</v>
      </c>
      <c r="W70" s="27"/>
      <c r="X70" s="260"/>
      <c r="Y70" s="418" t="s">
        <v>1105</v>
      </c>
      <c r="Z70" s="260">
        <v>4</v>
      </c>
      <c r="AA70" t="str">
        <f>VLOOKUP(Y70,Source!F:F,1,FALSE)</f>
        <v>Mass. Bay Transportation Authority</v>
      </c>
    </row>
    <row r="71" spans="1:27" s="3" customFormat="1" ht="15.5">
      <c r="A71" s="17" t="str">
        <f t="shared" si="3"/>
        <v>Mass. Bay Transportation Authority5</v>
      </c>
      <c r="B71" s="262" t="s">
        <v>465</v>
      </c>
      <c r="C71" s="753" t="s">
        <v>293</v>
      </c>
      <c r="D71" s="23"/>
      <c r="E71" s="687" t="s">
        <v>1857</v>
      </c>
      <c r="F71" s="630">
        <v>771.8</v>
      </c>
      <c r="G71" s="267" t="s">
        <v>1913</v>
      </c>
      <c r="H71" s="265" t="s">
        <v>1935</v>
      </c>
      <c r="I71" s="17" t="s">
        <v>471</v>
      </c>
      <c r="J71" s="24"/>
      <c r="K71" s="25"/>
      <c r="L71" s="632">
        <v>2019</v>
      </c>
      <c r="M71" s="730">
        <v>771.8</v>
      </c>
      <c r="N71" s="740" t="s">
        <v>611</v>
      </c>
      <c r="O71" s="23" t="s">
        <v>1949</v>
      </c>
      <c r="P71" s="23" t="s">
        <v>748</v>
      </c>
      <c r="Q71" s="260"/>
      <c r="R71" s="260"/>
      <c r="S71" s="260"/>
      <c r="T71" s="23" t="s">
        <v>1495</v>
      </c>
      <c r="U71" s="638">
        <v>0.13350000000000001</v>
      </c>
      <c r="V71" s="635">
        <v>902589.228</v>
      </c>
      <c r="W71" s="516"/>
      <c r="X71" s="260"/>
      <c r="Y71" s="418" t="s">
        <v>1105</v>
      </c>
      <c r="Z71" s="260">
        <v>5</v>
      </c>
      <c r="AA71" t="str">
        <f>VLOOKUP(Y71,Source!F:F,1,FALSE)</f>
        <v>Mass. Bay Transportation Authority</v>
      </c>
    </row>
    <row r="72" spans="1:27" s="3" customFormat="1" ht="15.5">
      <c r="A72" s="17" t="str">
        <f t="shared" si="3"/>
        <v>Mass. Bay Transportation Authority6</v>
      </c>
      <c r="B72" s="262" t="s">
        <v>465</v>
      </c>
      <c r="C72" s="753" t="s">
        <v>293</v>
      </c>
      <c r="D72" s="23"/>
      <c r="E72" s="687" t="s">
        <v>1858</v>
      </c>
      <c r="F72" s="630">
        <v>868.3</v>
      </c>
      <c r="G72" s="267" t="s">
        <v>1914</v>
      </c>
      <c r="H72" s="265" t="s">
        <v>1934</v>
      </c>
      <c r="I72" s="17" t="s">
        <v>471</v>
      </c>
      <c r="J72" s="24"/>
      <c r="K72" s="25"/>
      <c r="L72" s="632">
        <v>2019</v>
      </c>
      <c r="M72" s="730">
        <v>868.3</v>
      </c>
      <c r="N72" s="740" t="s">
        <v>611</v>
      </c>
      <c r="O72" s="23" t="s">
        <v>1949</v>
      </c>
      <c r="P72" s="23" t="s">
        <v>748</v>
      </c>
      <c r="Q72" s="17"/>
      <c r="R72" s="17"/>
      <c r="S72" s="260"/>
      <c r="T72" s="23" t="s">
        <v>1495</v>
      </c>
      <c r="U72" s="638">
        <v>0.13350000000000001</v>
      </c>
      <c r="V72" s="635">
        <v>1015442.118</v>
      </c>
      <c r="W72" s="260"/>
      <c r="X72" s="17"/>
      <c r="Y72" s="418" t="s">
        <v>1105</v>
      </c>
      <c r="Z72" s="260">
        <v>6</v>
      </c>
      <c r="AA72" t="str">
        <f>VLOOKUP(Y72,Source!F:F,1,FALSE)</f>
        <v>Mass. Bay Transportation Authority</v>
      </c>
    </row>
    <row r="73" spans="1:27" s="3" customFormat="1">
      <c r="A73" s="17" t="str">
        <f t="shared" si="3"/>
        <v>Mass. College of Liberal Arts1</v>
      </c>
      <c r="B73" s="260" t="s">
        <v>486</v>
      </c>
      <c r="C73" s="27" t="s">
        <v>487</v>
      </c>
      <c r="D73" s="20"/>
      <c r="E73" s="20" t="s">
        <v>1837</v>
      </c>
      <c r="F73" s="20" t="s">
        <v>1837</v>
      </c>
      <c r="G73" s="20" t="s">
        <v>1837</v>
      </c>
      <c r="H73" s="20" t="s">
        <v>1837</v>
      </c>
      <c r="I73" s="20" t="s">
        <v>1837</v>
      </c>
      <c r="J73" s="20" t="s">
        <v>1837</v>
      </c>
      <c r="K73" s="20" t="s">
        <v>1837</v>
      </c>
      <c r="L73" s="20" t="s">
        <v>1837</v>
      </c>
      <c r="M73" s="20" t="s">
        <v>1837</v>
      </c>
      <c r="N73" s="20" t="s">
        <v>1837</v>
      </c>
      <c r="O73" s="20" t="s">
        <v>1837</v>
      </c>
      <c r="P73" s="20" t="s">
        <v>1837</v>
      </c>
      <c r="Q73" s="20" t="s">
        <v>1837</v>
      </c>
      <c r="R73" s="20" t="s">
        <v>1837</v>
      </c>
      <c r="S73" s="20" t="s">
        <v>1837</v>
      </c>
      <c r="T73" s="20" t="s">
        <v>1837</v>
      </c>
      <c r="U73" s="20" t="s">
        <v>1837</v>
      </c>
      <c r="V73" s="20" t="s">
        <v>1837</v>
      </c>
      <c r="W73" s="20" t="s">
        <v>1837</v>
      </c>
      <c r="X73" s="20" t="s">
        <v>1837</v>
      </c>
      <c r="Y73" s="418" t="s">
        <v>148</v>
      </c>
      <c r="Z73" s="17">
        <v>1</v>
      </c>
      <c r="AA73" t="str">
        <f>VLOOKUP(Y73,Source!F:F,1,FALSE)</f>
        <v>Mass. College of Liberal Arts</v>
      </c>
    </row>
    <row r="74" spans="1:27" s="3" customFormat="1">
      <c r="A74" s="17" t="str">
        <f t="shared" si="3"/>
        <v>Mass. College of Liberal Arts2</v>
      </c>
      <c r="B74" s="260" t="s">
        <v>465</v>
      </c>
      <c r="C74" s="27" t="s">
        <v>296</v>
      </c>
      <c r="D74" s="20"/>
      <c r="E74" s="27" t="s">
        <v>599</v>
      </c>
      <c r="F74" s="630">
        <v>1</v>
      </c>
      <c r="G74" s="20" t="s">
        <v>596</v>
      </c>
      <c r="H74" s="27" t="s">
        <v>597</v>
      </c>
      <c r="I74" s="17" t="s">
        <v>471</v>
      </c>
      <c r="J74" s="24">
        <v>1247</v>
      </c>
      <c r="K74" s="25"/>
      <c r="L74" s="28">
        <v>2014</v>
      </c>
      <c r="M74" s="631">
        <v>1</v>
      </c>
      <c r="N74" s="27" t="s">
        <v>472</v>
      </c>
      <c r="O74" s="17"/>
      <c r="P74" s="17"/>
      <c r="Q74" s="17"/>
      <c r="R74" s="17"/>
      <c r="S74" s="260"/>
      <c r="T74" s="17" t="s">
        <v>473</v>
      </c>
      <c r="U74" s="743">
        <v>0.26</v>
      </c>
      <c r="V74" s="635">
        <v>2277.6</v>
      </c>
      <c r="W74" s="27"/>
      <c r="X74" s="17"/>
      <c r="Y74" s="418" t="s">
        <v>148</v>
      </c>
      <c r="Z74" s="17">
        <v>2</v>
      </c>
      <c r="AA74" t="str">
        <f>VLOOKUP(Y74,Source!F:F,1,FALSE)</f>
        <v>Mass. College of Liberal Arts</v>
      </c>
    </row>
    <row r="75" spans="1:27" s="284" customFormat="1" ht="15.5">
      <c r="A75" s="17" t="str">
        <f t="shared" si="3"/>
        <v>Mass. College of Liberal Arts3</v>
      </c>
      <c r="B75" s="260" t="s">
        <v>465</v>
      </c>
      <c r="C75" s="17" t="s">
        <v>293</v>
      </c>
      <c r="D75" s="20" t="s">
        <v>598</v>
      </c>
      <c r="E75" s="20" t="s">
        <v>1838</v>
      </c>
      <c r="F75" s="630">
        <v>9</v>
      </c>
      <c r="G75" s="20" t="s">
        <v>596</v>
      </c>
      <c r="H75" s="22" t="s">
        <v>597</v>
      </c>
      <c r="I75" s="23" t="s">
        <v>471</v>
      </c>
      <c r="J75" s="24">
        <v>1247</v>
      </c>
      <c r="K75" s="25">
        <v>38640</v>
      </c>
      <c r="L75" s="28">
        <v>2014</v>
      </c>
      <c r="M75" s="631">
        <v>9</v>
      </c>
      <c r="N75" s="27" t="s">
        <v>472</v>
      </c>
      <c r="O75" s="17" t="s">
        <v>1212</v>
      </c>
      <c r="P75" s="17" t="s">
        <v>750</v>
      </c>
      <c r="Q75" s="37"/>
      <c r="R75" s="17"/>
      <c r="S75" s="17"/>
      <c r="T75" s="17" t="s">
        <v>473</v>
      </c>
      <c r="U75" s="638">
        <v>0.13350000000000001</v>
      </c>
      <c r="V75" s="635">
        <v>10525.140000000001</v>
      </c>
      <c r="W75" s="516"/>
      <c r="X75" s="17"/>
      <c r="Y75" s="418" t="s">
        <v>148</v>
      </c>
      <c r="Z75" s="17">
        <v>3</v>
      </c>
      <c r="AA75" t="str">
        <f>VLOOKUP(Y75,Source!F:F,1,FALSE)</f>
        <v>Mass. College of Liberal Arts</v>
      </c>
    </row>
    <row r="76" spans="1:27" s="284" customFormat="1" ht="15.5">
      <c r="A76" s="17" t="str">
        <f t="shared" si="3"/>
        <v>Mass. College of Liberal Arts4</v>
      </c>
      <c r="B76" s="260" t="s">
        <v>465</v>
      </c>
      <c r="C76" s="17" t="s">
        <v>293</v>
      </c>
      <c r="D76" s="20"/>
      <c r="E76" s="20" t="s">
        <v>1839</v>
      </c>
      <c r="F76" s="630">
        <v>13</v>
      </c>
      <c r="G76" s="20" t="s">
        <v>596</v>
      </c>
      <c r="H76" s="22" t="s">
        <v>597</v>
      </c>
      <c r="I76" s="23" t="s">
        <v>471</v>
      </c>
      <c r="J76" s="24">
        <v>1247</v>
      </c>
      <c r="K76" s="25"/>
      <c r="L76" s="28">
        <v>2014</v>
      </c>
      <c r="M76" s="631">
        <v>13</v>
      </c>
      <c r="N76" s="27" t="s">
        <v>472</v>
      </c>
      <c r="O76" s="17" t="s">
        <v>1212</v>
      </c>
      <c r="P76" s="17" t="s">
        <v>750</v>
      </c>
      <c r="Q76" s="37"/>
      <c r="R76" s="17"/>
      <c r="S76" s="17"/>
      <c r="T76" s="17" t="s">
        <v>473</v>
      </c>
      <c r="U76" s="638">
        <v>0.13350000000000001</v>
      </c>
      <c r="V76" s="635">
        <v>15202.980000000001</v>
      </c>
      <c r="W76" s="516"/>
      <c r="X76" s="17"/>
      <c r="Y76" s="418" t="s">
        <v>148</v>
      </c>
      <c r="Z76" s="17">
        <v>4</v>
      </c>
      <c r="AA76" t="str">
        <f>VLOOKUP(Y76,Source!F:F,1,FALSE)</f>
        <v>Mass. College of Liberal Arts</v>
      </c>
    </row>
    <row r="77" spans="1:27" s="284" customFormat="1">
      <c r="A77" s="17" t="str">
        <f t="shared" si="3"/>
        <v>Mass. College of Liberal Arts5</v>
      </c>
      <c r="B77" s="260" t="s">
        <v>486</v>
      </c>
      <c r="C77" s="17" t="s">
        <v>487</v>
      </c>
      <c r="D77" s="17"/>
      <c r="E77" s="20" t="s">
        <v>1837</v>
      </c>
      <c r="F77" s="636">
        <v>197</v>
      </c>
      <c r="G77" s="20" t="s">
        <v>596</v>
      </c>
      <c r="H77" s="22" t="s">
        <v>597</v>
      </c>
      <c r="I77" s="23" t="s">
        <v>471</v>
      </c>
      <c r="J77" s="24">
        <v>1247</v>
      </c>
      <c r="K77" s="718">
        <v>43070</v>
      </c>
      <c r="L77" s="29">
        <v>2018</v>
      </c>
      <c r="M77" s="636">
        <v>197</v>
      </c>
      <c r="N77" s="27" t="s">
        <v>472</v>
      </c>
      <c r="O77" s="17"/>
      <c r="P77" s="17"/>
      <c r="Q77" s="17"/>
      <c r="R77" s="27"/>
      <c r="S77" s="260"/>
      <c r="T77" s="701" t="s">
        <v>473</v>
      </c>
      <c r="U77" s="17"/>
      <c r="V77" s="17"/>
      <c r="W77" s="27"/>
      <c r="X77" s="260"/>
      <c r="Y77" s="418" t="s">
        <v>148</v>
      </c>
      <c r="Z77" s="17">
        <v>5</v>
      </c>
      <c r="AA77" t="str">
        <f>VLOOKUP(Y77,Source!F:F,1,FALSE)</f>
        <v>Mass. College of Liberal Arts</v>
      </c>
    </row>
    <row r="78" spans="1:27" s="284" customFormat="1">
      <c r="A78" s="17" t="str">
        <f t="shared" si="3"/>
        <v>Mass. Emergency Management Agency1</v>
      </c>
      <c r="B78" s="262" t="s">
        <v>465</v>
      </c>
      <c r="C78" s="23" t="s">
        <v>293</v>
      </c>
      <c r="D78" s="23"/>
      <c r="E78" s="23" t="s">
        <v>1843</v>
      </c>
      <c r="F78" s="693">
        <v>275</v>
      </c>
      <c r="G78" s="23" t="s">
        <v>1907</v>
      </c>
      <c r="H78" s="22" t="s">
        <v>548</v>
      </c>
      <c r="I78" s="23" t="s">
        <v>471</v>
      </c>
      <c r="J78" s="24">
        <v>1702</v>
      </c>
      <c r="K78" s="719"/>
      <c r="L78" s="725">
        <v>2020</v>
      </c>
      <c r="M78" s="734">
        <v>275</v>
      </c>
      <c r="N78" s="263" t="s">
        <v>529</v>
      </c>
      <c r="O78" s="23" t="s">
        <v>1212</v>
      </c>
      <c r="P78" s="23" t="s">
        <v>748</v>
      </c>
      <c r="Q78" s="37"/>
      <c r="R78" s="17"/>
      <c r="S78" s="17"/>
      <c r="T78" s="23" t="s">
        <v>473</v>
      </c>
      <c r="U78" s="638">
        <v>0.13350000000000001</v>
      </c>
      <c r="V78" s="749">
        <v>321601.5</v>
      </c>
      <c r="W78" s="27"/>
      <c r="X78" s="17"/>
      <c r="Y78" s="418" t="s">
        <v>1973</v>
      </c>
      <c r="Z78" s="260">
        <v>1</v>
      </c>
      <c r="AA78" t="e">
        <f>VLOOKUP(Y78,Source!F:F,1,FALSE)</f>
        <v>#N/A</v>
      </c>
    </row>
    <row r="79" spans="1:27" s="284" customFormat="1">
      <c r="A79" s="17" t="str">
        <f t="shared" si="3"/>
        <v>Mass. Maritime Academy1</v>
      </c>
      <c r="B79" s="260" t="s">
        <v>486</v>
      </c>
      <c r="C79" s="27" t="s">
        <v>487</v>
      </c>
      <c r="D79" s="20" t="s">
        <v>606</v>
      </c>
      <c r="E79" s="27" t="s">
        <v>601</v>
      </c>
      <c r="F79" s="630">
        <v>195</v>
      </c>
      <c r="G79" s="20" t="s">
        <v>602</v>
      </c>
      <c r="H79" s="27" t="s">
        <v>603</v>
      </c>
      <c r="I79" s="17" t="s">
        <v>471</v>
      </c>
      <c r="J79" s="24">
        <v>2532</v>
      </c>
      <c r="K79" s="25">
        <v>39805</v>
      </c>
      <c r="L79" s="28">
        <v>2008</v>
      </c>
      <c r="M79" s="630">
        <v>195</v>
      </c>
      <c r="N79" s="27" t="s">
        <v>472</v>
      </c>
      <c r="O79" s="743"/>
      <c r="P79" s="743"/>
      <c r="Q79" s="17"/>
      <c r="R79" s="27"/>
      <c r="S79" s="260"/>
      <c r="T79" s="17" t="s">
        <v>473</v>
      </c>
      <c r="U79" s="17"/>
      <c r="V79" s="17"/>
      <c r="W79" s="27"/>
      <c r="X79" s="260"/>
      <c r="Y79" s="418" t="s">
        <v>151</v>
      </c>
      <c r="Z79" s="17">
        <v>1</v>
      </c>
      <c r="AA79" t="str">
        <f>VLOOKUP(Y79,Source!F:F,1,FALSE)</f>
        <v>Mass. Maritime Academy</v>
      </c>
    </row>
    <row r="80" spans="1:27" s="3" customFormat="1">
      <c r="A80" s="17" t="str">
        <f t="shared" si="3"/>
        <v>Mass. Maritime Academy2</v>
      </c>
      <c r="B80" s="260" t="s">
        <v>465</v>
      </c>
      <c r="C80" s="27" t="s">
        <v>296</v>
      </c>
      <c r="D80" s="20" t="s">
        <v>604</v>
      </c>
      <c r="E80" s="27" t="s">
        <v>605</v>
      </c>
      <c r="F80" s="630">
        <v>660</v>
      </c>
      <c r="G80" s="20" t="s">
        <v>602</v>
      </c>
      <c r="H80" s="27" t="s">
        <v>603</v>
      </c>
      <c r="I80" s="17" t="s">
        <v>471</v>
      </c>
      <c r="J80" s="24">
        <v>2532</v>
      </c>
      <c r="K80" s="25">
        <v>38882</v>
      </c>
      <c r="L80" s="28">
        <v>2006</v>
      </c>
      <c r="M80" s="631">
        <v>660</v>
      </c>
      <c r="N80" s="27" t="s">
        <v>472</v>
      </c>
      <c r="O80" s="17"/>
      <c r="P80" s="17"/>
      <c r="Q80" s="17"/>
      <c r="R80" s="27"/>
      <c r="S80" s="260"/>
      <c r="T80" s="17" t="s">
        <v>473</v>
      </c>
      <c r="U80" s="743">
        <v>0.26</v>
      </c>
      <c r="V80" s="635">
        <v>1503216</v>
      </c>
      <c r="W80" s="27"/>
      <c r="X80" s="260"/>
      <c r="Y80" s="418" t="s">
        <v>151</v>
      </c>
      <c r="Z80" s="17">
        <v>2</v>
      </c>
      <c r="AA80" t="str">
        <f>VLOOKUP(Y80,Source!F:F,1,FALSE)</f>
        <v>Mass. Maritime Academy</v>
      </c>
    </row>
    <row r="81" spans="1:27" s="3" customFormat="1">
      <c r="A81" s="17" t="str">
        <f t="shared" si="3"/>
        <v>Mass. Maritime Academy3</v>
      </c>
      <c r="B81" s="260" t="s">
        <v>465</v>
      </c>
      <c r="C81" s="27" t="s">
        <v>293</v>
      </c>
      <c r="D81" s="20" t="s">
        <v>600</v>
      </c>
      <c r="E81" s="27" t="s">
        <v>1840</v>
      </c>
      <c r="F81" s="630">
        <v>81</v>
      </c>
      <c r="G81" s="20" t="s">
        <v>602</v>
      </c>
      <c r="H81" s="27" t="s">
        <v>603</v>
      </c>
      <c r="I81" s="17" t="s">
        <v>471</v>
      </c>
      <c r="J81" s="24">
        <v>2532</v>
      </c>
      <c r="K81" s="25">
        <v>39402</v>
      </c>
      <c r="L81" s="28">
        <v>2007</v>
      </c>
      <c r="M81" s="631">
        <v>81</v>
      </c>
      <c r="N81" s="27" t="s">
        <v>472</v>
      </c>
      <c r="O81" s="17" t="s">
        <v>1212</v>
      </c>
      <c r="P81" s="17" t="s">
        <v>750</v>
      </c>
      <c r="Q81" s="17"/>
      <c r="R81" s="17"/>
      <c r="S81" s="260"/>
      <c r="T81" s="17" t="s">
        <v>473</v>
      </c>
      <c r="U81" s="638">
        <v>0.13350000000000001</v>
      </c>
      <c r="V81" s="635">
        <v>94726.260000000009</v>
      </c>
      <c r="W81" s="27"/>
      <c r="X81" s="17"/>
      <c r="Y81" s="418" t="s">
        <v>151</v>
      </c>
      <c r="Z81" s="17">
        <v>3</v>
      </c>
      <c r="AA81" t="str">
        <f>VLOOKUP(Y81,Source!F:F,1,FALSE)</f>
        <v>Mass. Maritime Academy</v>
      </c>
    </row>
    <row r="82" spans="1:27" s="3" customFormat="1">
      <c r="A82" s="17" t="str">
        <f t="shared" si="3"/>
        <v>Mass. Maritime Academy4</v>
      </c>
      <c r="B82" s="260" t="s">
        <v>465</v>
      </c>
      <c r="C82" s="27" t="s">
        <v>293</v>
      </c>
      <c r="D82" s="20"/>
      <c r="E82" s="27" t="s">
        <v>1841</v>
      </c>
      <c r="F82" s="630">
        <v>103</v>
      </c>
      <c r="G82" s="20" t="s">
        <v>602</v>
      </c>
      <c r="H82" s="27" t="s">
        <v>603</v>
      </c>
      <c r="I82" s="17" t="s">
        <v>471</v>
      </c>
      <c r="J82" s="24">
        <v>2532</v>
      </c>
      <c r="K82" s="25"/>
      <c r="L82" s="28">
        <v>2014</v>
      </c>
      <c r="M82" s="631">
        <v>103</v>
      </c>
      <c r="N82" s="27" t="s">
        <v>472</v>
      </c>
      <c r="O82" s="17" t="s">
        <v>1212</v>
      </c>
      <c r="P82" s="17" t="s">
        <v>750</v>
      </c>
      <c r="Q82" s="37"/>
      <c r="R82" s="17"/>
      <c r="S82" s="17"/>
      <c r="T82" s="17" t="s">
        <v>473</v>
      </c>
      <c r="U82" s="638">
        <v>0.13350000000000001</v>
      </c>
      <c r="V82" s="635">
        <v>120454.38</v>
      </c>
      <c r="W82" s="27"/>
      <c r="X82" s="17"/>
      <c r="Y82" s="418" t="s">
        <v>151</v>
      </c>
      <c r="Z82" s="17">
        <v>4</v>
      </c>
      <c r="AA82" t="str">
        <f>VLOOKUP(Y82,Source!F:F,1,FALSE)</f>
        <v>Mass. Maritime Academy</v>
      </c>
    </row>
    <row r="83" spans="1:27" s="3" customFormat="1">
      <c r="A83" s="17" t="str">
        <f t="shared" si="3"/>
        <v>Mass. Maritime Academy5</v>
      </c>
      <c r="B83" s="260" t="s">
        <v>465</v>
      </c>
      <c r="C83" s="27" t="s">
        <v>293</v>
      </c>
      <c r="D83" s="20"/>
      <c r="E83" s="27" t="s">
        <v>1842</v>
      </c>
      <c r="F83" s="630">
        <v>58</v>
      </c>
      <c r="G83" s="20" t="s">
        <v>602</v>
      </c>
      <c r="H83" s="27" t="s">
        <v>603</v>
      </c>
      <c r="I83" s="17" t="s">
        <v>471</v>
      </c>
      <c r="J83" s="24">
        <v>2532</v>
      </c>
      <c r="K83" s="25"/>
      <c r="L83" s="28">
        <v>2014</v>
      </c>
      <c r="M83" s="631">
        <v>58</v>
      </c>
      <c r="N83" s="27" t="s">
        <v>472</v>
      </c>
      <c r="O83" s="17" t="s">
        <v>1212</v>
      </c>
      <c r="P83" s="17" t="s">
        <v>750</v>
      </c>
      <c r="Q83" s="37"/>
      <c r="R83" s="17"/>
      <c r="S83" s="17"/>
      <c r="T83" s="17" t="s">
        <v>473</v>
      </c>
      <c r="U83" s="638">
        <v>0.13350000000000001</v>
      </c>
      <c r="V83" s="635">
        <v>67828.680000000008</v>
      </c>
      <c r="W83" s="27"/>
      <c r="X83" s="17"/>
      <c r="Y83" s="418" t="s">
        <v>151</v>
      </c>
      <c r="Z83" s="17">
        <v>5</v>
      </c>
      <c r="AA83" t="str">
        <f>VLOOKUP(Y83,Source!F:F,1,FALSE)</f>
        <v>Mass. Maritime Academy</v>
      </c>
    </row>
    <row r="84" spans="1:27" s="3" customFormat="1">
      <c r="A84" s="17" t="str">
        <f t="shared" si="3"/>
        <v>Mass. Water Resources Authority1</v>
      </c>
      <c r="B84" s="260" t="s">
        <v>465</v>
      </c>
      <c r="C84" s="17" t="s">
        <v>293</v>
      </c>
      <c r="D84" s="20" t="s">
        <v>623</v>
      </c>
      <c r="E84" s="17" t="s">
        <v>1861</v>
      </c>
      <c r="F84" s="639">
        <v>222</v>
      </c>
      <c r="G84" s="32" t="s">
        <v>609</v>
      </c>
      <c r="H84" s="32" t="s">
        <v>610</v>
      </c>
      <c r="I84" s="23" t="s">
        <v>471</v>
      </c>
      <c r="J84" s="24">
        <v>2152</v>
      </c>
      <c r="K84" s="25">
        <v>40667</v>
      </c>
      <c r="L84" s="28">
        <v>2011</v>
      </c>
      <c r="M84" s="17">
        <v>222</v>
      </c>
      <c r="N84" s="30" t="s">
        <v>611</v>
      </c>
      <c r="O84" s="17" t="s">
        <v>485</v>
      </c>
      <c r="P84" s="17" t="s">
        <v>750</v>
      </c>
      <c r="Q84" s="17"/>
      <c r="R84" s="17"/>
      <c r="S84" s="17"/>
      <c r="T84" s="17" t="s">
        <v>473</v>
      </c>
      <c r="U84" s="638">
        <v>0.13350000000000001</v>
      </c>
      <c r="V84" s="635">
        <v>259620.12000000002</v>
      </c>
      <c r="W84" s="17"/>
      <c r="X84" s="17"/>
      <c r="Y84" s="418" t="s">
        <v>159</v>
      </c>
      <c r="Z84" s="260">
        <v>1</v>
      </c>
      <c r="AA84" t="str">
        <f>VLOOKUP(Y84,Source!F:F,1,FALSE)</f>
        <v>Mass. Water Resources Authority</v>
      </c>
    </row>
    <row r="85" spans="1:27" s="3" customFormat="1">
      <c r="A85" s="17" t="str">
        <f t="shared" si="3"/>
        <v>Mass. Water Resources Authority2</v>
      </c>
      <c r="B85" s="260" t="s">
        <v>465</v>
      </c>
      <c r="C85" s="17" t="s">
        <v>293</v>
      </c>
      <c r="D85" s="20" t="s">
        <v>623</v>
      </c>
      <c r="E85" s="17" t="s">
        <v>1862</v>
      </c>
      <c r="F85" s="639">
        <v>234</v>
      </c>
      <c r="G85" s="32" t="s">
        <v>609</v>
      </c>
      <c r="H85" s="32" t="s">
        <v>610</v>
      </c>
      <c r="I85" s="23" t="s">
        <v>471</v>
      </c>
      <c r="J85" s="24">
        <v>2152</v>
      </c>
      <c r="K85" s="25">
        <v>40667</v>
      </c>
      <c r="L85" s="28">
        <v>2011</v>
      </c>
      <c r="M85" s="17">
        <v>234</v>
      </c>
      <c r="N85" s="30" t="s">
        <v>611</v>
      </c>
      <c r="O85" s="17" t="s">
        <v>485</v>
      </c>
      <c r="P85" s="17" t="s">
        <v>1967</v>
      </c>
      <c r="Q85" s="17"/>
      <c r="R85" s="17"/>
      <c r="S85" s="17"/>
      <c r="T85" s="17" t="s">
        <v>473</v>
      </c>
      <c r="U85" s="638">
        <v>0.13350000000000001</v>
      </c>
      <c r="V85" s="635">
        <v>273653.64</v>
      </c>
      <c r="W85" s="17"/>
      <c r="X85" s="17"/>
      <c r="Y85" s="418" t="s">
        <v>159</v>
      </c>
      <c r="Z85" s="260">
        <v>2</v>
      </c>
      <c r="AA85" t="str">
        <f>VLOOKUP(Y85,Source!F:F,1,FALSE)</f>
        <v>Mass. Water Resources Authority</v>
      </c>
    </row>
    <row r="86" spans="1:27" s="3" customFormat="1">
      <c r="A86" s="17" t="str">
        <f t="shared" si="3"/>
        <v>Mass. Water Resources Authority3</v>
      </c>
      <c r="B86" s="260" t="s">
        <v>465</v>
      </c>
      <c r="C86" s="17" t="s">
        <v>293</v>
      </c>
      <c r="D86" s="20" t="s">
        <v>624</v>
      </c>
      <c r="E86" s="31" t="s">
        <v>1863</v>
      </c>
      <c r="F86" s="639">
        <v>99.8</v>
      </c>
      <c r="G86" s="32" t="s">
        <v>609</v>
      </c>
      <c r="H86" s="32" t="s">
        <v>610</v>
      </c>
      <c r="I86" s="23" t="s">
        <v>471</v>
      </c>
      <c r="J86" s="24">
        <v>2152</v>
      </c>
      <c r="K86" s="25">
        <v>39569</v>
      </c>
      <c r="L86" s="28">
        <v>2011</v>
      </c>
      <c r="M86" s="17">
        <v>99.8</v>
      </c>
      <c r="N86" s="30" t="s">
        <v>611</v>
      </c>
      <c r="O86" s="17" t="s">
        <v>1212</v>
      </c>
      <c r="P86" s="17" t="s">
        <v>750</v>
      </c>
      <c r="Q86" s="17"/>
      <c r="R86" s="17"/>
      <c r="S86" s="17"/>
      <c r="T86" s="17" t="s">
        <v>473</v>
      </c>
      <c r="U86" s="638">
        <v>0.13350000000000001</v>
      </c>
      <c r="V86" s="635">
        <v>116712.10800000001</v>
      </c>
      <c r="W86" s="17"/>
      <c r="X86" s="17"/>
      <c r="Y86" s="418" t="s">
        <v>159</v>
      </c>
      <c r="Z86" s="260">
        <v>3</v>
      </c>
      <c r="AA86" t="str">
        <f>VLOOKUP(Y86,Source!F:F,1,FALSE)</f>
        <v>Mass. Water Resources Authority</v>
      </c>
    </row>
    <row r="87" spans="1:27" s="3" customFormat="1">
      <c r="A87" s="17" t="str">
        <f t="shared" si="3"/>
        <v>Mass. Water Resources Authority4</v>
      </c>
      <c r="B87" s="260" t="s">
        <v>465</v>
      </c>
      <c r="C87" s="17" t="s">
        <v>293</v>
      </c>
      <c r="D87" s="20" t="s">
        <v>622</v>
      </c>
      <c r="E87" s="31" t="s">
        <v>1864</v>
      </c>
      <c r="F87" s="639">
        <v>180.6</v>
      </c>
      <c r="G87" s="32" t="s">
        <v>609</v>
      </c>
      <c r="H87" s="32" t="s">
        <v>610</v>
      </c>
      <c r="I87" s="23" t="s">
        <v>471</v>
      </c>
      <c r="J87" s="24">
        <v>2152</v>
      </c>
      <c r="K87" s="25">
        <v>40238</v>
      </c>
      <c r="L87" s="28">
        <v>2011</v>
      </c>
      <c r="M87" s="17">
        <v>180.6</v>
      </c>
      <c r="N87" s="30" t="s">
        <v>611</v>
      </c>
      <c r="O87" s="17" t="s">
        <v>1212</v>
      </c>
      <c r="P87" s="17" t="s">
        <v>750</v>
      </c>
      <c r="Q87" s="17"/>
      <c r="R87" s="17"/>
      <c r="S87" s="17"/>
      <c r="T87" s="17" t="s">
        <v>473</v>
      </c>
      <c r="U87" s="638">
        <v>0.13350000000000001</v>
      </c>
      <c r="V87" s="635">
        <v>211204.47600000002</v>
      </c>
      <c r="W87" s="17"/>
      <c r="X87" s="17"/>
      <c r="Y87" s="418" t="s">
        <v>159</v>
      </c>
      <c r="Z87" s="260">
        <v>4</v>
      </c>
      <c r="AA87" t="str">
        <f>VLOOKUP(Y87,Source!F:F,1,FALSE)</f>
        <v>Mass. Water Resources Authority</v>
      </c>
    </row>
    <row r="88" spans="1:27" s="3" customFormat="1">
      <c r="A88" s="17" t="str">
        <f t="shared" si="3"/>
        <v>Mass. Water Resources Authority5</v>
      </c>
      <c r="B88" s="260" t="s">
        <v>465</v>
      </c>
      <c r="C88" s="27" t="s">
        <v>293</v>
      </c>
      <c r="D88" s="20" t="s">
        <v>625</v>
      </c>
      <c r="E88" s="27" t="s">
        <v>626</v>
      </c>
      <c r="F88" s="639">
        <v>496</v>
      </c>
      <c r="G88" s="17" t="s">
        <v>627</v>
      </c>
      <c r="H88" s="27" t="s">
        <v>628</v>
      </c>
      <c r="I88" s="17" t="s">
        <v>471</v>
      </c>
      <c r="J88" s="24">
        <v>1752</v>
      </c>
      <c r="K88" s="25">
        <v>40544</v>
      </c>
      <c r="L88" s="28">
        <v>2011</v>
      </c>
      <c r="M88" s="17">
        <v>496</v>
      </c>
      <c r="N88" s="30" t="s">
        <v>611</v>
      </c>
      <c r="O88" s="17" t="s">
        <v>1212</v>
      </c>
      <c r="P88" s="17" t="s">
        <v>1967</v>
      </c>
      <c r="Q88" s="23"/>
      <c r="R88" s="23"/>
      <c r="S88" s="23"/>
      <c r="T88" s="17" t="s">
        <v>473</v>
      </c>
      <c r="U88" s="638">
        <v>0.13350000000000001</v>
      </c>
      <c r="V88" s="635">
        <v>580052.16</v>
      </c>
      <c r="W88"/>
      <c r="X88"/>
      <c r="Y88" s="418" t="s">
        <v>159</v>
      </c>
      <c r="Z88" s="260">
        <v>5</v>
      </c>
      <c r="AA88" t="str">
        <f>VLOOKUP(Y88,Source!F:F,1,FALSE)</f>
        <v>Mass. Water Resources Authority</v>
      </c>
    </row>
    <row r="89" spans="1:27" s="3" customFormat="1">
      <c r="A89" s="17" t="str">
        <f t="shared" si="3"/>
        <v>Mass. Water Resources Authority6</v>
      </c>
      <c r="B89" s="260" t="s">
        <v>465</v>
      </c>
      <c r="C89" s="27" t="s">
        <v>296</v>
      </c>
      <c r="D89" s="20" t="s">
        <v>629</v>
      </c>
      <c r="E89" s="27" t="s">
        <v>630</v>
      </c>
      <c r="F89" s="630">
        <v>1500</v>
      </c>
      <c r="G89" s="17" t="s">
        <v>631</v>
      </c>
      <c r="H89" s="27" t="s">
        <v>494</v>
      </c>
      <c r="I89" s="23" t="s">
        <v>471</v>
      </c>
      <c r="J89" s="24">
        <v>2129</v>
      </c>
      <c r="K89" s="25">
        <v>40830</v>
      </c>
      <c r="L89" s="28">
        <v>2011</v>
      </c>
      <c r="M89" s="17">
        <v>1500</v>
      </c>
      <c r="N89" s="30" t="s">
        <v>611</v>
      </c>
      <c r="O89" s="17"/>
      <c r="P89" s="17"/>
      <c r="Q89" s="17"/>
      <c r="R89" s="17"/>
      <c r="S89" s="17"/>
      <c r="T89" s="17" t="s">
        <v>473</v>
      </c>
      <c r="U89" s="743">
        <v>0.26</v>
      </c>
      <c r="V89" s="635">
        <v>3416400</v>
      </c>
      <c r="W89"/>
      <c r="X89"/>
      <c r="Y89" s="418" t="s">
        <v>159</v>
      </c>
      <c r="Z89" s="260">
        <v>6</v>
      </c>
      <c r="AA89" t="str">
        <f>VLOOKUP(Y89,Source!F:F,1,FALSE)</f>
        <v>Mass. Water Resources Authority</v>
      </c>
    </row>
    <row r="90" spans="1:27" s="3" customFormat="1">
      <c r="A90" s="17" t="str">
        <f t="shared" si="3"/>
        <v>Mass. Water Resources Authority7</v>
      </c>
      <c r="B90" s="260" t="s">
        <v>465</v>
      </c>
      <c r="C90" s="27" t="s">
        <v>297</v>
      </c>
      <c r="D90" s="20"/>
      <c r="E90" s="27" t="s">
        <v>1865</v>
      </c>
      <c r="F90" s="630">
        <v>59</v>
      </c>
      <c r="G90" s="17"/>
      <c r="H90" s="27" t="s">
        <v>1937</v>
      </c>
      <c r="I90" s="27"/>
      <c r="J90" s="17"/>
      <c r="K90" s="25"/>
      <c r="L90" s="28">
        <v>2013</v>
      </c>
      <c r="M90" s="17">
        <v>59</v>
      </c>
      <c r="N90" s="30" t="s">
        <v>611</v>
      </c>
      <c r="O90" s="743"/>
      <c r="P90" s="743"/>
      <c r="Q90" s="37"/>
      <c r="R90" s="17"/>
      <c r="S90" s="17"/>
      <c r="T90" s="17" t="s">
        <v>473</v>
      </c>
      <c r="U90" s="17"/>
      <c r="V90" s="17"/>
      <c r="W90" s="27"/>
      <c r="X90" s="17"/>
      <c r="Y90" s="418" t="s">
        <v>159</v>
      </c>
      <c r="Z90" s="260">
        <v>7</v>
      </c>
      <c r="AA90" t="str">
        <f>VLOOKUP(Y90,Source!F:F,1,FALSE)</f>
        <v>Mass. Water Resources Authority</v>
      </c>
    </row>
    <row r="91" spans="1:27" s="3" customFormat="1">
      <c r="A91" s="17" t="str">
        <f t="shared" si="3"/>
        <v>Mass. Water Resources Authority8</v>
      </c>
      <c r="B91" s="262" t="s">
        <v>465</v>
      </c>
      <c r="C91" s="263" t="s">
        <v>607</v>
      </c>
      <c r="D91" s="23" t="s">
        <v>1956</v>
      </c>
      <c r="E91" s="263" t="s">
        <v>608</v>
      </c>
      <c r="F91" s="694">
        <v>18000</v>
      </c>
      <c r="G91" s="32" t="s">
        <v>609</v>
      </c>
      <c r="H91" s="263" t="s">
        <v>610</v>
      </c>
      <c r="I91" s="23" t="s">
        <v>471</v>
      </c>
      <c r="J91" s="24">
        <v>2152</v>
      </c>
      <c r="K91" s="25">
        <v>41000</v>
      </c>
      <c r="L91" s="632">
        <v>1999</v>
      </c>
      <c r="M91" s="23">
        <v>18000</v>
      </c>
      <c r="N91" s="740" t="s">
        <v>611</v>
      </c>
      <c r="O91" s="744"/>
      <c r="P91" s="744"/>
      <c r="Q91" s="17"/>
      <c r="R91" s="17"/>
      <c r="S91" s="260"/>
      <c r="T91" s="23" t="s">
        <v>473</v>
      </c>
      <c r="U91" s="23"/>
      <c r="V91" s="23"/>
      <c r="W91" s="27"/>
      <c r="X91" s="260" t="s">
        <v>703</v>
      </c>
      <c r="Y91" s="418" t="s">
        <v>159</v>
      </c>
      <c r="Z91" s="260">
        <v>8</v>
      </c>
      <c r="AA91" t="str">
        <f>VLOOKUP(Y91,Source!F:F,1,FALSE)</f>
        <v>Mass. Water Resources Authority</v>
      </c>
    </row>
    <row r="92" spans="1:27" s="3" customFormat="1">
      <c r="A92" s="17" t="str">
        <f t="shared" si="3"/>
        <v>Mass. Water Resources Authority9</v>
      </c>
      <c r="B92" s="260" t="s">
        <v>465</v>
      </c>
      <c r="C92" s="27" t="s">
        <v>297</v>
      </c>
      <c r="D92" s="20" t="s">
        <v>612</v>
      </c>
      <c r="E92" s="27" t="s">
        <v>608</v>
      </c>
      <c r="F92" s="694">
        <v>1000</v>
      </c>
      <c r="G92" s="771" t="s">
        <v>609</v>
      </c>
      <c r="H92" s="27" t="s">
        <v>610</v>
      </c>
      <c r="I92" s="23" t="s">
        <v>471</v>
      </c>
      <c r="J92" s="24">
        <v>2152</v>
      </c>
      <c r="K92" s="25">
        <v>40179</v>
      </c>
      <c r="L92" s="28">
        <v>2003</v>
      </c>
      <c r="M92" s="17">
        <v>1000</v>
      </c>
      <c r="N92" s="30" t="s">
        <v>611</v>
      </c>
      <c r="O92" s="743"/>
      <c r="P92" s="743"/>
      <c r="Q92" s="17"/>
      <c r="R92" s="17"/>
      <c r="S92" s="260"/>
      <c r="T92" s="17" t="s">
        <v>473</v>
      </c>
      <c r="U92" s="17">
        <v>0.32</v>
      </c>
      <c r="V92" s="17"/>
      <c r="W92" s="27"/>
      <c r="X92" s="260"/>
      <c r="Y92" s="418" t="s">
        <v>159</v>
      </c>
      <c r="Z92" s="260">
        <v>9</v>
      </c>
      <c r="AA92" t="str">
        <f>VLOOKUP(Y92,Source!F:F,1,FALSE)</f>
        <v>Mass. Water Resources Authority</v>
      </c>
    </row>
    <row r="93" spans="1:27">
      <c r="A93" s="17" t="str">
        <f t="shared" si="3"/>
        <v>Mass. Water Resources Authority10</v>
      </c>
      <c r="B93" s="260" t="s">
        <v>465</v>
      </c>
      <c r="C93" s="27" t="s">
        <v>296</v>
      </c>
      <c r="D93" s="20" t="s">
        <v>632</v>
      </c>
      <c r="E93" s="27" t="s">
        <v>608</v>
      </c>
      <c r="F93" s="694">
        <v>1200</v>
      </c>
      <c r="G93" s="32" t="s">
        <v>609</v>
      </c>
      <c r="H93" s="27" t="s">
        <v>610</v>
      </c>
      <c r="I93" s="23" t="s">
        <v>471</v>
      </c>
      <c r="J93" s="24">
        <v>2152</v>
      </c>
      <c r="K93" s="25">
        <v>40179</v>
      </c>
      <c r="L93" s="28">
        <v>2010</v>
      </c>
      <c r="M93" s="774">
        <v>1200</v>
      </c>
      <c r="N93" s="30" t="s">
        <v>611</v>
      </c>
      <c r="O93" s="17"/>
      <c r="P93" s="17"/>
      <c r="Q93" s="17"/>
      <c r="R93" s="17"/>
      <c r="S93" s="17"/>
      <c r="T93" s="17" t="s">
        <v>473</v>
      </c>
      <c r="U93" s="743">
        <v>0.26</v>
      </c>
      <c r="V93" s="635">
        <v>2733120</v>
      </c>
      <c r="W93" s="17"/>
      <c r="X93" s="17"/>
      <c r="Y93" s="418" t="s">
        <v>159</v>
      </c>
      <c r="Z93" s="260">
        <v>10</v>
      </c>
      <c r="AA93" t="str">
        <f>VLOOKUP(Y93,Source!F:F,1,FALSE)</f>
        <v>Mass. Water Resources Authority</v>
      </c>
    </row>
    <row r="94" spans="1:27">
      <c r="A94" s="17" t="str">
        <f t="shared" si="3"/>
        <v>Mass. Water Resources Authority11</v>
      </c>
      <c r="B94" s="262" t="s">
        <v>465</v>
      </c>
      <c r="C94" s="263" t="s">
        <v>607</v>
      </c>
      <c r="D94" s="23" t="s">
        <v>1957</v>
      </c>
      <c r="E94" s="263" t="s">
        <v>1866</v>
      </c>
      <c r="F94" s="694">
        <v>1100</v>
      </c>
      <c r="G94" s="32" t="s">
        <v>609</v>
      </c>
      <c r="H94" s="263" t="s">
        <v>610</v>
      </c>
      <c r="I94" s="23" t="s">
        <v>471</v>
      </c>
      <c r="J94" s="24">
        <v>2152</v>
      </c>
      <c r="K94" s="25">
        <v>41000</v>
      </c>
      <c r="L94" s="632">
        <v>2011</v>
      </c>
      <c r="M94" s="736">
        <v>1100</v>
      </c>
      <c r="N94" s="740" t="s">
        <v>611</v>
      </c>
      <c r="O94" s="744"/>
      <c r="P94" s="744"/>
      <c r="Q94" s="17"/>
      <c r="R94" s="17"/>
      <c r="S94" s="17"/>
      <c r="T94" s="23" t="s">
        <v>473</v>
      </c>
      <c r="U94" s="23"/>
      <c r="V94" s="23"/>
      <c r="W94" s="17"/>
      <c r="X94" s="17"/>
      <c r="Y94" s="418" t="s">
        <v>159</v>
      </c>
      <c r="Z94" s="260">
        <v>11</v>
      </c>
      <c r="AA94" t="str">
        <f>VLOOKUP(Y94,Source!F:F,1,FALSE)</f>
        <v>Mass. Water Resources Authority</v>
      </c>
    </row>
    <row r="95" spans="1:27">
      <c r="A95" s="17" t="str">
        <f t="shared" si="3"/>
        <v>Mass. Water Resources Authority12</v>
      </c>
      <c r="B95" s="260" t="s">
        <v>465</v>
      </c>
      <c r="C95" s="27" t="s">
        <v>296</v>
      </c>
      <c r="D95" s="20" t="s">
        <v>1958</v>
      </c>
      <c r="E95" s="27" t="s">
        <v>1867</v>
      </c>
      <c r="F95" s="694">
        <v>100</v>
      </c>
      <c r="G95" s="32" t="s">
        <v>609</v>
      </c>
      <c r="H95" s="27" t="s">
        <v>610</v>
      </c>
      <c r="I95" s="23" t="s">
        <v>471</v>
      </c>
      <c r="J95" s="24">
        <v>2152</v>
      </c>
      <c r="K95" s="25">
        <v>40664</v>
      </c>
      <c r="L95" s="28">
        <v>2009</v>
      </c>
      <c r="M95" s="774">
        <v>100</v>
      </c>
      <c r="N95" s="30" t="s">
        <v>611</v>
      </c>
      <c r="O95" s="17"/>
      <c r="P95" s="17"/>
      <c r="Q95" s="17"/>
      <c r="R95" s="17"/>
      <c r="S95" s="17"/>
      <c r="T95" s="17" t="s">
        <v>473</v>
      </c>
      <c r="U95" s="743">
        <v>0.26</v>
      </c>
      <c r="V95" s="635">
        <v>227760</v>
      </c>
      <c r="W95" s="17"/>
      <c r="X95" s="17"/>
      <c r="Y95" s="418" t="s">
        <v>159</v>
      </c>
      <c r="Z95" s="260">
        <v>12</v>
      </c>
      <c r="AA95" t="str">
        <f>VLOOKUP(Y95,Source!F:F,1,FALSE)</f>
        <v>Mass. Water Resources Authority</v>
      </c>
    </row>
    <row r="96" spans="1:27">
      <c r="A96" s="17" t="str">
        <f t="shared" si="3"/>
        <v>Mass. Water Resources Authority13</v>
      </c>
      <c r="B96" s="260" t="s">
        <v>465</v>
      </c>
      <c r="C96" s="27" t="s">
        <v>297</v>
      </c>
      <c r="D96" s="17"/>
      <c r="E96" s="27" t="s">
        <v>1868</v>
      </c>
      <c r="F96" s="695">
        <v>62</v>
      </c>
      <c r="G96" s="17"/>
      <c r="H96" s="27" t="s">
        <v>1938</v>
      </c>
      <c r="I96" s="17" t="s">
        <v>471</v>
      </c>
      <c r="J96" s="17"/>
      <c r="K96" s="17"/>
      <c r="L96" s="29">
        <v>2017</v>
      </c>
      <c r="M96" s="774">
        <v>62</v>
      </c>
      <c r="N96" s="30" t="s">
        <v>611</v>
      </c>
      <c r="O96" s="17"/>
      <c r="P96" s="17"/>
      <c r="Q96" s="17"/>
      <c r="R96" s="17"/>
      <c r="S96" s="17"/>
      <c r="T96" s="17" t="s">
        <v>473</v>
      </c>
      <c r="U96" s="17"/>
      <c r="V96" s="17"/>
      <c r="W96" s="17"/>
      <c r="X96" s="17"/>
      <c r="Y96" s="418" t="s">
        <v>159</v>
      </c>
      <c r="Z96" s="260">
        <v>13</v>
      </c>
      <c r="AA96" t="str">
        <f>VLOOKUP(Y96,Source!F:F,1,FALSE)</f>
        <v>Mass. Water Resources Authority</v>
      </c>
    </row>
    <row r="97" spans="1:27">
      <c r="A97" s="17" t="str">
        <f t="shared" si="3"/>
        <v>Mass. Water Resources Authority14</v>
      </c>
      <c r="B97" s="260" t="s">
        <v>465</v>
      </c>
      <c r="C97" s="27" t="s">
        <v>297</v>
      </c>
      <c r="D97" s="20" t="s">
        <v>619</v>
      </c>
      <c r="E97" s="27" t="s">
        <v>620</v>
      </c>
      <c r="F97" s="630">
        <v>200</v>
      </c>
      <c r="G97" s="17"/>
      <c r="H97" s="27" t="s">
        <v>621</v>
      </c>
      <c r="I97" s="27"/>
      <c r="J97" s="17"/>
      <c r="K97" s="25">
        <v>40603</v>
      </c>
      <c r="L97" s="28">
        <v>2011</v>
      </c>
      <c r="M97" s="17">
        <v>200</v>
      </c>
      <c r="N97" s="30" t="s">
        <v>611</v>
      </c>
      <c r="O97" s="743"/>
      <c r="P97" s="743"/>
      <c r="Q97" s="17"/>
      <c r="R97" s="17"/>
      <c r="S97" s="17"/>
      <c r="T97" s="17" t="s">
        <v>473</v>
      </c>
      <c r="U97" s="17">
        <v>0.56000000000000005</v>
      </c>
      <c r="V97" s="17"/>
      <c r="W97" s="17"/>
      <c r="X97" s="17"/>
      <c r="Y97" s="418" t="s">
        <v>159</v>
      </c>
      <c r="Z97" s="260">
        <v>14</v>
      </c>
      <c r="AA97" t="str">
        <f>VLOOKUP(Y97,Source!F:F,1,FALSE)</f>
        <v>Mass. Water Resources Authority</v>
      </c>
    </row>
    <row r="98" spans="1:27">
      <c r="A98" s="17" t="str">
        <f t="shared" ref="A98:A129" si="4">Y98&amp;Z98</f>
        <v>Mass. Water Resources Authority15</v>
      </c>
      <c r="B98" s="260" t="s">
        <v>465</v>
      </c>
      <c r="C98" s="27" t="s">
        <v>297</v>
      </c>
      <c r="D98" s="20" t="s">
        <v>613</v>
      </c>
      <c r="E98" s="27" t="s">
        <v>614</v>
      </c>
      <c r="F98" s="694">
        <v>3400</v>
      </c>
      <c r="G98" s="17"/>
      <c r="H98" s="27" t="s">
        <v>615</v>
      </c>
      <c r="I98" s="27"/>
      <c r="J98" s="17"/>
      <c r="K98" s="25">
        <v>40360</v>
      </c>
      <c r="L98" s="28">
        <v>1960</v>
      </c>
      <c r="M98" s="774">
        <v>3400</v>
      </c>
      <c r="N98" s="30" t="s">
        <v>611</v>
      </c>
      <c r="O98" s="743"/>
      <c r="P98" s="743"/>
      <c r="Q98" s="17"/>
      <c r="R98" s="17"/>
      <c r="S98" s="17"/>
      <c r="T98" s="17" t="s">
        <v>473</v>
      </c>
      <c r="U98" s="17">
        <v>0.16</v>
      </c>
      <c r="V98" s="17"/>
      <c r="W98" s="17"/>
      <c r="X98" s="17"/>
      <c r="Y98" s="418" t="s">
        <v>159</v>
      </c>
      <c r="Z98" s="260">
        <v>15</v>
      </c>
      <c r="AA98" t="str">
        <f>VLOOKUP(Y98,Source!F:F,1,FALSE)</f>
        <v>Mass. Water Resources Authority</v>
      </c>
    </row>
    <row r="99" spans="1:27">
      <c r="A99" s="17" t="str">
        <f t="shared" si="4"/>
        <v>Mass. Water Resources Authority16</v>
      </c>
      <c r="B99" s="260" t="s">
        <v>465</v>
      </c>
      <c r="C99" s="27" t="s">
        <v>297</v>
      </c>
      <c r="D99" s="20" t="s">
        <v>616</v>
      </c>
      <c r="E99" s="27" t="s">
        <v>617</v>
      </c>
      <c r="F99" s="694">
        <v>3500</v>
      </c>
      <c r="G99" s="17"/>
      <c r="H99" s="27" t="s">
        <v>618</v>
      </c>
      <c r="I99" s="27"/>
      <c r="J99" s="17"/>
      <c r="K99" s="25">
        <v>40360</v>
      </c>
      <c r="L99" s="28">
        <v>1950</v>
      </c>
      <c r="M99" s="774">
        <v>3500</v>
      </c>
      <c r="N99" s="30" t="s">
        <v>611</v>
      </c>
      <c r="O99" s="743"/>
      <c r="P99" s="743"/>
      <c r="Q99" s="17"/>
      <c r="R99" s="17"/>
      <c r="S99" s="17"/>
      <c r="T99" s="17" t="s">
        <v>473</v>
      </c>
      <c r="U99" s="17">
        <v>0.34</v>
      </c>
      <c r="V99" s="17"/>
      <c r="W99" s="17"/>
      <c r="X99" s="17"/>
      <c r="Y99" s="418" t="s">
        <v>159</v>
      </c>
      <c r="Z99" s="260">
        <v>16</v>
      </c>
      <c r="AA99" t="str">
        <f>VLOOKUP(Y99,Source!F:F,1,FALSE)</f>
        <v>Mass. Water Resources Authority</v>
      </c>
    </row>
    <row r="100" spans="1:27">
      <c r="A100" s="17" t="str">
        <f t="shared" si="4"/>
        <v>Mass. Water Resources Authority17</v>
      </c>
      <c r="B100" s="260" t="s">
        <v>465</v>
      </c>
      <c r="C100" s="27" t="s">
        <v>297</v>
      </c>
      <c r="D100" s="17"/>
      <c r="E100" s="27" t="s">
        <v>1869</v>
      </c>
      <c r="F100" s="636">
        <v>60</v>
      </c>
      <c r="G100" s="17"/>
      <c r="H100" s="17" t="s">
        <v>1937</v>
      </c>
      <c r="I100" s="17"/>
      <c r="J100" s="17"/>
      <c r="K100" s="17"/>
      <c r="L100" s="29">
        <v>2014</v>
      </c>
      <c r="M100" s="17">
        <v>60</v>
      </c>
      <c r="N100" s="30" t="s">
        <v>611</v>
      </c>
      <c r="O100" s="17"/>
      <c r="P100" s="17"/>
      <c r="Q100" s="17"/>
      <c r="R100" s="17"/>
      <c r="S100" s="17"/>
      <c r="T100" s="17" t="s">
        <v>473</v>
      </c>
      <c r="U100" s="17"/>
      <c r="V100" s="17"/>
      <c r="W100" s="17"/>
      <c r="X100" s="17"/>
      <c r="Y100" s="418" t="s">
        <v>159</v>
      </c>
      <c r="Z100" s="260">
        <v>17</v>
      </c>
      <c r="AA100" t="str">
        <f>VLOOKUP(Y100,Source!F:F,1,FALSE)</f>
        <v>Mass. Water Resources Authority</v>
      </c>
    </row>
    <row r="101" spans="1:27">
      <c r="A101" s="17" t="str">
        <f t="shared" si="4"/>
        <v>Mass. Water Resources Authority18</v>
      </c>
      <c r="B101" s="260" t="s">
        <v>465</v>
      </c>
      <c r="C101" s="17" t="s">
        <v>293</v>
      </c>
      <c r="D101" s="17"/>
      <c r="E101" s="17" t="s">
        <v>1870</v>
      </c>
      <c r="F101" s="758">
        <v>38</v>
      </c>
      <c r="G101" s="17"/>
      <c r="H101" s="32" t="s">
        <v>628</v>
      </c>
      <c r="I101" s="23" t="s">
        <v>471</v>
      </c>
      <c r="J101" s="24">
        <v>1752</v>
      </c>
      <c r="K101" s="17"/>
      <c r="L101" s="29">
        <v>2020</v>
      </c>
      <c r="M101" s="636">
        <v>36</v>
      </c>
      <c r="N101" s="30" t="s">
        <v>611</v>
      </c>
      <c r="O101" s="17" t="s">
        <v>1212</v>
      </c>
      <c r="P101" s="17" t="s">
        <v>750</v>
      </c>
      <c r="Q101" s="17"/>
      <c r="R101" s="17"/>
      <c r="S101" s="17"/>
      <c r="T101" s="17" t="s">
        <v>473</v>
      </c>
      <c r="U101" s="638">
        <v>0.13350000000000001</v>
      </c>
      <c r="V101" s="38">
        <v>42100.560000000005</v>
      </c>
      <c r="W101" s="17"/>
      <c r="X101" s="17"/>
      <c r="Y101" s="418" t="s">
        <v>159</v>
      </c>
      <c r="Z101" s="260">
        <v>18</v>
      </c>
      <c r="AA101" t="str">
        <f>VLOOKUP(Y101,Source!F:F,1,FALSE)</f>
        <v>Mass. Water Resources Authority</v>
      </c>
    </row>
    <row r="102" spans="1:27">
      <c r="A102" s="17" t="str">
        <f t="shared" si="4"/>
        <v>Mass. Water Resources Authority19</v>
      </c>
      <c r="B102" s="260" t="s">
        <v>465</v>
      </c>
      <c r="C102" s="17" t="s">
        <v>293</v>
      </c>
      <c r="D102" s="17"/>
      <c r="E102" s="17" t="s">
        <v>1871</v>
      </c>
      <c r="F102" s="696">
        <v>38</v>
      </c>
      <c r="G102" s="17"/>
      <c r="H102" s="32" t="s">
        <v>628</v>
      </c>
      <c r="I102" s="23" t="s">
        <v>471</v>
      </c>
      <c r="J102" s="24">
        <v>1752</v>
      </c>
      <c r="K102" s="17"/>
      <c r="L102" s="29">
        <v>2020</v>
      </c>
      <c r="M102" s="636">
        <v>36</v>
      </c>
      <c r="N102" s="30" t="s">
        <v>611</v>
      </c>
      <c r="O102" s="17" t="s">
        <v>1212</v>
      </c>
      <c r="P102" s="17" t="s">
        <v>1967</v>
      </c>
      <c r="Q102" s="37"/>
      <c r="R102" s="17"/>
      <c r="S102" s="17"/>
      <c r="T102" s="17" t="s">
        <v>473</v>
      </c>
      <c r="U102" s="638">
        <v>0.13350000000000001</v>
      </c>
      <c r="V102" s="38">
        <v>42100.560000000005</v>
      </c>
      <c r="W102" s="27"/>
      <c r="X102" s="17"/>
      <c r="Y102" s="418" t="s">
        <v>159</v>
      </c>
      <c r="Z102" s="260">
        <v>19</v>
      </c>
      <c r="AA102" t="str">
        <f>VLOOKUP(Y102,Source!F:F,1,FALSE)</f>
        <v>Mass. Water Resources Authority</v>
      </c>
    </row>
    <row r="103" spans="1:27">
      <c r="A103" s="17" t="str">
        <f t="shared" si="4"/>
        <v>Massasoit Comm. College1</v>
      </c>
      <c r="B103" s="260" t="s">
        <v>465</v>
      </c>
      <c r="C103" s="17" t="s">
        <v>293</v>
      </c>
      <c r="D103" s="20" t="s">
        <v>633</v>
      </c>
      <c r="E103" s="21" t="s">
        <v>634</v>
      </c>
      <c r="F103" s="630">
        <v>87.78</v>
      </c>
      <c r="G103" s="22" t="s">
        <v>635</v>
      </c>
      <c r="H103" s="22" t="s">
        <v>636</v>
      </c>
      <c r="I103" s="23" t="s">
        <v>471</v>
      </c>
      <c r="J103" s="24">
        <v>2302</v>
      </c>
      <c r="K103" s="25">
        <v>40725</v>
      </c>
      <c r="L103" s="28">
        <v>2011</v>
      </c>
      <c r="M103" s="631">
        <v>87.78</v>
      </c>
      <c r="N103" s="27" t="s">
        <v>472</v>
      </c>
      <c r="O103" s="17" t="s">
        <v>1212</v>
      </c>
      <c r="P103" s="17" t="s">
        <v>750</v>
      </c>
      <c r="Q103" s="37"/>
      <c r="R103" s="17"/>
      <c r="S103" s="17"/>
      <c r="T103" s="17" t="s">
        <v>473</v>
      </c>
      <c r="U103" s="638">
        <v>0.13350000000000001</v>
      </c>
      <c r="V103" s="635">
        <v>102655.19880000001</v>
      </c>
      <c r="W103" s="27"/>
      <c r="X103" s="17"/>
      <c r="Y103" s="418" t="s">
        <v>168</v>
      </c>
      <c r="Z103" s="260">
        <v>1</v>
      </c>
      <c r="AA103" t="str">
        <f>VLOOKUP(Y103,Source!F:F,1,FALSE)</f>
        <v>Massasoit Comm. College</v>
      </c>
    </row>
    <row r="104" spans="1:27">
      <c r="A104" s="17" t="str">
        <f t="shared" si="4"/>
        <v>Massasoit Comm. College2</v>
      </c>
      <c r="B104" s="260" t="s">
        <v>465</v>
      </c>
      <c r="C104" s="17" t="s">
        <v>293</v>
      </c>
      <c r="D104" s="20" t="s">
        <v>637</v>
      </c>
      <c r="E104" s="21" t="s">
        <v>638</v>
      </c>
      <c r="F104" s="630">
        <v>69.3</v>
      </c>
      <c r="G104" s="22" t="s">
        <v>635</v>
      </c>
      <c r="H104" s="22" t="s">
        <v>636</v>
      </c>
      <c r="I104" s="23" t="s">
        <v>471</v>
      </c>
      <c r="J104" s="24">
        <v>2302</v>
      </c>
      <c r="K104" s="25">
        <v>40725</v>
      </c>
      <c r="L104" s="28">
        <v>2011</v>
      </c>
      <c r="M104" s="631">
        <v>69.3</v>
      </c>
      <c r="N104" s="27" t="s">
        <v>472</v>
      </c>
      <c r="O104" s="17" t="s">
        <v>1212</v>
      </c>
      <c r="P104" s="17" t="s">
        <v>750</v>
      </c>
      <c r="Q104" s="37"/>
      <c r="R104" s="17"/>
      <c r="S104" s="17"/>
      <c r="T104" s="17" t="s">
        <v>473</v>
      </c>
      <c r="U104" s="638">
        <v>0.13350000000000001</v>
      </c>
      <c r="V104" s="635">
        <v>81043.578000000009</v>
      </c>
      <c r="W104" s="27"/>
      <c r="X104" s="17"/>
      <c r="Y104" s="40" t="s">
        <v>168</v>
      </c>
      <c r="Z104" s="260">
        <v>2</v>
      </c>
      <c r="AA104" t="str">
        <f>VLOOKUP(Y104,Source!F:F,1,FALSE)</f>
        <v>Massasoit Comm. College</v>
      </c>
    </row>
    <row r="105" spans="1:27">
      <c r="A105" s="17" t="str">
        <f t="shared" si="4"/>
        <v>Massasoit Comm. College3</v>
      </c>
      <c r="B105" s="260" t="s">
        <v>465</v>
      </c>
      <c r="C105" s="17" t="s">
        <v>293</v>
      </c>
      <c r="D105" s="20" t="s">
        <v>639</v>
      </c>
      <c r="E105" s="21" t="s">
        <v>640</v>
      </c>
      <c r="F105" s="630">
        <v>50.8</v>
      </c>
      <c r="G105" s="22" t="s">
        <v>635</v>
      </c>
      <c r="H105" s="22" t="s">
        <v>636</v>
      </c>
      <c r="I105" s="23" t="s">
        <v>471</v>
      </c>
      <c r="J105" s="24">
        <v>2302</v>
      </c>
      <c r="K105" s="25">
        <v>40725</v>
      </c>
      <c r="L105" s="28">
        <v>2011</v>
      </c>
      <c r="M105" s="631">
        <v>50.8</v>
      </c>
      <c r="N105" s="27" t="s">
        <v>472</v>
      </c>
      <c r="O105" s="17" t="s">
        <v>1212</v>
      </c>
      <c r="P105" s="17" t="s">
        <v>750</v>
      </c>
      <c r="Q105" s="37"/>
      <c r="R105" s="17"/>
      <c r="S105" s="17"/>
      <c r="T105" s="17" t="s">
        <v>473</v>
      </c>
      <c r="U105" s="638">
        <v>0.13350000000000001</v>
      </c>
      <c r="V105" s="635">
        <v>59408.568000000007</v>
      </c>
      <c r="W105" s="27"/>
      <c r="X105" s="17"/>
      <c r="Y105" s="40" t="s">
        <v>168</v>
      </c>
      <c r="Z105" s="260">
        <v>3</v>
      </c>
      <c r="AA105" t="str">
        <f>VLOOKUP(Y105,Source!F:F,1,FALSE)</f>
        <v>Massasoit Comm. College</v>
      </c>
    </row>
    <row r="106" spans="1:27">
      <c r="A106" s="17" t="str">
        <f t="shared" si="4"/>
        <v>Massasoit Comm. College4</v>
      </c>
      <c r="B106" s="260" t="s">
        <v>465</v>
      </c>
      <c r="C106" s="17" t="s">
        <v>293</v>
      </c>
      <c r="D106" s="20" t="s">
        <v>641</v>
      </c>
      <c r="E106" s="21" t="s">
        <v>642</v>
      </c>
      <c r="F106" s="630">
        <v>110.88</v>
      </c>
      <c r="G106" s="22" t="s">
        <v>635</v>
      </c>
      <c r="H106" s="22" t="s">
        <v>636</v>
      </c>
      <c r="I106" s="23" t="s">
        <v>471</v>
      </c>
      <c r="J106" s="24">
        <v>2302</v>
      </c>
      <c r="K106" s="25">
        <v>40725</v>
      </c>
      <c r="L106" s="28">
        <v>2011</v>
      </c>
      <c r="M106" s="631">
        <v>110.88</v>
      </c>
      <c r="N106" s="27" t="s">
        <v>472</v>
      </c>
      <c r="O106" s="17" t="s">
        <v>1212</v>
      </c>
      <c r="P106" s="17" t="s">
        <v>750</v>
      </c>
      <c r="Q106" s="17"/>
      <c r="R106" s="17"/>
      <c r="S106" s="17"/>
      <c r="T106" s="17" t="s">
        <v>473</v>
      </c>
      <c r="U106" s="638">
        <v>0.13350000000000001</v>
      </c>
      <c r="V106" s="635">
        <v>129669.7248</v>
      </c>
      <c r="W106" s="17"/>
      <c r="X106" s="17"/>
      <c r="Y106" s="40" t="s">
        <v>168</v>
      </c>
      <c r="Z106" s="260">
        <v>4</v>
      </c>
      <c r="AA106" t="str">
        <f>VLOOKUP(Y106,Source!F:F,1,FALSE)</f>
        <v>Massasoit Comm. College</v>
      </c>
    </row>
    <row r="107" spans="1:27">
      <c r="A107" s="17" t="str">
        <f t="shared" si="4"/>
        <v>Massasoit Comm. College5</v>
      </c>
      <c r="B107" s="260" t="s">
        <v>465</v>
      </c>
      <c r="C107" s="17" t="s">
        <v>293</v>
      </c>
      <c r="D107" s="20" t="s">
        <v>643</v>
      </c>
      <c r="E107" s="21" t="s">
        <v>644</v>
      </c>
      <c r="F107" s="630">
        <v>50.82</v>
      </c>
      <c r="G107" s="22" t="s">
        <v>635</v>
      </c>
      <c r="H107" s="22" t="s">
        <v>636</v>
      </c>
      <c r="I107" s="23" t="s">
        <v>471</v>
      </c>
      <c r="J107" s="24">
        <v>2302</v>
      </c>
      <c r="K107" s="25">
        <v>40725</v>
      </c>
      <c r="L107" s="28">
        <v>2011</v>
      </c>
      <c r="M107" s="631">
        <v>50.82</v>
      </c>
      <c r="N107" s="27" t="s">
        <v>472</v>
      </c>
      <c r="O107" s="17" t="s">
        <v>1212</v>
      </c>
      <c r="P107" s="17" t="s">
        <v>750</v>
      </c>
      <c r="Q107" s="17"/>
      <c r="R107" s="17"/>
      <c r="S107" s="17"/>
      <c r="T107" s="17" t="s">
        <v>473</v>
      </c>
      <c r="U107" s="638">
        <v>0.13350000000000001</v>
      </c>
      <c r="V107" s="635">
        <v>59431.957200000004</v>
      </c>
      <c r="W107" s="17"/>
      <c r="X107" s="17"/>
      <c r="Y107" s="40" t="s">
        <v>168</v>
      </c>
      <c r="Z107" s="260">
        <v>5</v>
      </c>
      <c r="AA107" t="str">
        <f>VLOOKUP(Y107,Source!F:F,1,FALSE)</f>
        <v>Massasoit Comm. College</v>
      </c>
    </row>
    <row r="108" spans="1:27">
      <c r="A108" s="17" t="str">
        <f t="shared" si="4"/>
        <v>MassDEP - owned1</v>
      </c>
      <c r="B108" s="260" t="s">
        <v>465</v>
      </c>
      <c r="C108" s="27" t="s">
        <v>293</v>
      </c>
      <c r="D108" s="20" t="s">
        <v>645</v>
      </c>
      <c r="E108" s="27" t="s">
        <v>646</v>
      </c>
      <c r="F108" s="630">
        <v>52.5</v>
      </c>
      <c r="G108" s="260" t="s">
        <v>647</v>
      </c>
      <c r="H108" s="27" t="s">
        <v>648</v>
      </c>
      <c r="I108" s="17" t="s">
        <v>471</v>
      </c>
      <c r="J108" s="24">
        <v>1843</v>
      </c>
      <c r="K108" s="25">
        <v>40981</v>
      </c>
      <c r="L108" s="28">
        <v>2012</v>
      </c>
      <c r="M108" s="631">
        <v>52.5</v>
      </c>
      <c r="N108" s="27" t="s">
        <v>516</v>
      </c>
      <c r="O108" s="17" t="s">
        <v>1212</v>
      </c>
      <c r="P108" s="260" t="s">
        <v>750</v>
      </c>
      <c r="Q108" s="17"/>
      <c r="R108" s="17"/>
      <c r="S108" s="17"/>
      <c r="T108" s="17" t="s">
        <v>473</v>
      </c>
      <c r="U108" s="638">
        <v>0.13350000000000001</v>
      </c>
      <c r="V108" s="635">
        <v>61396.65</v>
      </c>
      <c r="Y108" s="40" t="s">
        <v>179</v>
      </c>
      <c r="Z108" s="260">
        <v>1</v>
      </c>
      <c r="AA108" t="str">
        <f>VLOOKUP(Y108,Source!F:F,1,FALSE)</f>
        <v>MassDEP - owned</v>
      </c>
    </row>
    <row r="109" spans="1:27">
      <c r="A109" s="17" t="str">
        <f t="shared" si="4"/>
        <v>MassDEP - owned2</v>
      </c>
      <c r="B109" s="260" t="s">
        <v>465</v>
      </c>
      <c r="C109" s="17" t="s">
        <v>293</v>
      </c>
      <c r="D109" s="20" t="s">
        <v>649</v>
      </c>
      <c r="E109" s="35" t="s">
        <v>650</v>
      </c>
      <c r="F109" s="630">
        <v>129.36000000000001</v>
      </c>
      <c r="G109" s="33" t="s">
        <v>651</v>
      </c>
      <c r="H109" s="33" t="s">
        <v>652</v>
      </c>
      <c r="I109" s="33" t="s">
        <v>471</v>
      </c>
      <c r="J109" s="24">
        <v>1107</v>
      </c>
      <c r="K109" s="25">
        <v>40980</v>
      </c>
      <c r="L109" s="28">
        <v>2012</v>
      </c>
      <c r="M109" s="17">
        <v>129.36000000000001</v>
      </c>
      <c r="N109" s="27" t="s">
        <v>516</v>
      </c>
      <c r="O109" s="17" t="s">
        <v>1212</v>
      </c>
      <c r="P109" s="17" t="s">
        <v>750</v>
      </c>
      <c r="Q109" s="17"/>
      <c r="R109" s="27"/>
      <c r="S109" s="260"/>
      <c r="T109" s="17" t="s">
        <v>473</v>
      </c>
      <c r="U109" s="638">
        <v>0.13350000000000001</v>
      </c>
      <c r="V109" s="635">
        <v>151281.34560000003</v>
      </c>
      <c r="W109" s="27"/>
      <c r="X109" s="260"/>
      <c r="Y109" s="40" t="s">
        <v>179</v>
      </c>
      <c r="Z109" s="260">
        <v>2</v>
      </c>
      <c r="AA109" t="str">
        <f>VLOOKUP(Y109,Source!F:F,1,FALSE)</f>
        <v>MassDEP - owned</v>
      </c>
    </row>
    <row r="110" spans="1:27">
      <c r="A110" s="17" t="str">
        <f t="shared" si="4"/>
        <v>MassDOT - Highway &amp; Turnpike Divisions1</v>
      </c>
      <c r="B110" s="260" t="s">
        <v>465</v>
      </c>
      <c r="C110" s="27" t="s">
        <v>293</v>
      </c>
      <c r="D110" s="20"/>
      <c r="E110" s="36" t="s">
        <v>653</v>
      </c>
      <c r="F110" s="630">
        <v>70</v>
      </c>
      <c r="G110" s="20" t="s">
        <v>654</v>
      </c>
      <c r="H110" s="27" t="s">
        <v>655</v>
      </c>
      <c r="I110" s="17" t="s">
        <v>471</v>
      </c>
      <c r="J110" s="24">
        <v>1060</v>
      </c>
      <c r="K110" s="25"/>
      <c r="L110" s="28">
        <v>2013</v>
      </c>
      <c r="M110" s="735">
        <v>79.63</v>
      </c>
      <c r="N110" s="30" t="s">
        <v>656</v>
      </c>
      <c r="O110" s="260" t="s">
        <v>1212</v>
      </c>
      <c r="P110" s="260" t="s">
        <v>1967</v>
      </c>
      <c r="Q110" s="17"/>
      <c r="R110" s="17"/>
      <c r="S110" s="260"/>
      <c r="T110" s="17" t="s">
        <v>473</v>
      </c>
      <c r="U110" s="638">
        <v>0.13350000000000001</v>
      </c>
      <c r="V110" s="635">
        <v>93124.099799999996</v>
      </c>
      <c r="W110" s="27"/>
      <c r="X110" s="17"/>
      <c r="Y110" s="40" t="s">
        <v>180</v>
      </c>
      <c r="Z110" s="260">
        <v>1</v>
      </c>
      <c r="AA110" t="str">
        <f>VLOOKUP(Y110,Source!F:F,1,FALSE)</f>
        <v>MassDOT - Highway &amp; Turnpike Divisions</v>
      </c>
    </row>
    <row r="111" spans="1:27">
      <c r="A111" s="17" t="str">
        <f t="shared" si="4"/>
        <v>MassDOT - Highway &amp; Turnpike Divisions2</v>
      </c>
      <c r="B111" s="260" t="s">
        <v>465</v>
      </c>
      <c r="C111" s="27" t="s">
        <v>293</v>
      </c>
      <c r="D111" s="17"/>
      <c r="E111" s="17" t="s">
        <v>746</v>
      </c>
      <c r="F111" s="636">
        <v>490</v>
      </c>
      <c r="G111" s="620" t="s">
        <v>1908</v>
      </c>
      <c r="H111" s="17" t="s">
        <v>747</v>
      </c>
      <c r="I111" s="17" t="s">
        <v>471</v>
      </c>
      <c r="J111" s="17"/>
      <c r="K111" s="193">
        <v>42795</v>
      </c>
      <c r="L111" s="29">
        <v>2017</v>
      </c>
      <c r="M111" s="17">
        <v>490</v>
      </c>
      <c r="N111" s="30" t="s">
        <v>656</v>
      </c>
      <c r="O111" s="17" t="s">
        <v>1948</v>
      </c>
      <c r="P111" s="17" t="s">
        <v>748</v>
      </c>
      <c r="Q111" s="177"/>
      <c r="R111" s="177"/>
      <c r="S111" s="178"/>
      <c r="T111" s="17" t="s">
        <v>473</v>
      </c>
      <c r="U111" s="638">
        <v>0.13350000000000001</v>
      </c>
      <c r="V111" s="635">
        <v>573035.4</v>
      </c>
      <c r="W111" s="180"/>
      <c r="X111" s="177"/>
      <c r="Y111" s="40" t="s">
        <v>180</v>
      </c>
      <c r="Z111" s="260">
        <v>2</v>
      </c>
      <c r="AA111" t="str">
        <f>VLOOKUP(Y111,Source!F:F,1,FALSE)</f>
        <v>MassDOT - Highway &amp; Turnpike Divisions</v>
      </c>
    </row>
    <row r="112" spans="1:27">
      <c r="A112" s="17" t="str">
        <f t="shared" si="4"/>
        <v>MassDOT - Highway &amp; Turnpike Divisions3</v>
      </c>
      <c r="B112" s="260" t="s">
        <v>465</v>
      </c>
      <c r="C112" s="27" t="s">
        <v>293</v>
      </c>
      <c r="D112" s="17"/>
      <c r="E112" s="17" t="s">
        <v>749</v>
      </c>
      <c r="F112" s="636">
        <v>51</v>
      </c>
      <c r="G112" s="17"/>
      <c r="H112" s="17" t="s">
        <v>747</v>
      </c>
      <c r="I112" s="17" t="s">
        <v>471</v>
      </c>
      <c r="J112" s="17"/>
      <c r="K112" s="193">
        <v>42795</v>
      </c>
      <c r="L112" s="29">
        <v>2017</v>
      </c>
      <c r="M112" s="17">
        <v>50</v>
      </c>
      <c r="N112" s="30" t="s">
        <v>656</v>
      </c>
      <c r="O112" s="17" t="s">
        <v>1948</v>
      </c>
      <c r="P112" s="17" t="s">
        <v>750</v>
      </c>
      <c r="Q112" s="17"/>
      <c r="R112" s="17"/>
      <c r="S112" s="260"/>
      <c r="T112" s="17" t="s">
        <v>473</v>
      </c>
      <c r="U112" s="638">
        <v>0.13350000000000001</v>
      </c>
      <c r="V112" s="635">
        <v>58473</v>
      </c>
      <c r="W112" s="27"/>
      <c r="X112" s="17"/>
      <c r="Y112" s="40" t="s">
        <v>180</v>
      </c>
      <c r="Z112" s="260">
        <v>3</v>
      </c>
      <c r="AA112" t="str">
        <f>VLOOKUP(Y112,Source!F:F,1,FALSE)</f>
        <v>MassDOT - Highway &amp; Turnpike Divisions</v>
      </c>
    </row>
    <row r="113" spans="1:27">
      <c r="A113" s="17" t="str">
        <f t="shared" si="4"/>
        <v>MassDOT - Highway &amp; Turnpike Divisions4</v>
      </c>
      <c r="B113" s="260" t="s">
        <v>465</v>
      </c>
      <c r="C113" s="27" t="s">
        <v>293</v>
      </c>
      <c r="D113" s="20"/>
      <c r="E113" s="17" t="s">
        <v>1844</v>
      </c>
      <c r="F113" s="636">
        <v>649</v>
      </c>
      <c r="G113" s="20"/>
      <c r="H113" s="17" t="s">
        <v>548</v>
      </c>
      <c r="I113" s="17" t="s">
        <v>471</v>
      </c>
      <c r="J113" s="24"/>
      <c r="K113" s="25">
        <v>41961</v>
      </c>
      <c r="L113" s="29">
        <v>2015</v>
      </c>
      <c r="M113" s="17">
        <v>649</v>
      </c>
      <c r="N113" s="30" t="s">
        <v>656</v>
      </c>
      <c r="O113" s="260" t="s">
        <v>485</v>
      </c>
      <c r="P113" s="17" t="s">
        <v>657</v>
      </c>
      <c r="Q113" s="274"/>
      <c r="R113" s="274"/>
      <c r="S113" s="274"/>
      <c r="T113" s="17" t="s">
        <v>473</v>
      </c>
      <c r="U113" s="638">
        <v>0.13350000000000001</v>
      </c>
      <c r="V113" s="635">
        <v>758979.54</v>
      </c>
      <c r="W113" s="280"/>
      <c r="X113" s="280"/>
      <c r="Y113" s="40" t="s">
        <v>180</v>
      </c>
      <c r="Z113" s="178">
        <v>4</v>
      </c>
      <c r="AA113" t="str">
        <f>VLOOKUP(Y113,Source!F:F,1,FALSE)</f>
        <v>MassDOT - Highway &amp; Turnpike Divisions</v>
      </c>
    </row>
    <row r="114" spans="1:27">
      <c r="A114" s="17" t="str">
        <f t="shared" si="4"/>
        <v>MassDOT - Highway &amp; Turnpike Divisions5</v>
      </c>
      <c r="B114" s="260" t="s">
        <v>465</v>
      </c>
      <c r="C114" s="27" t="s">
        <v>293</v>
      </c>
      <c r="D114" s="17"/>
      <c r="E114" s="17" t="s">
        <v>1845</v>
      </c>
      <c r="F114" s="636">
        <v>649</v>
      </c>
      <c r="G114" s="17"/>
      <c r="H114" s="17" t="s">
        <v>548</v>
      </c>
      <c r="I114" s="17" t="s">
        <v>471</v>
      </c>
      <c r="J114" s="17"/>
      <c r="K114" s="25">
        <v>41961</v>
      </c>
      <c r="L114" s="29">
        <v>2015</v>
      </c>
      <c r="M114" s="17">
        <v>649</v>
      </c>
      <c r="N114" s="30" t="s">
        <v>656</v>
      </c>
      <c r="O114" s="260" t="s">
        <v>485</v>
      </c>
      <c r="P114" s="17" t="s">
        <v>657</v>
      </c>
      <c r="Q114" s="274"/>
      <c r="R114" s="274"/>
      <c r="S114" s="274"/>
      <c r="T114" s="17" t="s">
        <v>473</v>
      </c>
      <c r="U114" s="638">
        <v>0.13350000000000001</v>
      </c>
      <c r="V114" s="635">
        <v>758979.54</v>
      </c>
      <c r="W114" s="280"/>
      <c r="X114" s="280"/>
      <c r="Y114" s="40" t="s">
        <v>180</v>
      </c>
      <c r="Z114" s="260">
        <v>5</v>
      </c>
      <c r="AA114" t="str">
        <f>VLOOKUP(Y114,Source!F:F,1,FALSE)</f>
        <v>MassDOT - Highway &amp; Turnpike Divisions</v>
      </c>
    </row>
    <row r="115" spans="1:27">
      <c r="A115" s="17" t="str">
        <f t="shared" si="4"/>
        <v>MassDOT - Highway &amp; Turnpike Divisions6</v>
      </c>
      <c r="B115" s="260" t="s">
        <v>465</v>
      </c>
      <c r="C115" s="27" t="s">
        <v>293</v>
      </c>
      <c r="D115" s="17"/>
      <c r="E115" s="17" t="s">
        <v>1846</v>
      </c>
      <c r="F115" s="636">
        <v>318</v>
      </c>
      <c r="G115" s="17"/>
      <c r="H115" s="17" t="s">
        <v>548</v>
      </c>
      <c r="I115" s="17" t="s">
        <v>471</v>
      </c>
      <c r="J115" s="17"/>
      <c r="K115" s="25">
        <v>41961</v>
      </c>
      <c r="L115" s="29">
        <v>2015</v>
      </c>
      <c r="M115" s="17">
        <v>318</v>
      </c>
      <c r="N115" s="30" t="s">
        <v>656</v>
      </c>
      <c r="O115" s="260" t="s">
        <v>485</v>
      </c>
      <c r="P115" s="17" t="s">
        <v>657</v>
      </c>
      <c r="Q115" s="775"/>
      <c r="R115" s="775"/>
      <c r="S115" s="775"/>
      <c r="T115" s="17" t="s">
        <v>473</v>
      </c>
      <c r="U115" s="638">
        <v>0.13350000000000001</v>
      </c>
      <c r="V115" s="635">
        <v>371888.28</v>
      </c>
      <c r="W115" s="775"/>
      <c r="X115" s="775"/>
      <c r="Y115" s="40" t="s">
        <v>180</v>
      </c>
      <c r="Z115" s="178">
        <v>6</v>
      </c>
      <c r="AA115" t="str">
        <f>VLOOKUP(Y115,Source!F:F,1,FALSE)</f>
        <v>MassDOT - Highway &amp; Turnpike Divisions</v>
      </c>
    </row>
    <row r="116" spans="1:27">
      <c r="A116" s="17" t="str">
        <f t="shared" si="4"/>
        <v>MassDOT - Highway &amp; Turnpike Divisions7</v>
      </c>
      <c r="B116" s="260" t="s">
        <v>465</v>
      </c>
      <c r="C116" s="27" t="s">
        <v>293</v>
      </c>
      <c r="D116" s="17"/>
      <c r="E116" s="17" t="s">
        <v>1847</v>
      </c>
      <c r="F116" s="636">
        <v>272</v>
      </c>
      <c r="G116" s="17"/>
      <c r="H116" s="17" t="s">
        <v>658</v>
      </c>
      <c r="I116" s="17" t="s">
        <v>471</v>
      </c>
      <c r="J116" s="17"/>
      <c r="K116" s="25">
        <v>41961</v>
      </c>
      <c r="L116" s="29">
        <v>2015</v>
      </c>
      <c r="M116" s="17">
        <v>272</v>
      </c>
      <c r="N116" s="30" t="s">
        <v>656</v>
      </c>
      <c r="O116" s="260" t="s">
        <v>485</v>
      </c>
      <c r="P116" s="17" t="s">
        <v>657</v>
      </c>
      <c r="Q116" s="775"/>
      <c r="R116" s="775"/>
      <c r="S116" s="775"/>
      <c r="T116" s="17" t="s">
        <v>473</v>
      </c>
      <c r="U116" s="638">
        <v>0.13350000000000001</v>
      </c>
      <c r="V116" s="635">
        <v>318093.12</v>
      </c>
      <c r="W116" s="775"/>
      <c r="X116" s="775"/>
      <c r="Y116" s="40" t="s">
        <v>180</v>
      </c>
      <c r="Z116" s="260">
        <v>7</v>
      </c>
      <c r="AA116" t="str">
        <f>VLOOKUP(Y116,Source!F:F,1,FALSE)</f>
        <v>MassDOT - Highway &amp; Turnpike Divisions</v>
      </c>
    </row>
    <row r="117" spans="1:27">
      <c r="A117" s="17" t="str">
        <f t="shared" si="4"/>
        <v>MassDOT - Highway &amp; Turnpike Divisions8</v>
      </c>
      <c r="B117" s="260" t="s">
        <v>465</v>
      </c>
      <c r="C117" s="27" t="s">
        <v>293</v>
      </c>
      <c r="D117" s="17"/>
      <c r="E117" s="17" t="s">
        <v>1848</v>
      </c>
      <c r="F117" s="636">
        <v>562</v>
      </c>
      <c r="G117" s="17"/>
      <c r="H117" s="17" t="s">
        <v>659</v>
      </c>
      <c r="I117" s="17" t="s">
        <v>471</v>
      </c>
      <c r="J117" s="17"/>
      <c r="K117" s="193">
        <v>42165</v>
      </c>
      <c r="L117" s="29">
        <v>2015</v>
      </c>
      <c r="M117" s="17">
        <v>567</v>
      </c>
      <c r="N117" s="30" t="s">
        <v>656</v>
      </c>
      <c r="O117" s="17" t="s">
        <v>485</v>
      </c>
      <c r="P117" s="17" t="s">
        <v>657</v>
      </c>
      <c r="Q117" s="274"/>
      <c r="R117" s="274"/>
      <c r="S117" s="274"/>
      <c r="T117" s="17" t="s">
        <v>473</v>
      </c>
      <c r="U117" s="638">
        <v>0.13350000000000001</v>
      </c>
      <c r="V117" s="635">
        <v>663083.82000000007</v>
      </c>
      <c r="W117" s="274"/>
      <c r="X117" s="274"/>
      <c r="Y117" s="40" t="s">
        <v>180</v>
      </c>
      <c r="Z117" s="178">
        <v>8</v>
      </c>
      <c r="AA117" t="str">
        <f>VLOOKUP(Y117,Source!F:F,1,FALSE)</f>
        <v>MassDOT - Highway &amp; Turnpike Divisions</v>
      </c>
    </row>
    <row r="118" spans="1:27">
      <c r="A118" s="17" t="str">
        <f t="shared" si="4"/>
        <v>MassDOT - Highway &amp; Turnpike Divisions9</v>
      </c>
      <c r="B118" s="260" t="s">
        <v>465</v>
      </c>
      <c r="C118" s="27" t="s">
        <v>293</v>
      </c>
      <c r="D118" s="17"/>
      <c r="E118" s="17" t="s">
        <v>1849</v>
      </c>
      <c r="F118" s="636">
        <v>649</v>
      </c>
      <c r="G118" s="17" t="s">
        <v>744</v>
      </c>
      <c r="H118" s="17" t="s">
        <v>745</v>
      </c>
      <c r="I118" s="17" t="s">
        <v>471</v>
      </c>
      <c r="J118" s="17"/>
      <c r="K118" s="193">
        <v>42668</v>
      </c>
      <c r="L118" s="29">
        <v>2017</v>
      </c>
      <c r="M118" s="17">
        <v>649</v>
      </c>
      <c r="N118" s="30" t="s">
        <v>656</v>
      </c>
      <c r="O118" s="17" t="s">
        <v>485</v>
      </c>
      <c r="P118" s="17" t="s">
        <v>657</v>
      </c>
      <c r="Q118" s="17"/>
      <c r="R118" s="17"/>
      <c r="S118" s="260"/>
      <c r="T118" s="17" t="s">
        <v>473</v>
      </c>
      <c r="U118" s="638">
        <v>0.13350000000000001</v>
      </c>
      <c r="V118" s="635">
        <v>758979.54</v>
      </c>
      <c r="W118" s="27"/>
      <c r="X118" s="260"/>
      <c r="Y118" s="40" t="s">
        <v>180</v>
      </c>
      <c r="Z118" s="260">
        <v>9</v>
      </c>
      <c r="AA118" t="str">
        <f>VLOOKUP(Y118,Source!F:F,1,FALSE)</f>
        <v>MassDOT - Highway &amp; Turnpike Divisions</v>
      </c>
    </row>
    <row r="119" spans="1:27">
      <c r="A119" s="17" t="str">
        <f t="shared" si="4"/>
        <v>MassDOT - Highway &amp; Turnpike Divisions10</v>
      </c>
      <c r="B119" s="260" t="s">
        <v>465</v>
      </c>
      <c r="C119" s="27" t="s">
        <v>293</v>
      </c>
      <c r="D119" s="17"/>
      <c r="E119" s="17" t="s">
        <v>742</v>
      </c>
      <c r="F119" s="636">
        <v>649</v>
      </c>
      <c r="G119" s="17"/>
      <c r="H119" s="17" t="s">
        <v>743</v>
      </c>
      <c r="I119" s="17" t="s">
        <v>471</v>
      </c>
      <c r="J119" s="637" t="s">
        <v>1942</v>
      </c>
      <c r="K119" s="193">
        <v>42650</v>
      </c>
      <c r="L119" s="29">
        <v>2017</v>
      </c>
      <c r="M119" s="17">
        <v>649</v>
      </c>
      <c r="N119" s="17" t="s">
        <v>656</v>
      </c>
      <c r="O119" s="17" t="s">
        <v>485</v>
      </c>
      <c r="P119" s="17" t="s">
        <v>657</v>
      </c>
      <c r="Q119" s="17"/>
      <c r="R119" s="17"/>
      <c r="S119" s="17"/>
      <c r="T119" s="17" t="s">
        <v>473</v>
      </c>
      <c r="U119" s="638">
        <v>0.13350000000000001</v>
      </c>
      <c r="V119" s="635">
        <v>758979.54</v>
      </c>
      <c r="W119" s="17"/>
      <c r="X119" s="17"/>
      <c r="Y119" s="40" t="s">
        <v>180</v>
      </c>
      <c r="Z119" s="178">
        <v>10</v>
      </c>
      <c r="AA119" t="str">
        <f>VLOOKUP(Y119,Source!F:F,1,FALSE)</f>
        <v>MassDOT - Highway &amp; Turnpike Divisions</v>
      </c>
    </row>
    <row r="120" spans="1:27">
      <c r="A120" s="17" t="str">
        <f t="shared" si="4"/>
        <v>MassDOT - Highway &amp; Turnpike Divisions11</v>
      </c>
      <c r="B120" s="260" t="s">
        <v>465</v>
      </c>
      <c r="C120" s="27" t="s">
        <v>293</v>
      </c>
      <c r="D120" s="17"/>
      <c r="E120" s="17" t="s">
        <v>1492</v>
      </c>
      <c r="F120" s="636">
        <v>163.30000000000001</v>
      </c>
      <c r="G120" s="17" t="s">
        <v>1493</v>
      </c>
      <c r="H120" s="17" t="s">
        <v>573</v>
      </c>
      <c r="I120" s="17" t="s">
        <v>471</v>
      </c>
      <c r="J120" s="637" t="s">
        <v>924</v>
      </c>
      <c r="K120" s="193"/>
      <c r="L120" s="29">
        <v>2022</v>
      </c>
      <c r="M120" s="17">
        <v>163</v>
      </c>
      <c r="N120" s="17" t="s">
        <v>656</v>
      </c>
      <c r="O120" s="17" t="s">
        <v>1212</v>
      </c>
      <c r="P120" s="17" t="s">
        <v>750</v>
      </c>
      <c r="Q120" s="260"/>
      <c r="R120" s="260"/>
      <c r="S120" s="260"/>
      <c r="T120" s="17" t="s">
        <v>473</v>
      </c>
      <c r="U120" s="638">
        <v>0.13350000000000001</v>
      </c>
      <c r="V120" s="635">
        <v>190621.98</v>
      </c>
      <c r="W120" s="27"/>
      <c r="X120" s="260"/>
      <c r="Y120" s="40" t="s">
        <v>180</v>
      </c>
      <c r="Z120" s="260">
        <v>11</v>
      </c>
      <c r="AA120" t="str">
        <f>VLOOKUP(Y120,Source!F:F,1,FALSE)</f>
        <v>MassDOT - Highway &amp; Turnpike Divisions</v>
      </c>
    </row>
    <row r="121" spans="1:27">
      <c r="A121" s="17" t="str">
        <f t="shared" si="4"/>
        <v>MassDOT - Highway &amp; Turnpike Divisions12</v>
      </c>
      <c r="B121" s="260" t="s">
        <v>465</v>
      </c>
      <c r="C121" s="27" t="s">
        <v>293</v>
      </c>
      <c r="D121" s="17"/>
      <c r="E121" s="17" t="s">
        <v>1492</v>
      </c>
      <c r="F121" s="636">
        <v>773</v>
      </c>
      <c r="G121" s="17" t="s">
        <v>1493</v>
      </c>
      <c r="H121" s="17" t="s">
        <v>573</v>
      </c>
      <c r="I121" s="17" t="s">
        <v>471</v>
      </c>
      <c r="J121" s="637" t="s">
        <v>1494</v>
      </c>
      <c r="K121" s="17"/>
      <c r="L121" s="29">
        <v>2022</v>
      </c>
      <c r="M121" s="635">
        <v>773</v>
      </c>
      <c r="N121" s="30" t="s">
        <v>656</v>
      </c>
      <c r="O121" s="17" t="s">
        <v>1212</v>
      </c>
      <c r="P121" s="17" t="s">
        <v>748</v>
      </c>
      <c r="Q121" s="260"/>
      <c r="R121" s="260"/>
      <c r="S121" s="260"/>
      <c r="T121" s="17" t="s">
        <v>1495</v>
      </c>
      <c r="U121" s="638">
        <v>0.13350000000000001</v>
      </c>
      <c r="V121" s="635">
        <v>903992.58000000007</v>
      </c>
      <c r="W121" s="27"/>
      <c r="X121" s="260"/>
      <c r="Y121" s="40" t="s">
        <v>180</v>
      </c>
      <c r="Z121" s="260">
        <v>12</v>
      </c>
      <c r="AA121" t="str">
        <f>VLOOKUP(Y121,Source!F:F,1,FALSE)</f>
        <v>MassDOT - Highway &amp; Turnpike Divisions</v>
      </c>
    </row>
    <row r="122" spans="1:27">
      <c r="A122" s="17" t="str">
        <f t="shared" si="4"/>
        <v>MassPort Authority1</v>
      </c>
      <c r="B122" s="260" t="s">
        <v>465</v>
      </c>
      <c r="C122" s="27" t="s">
        <v>293</v>
      </c>
      <c r="D122" s="20"/>
      <c r="E122" s="27" t="s">
        <v>667</v>
      </c>
      <c r="F122" s="630">
        <v>50</v>
      </c>
      <c r="G122" s="20" t="s">
        <v>664</v>
      </c>
      <c r="H122" s="27" t="s">
        <v>662</v>
      </c>
      <c r="I122" s="17" t="s">
        <v>471</v>
      </c>
      <c r="J122" s="24">
        <v>2128</v>
      </c>
      <c r="K122" s="25"/>
      <c r="L122" s="726">
        <v>2013</v>
      </c>
      <c r="M122" s="17">
        <v>50</v>
      </c>
      <c r="N122" s="30" t="s">
        <v>611</v>
      </c>
      <c r="O122" s="260" t="s">
        <v>1212</v>
      </c>
      <c r="P122" s="17" t="s">
        <v>1967</v>
      </c>
      <c r="Q122" s="260"/>
      <c r="R122" s="260"/>
      <c r="S122" s="260"/>
      <c r="T122" s="17" t="s">
        <v>473</v>
      </c>
      <c r="U122" s="638">
        <v>0.13350000000000001</v>
      </c>
      <c r="V122" s="635">
        <v>58473</v>
      </c>
      <c r="W122" s="27"/>
      <c r="X122" s="260"/>
      <c r="Y122" s="40" t="s">
        <v>181</v>
      </c>
      <c r="Z122" s="260">
        <v>1</v>
      </c>
      <c r="AA122" t="str">
        <f>VLOOKUP(Y122,Source!F:F,1,FALSE)</f>
        <v>MassPort Authority</v>
      </c>
    </row>
    <row r="123" spans="1:27">
      <c r="A123" s="17" t="str">
        <f t="shared" si="4"/>
        <v>MassPort Authority2</v>
      </c>
      <c r="B123" s="260" t="s">
        <v>465</v>
      </c>
      <c r="C123" s="27" t="s">
        <v>293</v>
      </c>
      <c r="D123" s="20"/>
      <c r="E123" s="27" t="s">
        <v>660</v>
      </c>
      <c r="F123" s="630">
        <v>51</v>
      </c>
      <c r="G123" s="20" t="s">
        <v>661</v>
      </c>
      <c r="H123" s="22" t="s">
        <v>494</v>
      </c>
      <c r="I123" s="17" t="s">
        <v>471</v>
      </c>
      <c r="J123" s="24">
        <v>1730</v>
      </c>
      <c r="K123" s="25"/>
      <c r="L123" s="28">
        <v>2014</v>
      </c>
      <c r="M123" s="17">
        <v>51</v>
      </c>
      <c r="N123" s="30" t="s">
        <v>611</v>
      </c>
      <c r="O123" s="260" t="s">
        <v>1212</v>
      </c>
      <c r="P123" s="17" t="s">
        <v>1967</v>
      </c>
      <c r="Q123" s="260"/>
      <c r="R123" s="260"/>
      <c r="S123" s="260"/>
      <c r="T123" s="17" t="s">
        <v>473</v>
      </c>
      <c r="U123" s="638">
        <v>0.13350000000000001</v>
      </c>
      <c r="V123" s="635">
        <v>59642.460000000006</v>
      </c>
      <c r="W123" s="27"/>
      <c r="X123" s="260"/>
      <c r="Y123" s="40" t="s">
        <v>181</v>
      </c>
      <c r="Z123" s="260">
        <v>2</v>
      </c>
      <c r="AA123" t="str">
        <f>VLOOKUP(Y123,Source!F:F,1,FALSE)</f>
        <v>MassPort Authority</v>
      </c>
    </row>
    <row r="124" spans="1:27">
      <c r="A124" s="17" t="str">
        <f t="shared" si="4"/>
        <v>MassPort Authority3</v>
      </c>
      <c r="B124" s="260" t="s">
        <v>465</v>
      </c>
      <c r="C124" s="17" t="s">
        <v>293</v>
      </c>
      <c r="D124" s="20" t="s">
        <v>663</v>
      </c>
      <c r="E124" s="21" t="s">
        <v>1850</v>
      </c>
      <c r="F124" s="630">
        <v>276.64</v>
      </c>
      <c r="G124" s="20" t="s">
        <v>664</v>
      </c>
      <c r="H124" s="22" t="s">
        <v>494</v>
      </c>
      <c r="I124" s="23" t="s">
        <v>471</v>
      </c>
      <c r="J124" s="24">
        <v>2128</v>
      </c>
      <c r="K124" s="25">
        <v>40905</v>
      </c>
      <c r="L124" s="28">
        <v>2012</v>
      </c>
      <c r="M124" s="17">
        <v>276.64</v>
      </c>
      <c r="N124" s="30" t="s">
        <v>611</v>
      </c>
      <c r="O124" s="17" t="s">
        <v>485</v>
      </c>
      <c r="P124" s="17" t="s">
        <v>750</v>
      </c>
      <c r="Q124" s="260"/>
      <c r="R124" s="260"/>
      <c r="S124" s="260"/>
      <c r="T124" s="17" t="s">
        <v>473</v>
      </c>
      <c r="U124" s="638">
        <v>0.13350000000000001</v>
      </c>
      <c r="V124" s="635">
        <v>323519.41440000001</v>
      </c>
      <c r="W124" s="27"/>
      <c r="X124" s="260"/>
      <c r="Y124" s="40" t="s">
        <v>181</v>
      </c>
      <c r="Z124" s="260">
        <v>3</v>
      </c>
      <c r="AA124" t="str">
        <f>VLOOKUP(Y124,Source!F:F,1,FALSE)</f>
        <v>MassPort Authority</v>
      </c>
    </row>
    <row r="125" spans="1:27">
      <c r="A125" s="17" t="str">
        <f t="shared" si="4"/>
        <v>MassPort Authority4</v>
      </c>
      <c r="B125" s="260" t="s">
        <v>465</v>
      </c>
      <c r="C125" s="17" t="s">
        <v>293</v>
      </c>
      <c r="D125" s="20" t="s">
        <v>665</v>
      </c>
      <c r="E125" s="21" t="s">
        <v>1851</v>
      </c>
      <c r="F125" s="630">
        <v>93.18</v>
      </c>
      <c r="G125" s="20" t="s">
        <v>664</v>
      </c>
      <c r="H125" s="27" t="s">
        <v>494</v>
      </c>
      <c r="I125" s="23" t="s">
        <v>471</v>
      </c>
      <c r="J125" s="24">
        <v>2128</v>
      </c>
      <c r="K125" s="25">
        <v>40905</v>
      </c>
      <c r="L125" s="28">
        <v>2012</v>
      </c>
      <c r="M125" s="17">
        <v>93.18</v>
      </c>
      <c r="N125" s="30" t="s">
        <v>611</v>
      </c>
      <c r="O125" s="17" t="s">
        <v>485</v>
      </c>
      <c r="P125" s="17" t="s">
        <v>750</v>
      </c>
      <c r="Q125" s="260"/>
      <c r="R125" s="260"/>
      <c r="S125" s="260"/>
      <c r="T125" s="17" t="s">
        <v>473</v>
      </c>
      <c r="U125" s="638">
        <v>0.13350000000000001</v>
      </c>
      <c r="V125" s="635">
        <v>108970.28280000002</v>
      </c>
      <c r="W125" s="27"/>
      <c r="X125" s="260"/>
      <c r="Y125" s="40" t="s">
        <v>181</v>
      </c>
      <c r="Z125" s="260">
        <v>4</v>
      </c>
      <c r="AA125" t="str">
        <f>VLOOKUP(Y125,Source!F:F,1,FALSE)</f>
        <v>MassPort Authority</v>
      </c>
    </row>
    <row r="126" spans="1:27">
      <c r="A126" s="17" t="str">
        <f t="shared" si="4"/>
        <v>MassPort Authority5</v>
      </c>
      <c r="B126" s="260" t="s">
        <v>465</v>
      </c>
      <c r="C126" s="27" t="s">
        <v>293</v>
      </c>
      <c r="D126" s="20" t="s">
        <v>1953</v>
      </c>
      <c r="E126" s="27" t="s">
        <v>666</v>
      </c>
      <c r="F126" s="630">
        <v>200</v>
      </c>
      <c r="G126" s="20" t="s">
        <v>664</v>
      </c>
      <c r="H126" s="27" t="s">
        <v>494</v>
      </c>
      <c r="I126" s="17" t="s">
        <v>471</v>
      </c>
      <c r="J126" s="24">
        <v>2128</v>
      </c>
      <c r="K126" s="25"/>
      <c r="L126" s="28">
        <v>2012</v>
      </c>
      <c r="M126" s="17">
        <v>200</v>
      </c>
      <c r="N126" s="30" t="s">
        <v>611</v>
      </c>
      <c r="O126" s="17" t="s">
        <v>1212</v>
      </c>
      <c r="P126" s="17" t="s">
        <v>750</v>
      </c>
      <c r="Q126" s="17"/>
      <c r="R126" s="17"/>
      <c r="S126" s="17"/>
      <c r="T126" s="17" t="s">
        <v>473</v>
      </c>
      <c r="U126" s="638">
        <v>0.13350000000000001</v>
      </c>
      <c r="V126" s="635">
        <v>233892</v>
      </c>
      <c r="W126" s="260"/>
      <c r="X126" s="260"/>
      <c r="Y126" s="40" t="s">
        <v>181</v>
      </c>
      <c r="Z126" s="260">
        <v>5</v>
      </c>
      <c r="AA126" t="str">
        <f>VLOOKUP(Y126,Source!F:F,1,FALSE)</f>
        <v>MassPort Authority</v>
      </c>
    </row>
    <row r="127" spans="1:27">
      <c r="A127" s="17" t="str">
        <f t="shared" si="4"/>
        <v>MassPort Authority6</v>
      </c>
      <c r="B127" s="260" t="s">
        <v>465</v>
      </c>
      <c r="C127" s="27" t="s">
        <v>293</v>
      </c>
      <c r="D127" s="20"/>
      <c r="E127" s="27" t="s">
        <v>1852</v>
      </c>
      <c r="F127" s="630">
        <v>81</v>
      </c>
      <c r="G127" s="20" t="s">
        <v>670</v>
      </c>
      <c r="H127" s="27" t="s">
        <v>668</v>
      </c>
      <c r="I127" s="17" t="s">
        <v>471</v>
      </c>
      <c r="J127" s="24">
        <v>2128</v>
      </c>
      <c r="K127" s="25"/>
      <c r="L127" s="726">
        <v>2013</v>
      </c>
      <c r="M127" s="17">
        <v>81</v>
      </c>
      <c r="N127" s="30" t="s">
        <v>611</v>
      </c>
      <c r="O127" s="17" t="s">
        <v>1212</v>
      </c>
      <c r="P127" s="17" t="s">
        <v>750</v>
      </c>
      <c r="Q127" s="17"/>
      <c r="R127" s="17"/>
      <c r="S127" s="17"/>
      <c r="T127" s="17" t="s">
        <v>473</v>
      </c>
      <c r="U127" s="638">
        <v>0.13350000000000001</v>
      </c>
      <c r="V127" s="635">
        <v>94726.260000000009</v>
      </c>
      <c r="W127" s="260"/>
      <c r="X127" s="260"/>
      <c r="Y127" s="40" t="s">
        <v>181</v>
      </c>
      <c r="Z127" s="260">
        <v>6</v>
      </c>
      <c r="AA127" t="str">
        <f>VLOOKUP(Y127,Source!F:F,1,FALSE)</f>
        <v>MassPort Authority</v>
      </c>
    </row>
    <row r="128" spans="1:27" ht="15.5">
      <c r="A128" s="17" t="str">
        <f t="shared" si="4"/>
        <v>MassPort Authority7</v>
      </c>
      <c r="B128" s="260" t="s">
        <v>465</v>
      </c>
      <c r="C128" s="27" t="s">
        <v>293</v>
      </c>
      <c r="D128" s="20" t="s">
        <v>1953</v>
      </c>
      <c r="E128" s="27" t="s">
        <v>671</v>
      </c>
      <c r="F128" s="630">
        <v>121</v>
      </c>
      <c r="G128" s="20" t="s">
        <v>664</v>
      </c>
      <c r="H128" s="27" t="s">
        <v>668</v>
      </c>
      <c r="I128" s="17" t="s">
        <v>471</v>
      </c>
      <c r="J128" s="24">
        <v>2128</v>
      </c>
      <c r="K128" s="25"/>
      <c r="L128" s="28">
        <v>2014</v>
      </c>
      <c r="M128" s="17">
        <v>121</v>
      </c>
      <c r="N128" s="30" t="s">
        <v>611</v>
      </c>
      <c r="O128" s="17" t="s">
        <v>1212</v>
      </c>
      <c r="P128" s="17" t="s">
        <v>750</v>
      </c>
      <c r="Q128" s="260"/>
      <c r="R128" s="260"/>
      <c r="S128" s="260"/>
      <c r="T128" s="17" t="s">
        <v>473</v>
      </c>
      <c r="U128" s="638">
        <v>0.13350000000000001</v>
      </c>
      <c r="V128" s="635">
        <v>141504.66</v>
      </c>
      <c r="W128" s="516"/>
      <c r="X128" s="260"/>
      <c r="Y128" s="40" t="s">
        <v>181</v>
      </c>
      <c r="Z128" s="260">
        <v>7</v>
      </c>
      <c r="AA128" t="str">
        <f>VLOOKUP(Y128,Source!F:F,1,FALSE)</f>
        <v>MassPort Authority</v>
      </c>
    </row>
    <row r="129" spans="1:27">
      <c r="A129" s="17" t="str">
        <f t="shared" si="4"/>
        <v>MassPort Authority8</v>
      </c>
      <c r="B129" s="260" t="s">
        <v>465</v>
      </c>
      <c r="C129" s="27" t="s">
        <v>296</v>
      </c>
      <c r="D129" s="20"/>
      <c r="E129" s="27" t="s">
        <v>669</v>
      </c>
      <c r="F129" s="630">
        <v>20</v>
      </c>
      <c r="G129" s="20" t="s">
        <v>670</v>
      </c>
      <c r="H129" s="27" t="s">
        <v>668</v>
      </c>
      <c r="I129" s="17" t="s">
        <v>471</v>
      </c>
      <c r="J129" s="24">
        <v>2128</v>
      </c>
      <c r="K129" s="25"/>
      <c r="L129" s="28">
        <v>2014</v>
      </c>
      <c r="M129" s="17">
        <v>20</v>
      </c>
      <c r="N129" s="30" t="s">
        <v>611</v>
      </c>
      <c r="O129" s="17" t="s">
        <v>1212</v>
      </c>
      <c r="P129" s="17"/>
      <c r="Q129" s="17"/>
      <c r="R129" s="17"/>
      <c r="S129" s="17"/>
      <c r="T129" s="17" t="s">
        <v>473</v>
      </c>
      <c r="U129" s="743">
        <v>0.26</v>
      </c>
      <c r="V129" s="635">
        <v>45552</v>
      </c>
      <c r="W129" s="17"/>
      <c r="X129" s="17"/>
      <c r="Y129" s="40" t="s">
        <v>181</v>
      </c>
      <c r="Z129" s="260">
        <v>8</v>
      </c>
      <c r="AA129" t="str">
        <f>VLOOKUP(Y129,Source!F:F,1,FALSE)</f>
        <v>MassPort Authority</v>
      </c>
    </row>
    <row r="130" spans="1:27">
      <c r="A130" s="17" t="str">
        <f t="shared" ref="A130:A161" si="5">Y130&amp;Z130</f>
        <v>MetroWest Regional Transit Authority1</v>
      </c>
      <c r="B130" s="680" t="s">
        <v>465</v>
      </c>
      <c r="C130" s="17" t="s">
        <v>293</v>
      </c>
      <c r="D130" s="17"/>
      <c r="E130" s="17" t="s">
        <v>1397</v>
      </c>
      <c r="F130" s="636">
        <v>198</v>
      </c>
      <c r="G130" s="17" t="s">
        <v>1398</v>
      </c>
      <c r="H130" s="707" t="s">
        <v>548</v>
      </c>
      <c r="I130" s="17" t="s">
        <v>471</v>
      </c>
      <c r="J130" s="711">
        <v>1702</v>
      </c>
      <c r="K130" s="718" t="s">
        <v>1943</v>
      </c>
      <c r="L130" s="29">
        <v>2019</v>
      </c>
      <c r="M130" s="762">
        <v>198</v>
      </c>
      <c r="N130" s="741" t="s">
        <v>611</v>
      </c>
      <c r="O130" s="17" t="s">
        <v>1212</v>
      </c>
      <c r="P130" s="17" t="s">
        <v>748</v>
      </c>
      <c r="Q130" s="17"/>
      <c r="R130" s="17"/>
      <c r="S130" s="260"/>
      <c r="T130" s="17" t="s">
        <v>473</v>
      </c>
      <c r="U130" s="638">
        <v>0.13350000000000001</v>
      </c>
      <c r="V130" s="635">
        <v>231553.08000000002</v>
      </c>
      <c r="W130" s="260"/>
      <c r="X130" s="17"/>
      <c r="Y130" s="768" t="s">
        <v>1396</v>
      </c>
      <c r="Z130" s="260">
        <v>1</v>
      </c>
      <c r="AA130" t="e">
        <f>VLOOKUP(Y130,Source!F:F,1,FALSE)</f>
        <v>#N/A</v>
      </c>
    </row>
    <row r="131" spans="1:27">
      <c r="A131" s="17" t="str">
        <f t="shared" si="5"/>
        <v>Middlesex Sheriff1</v>
      </c>
      <c r="B131" s="680" t="s">
        <v>465</v>
      </c>
      <c r="C131" s="17" t="s">
        <v>293</v>
      </c>
      <c r="D131" s="17"/>
      <c r="E131" s="17" t="s">
        <v>1859</v>
      </c>
      <c r="F131" s="636">
        <v>200</v>
      </c>
      <c r="G131" s="17"/>
      <c r="H131" s="707" t="s">
        <v>1936</v>
      </c>
      <c r="I131" s="17" t="s">
        <v>471</v>
      </c>
      <c r="J131" s="711"/>
      <c r="K131" s="25">
        <v>43111</v>
      </c>
      <c r="L131" s="29">
        <v>2018</v>
      </c>
      <c r="M131" s="762">
        <v>200</v>
      </c>
      <c r="N131" s="741" t="s">
        <v>529</v>
      </c>
      <c r="O131" s="17" t="s">
        <v>1212</v>
      </c>
      <c r="P131" s="17" t="s">
        <v>1967</v>
      </c>
      <c r="Q131" s="17"/>
      <c r="R131" s="17"/>
      <c r="S131" s="17"/>
      <c r="T131" s="17" t="s">
        <v>473</v>
      </c>
      <c r="U131" s="638">
        <v>0.13350000000000001</v>
      </c>
      <c r="V131" s="635">
        <v>233892</v>
      </c>
      <c r="W131" s="17"/>
      <c r="X131" s="17"/>
      <c r="Y131" s="768" t="s">
        <v>1974</v>
      </c>
      <c r="Z131" s="260">
        <v>1</v>
      </c>
      <c r="AA131" t="e">
        <f>VLOOKUP(Y131,Source!F:F,1,FALSE)</f>
        <v>#N/A</v>
      </c>
    </row>
    <row r="132" spans="1:27">
      <c r="A132" s="17" t="str">
        <f t="shared" si="5"/>
        <v>Military Division1</v>
      </c>
      <c r="B132" s="262" t="s">
        <v>465</v>
      </c>
      <c r="C132" s="754" t="s">
        <v>293</v>
      </c>
      <c r="D132" s="23"/>
      <c r="E132" s="687" t="s">
        <v>1860</v>
      </c>
      <c r="F132" s="630">
        <v>205</v>
      </c>
      <c r="G132" s="262" t="s">
        <v>1915</v>
      </c>
      <c r="H132" s="263" t="s">
        <v>658</v>
      </c>
      <c r="I132" s="23" t="s">
        <v>471</v>
      </c>
      <c r="J132" s="24"/>
      <c r="K132" s="25"/>
      <c r="L132" s="632">
        <v>2020</v>
      </c>
      <c r="M132" s="737">
        <v>205</v>
      </c>
      <c r="N132" s="740" t="s">
        <v>529</v>
      </c>
      <c r="O132" s="23" t="s">
        <v>1212</v>
      </c>
      <c r="P132" s="23" t="s">
        <v>748</v>
      </c>
      <c r="Q132" s="17"/>
      <c r="R132" s="17"/>
      <c r="S132" s="260"/>
      <c r="T132" s="23" t="s">
        <v>473</v>
      </c>
      <c r="U132" s="638">
        <v>0.13350000000000001</v>
      </c>
      <c r="V132" s="749">
        <v>239739.30000000002</v>
      </c>
      <c r="W132" s="27"/>
      <c r="X132" s="17"/>
      <c r="Y132" s="768" t="s">
        <v>191</v>
      </c>
      <c r="Z132" s="260">
        <v>1</v>
      </c>
      <c r="AA132" t="str">
        <f>VLOOKUP(Y132,Source!F:F,1,FALSE)</f>
        <v>Military Division</v>
      </c>
    </row>
    <row r="133" spans="1:27">
      <c r="A133" s="17" t="str">
        <f t="shared" si="5"/>
        <v>Military Division2</v>
      </c>
      <c r="B133" s="260" t="s">
        <v>465</v>
      </c>
      <c r="C133" s="17" t="s">
        <v>293</v>
      </c>
      <c r="D133" s="17"/>
      <c r="E133" s="21" t="s">
        <v>1896</v>
      </c>
      <c r="F133" s="700">
        <v>20.16</v>
      </c>
      <c r="G133" s="17" t="s">
        <v>1929</v>
      </c>
      <c r="H133" s="17" t="s">
        <v>494</v>
      </c>
      <c r="I133" s="17" t="s">
        <v>471</v>
      </c>
      <c r="J133" s="24">
        <v>2122</v>
      </c>
      <c r="K133" s="722">
        <v>42979</v>
      </c>
      <c r="L133" s="29">
        <v>2018</v>
      </c>
      <c r="M133" s="636">
        <v>20.16</v>
      </c>
      <c r="N133" s="17" t="s">
        <v>529</v>
      </c>
      <c r="O133" s="17"/>
      <c r="P133" s="17" t="s">
        <v>750</v>
      </c>
      <c r="T133" s="17" t="s">
        <v>473</v>
      </c>
      <c r="U133" s="638">
        <v>0.13350000000000001</v>
      </c>
      <c r="V133" s="635">
        <v>23576.313600000001</v>
      </c>
      <c r="Y133" s="555" t="s">
        <v>191</v>
      </c>
      <c r="Z133" s="17">
        <v>2</v>
      </c>
      <c r="AA133" t="str">
        <f>VLOOKUP(Y133,Source!F:F,1,FALSE)</f>
        <v>Military Division</v>
      </c>
    </row>
    <row r="134" spans="1:27">
      <c r="A134" s="17" t="str">
        <f t="shared" si="5"/>
        <v>Military Division3</v>
      </c>
      <c r="B134" s="260" t="s">
        <v>465</v>
      </c>
      <c r="C134" s="17" t="s">
        <v>293</v>
      </c>
      <c r="D134" s="17"/>
      <c r="E134" s="21" t="s">
        <v>1897</v>
      </c>
      <c r="F134" s="700">
        <v>62.1</v>
      </c>
      <c r="G134" s="17" t="s">
        <v>1930</v>
      </c>
      <c r="H134" s="17" t="s">
        <v>548</v>
      </c>
      <c r="I134" s="17" t="s">
        <v>471</v>
      </c>
      <c r="J134" s="24">
        <v>1702</v>
      </c>
      <c r="K134" s="722">
        <v>42979</v>
      </c>
      <c r="L134" s="29">
        <v>2018</v>
      </c>
      <c r="M134" s="636">
        <v>62.1</v>
      </c>
      <c r="N134" s="17" t="s">
        <v>529</v>
      </c>
      <c r="O134" s="17"/>
      <c r="P134" s="17" t="s">
        <v>750</v>
      </c>
      <c r="T134" s="17" t="s">
        <v>473</v>
      </c>
      <c r="U134" s="638">
        <v>0.13350000000000001</v>
      </c>
      <c r="V134" s="635">
        <v>72623.466</v>
      </c>
      <c r="Y134" s="17" t="s">
        <v>191</v>
      </c>
      <c r="Z134" s="17">
        <v>3</v>
      </c>
      <c r="AA134" t="str">
        <f>VLOOKUP(Y134,Source!F:F,1,FALSE)</f>
        <v>Military Division</v>
      </c>
    </row>
    <row r="135" spans="1:27">
      <c r="A135" s="17" t="str">
        <f t="shared" si="5"/>
        <v>Mount Wachusett Comm. College1</v>
      </c>
      <c r="B135" s="260" t="s">
        <v>465</v>
      </c>
      <c r="C135" s="17" t="s">
        <v>293</v>
      </c>
      <c r="D135" s="20" t="s">
        <v>672</v>
      </c>
      <c r="E135" s="21" t="s">
        <v>673</v>
      </c>
      <c r="F135" s="630">
        <v>97.28</v>
      </c>
      <c r="G135" s="20" t="s">
        <v>674</v>
      </c>
      <c r="H135" s="22" t="s">
        <v>553</v>
      </c>
      <c r="I135" s="23" t="s">
        <v>471</v>
      </c>
      <c r="J135" s="24">
        <v>1440</v>
      </c>
      <c r="K135" s="25">
        <v>40070</v>
      </c>
      <c r="L135" s="28">
        <v>2011</v>
      </c>
      <c r="M135" s="17">
        <v>97.28</v>
      </c>
      <c r="N135" s="27" t="s">
        <v>472</v>
      </c>
      <c r="O135" s="17" t="s">
        <v>1212</v>
      </c>
      <c r="P135" s="17" t="s">
        <v>750</v>
      </c>
      <c r="Q135" s="519"/>
      <c r="T135" s="17" t="s">
        <v>473</v>
      </c>
      <c r="U135" s="638">
        <v>0.13350000000000001</v>
      </c>
      <c r="V135" s="635">
        <v>113765.06880000001</v>
      </c>
      <c r="W135" s="767"/>
      <c r="Y135" s="768" t="s">
        <v>192</v>
      </c>
      <c r="Z135" s="178">
        <v>1</v>
      </c>
      <c r="AA135" t="str">
        <f>VLOOKUP(Y135,Source!F:F,1,FALSE)</f>
        <v>Mount Wachusett Comm. College</v>
      </c>
    </row>
    <row r="136" spans="1:27">
      <c r="A136" s="17" t="str">
        <f t="shared" si="5"/>
        <v>Mount Wachusett Comm. College2</v>
      </c>
      <c r="B136" s="260" t="s">
        <v>486</v>
      </c>
      <c r="C136" s="27" t="s">
        <v>677</v>
      </c>
      <c r="D136" s="20"/>
      <c r="E136" s="27" t="s">
        <v>678</v>
      </c>
      <c r="F136" s="630">
        <v>400</v>
      </c>
      <c r="G136" s="20" t="s">
        <v>674</v>
      </c>
      <c r="H136" s="27" t="s">
        <v>553</v>
      </c>
      <c r="I136" s="23" t="s">
        <v>471</v>
      </c>
      <c r="J136" s="24">
        <v>1440</v>
      </c>
      <c r="K136" s="25"/>
      <c r="L136" s="28">
        <v>1984</v>
      </c>
      <c r="M136" s="17">
        <v>400</v>
      </c>
      <c r="N136" s="742" t="s">
        <v>472</v>
      </c>
      <c r="O136" s="743"/>
      <c r="P136" s="743"/>
      <c r="Q136" s="17"/>
      <c r="R136" s="17"/>
      <c r="S136" s="260"/>
      <c r="T136" s="17" t="s">
        <v>473</v>
      </c>
      <c r="U136" s="17"/>
      <c r="V136" s="17"/>
      <c r="W136" s="27"/>
      <c r="X136" s="260"/>
      <c r="Y136" s="768" t="s">
        <v>192</v>
      </c>
      <c r="Z136" s="260">
        <v>2</v>
      </c>
      <c r="AA136" t="str">
        <f>VLOOKUP(Y136,Source!F:F,1,FALSE)</f>
        <v>Mount Wachusett Comm. College</v>
      </c>
    </row>
    <row r="137" spans="1:27">
      <c r="A137" s="17" t="str">
        <f t="shared" si="5"/>
        <v>Mount Wachusett Comm. College3</v>
      </c>
      <c r="B137" s="260" t="s">
        <v>465</v>
      </c>
      <c r="C137" s="27" t="s">
        <v>296</v>
      </c>
      <c r="D137" s="20" t="s">
        <v>675</v>
      </c>
      <c r="E137" s="27" t="s">
        <v>676</v>
      </c>
      <c r="F137" s="630">
        <v>3300</v>
      </c>
      <c r="G137" s="20" t="s">
        <v>674</v>
      </c>
      <c r="H137" s="27" t="s">
        <v>553</v>
      </c>
      <c r="I137" s="23" t="s">
        <v>471</v>
      </c>
      <c r="J137" s="24">
        <v>1440</v>
      </c>
      <c r="K137" s="25">
        <v>40664</v>
      </c>
      <c r="L137" s="28">
        <v>2011</v>
      </c>
      <c r="M137" s="17">
        <v>3300</v>
      </c>
      <c r="N137" s="27" t="s">
        <v>472</v>
      </c>
      <c r="O137" s="17"/>
      <c r="P137" s="17"/>
      <c r="Q137" s="17"/>
      <c r="R137" s="17"/>
      <c r="S137" s="17"/>
      <c r="T137" s="17" t="s">
        <v>473</v>
      </c>
      <c r="U137" s="743">
        <v>0.26</v>
      </c>
      <c r="V137" s="635">
        <v>7516080</v>
      </c>
      <c r="W137" s="17"/>
      <c r="X137" s="17"/>
      <c r="Y137" s="768" t="s">
        <v>192</v>
      </c>
      <c r="Z137" s="178">
        <v>3</v>
      </c>
      <c r="AA137" t="str">
        <f>VLOOKUP(Y137,Source!F:F,1,FALSE)</f>
        <v>Mount Wachusett Comm. College</v>
      </c>
    </row>
    <row r="138" spans="1:27">
      <c r="A138" s="17" t="str">
        <f t="shared" si="5"/>
        <v>Norfolk Sheriff1</v>
      </c>
      <c r="B138" s="260" t="s">
        <v>465</v>
      </c>
      <c r="C138" s="27" t="s">
        <v>293</v>
      </c>
      <c r="D138" s="20"/>
      <c r="E138" s="27" t="s">
        <v>1872</v>
      </c>
      <c r="F138" s="630">
        <v>178</v>
      </c>
      <c r="G138" s="17"/>
      <c r="H138" s="27" t="s">
        <v>1939</v>
      </c>
      <c r="I138" s="33" t="s">
        <v>471</v>
      </c>
      <c r="J138" s="24"/>
      <c r="K138" s="25">
        <v>43419</v>
      </c>
      <c r="L138" s="28">
        <v>2019</v>
      </c>
      <c r="M138" s="17">
        <v>178</v>
      </c>
      <c r="N138" s="27" t="s">
        <v>529</v>
      </c>
      <c r="O138" s="17" t="s">
        <v>1212</v>
      </c>
      <c r="P138" s="17" t="s">
        <v>750</v>
      </c>
      <c r="Q138" s="17"/>
      <c r="R138" s="17"/>
      <c r="S138" s="17"/>
      <c r="T138" s="17" t="s">
        <v>473</v>
      </c>
      <c r="U138" s="638">
        <v>0.13350000000000001</v>
      </c>
      <c r="V138" s="635">
        <v>208163.88</v>
      </c>
      <c r="W138" s="17"/>
      <c r="X138" s="17"/>
      <c r="Y138" s="21" t="s">
        <v>1975</v>
      </c>
      <c r="Z138" s="260">
        <v>1</v>
      </c>
      <c r="AA138" t="e">
        <f>VLOOKUP(Y138,Source!F:F,1,FALSE)</f>
        <v>#N/A</v>
      </c>
    </row>
    <row r="139" spans="1:27">
      <c r="A139" s="17" t="str">
        <f t="shared" si="5"/>
        <v>North Shore Comm. College1</v>
      </c>
      <c r="B139" s="260" t="s">
        <v>465</v>
      </c>
      <c r="C139" s="27" t="s">
        <v>293</v>
      </c>
      <c r="D139" s="20" t="s">
        <v>679</v>
      </c>
      <c r="E139" s="27" t="s">
        <v>680</v>
      </c>
      <c r="F139" s="630">
        <v>62.2</v>
      </c>
      <c r="G139" s="22" t="s">
        <v>681</v>
      </c>
      <c r="H139" s="27" t="s">
        <v>1940</v>
      </c>
      <c r="I139" s="17" t="s">
        <v>471</v>
      </c>
      <c r="J139" s="24">
        <v>1923</v>
      </c>
      <c r="K139" s="25">
        <v>40544</v>
      </c>
      <c r="L139" s="28">
        <v>2010</v>
      </c>
      <c r="M139" s="17">
        <v>61</v>
      </c>
      <c r="N139" s="27" t="s">
        <v>472</v>
      </c>
      <c r="O139" s="17" t="s">
        <v>1212</v>
      </c>
      <c r="P139" s="17" t="s">
        <v>750</v>
      </c>
      <c r="Q139" s="17"/>
      <c r="R139" s="17"/>
      <c r="S139" s="17"/>
      <c r="T139" s="17" t="s">
        <v>473</v>
      </c>
      <c r="U139" s="638">
        <v>0.13350000000000001</v>
      </c>
      <c r="V139" s="635">
        <v>71337.06</v>
      </c>
      <c r="W139" s="17"/>
      <c r="X139" s="17"/>
      <c r="Y139" s="21" t="s">
        <v>195</v>
      </c>
      <c r="Z139" s="178">
        <v>1</v>
      </c>
      <c r="AA139" t="str">
        <f>VLOOKUP(Y139,Source!F:F,1,FALSE)</f>
        <v>North Shore Comm. College</v>
      </c>
    </row>
    <row r="140" spans="1:27">
      <c r="A140" s="17" t="str">
        <f t="shared" si="5"/>
        <v>North Shore Comm. College2</v>
      </c>
      <c r="B140" s="260" t="s">
        <v>465</v>
      </c>
      <c r="C140" s="17" t="s">
        <v>293</v>
      </c>
      <c r="D140" s="20" t="s">
        <v>683</v>
      </c>
      <c r="E140" s="21" t="s">
        <v>1873</v>
      </c>
      <c r="F140" s="630">
        <v>345.98399999999998</v>
      </c>
      <c r="G140" s="22" t="s">
        <v>681</v>
      </c>
      <c r="H140" s="22" t="s">
        <v>682</v>
      </c>
      <c r="I140" s="23" t="s">
        <v>471</v>
      </c>
      <c r="J140" s="24">
        <v>1923</v>
      </c>
      <c r="K140" s="25">
        <v>40820</v>
      </c>
      <c r="L140" s="727">
        <v>2012</v>
      </c>
      <c r="M140" s="17">
        <v>345.98399999999998</v>
      </c>
      <c r="N140" s="27" t="s">
        <v>472</v>
      </c>
      <c r="O140" s="17" t="s">
        <v>1212</v>
      </c>
      <c r="P140" s="17" t="s">
        <v>750</v>
      </c>
      <c r="T140" s="17" t="s">
        <v>473</v>
      </c>
      <c r="U140" s="638">
        <v>0.13350000000000001</v>
      </c>
      <c r="V140" s="635">
        <v>404614.44864000002</v>
      </c>
      <c r="Y140" s="21" t="s">
        <v>195</v>
      </c>
      <c r="Z140" s="260">
        <v>2</v>
      </c>
      <c r="AA140" t="str">
        <f>VLOOKUP(Y140,Source!F:F,1,FALSE)</f>
        <v>North Shore Comm. College</v>
      </c>
    </row>
    <row r="141" spans="1:27">
      <c r="A141" s="17" t="str">
        <f t="shared" si="5"/>
        <v>North Shore Comm. College3</v>
      </c>
      <c r="B141" s="260" t="s">
        <v>465</v>
      </c>
      <c r="C141" s="17" t="s">
        <v>293</v>
      </c>
      <c r="D141" s="20" t="s">
        <v>684</v>
      </c>
      <c r="E141" s="21" t="s">
        <v>685</v>
      </c>
      <c r="F141" s="630">
        <v>73.900000000000006</v>
      </c>
      <c r="G141" s="22" t="s">
        <v>681</v>
      </c>
      <c r="H141" s="22" t="s">
        <v>682</v>
      </c>
      <c r="I141" s="23" t="s">
        <v>471</v>
      </c>
      <c r="J141" s="24">
        <v>1923</v>
      </c>
      <c r="K141" s="25">
        <v>40676</v>
      </c>
      <c r="L141" s="727">
        <v>2011</v>
      </c>
      <c r="M141" s="17">
        <v>73.900000000000006</v>
      </c>
      <c r="N141" s="27" t="s">
        <v>472</v>
      </c>
      <c r="O141" s="17" t="s">
        <v>1212</v>
      </c>
      <c r="P141" s="17" t="s">
        <v>750</v>
      </c>
      <c r="T141" s="17" t="s">
        <v>473</v>
      </c>
      <c r="U141" s="638">
        <v>0.13350000000000001</v>
      </c>
      <c r="V141" s="635">
        <v>86423.094000000012</v>
      </c>
      <c r="Y141" s="21" t="s">
        <v>195</v>
      </c>
      <c r="Z141" s="3">
        <v>3</v>
      </c>
      <c r="AA141" t="str">
        <f>VLOOKUP(Y141,Source!F:F,1,FALSE)</f>
        <v>North Shore Comm. College</v>
      </c>
    </row>
    <row r="142" spans="1:27">
      <c r="A142" s="17" t="str">
        <f t="shared" si="5"/>
        <v>Roxbury Comm. College1</v>
      </c>
      <c r="B142" s="260" t="s">
        <v>465</v>
      </c>
      <c r="C142" s="27" t="s">
        <v>293</v>
      </c>
      <c r="D142" s="17"/>
      <c r="E142" s="17" t="s">
        <v>1874</v>
      </c>
      <c r="F142" s="636">
        <v>937</v>
      </c>
      <c r="G142" s="620" t="s">
        <v>1916</v>
      </c>
      <c r="H142" s="27" t="s">
        <v>494</v>
      </c>
      <c r="I142" s="23" t="s">
        <v>471</v>
      </c>
      <c r="J142" s="17"/>
      <c r="K142" s="17"/>
      <c r="L142" s="29">
        <v>2016</v>
      </c>
      <c r="M142" s="17">
        <v>937</v>
      </c>
      <c r="N142" s="17" t="s">
        <v>472</v>
      </c>
      <c r="O142" s="17" t="s">
        <v>1212</v>
      </c>
      <c r="P142" s="17" t="s">
        <v>748</v>
      </c>
      <c r="T142" s="17" t="s">
        <v>473</v>
      </c>
      <c r="U142" s="638">
        <v>0.13350000000000001</v>
      </c>
      <c r="V142" s="635">
        <v>1095784.02</v>
      </c>
      <c r="Y142" s="21" t="s">
        <v>209</v>
      </c>
      <c r="Z142" s="3">
        <v>1</v>
      </c>
      <c r="AA142" t="str">
        <f>VLOOKUP(Y142,Source!F:F,1,FALSE)</f>
        <v>Roxbury Comm. College</v>
      </c>
    </row>
    <row r="143" spans="1:27">
      <c r="A143" s="17" t="str">
        <f t="shared" si="5"/>
        <v>Salem State University1</v>
      </c>
      <c r="B143" s="262" t="s">
        <v>465</v>
      </c>
      <c r="C143" s="23" t="s">
        <v>293</v>
      </c>
      <c r="D143" s="23"/>
      <c r="E143" s="21" t="s">
        <v>1875</v>
      </c>
      <c r="F143" s="630">
        <v>176</v>
      </c>
      <c r="G143" s="23" t="s">
        <v>751</v>
      </c>
      <c r="H143" s="22" t="s">
        <v>690</v>
      </c>
      <c r="I143" s="23" t="s">
        <v>471</v>
      </c>
      <c r="J143" s="24">
        <v>1970</v>
      </c>
      <c r="K143" s="25"/>
      <c r="L143" s="632">
        <v>2019</v>
      </c>
      <c r="M143" s="23">
        <v>176</v>
      </c>
      <c r="N143" s="263" t="s">
        <v>472</v>
      </c>
      <c r="O143" s="23" t="s">
        <v>485</v>
      </c>
      <c r="P143" s="23" t="s">
        <v>750</v>
      </c>
      <c r="Q143" s="519"/>
      <c r="T143" s="23" t="s">
        <v>473</v>
      </c>
      <c r="U143" s="638">
        <v>0.13350000000000001</v>
      </c>
      <c r="V143" s="635">
        <v>205824.96000000002</v>
      </c>
      <c r="W143" s="767"/>
      <c r="Y143" s="21" t="s">
        <v>211</v>
      </c>
      <c r="Z143" s="3">
        <v>1</v>
      </c>
      <c r="AA143" t="str">
        <f>VLOOKUP(Y143,Source!F:F,1,FALSE)</f>
        <v>Salem State University</v>
      </c>
    </row>
    <row r="144" spans="1:27" s="554" customFormat="1">
      <c r="A144" s="17" t="str">
        <f t="shared" si="5"/>
        <v>Salem State University2</v>
      </c>
      <c r="B144" s="260" t="s">
        <v>465</v>
      </c>
      <c r="C144" s="17" t="s">
        <v>293</v>
      </c>
      <c r="D144" s="20" t="s">
        <v>687</v>
      </c>
      <c r="E144" s="35" t="s">
        <v>688</v>
      </c>
      <c r="F144" s="630">
        <v>147.80000000000001</v>
      </c>
      <c r="G144" s="33" t="s">
        <v>689</v>
      </c>
      <c r="H144" s="33" t="s">
        <v>690</v>
      </c>
      <c r="I144" s="33" t="s">
        <v>471</v>
      </c>
      <c r="J144" s="24">
        <v>1970</v>
      </c>
      <c r="K144" s="25">
        <v>41011</v>
      </c>
      <c r="L144" s="727">
        <v>2012</v>
      </c>
      <c r="M144" s="17">
        <v>147.80000000000001</v>
      </c>
      <c r="N144" s="27" t="s">
        <v>472</v>
      </c>
      <c r="O144" s="17" t="s">
        <v>1212</v>
      </c>
      <c r="P144" s="17" t="s">
        <v>750</v>
      </c>
      <c r="Q144" s="37"/>
      <c r="R144" s="17"/>
      <c r="S144" s="17"/>
      <c r="T144" s="17" t="s">
        <v>473</v>
      </c>
      <c r="U144" s="638">
        <v>0.13350000000000001</v>
      </c>
      <c r="V144" s="635">
        <v>172846.18800000002</v>
      </c>
      <c r="W144" s="27"/>
      <c r="X144" s="17"/>
      <c r="Y144" s="21" t="s">
        <v>211</v>
      </c>
      <c r="Z144" s="260">
        <v>2</v>
      </c>
      <c r="AA144" t="str">
        <f>VLOOKUP(Y144,Source!F:F,1,FALSE)</f>
        <v>Salem State University</v>
      </c>
    </row>
    <row r="145" spans="1:27">
      <c r="A145" s="17" t="str">
        <f t="shared" si="5"/>
        <v>Salem State University3</v>
      </c>
      <c r="B145" s="260" t="s">
        <v>465</v>
      </c>
      <c r="C145" s="17" t="s">
        <v>293</v>
      </c>
      <c r="D145" s="20" t="s">
        <v>691</v>
      </c>
      <c r="E145" s="21" t="s">
        <v>1876</v>
      </c>
      <c r="F145" s="630">
        <v>68.900000000000006</v>
      </c>
      <c r="G145" s="20" t="s">
        <v>692</v>
      </c>
      <c r="H145" s="22" t="s">
        <v>690</v>
      </c>
      <c r="I145" s="23" t="s">
        <v>471</v>
      </c>
      <c r="J145" s="24">
        <v>1970</v>
      </c>
      <c r="K145" s="25" t="s">
        <v>693</v>
      </c>
      <c r="L145" s="28">
        <v>2009</v>
      </c>
      <c r="M145" s="17">
        <v>68.900000000000006</v>
      </c>
      <c r="N145" s="27" t="s">
        <v>472</v>
      </c>
      <c r="O145" s="17" t="s">
        <v>1212</v>
      </c>
      <c r="P145" s="17" t="s">
        <v>750</v>
      </c>
      <c r="Q145" s="17"/>
      <c r="R145" s="17"/>
      <c r="S145" s="17"/>
      <c r="T145" s="17" t="s">
        <v>473</v>
      </c>
      <c r="U145" s="638">
        <v>0.13350000000000001</v>
      </c>
      <c r="V145" s="635">
        <v>80575.794000000009</v>
      </c>
      <c r="W145" s="17"/>
      <c r="X145" s="17"/>
      <c r="Y145" s="21" t="s">
        <v>211</v>
      </c>
      <c r="Z145" s="260">
        <v>3</v>
      </c>
      <c r="AA145" t="str">
        <f>VLOOKUP(Y145,Source!F:F,1,FALSE)</f>
        <v>Salem State University</v>
      </c>
    </row>
    <row r="146" spans="1:27">
      <c r="A146" s="17" t="str">
        <f t="shared" si="5"/>
        <v>Salem State University4</v>
      </c>
      <c r="B146" s="262" t="s">
        <v>465</v>
      </c>
      <c r="C146" s="23" t="s">
        <v>293</v>
      </c>
      <c r="D146" s="23"/>
      <c r="E146" s="21" t="s">
        <v>754</v>
      </c>
      <c r="F146" s="630">
        <v>101</v>
      </c>
      <c r="G146" s="23" t="s">
        <v>755</v>
      </c>
      <c r="H146" s="22" t="s">
        <v>690</v>
      </c>
      <c r="I146" s="23" t="s">
        <v>471</v>
      </c>
      <c r="J146" s="24">
        <v>1970</v>
      </c>
      <c r="K146" s="25"/>
      <c r="L146" s="632">
        <v>2019</v>
      </c>
      <c r="M146" s="23">
        <v>101</v>
      </c>
      <c r="N146" s="263" t="s">
        <v>472</v>
      </c>
      <c r="O146" s="23" t="s">
        <v>485</v>
      </c>
      <c r="P146" s="23" t="s">
        <v>750</v>
      </c>
      <c r="Q146" s="17"/>
      <c r="R146" s="17"/>
      <c r="S146" s="17"/>
      <c r="T146" s="23" t="s">
        <v>473</v>
      </c>
      <c r="U146" s="638">
        <v>0.13350000000000001</v>
      </c>
      <c r="V146" s="635">
        <v>118115.46</v>
      </c>
      <c r="W146" s="17"/>
      <c r="X146" s="17"/>
      <c r="Y146" s="21" t="s">
        <v>211</v>
      </c>
      <c r="Z146" s="260">
        <v>4</v>
      </c>
      <c r="AA146" t="str">
        <f>VLOOKUP(Y146,Source!F:F,1,FALSE)</f>
        <v>Salem State University</v>
      </c>
    </row>
    <row r="147" spans="1:27">
      <c r="A147" s="17" t="str">
        <f t="shared" si="5"/>
        <v>Salem State University5</v>
      </c>
      <c r="B147" s="262" t="s">
        <v>465</v>
      </c>
      <c r="C147" s="23" t="s">
        <v>293</v>
      </c>
      <c r="D147" s="23"/>
      <c r="E147" s="21" t="s">
        <v>752</v>
      </c>
      <c r="F147" s="630">
        <v>102</v>
      </c>
      <c r="G147" s="23" t="s">
        <v>753</v>
      </c>
      <c r="H147" s="22" t="s">
        <v>690</v>
      </c>
      <c r="I147" s="23" t="s">
        <v>471</v>
      </c>
      <c r="J147" s="24">
        <v>1970</v>
      </c>
      <c r="K147" s="25"/>
      <c r="L147" s="632">
        <v>2019</v>
      </c>
      <c r="M147" s="23">
        <v>102</v>
      </c>
      <c r="N147" s="263" t="s">
        <v>472</v>
      </c>
      <c r="O147" s="23" t="s">
        <v>485</v>
      </c>
      <c r="P147" s="23" t="s">
        <v>750</v>
      </c>
      <c r="Q147" s="37"/>
      <c r="R147" s="17"/>
      <c r="S147" s="17"/>
      <c r="T147" s="23" t="s">
        <v>473</v>
      </c>
      <c r="U147" s="638">
        <v>0.13350000000000001</v>
      </c>
      <c r="V147" s="635">
        <v>119284.92000000001</v>
      </c>
      <c r="W147" s="27"/>
      <c r="X147" s="17"/>
      <c r="Y147" s="21" t="s">
        <v>211</v>
      </c>
      <c r="Z147" s="260">
        <v>5</v>
      </c>
      <c r="AA147" t="str">
        <f>VLOOKUP(Y147,Source!F:F,1,FALSE)</f>
        <v>Salem State University</v>
      </c>
    </row>
    <row r="148" spans="1:27">
      <c r="A148" s="17" t="str">
        <f t="shared" si="5"/>
        <v>Salem State University6</v>
      </c>
      <c r="B148" s="262" t="s">
        <v>465</v>
      </c>
      <c r="C148" s="23" t="s">
        <v>293</v>
      </c>
      <c r="D148" s="23"/>
      <c r="E148" s="35" t="s">
        <v>1877</v>
      </c>
      <c r="F148" s="630">
        <v>245</v>
      </c>
      <c r="G148" s="33" t="s">
        <v>689</v>
      </c>
      <c r="H148" s="22" t="s">
        <v>690</v>
      </c>
      <c r="I148" s="23" t="s">
        <v>471</v>
      </c>
      <c r="J148" s="24">
        <v>1970</v>
      </c>
      <c r="K148" s="25">
        <v>45261</v>
      </c>
      <c r="L148" s="632">
        <v>2024</v>
      </c>
      <c r="M148" s="23">
        <v>245</v>
      </c>
      <c r="N148" s="263" t="s">
        <v>472</v>
      </c>
      <c r="O148" s="23" t="s">
        <v>485</v>
      </c>
      <c r="P148" s="23" t="s">
        <v>750</v>
      </c>
      <c r="Q148" s="37"/>
      <c r="R148" s="17"/>
      <c r="S148" s="17"/>
      <c r="T148" s="23" t="s">
        <v>473</v>
      </c>
      <c r="U148" s="638">
        <v>0.13350000000000001</v>
      </c>
      <c r="V148" s="635">
        <v>286517.7</v>
      </c>
      <c r="W148" s="27"/>
      <c r="X148" s="17"/>
      <c r="Y148" s="21" t="s">
        <v>211</v>
      </c>
      <c r="Z148" s="260">
        <v>6</v>
      </c>
      <c r="AA148" t="str">
        <f>VLOOKUP(Y148,Source!F:F,1,FALSE)</f>
        <v>Salem State University</v>
      </c>
    </row>
    <row r="149" spans="1:27">
      <c r="A149" s="17" t="str">
        <f t="shared" si="5"/>
        <v>Salem State University7</v>
      </c>
      <c r="B149" s="262" t="s">
        <v>465</v>
      </c>
      <c r="C149" s="23" t="s">
        <v>293</v>
      </c>
      <c r="D149" s="23"/>
      <c r="E149" s="21" t="s">
        <v>1496</v>
      </c>
      <c r="F149" s="630">
        <v>121</v>
      </c>
      <c r="G149" s="20" t="s">
        <v>692</v>
      </c>
      <c r="H149" s="22" t="s">
        <v>690</v>
      </c>
      <c r="I149" s="23" t="s">
        <v>471</v>
      </c>
      <c r="J149" s="24">
        <v>1970</v>
      </c>
      <c r="K149" s="25">
        <v>44774</v>
      </c>
      <c r="L149" s="632">
        <v>2023</v>
      </c>
      <c r="M149" s="23">
        <v>121</v>
      </c>
      <c r="N149" s="263" t="s">
        <v>472</v>
      </c>
      <c r="O149" s="23" t="s">
        <v>485</v>
      </c>
      <c r="P149" s="23" t="s">
        <v>750</v>
      </c>
      <c r="Q149" s="17"/>
      <c r="R149" s="17"/>
      <c r="S149" s="17"/>
      <c r="T149" s="23" t="s">
        <v>473</v>
      </c>
      <c r="U149" s="638">
        <v>0.13350000000000001</v>
      </c>
      <c r="V149" s="635">
        <v>141504.66</v>
      </c>
      <c r="W149" s="17"/>
      <c r="X149" s="17"/>
      <c r="Y149" s="21" t="s">
        <v>211</v>
      </c>
      <c r="Z149" s="260">
        <v>7</v>
      </c>
      <c r="AA149" t="str">
        <f>VLOOKUP(Y149,Source!F:F,1,FALSE)</f>
        <v>Salem State University</v>
      </c>
    </row>
    <row r="150" spans="1:27">
      <c r="A150" s="17" t="str">
        <f t="shared" si="5"/>
        <v>Springfield Technical Comm. College1</v>
      </c>
      <c r="B150" s="260" t="s">
        <v>465</v>
      </c>
      <c r="C150" s="17" t="s">
        <v>293</v>
      </c>
      <c r="D150" s="20" t="s">
        <v>694</v>
      </c>
      <c r="E150" s="21" t="s">
        <v>1878</v>
      </c>
      <c r="F150" s="630">
        <v>82</v>
      </c>
      <c r="G150" s="20" t="s">
        <v>695</v>
      </c>
      <c r="H150" s="22" t="s">
        <v>652</v>
      </c>
      <c r="I150" s="23" t="s">
        <v>471</v>
      </c>
      <c r="J150" s="24">
        <v>1102</v>
      </c>
      <c r="K150" s="25">
        <v>40017</v>
      </c>
      <c r="L150" s="727">
        <v>2011</v>
      </c>
      <c r="M150" s="17">
        <v>82</v>
      </c>
      <c r="N150" s="27" t="s">
        <v>472</v>
      </c>
      <c r="O150" s="17" t="s">
        <v>1212</v>
      </c>
      <c r="P150" s="17" t="s">
        <v>750</v>
      </c>
      <c r="Q150" s="17"/>
      <c r="R150" s="17"/>
      <c r="S150" s="260"/>
      <c r="T150" s="17" t="s">
        <v>473</v>
      </c>
      <c r="U150" s="638">
        <v>0.13350000000000001</v>
      </c>
      <c r="V150" s="635">
        <v>95895.72</v>
      </c>
      <c r="W150" s="27"/>
      <c r="X150" s="260"/>
      <c r="Y150" s="21" t="s">
        <v>216</v>
      </c>
      <c r="Z150" s="260">
        <v>1</v>
      </c>
      <c r="AA150" t="str">
        <f>VLOOKUP(Y150,Source!F:F,1,FALSE)</f>
        <v>Springfield Technical Comm. College</v>
      </c>
    </row>
    <row r="151" spans="1:27">
      <c r="A151" s="17" t="str">
        <f t="shared" si="5"/>
        <v>Trial Court1</v>
      </c>
      <c r="B151" s="260" t="s">
        <v>465</v>
      </c>
      <c r="C151" s="17" t="s">
        <v>293</v>
      </c>
      <c r="D151" s="20"/>
      <c r="E151" s="21" t="s">
        <v>1879</v>
      </c>
      <c r="F151" s="639">
        <v>66</v>
      </c>
      <c r="G151" s="20" t="s">
        <v>1917</v>
      </c>
      <c r="H151" s="22" t="s">
        <v>723</v>
      </c>
      <c r="I151" s="23" t="s">
        <v>471</v>
      </c>
      <c r="J151" s="24">
        <v>1852</v>
      </c>
      <c r="K151" s="25">
        <v>43888</v>
      </c>
      <c r="L151" s="728">
        <v>2020</v>
      </c>
      <c r="M151" s="41">
        <v>66</v>
      </c>
      <c r="N151" s="27" t="s">
        <v>987</v>
      </c>
      <c r="O151" s="41" t="s">
        <v>1212</v>
      </c>
      <c r="P151" s="17" t="s">
        <v>750</v>
      </c>
      <c r="Q151" s="17"/>
      <c r="R151" s="17"/>
      <c r="S151" s="17"/>
      <c r="T151" s="17" t="s">
        <v>473</v>
      </c>
      <c r="U151" s="638">
        <v>0.13350000000000001</v>
      </c>
      <c r="V151" s="635">
        <v>77184.36</v>
      </c>
      <c r="W151" s="40"/>
      <c r="X151" s="17"/>
      <c r="Y151" s="21" t="s">
        <v>221</v>
      </c>
      <c r="Z151" s="260">
        <v>1</v>
      </c>
      <c r="AA151" t="str">
        <f>VLOOKUP(Y151,Source!F:F,1,FALSE)</f>
        <v>Trial Court</v>
      </c>
    </row>
    <row r="152" spans="1:27">
      <c r="A152" s="17" t="str">
        <f t="shared" si="5"/>
        <v>Trial Court2</v>
      </c>
      <c r="B152" s="260" t="s">
        <v>465</v>
      </c>
      <c r="C152" s="17" t="s">
        <v>293</v>
      </c>
      <c r="D152" s="20"/>
      <c r="E152" s="21" t="s">
        <v>1880</v>
      </c>
      <c r="F152" s="639">
        <v>200</v>
      </c>
      <c r="G152" s="20" t="s">
        <v>1917</v>
      </c>
      <c r="H152" s="22" t="s">
        <v>723</v>
      </c>
      <c r="I152" s="23" t="s">
        <v>471</v>
      </c>
      <c r="J152" s="24">
        <v>1852</v>
      </c>
      <c r="K152" s="25">
        <v>43888</v>
      </c>
      <c r="L152" s="728">
        <v>2020</v>
      </c>
      <c r="M152" s="41">
        <v>200</v>
      </c>
      <c r="N152" s="27" t="s">
        <v>987</v>
      </c>
      <c r="O152" s="41" t="s">
        <v>1212</v>
      </c>
      <c r="P152" s="17" t="s">
        <v>748</v>
      </c>
      <c r="Q152" s="17"/>
      <c r="R152" s="17"/>
      <c r="S152" s="17"/>
      <c r="T152" s="17" t="s">
        <v>473</v>
      </c>
      <c r="U152" s="638">
        <v>0.13350000000000001</v>
      </c>
      <c r="V152" s="635">
        <v>233892</v>
      </c>
      <c r="W152" s="40"/>
      <c r="X152" s="17"/>
      <c r="Y152" s="21" t="s">
        <v>221</v>
      </c>
      <c r="Z152" s="260">
        <v>2</v>
      </c>
      <c r="AA152" t="str">
        <f>VLOOKUP(Y152,Source!F:F,1,FALSE)</f>
        <v>Trial Court</v>
      </c>
    </row>
    <row r="153" spans="1:27" s="554" customFormat="1">
      <c r="A153" s="17" t="str">
        <f t="shared" si="5"/>
        <v>UMass Amherst1</v>
      </c>
      <c r="B153" s="260" t="s">
        <v>465</v>
      </c>
      <c r="C153" s="27" t="s">
        <v>293</v>
      </c>
      <c r="D153" s="20"/>
      <c r="E153" s="27" t="s">
        <v>222</v>
      </c>
      <c r="F153" s="630">
        <v>25</v>
      </c>
      <c r="G153" s="22" t="s">
        <v>701</v>
      </c>
      <c r="H153" s="27" t="s">
        <v>702</v>
      </c>
      <c r="I153" s="17" t="s">
        <v>471</v>
      </c>
      <c r="J153" s="24">
        <v>1373</v>
      </c>
      <c r="K153" s="25"/>
      <c r="L153" s="726">
        <v>2011</v>
      </c>
      <c r="M153" s="631">
        <v>25</v>
      </c>
      <c r="N153" s="30" t="s">
        <v>700</v>
      </c>
      <c r="O153" s="17" t="s">
        <v>1212</v>
      </c>
      <c r="P153" s="17" t="s">
        <v>1967</v>
      </c>
      <c r="Q153" s="17"/>
      <c r="R153" s="17"/>
      <c r="S153" s="17"/>
      <c r="T153" s="17" t="s">
        <v>473</v>
      </c>
      <c r="U153" s="638">
        <v>0.13350000000000001</v>
      </c>
      <c r="V153" s="635">
        <v>29236.5</v>
      </c>
      <c r="W153" s="17"/>
      <c r="X153" s="17"/>
      <c r="Y153" s="21" t="s">
        <v>222</v>
      </c>
      <c r="Z153" s="260">
        <v>1</v>
      </c>
      <c r="AA153" t="str">
        <f>VLOOKUP(Y153,Source!F:F,1,FALSE)</f>
        <v>UMass Amherst</v>
      </c>
    </row>
    <row r="154" spans="1:27" s="554" customFormat="1">
      <c r="A154" s="17" t="str">
        <f t="shared" si="5"/>
        <v>UMass Amherst2</v>
      </c>
      <c r="B154" s="260" t="s">
        <v>465</v>
      </c>
      <c r="C154" s="27" t="s">
        <v>293</v>
      </c>
      <c r="D154" s="17" t="s">
        <v>1959</v>
      </c>
      <c r="E154" s="17" t="s">
        <v>1881</v>
      </c>
      <c r="F154" s="636">
        <v>249.8</v>
      </c>
      <c r="G154" s="20" t="s">
        <v>1918</v>
      </c>
      <c r="H154" s="27" t="s">
        <v>699</v>
      </c>
      <c r="I154" s="17" t="s">
        <v>471</v>
      </c>
      <c r="J154" s="24">
        <v>1003</v>
      </c>
      <c r="K154" s="193">
        <v>42642</v>
      </c>
      <c r="L154" s="29">
        <v>2016</v>
      </c>
      <c r="M154" s="631">
        <v>249.8</v>
      </c>
      <c r="N154" s="17" t="s">
        <v>700</v>
      </c>
      <c r="O154" s="17" t="s">
        <v>485</v>
      </c>
      <c r="P154" s="17" t="s">
        <v>750</v>
      </c>
      <c r="Q154" s="17"/>
      <c r="R154" s="17"/>
      <c r="S154" s="17"/>
      <c r="T154" s="17" t="s">
        <v>473</v>
      </c>
      <c r="U154" s="638">
        <v>0.13350000000000001</v>
      </c>
      <c r="V154" s="635">
        <v>292131.10800000001</v>
      </c>
      <c r="W154" s="17"/>
      <c r="X154" s="17"/>
      <c r="Y154" s="21" t="s">
        <v>222</v>
      </c>
      <c r="Z154" s="260">
        <v>2</v>
      </c>
      <c r="AA154" t="str">
        <f>VLOOKUP(Y154,Source!F:F,1,FALSE)</f>
        <v>UMass Amherst</v>
      </c>
    </row>
    <row r="155" spans="1:27">
      <c r="A155" s="17" t="str">
        <f t="shared" si="5"/>
        <v>UMass Amherst3</v>
      </c>
      <c r="B155" s="260" t="s">
        <v>465</v>
      </c>
      <c r="C155" s="27" t="s">
        <v>293</v>
      </c>
      <c r="D155" s="17" t="s">
        <v>1960</v>
      </c>
      <c r="E155" s="17" t="s">
        <v>757</v>
      </c>
      <c r="F155" s="636">
        <v>154.66999999999999</v>
      </c>
      <c r="G155" s="20" t="s">
        <v>1919</v>
      </c>
      <c r="H155" s="27" t="s">
        <v>699</v>
      </c>
      <c r="I155" s="17" t="s">
        <v>471</v>
      </c>
      <c r="J155" s="24">
        <v>1003</v>
      </c>
      <c r="K155" s="193">
        <v>42641</v>
      </c>
      <c r="L155" s="29">
        <v>2016</v>
      </c>
      <c r="M155" s="631">
        <v>154.66999999999999</v>
      </c>
      <c r="N155" s="17" t="s">
        <v>700</v>
      </c>
      <c r="O155" s="17" t="s">
        <v>485</v>
      </c>
      <c r="P155" s="17" t="s">
        <v>750</v>
      </c>
      <c r="Q155" s="17"/>
      <c r="R155" s="17"/>
      <c r="S155" s="17"/>
      <c r="T155" s="17" t="s">
        <v>473</v>
      </c>
      <c r="U155" s="638">
        <v>0.13350000000000001</v>
      </c>
      <c r="V155" s="635">
        <v>180880.37820000001</v>
      </c>
      <c r="W155" s="17"/>
      <c r="X155" s="17"/>
      <c r="Y155" s="21" t="s">
        <v>222</v>
      </c>
      <c r="Z155" s="260">
        <v>3</v>
      </c>
      <c r="AA155" t="str">
        <f>VLOOKUP(Y155,Source!F:F,1,FALSE)</f>
        <v>UMass Amherst</v>
      </c>
    </row>
    <row r="156" spans="1:27">
      <c r="A156" s="17" t="str">
        <f t="shared" si="5"/>
        <v>UMass Amherst4</v>
      </c>
      <c r="B156" s="260" t="s">
        <v>465</v>
      </c>
      <c r="C156" s="27" t="s">
        <v>293</v>
      </c>
      <c r="D156" s="17" t="s">
        <v>1961</v>
      </c>
      <c r="E156" s="17" t="s">
        <v>1882</v>
      </c>
      <c r="F156" s="636">
        <v>155.62</v>
      </c>
      <c r="G156" s="20" t="s">
        <v>1920</v>
      </c>
      <c r="H156" s="27" t="s">
        <v>699</v>
      </c>
      <c r="I156" s="17" t="s">
        <v>471</v>
      </c>
      <c r="J156" s="24">
        <v>1003</v>
      </c>
      <c r="K156" s="193">
        <v>42718</v>
      </c>
      <c r="L156" s="29">
        <v>2016</v>
      </c>
      <c r="M156" s="631">
        <v>155.62</v>
      </c>
      <c r="N156" s="17" t="s">
        <v>700</v>
      </c>
      <c r="O156" s="17" t="s">
        <v>485</v>
      </c>
      <c r="P156" s="17" t="s">
        <v>750</v>
      </c>
      <c r="T156" s="17" t="s">
        <v>473</v>
      </c>
      <c r="U156" s="638">
        <v>0.13350000000000001</v>
      </c>
      <c r="V156" s="635">
        <v>181991.3652</v>
      </c>
      <c r="Y156" s="21" t="s">
        <v>222</v>
      </c>
      <c r="Z156" s="3">
        <v>4</v>
      </c>
      <c r="AA156" t="str">
        <f>VLOOKUP(Y156,Source!F:F,1,FALSE)</f>
        <v>UMass Amherst</v>
      </c>
    </row>
    <row r="157" spans="1:27">
      <c r="A157" s="17" t="str">
        <f t="shared" si="5"/>
        <v>UMass Amherst5</v>
      </c>
      <c r="B157" s="260" t="s">
        <v>465</v>
      </c>
      <c r="C157" s="27" t="s">
        <v>293</v>
      </c>
      <c r="D157" s="17" t="s">
        <v>1962</v>
      </c>
      <c r="E157" s="17" t="s">
        <v>1883</v>
      </c>
      <c r="F157" s="636">
        <v>1918.44</v>
      </c>
      <c r="G157" s="20" t="s">
        <v>1921</v>
      </c>
      <c r="H157" s="27" t="s">
        <v>805</v>
      </c>
      <c r="I157" s="17" t="s">
        <v>471</v>
      </c>
      <c r="J157" s="24">
        <v>1003</v>
      </c>
      <c r="K157" s="193">
        <v>42718</v>
      </c>
      <c r="L157" s="29">
        <v>2016</v>
      </c>
      <c r="M157" s="730">
        <v>1918.44</v>
      </c>
      <c r="N157" s="17" t="s">
        <v>700</v>
      </c>
      <c r="O157" s="17" t="s">
        <v>485</v>
      </c>
      <c r="P157" s="17" t="s">
        <v>748</v>
      </c>
      <c r="T157" s="17" t="s">
        <v>473</v>
      </c>
      <c r="U157" s="638">
        <v>0.13350000000000001</v>
      </c>
      <c r="V157" s="635">
        <v>2243538.8424000004</v>
      </c>
      <c r="Y157" s="21" t="s">
        <v>222</v>
      </c>
      <c r="Z157" s="3">
        <v>5</v>
      </c>
      <c r="AA157" t="str">
        <f>VLOOKUP(Y157,Source!F:F,1,FALSE)</f>
        <v>UMass Amherst</v>
      </c>
    </row>
    <row r="158" spans="1:27">
      <c r="A158" s="17" t="str">
        <f t="shared" si="5"/>
        <v>UMass Amherst6</v>
      </c>
      <c r="B158" s="260" t="s">
        <v>465</v>
      </c>
      <c r="C158" s="27" t="s">
        <v>293</v>
      </c>
      <c r="D158" s="17" t="s">
        <v>1963</v>
      </c>
      <c r="E158" s="17" t="s">
        <v>1884</v>
      </c>
      <c r="F158" s="636">
        <v>2568.87</v>
      </c>
      <c r="G158" s="20" t="s">
        <v>1922</v>
      </c>
      <c r="H158" s="27" t="s">
        <v>699</v>
      </c>
      <c r="I158" s="17" t="s">
        <v>471</v>
      </c>
      <c r="J158" s="24">
        <v>1003</v>
      </c>
      <c r="K158" s="193">
        <v>75597</v>
      </c>
      <c r="L158" s="29">
        <v>2016</v>
      </c>
      <c r="M158" s="730">
        <v>2568.87</v>
      </c>
      <c r="N158" s="17" t="s">
        <v>700</v>
      </c>
      <c r="O158" s="17" t="s">
        <v>485</v>
      </c>
      <c r="P158" s="17" t="s">
        <v>748</v>
      </c>
      <c r="T158" s="17" t="s">
        <v>473</v>
      </c>
      <c r="U158" s="638">
        <v>0.13350000000000001</v>
      </c>
      <c r="V158" s="635">
        <v>3004190.7102000001</v>
      </c>
      <c r="Y158" s="21" t="s">
        <v>222</v>
      </c>
      <c r="Z158" s="3">
        <v>6</v>
      </c>
      <c r="AA158" t="str">
        <f>VLOOKUP(Y158,Source!F:F,1,FALSE)</f>
        <v>UMass Amherst</v>
      </c>
    </row>
    <row r="159" spans="1:27">
      <c r="A159" s="17" t="str">
        <f t="shared" si="5"/>
        <v>UMass Amherst7</v>
      </c>
      <c r="B159" s="260" t="s">
        <v>465</v>
      </c>
      <c r="C159" s="27" t="s">
        <v>293</v>
      </c>
      <c r="D159" s="17" t="s">
        <v>1964</v>
      </c>
      <c r="E159" s="17" t="s">
        <v>758</v>
      </c>
      <c r="F159" s="636">
        <v>30.87</v>
      </c>
      <c r="G159" s="20" t="s">
        <v>1923</v>
      </c>
      <c r="H159" s="27" t="s">
        <v>699</v>
      </c>
      <c r="I159" s="17" t="s">
        <v>471</v>
      </c>
      <c r="J159" s="24">
        <v>1003</v>
      </c>
      <c r="K159" s="193">
        <v>42613</v>
      </c>
      <c r="L159" s="29">
        <v>2016</v>
      </c>
      <c r="M159" s="631">
        <v>30.87</v>
      </c>
      <c r="N159" s="17" t="s">
        <v>700</v>
      </c>
      <c r="O159" s="17" t="s">
        <v>485</v>
      </c>
      <c r="P159" s="17" t="s">
        <v>750</v>
      </c>
      <c r="Q159" s="554"/>
      <c r="R159" s="554"/>
      <c r="S159" s="554"/>
      <c r="T159" s="17" t="s">
        <v>473</v>
      </c>
      <c r="U159" s="638">
        <v>0.13350000000000001</v>
      </c>
      <c r="V159" s="635">
        <v>36101.230200000005</v>
      </c>
      <c r="W159" s="554"/>
      <c r="X159" s="554"/>
      <c r="Y159" s="21" t="s">
        <v>222</v>
      </c>
      <c r="Z159" s="3">
        <v>7</v>
      </c>
      <c r="AA159" t="str">
        <f>VLOOKUP(Y159,Source!F:F,1,FALSE)</f>
        <v>UMass Amherst</v>
      </c>
    </row>
    <row r="160" spans="1:27">
      <c r="A160" s="17" t="str">
        <f t="shared" si="5"/>
        <v>UMass Amherst8</v>
      </c>
      <c r="B160" s="260" t="s">
        <v>465</v>
      </c>
      <c r="C160" s="27" t="s">
        <v>293</v>
      </c>
      <c r="D160" s="17" t="s">
        <v>1965</v>
      </c>
      <c r="E160" s="17" t="s">
        <v>759</v>
      </c>
      <c r="F160" s="636">
        <v>241.92</v>
      </c>
      <c r="G160" s="20" t="s">
        <v>1924</v>
      </c>
      <c r="H160" s="27" t="s">
        <v>699</v>
      </c>
      <c r="I160" s="17" t="s">
        <v>471</v>
      </c>
      <c r="J160" s="24">
        <v>1003</v>
      </c>
      <c r="K160" s="193">
        <v>42648</v>
      </c>
      <c r="L160" s="29">
        <v>2016</v>
      </c>
      <c r="M160" s="631">
        <v>241.92</v>
      </c>
      <c r="N160" s="17" t="s">
        <v>700</v>
      </c>
      <c r="O160" s="17" t="s">
        <v>485</v>
      </c>
      <c r="P160" s="17" t="s">
        <v>750</v>
      </c>
      <c r="T160" s="17" t="s">
        <v>473</v>
      </c>
      <c r="U160" s="638">
        <v>0.13350000000000001</v>
      </c>
      <c r="V160" s="635">
        <v>282915.76319999999</v>
      </c>
      <c r="Y160" s="21" t="s">
        <v>222</v>
      </c>
      <c r="Z160" s="3">
        <v>8</v>
      </c>
      <c r="AA160" t="str">
        <f>VLOOKUP(Y160,Source!F:F,1,FALSE)</f>
        <v>UMass Amherst</v>
      </c>
    </row>
    <row r="161" spans="1:27">
      <c r="A161" s="17" t="str">
        <f t="shared" si="5"/>
        <v>UMass Amherst9</v>
      </c>
      <c r="B161" s="260" t="s">
        <v>465</v>
      </c>
      <c r="C161" s="27" t="s">
        <v>293</v>
      </c>
      <c r="D161" s="20" t="s">
        <v>1966</v>
      </c>
      <c r="E161" s="21" t="s">
        <v>1885</v>
      </c>
      <c r="F161" s="689">
        <v>336</v>
      </c>
      <c r="G161" s="20" t="s">
        <v>698</v>
      </c>
      <c r="H161" s="27" t="s">
        <v>699</v>
      </c>
      <c r="I161" s="17" t="s">
        <v>471</v>
      </c>
      <c r="J161" s="24">
        <v>1003</v>
      </c>
      <c r="K161" s="25">
        <v>42419</v>
      </c>
      <c r="L161" s="29">
        <v>2016</v>
      </c>
      <c r="M161" s="730">
        <v>336</v>
      </c>
      <c r="N161" s="17" t="s">
        <v>700</v>
      </c>
      <c r="O161" s="17" t="s">
        <v>1212</v>
      </c>
      <c r="P161" s="17" t="s">
        <v>748</v>
      </c>
      <c r="T161" s="17" t="s">
        <v>473</v>
      </c>
      <c r="U161" s="638">
        <v>0.13350000000000001</v>
      </c>
      <c r="V161" s="635">
        <v>392938.56</v>
      </c>
      <c r="Y161" s="21" t="s">
        <v>222</v>
      </c>
      <c r="Z161" s="3">
        <v>9</v>
      </c>
      <c r="AA161" t="str">
        <f>VLOOKUP(Y161,Source!F:F,1,FALSE)</f>
        <v>UMass Amherst</v>
      </c>
    </row>
    <row r="162" spans="1:27">
      <c r="A162" s="17" t="str">
        <f t="shared" ref="A162:A186" si="6">Y162&amp;Z162</f>
        <v>UMass Amherst10</v>
      </c>
      <c r="B162" s="260" t="s">
        <v>465</v>
      </c>
      <c r="C162" s="27" t="s">
        <v>293</v>
      </c>
      <c r="D162" s="20"/>
      <c r="E162" s="21" t="s">
        <v>1886</v>
      </c>
      <c r="F162" s="639">
        <v>2000</v>
      </c>
      <c r="G162" s="20" t="s">
        <v>698</v>
      </c>
      <c r="H162" s="27" t="s">
        <v>699</v>
      </c>
      <c r="I162" s="17" t="s">
        <v>471</v>
      </c>
      <c r="J162" s="24">
        <v>1003</v>
      </c>
      <c r="K162" s="25"/>
      <c r="L162" s="16">
        <v>2022</v>
      </c>
      <c r="M162" s="640"/>
      <c r="N162" s="27" t="s">
        <v>700</v>
      </c>
      <c r="O162" s="17" t="s">
        <v>485</v>
      </c>
      <c r="P162" s="17" t="s">
        <v>748</v>
      </c>
      <c r="T162" s="17" t="s">
        <v>473</v>
      </c>
      <c r="U162" s="638">
        <v>0.13350000000000001</v>
      </c>
      <c r="V162" s="38"/>
      <c r="Y162" s="21" t="s">
        <v>222</v>
      </c>
      <c r="Z162" s="3">
        <v>10</v>
      </c>
      <c r="AA162" t="str">
        <f>VLOOKUP(Y162,Source!F:F,1,FALSE)</f>
        <v>UMass Amherst</v>
      </c>
    </row>
    <row r="163" spans="1:27">
      <c r="A163" s="17" t="str">
        <f t="shared" si="6"/>
        <v>UMass Amherst11</v>
      </c>
      <c r="B163" s="260" t="s">
        <v>465</v>
      </c>
      <c r="C163" s="27" t="s">
        <v>293</v>
      </c>
      <c r="D163" s="20"/>
      <c r="E163" s="21" t="s">
        <v>1497</v>
      </c>
      <c r="F163" s="639">
        <v>900</v>
      </c>
      <c r="G163" s="20" t="s">
        <v>698</v>
      </c>
      <c r="H163" s="27" t="s">
        <v>699</v>
      </c>
      <c r="I163" s="17" t="s">
        <v>471</v>
      </c>
      <c r="J163" s="24">
        <v>1003</v>
      </c>
      <c r="K163" s="25"/>
      <c r="L163" s="16">
        <v>2022</v>
      </c>
      <c r="M163" s="640">
        <v>900</v>
      </c>
      <c r="N163" s="27" t="s">
        <v>700</v>
      </c>
      <c r="O163" s="17" t="s">
        <v>485</v>
      </c>
      <c r="P163" s="17" t="s">
        <v>748</v>
      </c>
      <c r="T163" s="17" t="s">
        <v>473</v>
      </c>
      <c r="U163" s="638">
        <v>0.13350000000000001</v>
      </c>
      <c r="V163" s="641">
        <v>1052514</v>
      </c>
      <c r="Y163" s="21" t="s">
        <v>222</v>
      </c>
      <c r="Z163" s="3">
        <v>11</v>
      </c>
      <c r="AA163" t="str">
        <f>VLOOKUP(Y163,Source!F:F,1,FALSE)</f>
        <v>UMass Amherst</v>
      </c>
    </row>
    <row r="164" spans="1:27">
      <c r="A164" s="17" t="str">
        <f t="shared" si="6"/>
        <v>UMass Amherst12</v>
      </c>
      <c r="B164" s="260" t="s">
        <v>486</v>
      </c>
      <c r="C164" s="27" t="s">
        <v>487</v>
      </c>
      <c r="D164" s="20" t="s">
        <v>696</v>
      </c>
      <c r="E164" s="27" t="s">
        <v>697</v>
      </c>
      <c r="F164" s="630">
        <v>10000</v>
      </c>
      <c r="G164" s="20" t="s">
        <v>698</v>
      </c>
      <c r="H164" s="27" t="s">
        <v>699</v>
      </c>
      <c r="I164" s="23" t="s">
        <v>471</v>
      </c>
      <c r="J164" s="24">
        <v>1003</v>
      </c>
      <c r="K164" s="25">
        <v>39787</v>
      </c>
      <c r="L164" s="726">
        <v>2008</v>
      </c>
      <c r="M164" s="636">
        <v>14000</v>
      </c>
      <c r="N164" s="30" t="s">
        <v>700</v>
      </c>
      <c r="O164" s="743"/>
      <c r="P164" s="743"/>
      <c r="T164" s="17" t="s">
        <v>473</v>
      </c>
      <c r="U164" s="17"/>
      <c r="V164" s="17"/>
      <c r="Y164" s="21" t="s">
        <v>222</v>
      </c>
      <c r="Z164" s="3">
        <v>12</v>
      </c>
      <c r="AA164" t="str">
        <f>VLOOKUP(Y164,Source!F:F,1,FALSE)</f>
        <v>UMass Amherst</v>
      </c>
    </row>
    <row r="165" spans="1:27">
      <c r="A165" s="17" t="str">
        <f t="shared" si="6"/>
        <v>UMass Boston1</v>
      </c>
      <c r="B165" s="260" t="s">
        <v>465</v>
      </c>
      <c r="C165" s="17" t="s">
        <v>293</v>
      </c>
      <c r="D165" s="20"/>
      <c r="E165" s="21" t="s">
        <v>1887</v>
      </c>
      <c r="F165" s="630">
        <v>304</v>
      </c>
      <c r="G165" s="22" t="s">
        <v>706</v>
      </c>
      <c r="H165" s="22" t="s">
        <v>494</v>
      </c>
      <c r="I165" s="22" t="s">
        <v>471</v>
      </c>
      <c r="J165" s="24">
        <v>2125</v>
      </c>
      <c r="K165" s="25"/>
      <c r="L165" s="28">
        <v>2020</v>
      </c>
      <c r="M165" s="17">
        <v>304</v>
      </c>
      <c r="N165" s="30" t="s">
        <v>700</v>
      </c>
      <c r="O165" s="17" t="s">
        <v>1950</v>
      </c>
      <c r="P165" s="17" t="s">
        <v>750</v>
      </c>
      <c r="T165" s="17" t="s">
        <v>473</v>
      </c>
      <c r="U165" s="638">
        <v>0.13350000000000001</v>
      </c>
      <c r="V165" s="635">
        <v>355515.84</v>
      </c>
      <c r="Y165" s="27" t="s">
        <v>227</v>
      </c>
      <c r="Z165" s="3">
        <v>1</v>
      </c>
      <c r="AA165" t="str">
        <f>VLOOKUP(Y165,Source!F:F,1,FALSE)</f>
        <v>UMass Boston</v>
      </c>
    </row>
    <row r="166" spans="1:27">
      <c r="A166" s="17" t="str">
        <f t="shared" si="6"/>
        <v>UMass Boston2</v>
      </c>
      <c r="B166" s="260" t="s">
        <v>465</v>
      </c>
      <c r="C166" s="17" t="s">
        <v>293</v>
      </c>
      <c r="D166" s="20"/>
      <c r="E166" s="21" t="s">
        <v>1888</v>
      </c>
      <c r="F166" s="630">
        <v>644</v>
      </c>
      <c r="G166" s="22" t="s">
        <v>706</v>
      </c>
      <c r="H166" s="22" t="s">
        <v>494</v>
      </c>
      <c r="I166" s="22" t="s">
        <v>471</v>
      </c>
      <c r="J166" s="24">
        <v>2125</v>
      </c>
      <c r="K166" s="25"/>
      <c r="L166" s="28">
        <v>2020</v>
      </c>
      <c r="M166" s="738">
        <v>644</v>
      </c>
      <c r="N166" s="17" t="s">
        <v>700</v>
      </c>
      <c r="O166" s="17" t="s">
        <v>1950</v>
      </c>
      <c r="P166" s="17" t="s">
        <v>748</v>
      </c>
      <c r="T166" s="17" t="s">
        <v>473</v>
      </c>
      <c r="U166" s="638">
        <v>0.13350000000000001</v>
      </c>
      <c r="V166" s="635">
        <v>753132.24</v>
      </c>
      <c r="Y166" s="27" t="s">
        <v>227</v>
      </c>
      <c r="Z166" s="3">
        <v>2</v>
      </c>
      <c r="AA166" t="str">
        <f>VLOOKUP(Y166,Source!F:F,1,FALSE)</f>
        <v>UMass Boston</v>
      </c>
    </row>
    <row r="167" spans="1:27">
      <c r="A167" s="17" t="str">
        <f t="shared" si="6"/>
        <v>UMass Boston3</v>
      </c>
      <c r="B167" s="178" t="s">
        <v>465</v>
      </c>
      <c r="C167" s="177" t="s">
        <v>293</v>
      </c>
      <c r="D167" s="179" t="s">
        <v>704</v>
      </c>
      <c r="E167" s="183" t="s">
        <v>705</v>
      </c>
      <c r="F167" s="697">
        <v>73.92</v>
      </c>
      <c r="G167" s="191" t="s">
        <v>706</v>
      </c>
      <c r="H167" s="191" t="s">
        <v>494</v>
      </c>
      <c r="I167" s="191" t="s">
        <v>471</v>
      </c>
      <c r="J167" s="181">
        <v>2125</v>
      </c>
      <c r="K167" s="182">
        <v>40828</v>
      </c>
      <c r="L167" s="729">
        <v>2012</v>
      </c>
      <c r="M167" s="177">
        <v>73.92</v>
      </c>
      <c r="N167" s="192" t="s">
        <v>700</v>
      </c>
      <c r="O167" s="177" t="s">
        <v>1212</v>
      </c>
      <c r="P167" s="177" t="s">
        <v>750</v>
      </c>
      <c r="T167" s="177" t="s">
        <v>473</v>
      </c>
      <c r="U167" s="638">
        <v>0.13350000000000001</v>
      </c>
      <c r="V167" s="750">
        <v>86446.483200000017</v>
      </c>
      <c r="Y167" s="21" t="s">
        <v>227</v>
      </c>
      <c r="Z167" s="3">
        <v>3</v>
      </c>
      <c r="AA167" t="str">
        <f>VLOOKUP(Y167,Source!F:F,1,FALSE)</f>
        <v>UMass Boston</v>
      </c>
    </row>
    <row r="168" spans="1:27">
      <c r="A168" s="17" t="str">
        <f t="shared" si="6"/>
        <v>UMass Dartmouth1</v>
      </c>
      <c r="B168" s="682" t="s">
        <v>465</v>
      </c>
      <c r="C168" s="751" t="s">
        <v>293</v>
      </c>
      <c r="D168" s="704" t="s">
        <v>707</v>
      </c>
      <c r="E168" s="757" t="s">
        <v>708</v>
      </c>
      <c r="F168" s="698">
        <v>92.4</v>
      </c>
      <c r="G168" s="761" t="s">
        <v>709</v>
      </c>
      <c r="H168" s="761" t="s">
        <v>710</v>
      </c>
      <c r="I168" s="712" t="s">
        <v>471</v>
      </c>
      <c r="J168" s="713">
        <v>2747</v>
      </c>
      <c r="K168" s="720">
        <v>40708</v>
      </c>
      <c r="L168" s="773">
        <v>2011</v>
      </c>
      <c r="M168" s="751">
        <v>92.4</v>
      </c>
      <c r="N168" s="764" t="s">
        <v>700</v>
      </c>
      <c r="O168" s="751" t="s">
        <v>1212</v>
      </c>
      <c r="P168" s="751" t="s">
        <v>750</v>
      </c>
      <c r="T168" s="751" t="s">
        <v>473</v>
      </c>
      <c r="U168" s="765">
        <v>0.13350000000000001</v>
      </c>
      <c r="V168" s="766">
        <v>108058.10400000001</v>
      </c>
      <c r="Y168" s="27" t="s">
        <v>229</v>
      </c>
      <c r="Z168" s="3">
        <v>1</v>
      </c>
      <c r="AA168" t="str">
        <f>VLOOKUP(Y168,Source!F:F,1,FALSE)</f>
        <v>UMass Dartmouth</v>
      </c>
    </row>
    <row r="169" spans="1:27">
      <c r="A169" s="17" t="str">
        <f t="shared" si="6"/>
        <v>UMass Dartmouth2</v>
      </c>
      <c r="B169" s="683" t="s">
        <v>465</v>
      </c>
      <c r="C169" s="752" t="s">
        <v>293</v>
      </c>
      <c r="D169" s="705" t="s">
        <v>711</v>
      </c>
      <c r="E169" s="756" t="s">
        <v>712</v>
      </c>
      <c r="F169" s="699">
        <v>44.1</v>
      </c>
      <c r="G169" s="760" t="s">
        <v>709</v>
      </c>
      <c r="H169" s="760" t="s">
        <v>710</v>
      </c>
      <c r="I169" s="714" t="s">
        <v>471</v>
      </c>
      <c r="J169" s="715">
        <v>2747</v>
      </c>
      <c r="K169" s="721">
        <v>40708</v>
      </c>
      <c r="L169" s="772">
        <v>2011</v>
      </c>
      <c r="M169" s="752">
        <v>44.1</v>
      </c>
      <c r="N169" s="763" t="s">
        <v>700</v>
      </c>
      <c r="O169" s="752" t="s">
        <v>1212</v>
      </c>
      <c r="P169" s="752" t="s">
        <v>750</v>
      </c>
      <c r="Q169" s="554"/>
      <c r="R169" s="554"/>
      <c r="S169" s="554"/>
      <c r="T169" s="752" t="s">
        <v>473</v>
      </c>
      <c r="U169" s="776">
        <v>0.13350000000000001</v>
      </c>
      <c r="V169" s="777">
        <v>51573.186000000002</v>
      </c>
      <c r="W169" s="554"/>
      <c r="X169" s="554"/>
      <c r="Y169" s="27" t="s">
        <v>229</v>
      </c>
      <c r="Z169" s="769">
        <v>2</v>
      </c>
      <c r="AA169" t="str">
        <f>VLOOKUP(Y169,Source!F:F,1,FALSE)</f>
        <v>UMass Dartmouth</v>
      </c>
    </row>
    <row r="170" spans="1:27">
      <c r="A170" s="17" t="str">
        <f t="shared" si="6"/>
        <v>UMass Dartmouth3</v>
      </c>
      <c r="B170" s="260" t="s">
        <v>465</v>
      </c>
      <c r="C170" s="17" t="s">
        <v>293</v>
      </c>
      <c r="D170" s="20" t="s">
        <v>713</v>
      </c>
      <c r="E170" s="21" t="s">
        <v>714</v>
      </c>
      <c r="F170" s="630">
        <v>44.1</v>
      </c>
      <c r="G170" s="22" t="s">
        <v>709</v>
      </c>
      <c r="H170" s="22" t="s">
        <v>710</v>
      </c>
      <c r="I170" s="23" t="s">
        <v>471</v>
      </c>
      <c r="J170" s="24">
        <v>2747</v>
      </c>
      <c r="K170" s="25">
        <v>40708</v>
      </c>
      <c r="L170" s="726">
        <v>2011</v>
      </c>
      <c r="M170" s="17">
        <v>44.1</v>
      </c>
      <c r="N170" s="30" t="s">
        <v>700</v>
      </c>
      <c r="O170" s="17" t="s">
        <v>1212</v>
      </c>
      <c r="P170" s="17" t="s">
        <v>750</v>
      </c>
      <c r="Q170" s="554"/>
      <c r="R170" s="554"/>
      <c r="S170" s="554"/>
      <c r="T170" s="752" t="s">
        <v>473</v>
      </c>
      <c r="U170" s="638">
        <v>0.13350000000000001</v>
      </c>
      <c r="V170" s="750">
        <v>51573.186000000002</v>
      </c>
      <c r="W170" s="554"/>
      <c r="X170" s="554"/>
      <c r="Y170" s="27" t="s">
        <v>229</v>
      </c>
      <c r="Z170" s="3">
        <v>3</v>
      </c>
      <c r="AA170" t="str">
        <f>VLOOKUP(Y170,Source!F:F,1,FALSE)</f>
        <v>UMass Dartmouth</v>
      </c>
    </row>
    <row r="171" spans="1:27">
      <c r="A171" s="17" t="str">
        <f t="shared" si="6"/>
        <v>UMass Dartmouth4</v>
      </c>
      <c r="B171" s="260" t="s">
        <v>465</v>
      </c>
      <c r="C171" s="17" t="s">
        <v>293</v>
      </c>
      <c r="D171" s="20" t="s">
        <v>715</v>
      </c>
      <c r="E171" s="21" t="s">
        <v>716</v>
      </c>
      <c r="F171" s="630">
        <v>44.1</v>
      </c>
      <c r="G171" s="22" t="s">
        <v>709</v>
      </c>
      <c r="H171" s="22" t="s">
        <v>710</v>
      </c>
      <c r="I171" s="23" t="s">
        <v>471</v>
      </c>
      <c r="J171" s="24">
        <v>2747</v>
      </c>
      <c r="K171" s="25">
        <v>40708</v>
      </c>
      <c r="L171" s="726">
        <v>2011</v>
      </c>
      <c r="M171" s="17">
        <v>44.1</v>
      </c>
      <c r="N171" s="30" t="s">
        <v>700</v>
      </c>
      <c r="O171" s="17" t="s">
        <v>1212</v>
      </c>
      <c r="P171" s="17" t="s">
        <v>750</v>
      </c>
      <c r="T171" s="17" t="s">
        <v>473</v>
      </c>
      <c r="U171" s="638">
        <v>0.13350000000000001</v>
      </c>
      <c r="V171" s="750">
        <v>51573.186000000002</v>
      </c>
      <c r="Y171" s="27" t="s">
        <v>229</v>
      </c>
      <c r="Z171" s="769">
        <v>4</v>
      </c>
      <c r="AA171" t="str">
        <f>VLOOKUP(Y171,Source!F:F,1,FALSE)</f>
        <v>UMass Dartmouth</v>
      </c>
    </row>
    <row r="172" spans="1:27">
      <c r="A172" s="17" t="str">
        <f t="shared" si="6"/>
        <v>UMass Dartmouth5</v>
      </c>
      <c r="B172" s="260" t="s">
        <v>465</v>
      </c>
      <c r="C172" s="17" t="s">
        <v>293</v>
      </c>
      <c r="D172" s="20" t="s">
        <v>717</v>
      </c>
      <c r="E172" s="21" t="s">
        <v>718</v>
      </c>
      <c r="F172" s="630">
        <v>44.1</v>
      </c>
      <c r="G172" s="22" t="s">
        <v>709</v>
      </c>
      <c r="H172" s="22" t="s">
        <v>710</v>
      </c>
      <c r="I172" s="23" t="s">
        <v>471</v>
      </c>
      <c r="J172" s="24">
        <v>2747</v>
      </c>
      <c r="K172" s="25">
        <v>40708</v>
      </c>
      <c r="L172" s="726">
        <v>2011</v>
      </c>
      <c r="M172" s="17">
        <v>44.1</v>
      </c>
      <c r="N172" s="30" t="s">
        <v>700</v>
      </c>
      <c r="O172" s="17" t="s">
        <v>1212</v>
      </c>
      <c r="P172" s="17" t="s">
        <v>750</v>
      </c>
      <c r="T172" s="17" t="s">
        <v>473</v>
      </c>
      <c r="U172" s="638">
        <v>0.13350000000000001</v>
      </c>
      <c r="V172" s="750">
        <v>51573.186000000002</v>
      </c>
      <c r="Y172" s="27" t="s">
        <v>229</v>
      </c>
      <c r="Z172" s="3">
        <v>5</v>
      </c>
      <c r="AA172" t="str">
        <f>VLOOKUP(Y172,Source!F:F,1,FALSE)</f>
        <v>UMass Dartmouth</v>
      </c>
    </row>
    <row r="173" spans="1:27">
      <c r="A173" s="17" t="str">
        <f t="shared" si="6"/>
        <v>UMass Dartmouth6</v>
      </c>
      <c r="B173" s="260" t="s">
        <v>486</v>
      </c>
      <c r="C173" s="27" t="s">
        <v>487</v>
      </c>
      <c r="D173" s="20" t="s">
        <v>719</v>
      </c>
      <c r="E173" s="27" t="s">
        <v>229</v>
      </c>
      <c r="F173" s="630">
        <v>1600</v>
      </c>
      <c r="G173" s="22" t="s">
        <v>709</v>
      </c>
      <c r="H173" s="27" t="s">
        <v>710</v>
      </c>
      <c r="I173" s="23" t="s">
        <v>471</v>
      </c>
      <c r="J173" s="24">
        <v>2747</v>
      </c>
      <c r="K173" s="25">
        <v>41426</v>
      </c>
      <c r="L173" s="28">
        <v>2013</v>
      </c>
      <c r="M173" s="636">
        <v>1600</v>
      </c>
      <c r="N173" s="30" t="s">
        <v>700</v>
      </c>
      <c r="O173" s="743"/>
      <c r="P173" s="743"/>
      <c r="T173" s="17" t="s">
        <v>473</v>
      </c>
      <c r="U173" s="17"/>
      <c r="V173" s="177"/>
      <c r="Y173" s="27" t="s">
        <v>229</v>
      </c>
      <c r="Z173" s="769">
        <v>6</v>
      </c>
      <c r="AA173" t="str">
        <f>VLOOKUP(Y173,Source!F:F,1,FALSE)</f>
        <v>UMass Dartmouth</v>
      </c>
    </row>
    <row r="174" spans="1:27">
      <c r="A174" s="17" t="str">
        <f t="shared" si="6"/>
        <v>UMass Lowell1</v>
      </c>
      <c r="B174" s="260" t="s">
        <v>465</v>
      </c>
      <c r="C174" s="17" t="s">
        <v>293</v>
      </c>
      <c r="D174" s="20" t="s">
        <v>720</v>
      </c>
      <c r="E174" s="21" t="s">
        <v>721</v>
      </c>
      <c r="F174" s="630">
        <v>46.2</v>
      </c>
      <c r="G174" s="22" t="s">
        <v>722</v>
      </c>
      <c r="H174" s="22" t="s">
        <v>723</v>
      </c>
      <c r="I174" s="22" t="s">
        <v>471</v>
      </c>
      <c r="J174" s="24">
        <v>1854</v>
      </c>
      <c r="K174" s="25">
        <v>40777</v>
      </c>
      <c r="L174" s="28">
        <v>2012</v>
      </c>
      <c r="M174" s="17">
        <v>46.2</v>
      </c>
      <c r="N174" s="30" t="s">
        <v>700</v>
      </c>
      <c r="O174" s="17" t="s">
        <v>1212</v>
      </c>
      <c r="P174" s="17" t="s">
        <v>750</v>
      </c>
      <c r="T174" s="17" t="s">
        <v>473</v>
      </c>
      <c r="U174" s="638">
        <v>0.13350000000000001</v>
      </c>
      <c r="V174" s="750">
        <v>54029.052000000003</v>
      </c>
      <c r="Y174" s="555" t="s">
        <v>234</v>
      </c>
      <c r="Z174" s="3">
        <v>1</v>
      </c>
      <c r="AA174" t="str">
        <f>VLOOKUP(Y174,Source!F:F,1,FALSE)</f>
        <v>UMass Lowell</v>
      </c>
    </row>
    <row r="175" spans="1:27">
      <c r="A175" s="17" t="str">
        <f t="shared" si="6"/>
        <v>UMass Lowell2</v>
      </c>
      <c r="B175" s="260" t="s">
        <v>465</v>
      </c>
      <c r="C175" s="17" t="s">
        <v>293</v>
      </c>
      <c r="D175" s="20" t="s">
        <v>724</v>
      </c>
      <c r="E175" s="21" t="s">
        <v>725</v>
      </c>
      <c r="F175" s="630">
        <v>70.56</v>
      </c>
      <c r="G175" s="22" t="s">
        <v>722</v>
      </c>
      <c r="H175" s="22" t="s">
        <v>723</v>
      </c>
      <c r="I175" s="22" t="s">
        <v>471</v>
      </c>
      <c r="J175" s="24">
        <v>1854</v>
      </c>
      <c r="K175" s="25">
        <v>40777</v>
      </c>
      <c r="L175" s="28">
        <v>2012</v>
      </c>
      <c r="M175" s="17">
        <v>70.56</v>
      </c>
      <c r="N175" s="30" t="s">
        <v>700</v>
      </c>
      <c r="O175" s="17" t="s">
        <v>1212</v>
      </c>
      <c r="P175" s="17" t="s">
        <v>750</v>
      </c>
      <c r="T175" s="17" t="s">
        <v>473</v>
      </c>
      <c r="U175" s="638">
        <v>0.13350000000000001</v>
      </c>
      <c r="V175" s="635">
        <v>82517.097600000008</v>
      </c>
      <c r="Y175" s="555" t="s">
        <v>234</v>
      </c>
      <c r="Z175" s="769">
        <v>2</v>
      </c>
      <c r="AA175" t="str">
        <f>VLOOKUP(Y175,Source!F:F,1,FALSE)</f>
        <v>UMass Lowell</v>
      </c>
    </row>
    <row r="176" spans="1:27">
      <c r="A176" s="17" t="str">
        <f t="shared" si="6"/>
        <v>UMass Lowell3</v>
      </c>
      <c r="B176" s="260" t="s">
        <v>465</v>
      </c>
      <c r="C176" s="17" t="s">
        <v>293</v>
      </c>
      <c r="D176" s="20" t="s">
        <v>726</v>
      </c>
      <c r="E176" s="21" t="s">
        <v>727</v>
      </c>
      <c r="F176" s="630">
        <v>83.16</v>
      </c>
      <c r="G176" s="22" t="s">
        <v>722</v>
      </c>
      <c r="H176" s="22" t="s">
        <v>723</v>
      </c>
      <c r="I176" s="22" t="s">
        <v>471</v>
      </c>
      <c r="J176" s="24">
        <v>1854</v>
      </c>
      <c r="K176" s="25">
        <v>40743</v>
      </c>
      <c r="L176" s="28">
        <v>2012</v>
      </c>
      <c r="M176" s="17">
        <v>83.16</v>
      </c>
      <c r="N176" s="30" t="s">
        <v>700</v>
      </c>
      <c r="O176" s="17" t="s">
        <v>1212</v>
      </c>
      <c r="P176" s="17" t="s">
        <v>750</v>
      </c>
      <c r="T176" s="17" t="s">
        <v>473</v>
      </c>
      <c r="U176" s="638">
        <v>0.13350000000000001</v>
      </c>
      <c r="V176" s="635">
        <v>97252.293600000005</v>
      </c>
      <c r="Y176" s="555" t="s">
        <v>234</v>
      </c>
      <c r="Z176" s="3">
        <v>3</v>
      </c>
      <c r="AA176" t="str">
        <f>VLOOKUP(Y176,Source!F:F,1,FALSE)</f>
        <v>UMass Lowell</v>
      </c>
    </row>
    <row r="177" spans="1:27">
      <c r="A177" s="17" t="str">
        <f t="shared" si="6"/>
        <v>UMass Lowell4</v>
      </c>
      <c r="B177" s="260" t="s">
        <v>465</v>
      </c>
      <c r="C177" s="17" t="s">
        <v>293</v>
      </c>
      <c r="D177" s="20" t="s">
        <v>728</v>
      </c>
      <c r="E177" s="21" t="s">
        <v>729</v>
      </c>
      <c r="F177" s="630">
        <v>46.2</v>
      </c>
      <c r="G177" s="22" t="s">
        <v>722</v>
      </c>
      <c r="H177" s="22" t="s">
        <v>723</v>
      </c>
      <c r="I177" s="22" t="s">
        <v>471</v>
      </c>
      <c r="J177" s="24">
        <v>1854</v>
      </c>
      <c r="K177" s="25">
        <v>40777</v>
      </c>
      <c r="L177" s="28">
        <v>2012</v>
      </c>
      <c r="M177" s="17">
        <v>46.2</v>
      </c>
      <c r="N177" s="30" t="s">
        <v>700</v>
      </c>
      <c r="O177" s="17" t="s">
        <v>1212</v>
      </c>
      <c r="P177" s="17" t="s">
        <v>750</v>
      </c>
      <c r="T177" s="17" t="s">
        <v>473</v>
      </c>
      <c r="U177" s="638">
        <v>0.13350000000000001</v>
      </c>
      <c r="V177" s="635">
        <v>54029.052000000003</v>
      </c>
      <c r="Y177" s="555" t="s">
        <v>234</v>
      </c>
      <c r="Z177" s="769">
        <v>4</v>
      </c>
      <c r="AA177" t="str">
        <f>VLOOKUP(Y177,Source!F:F,1,FALSE)</f>
        <v>UMass Lowell</v>
      </c>
    </row>
    <row r="178" spans="1:27">
      <c r="A178" s="17" t="str">
        <f t="shared" si="6"/>
        <v>UMass Lowell5</v>
      </c>
      <c r="B178" s="260" t="s">
        <v>465</v>
      </c>
      <c r="C178" s="17" t="s">
        <v>293</v>
      </c>
      <c r="D178" s="17"/>
      <c r="E178" s="21" t="s">
        <v>1889</v>
      </c>
      <c r="F178" s="636">
        <v>201</v>
      </c>
      <c r="G178" s="22" t="s">
        <v>722</v>
      </c>
      <c r="H178" s="22" t="s">
        <v>723</v>
      </c>
      <c r="I178" s="22" t="s">
        <v>471</v>
      </c>
      <c r="J178" s="24">
        <v>1854</v>
      </c>
      <c r="K178" s="17"/>
      <c r="L178" s="29">
        <v>2016</v>
      </c>
      <c r="M178" s="730">
        <v>200</v>
      </c>
      <c r="N178" s="30" t="s">
        <v>700</v>
      </c>
      <c r="O178" s="17" t="s">
        <v>1212</v>
      </c>
      <c r="P178" s="17" t="s">
        <v>748</v>
      </c>
      <c r="T178" s="17" t="s">
        <v>473</v>
      </c>
      <c r="U178" s="638">
        <v>0.13350000000000001</v>
      </c>
      <c r="V178" s="635">
        <v>233892</v>
      </c>
      <c r="Y178" s="555" t="s">
        <v>234</v>
      </c>
      <c r="Z178" s="3">
        <v>5</v>
      </c>
      <c r="AA178" t="str">
        <f>VLOOKUP(Y178,Source!F:F,1,FALSE)</f>
        <v>UMass Lowell</v>
      </c>
    </row>
    <row r="179" spans="1:27">
      <c r="A179" s="17" t="str">
        <f t="shared" si="6"/>
        <v>UMass Medical1</v>
      </c>
      <c r="B179" s="260" t="s">
        <v>486</v>
      </c>
      <c r="C179" s="27" t="s">
        <v>487</v>
      </c>
      <c r="D179" s="20" t="s">
        <v>730</v>
      </c>
      <c r="E179" s="21" t="s">
        <v>239</v>
      </c>
      <c r="F179" s="630">
        <v>7500</v>
      </c>
      <c r="G179" s="22" t="s">
        <v>731</v>
      </c>
      <c r="H179" s="27" t="s">
        <v>573</v>
      </c>
      <c r="I179" s="23" t="s">
        <v>471</v>
      </c>
      <c r="J179" s="24">
        <v>1655</v>
      </c>
      <c r="K179" s="25">
        <v>41091</v>
      </c>
      <c r="L179" s="28">
        <v>2012</v>
      </c>
      <c r="M179" s="636">
        <v>7500</v>
      </c>
      <c r="N179" s="30" t="s">
        <v>700</v>
      </c>
      <c r="O179" s="743"/>
      <c r="P179" s="743"/>
      <c r="T179" s="17" t="s">
        <v>473</v>
      </c>
      <c r="U179" s="17"/>
      <c r="V179" s="17"/>
      <c r="Y179" s="555" t="s">
        <v>239</v>
      </c>
      <c r="Z179" s="769">
        <v>1</v>
      </c>
      <c r="AA179" t="str">
        <f>VLOOKUP(Y179,Source!F:F,1,FALSE)</f>
        <v>UMass Medical</v>
      </c>
    </row>
    <row r="180" spans="1:27">
      <c r="A180" s="17" t="str">
        <f t="shared" si="6"/>
        <v>UMass Medical2</v>
      </c>
      <c r="B180" s="260" t="s">
        <v>486</v>
      </c>
      <c r="C180" s="27" t="s">
        <v>487</v>
      </c>
      <c r="D180" s="20" t="s">
        <v>730</v>
      </c>
      <c r="E180" s="21" t="s">
        <v>239</v>
      </c>
      <c r="F180" s="630">
        <v>10000</v>
      </c>
      <c r="G180" s="22" t="s">
        <v>731</v>
      </c>
      <c r="H180" s="27" t="s">
        <v>573</v>
      </c>
      <c r="I180" s="23" t="s">
        <v>471</v>
      </c>
      <c r="J180" s="24">
        <v>1655</v>
      </c>
      <c r="K180" s="25">
        <v>41091</v>
      </c>
      <c r="L180" s="28">
        <v>2013</v>
      </c>
      <c r="M180" s="636">
        <v>10000</v>
      </c>
      <c r="N180" s="30" t="s">
        <v>700</v>
      </c>
      <c r="O180" s="743"/>
      <c r="P180" s="743"/>
      <c r="T180" s="17" t="s">
        <v>473</v>
      </c>
      <c r="U180" s="17"/>
      <c r="V180" s="17"/>
      <c r="Y180" s="555" t="s">
        <v>239</v>
      </c>
      <c r="Z180" s="3">
        <v>2</v>
      </c>
      <c r="AA180" t="str">
        <f>VLOOKUP(Y180,Source!F:F,1,FALSE)</f>
        <v>UMass Medical</v>
      </c>
    </row>
    <row r="181" spans="1:27">
      <c r="A181" s="17" t="str">
        <f t="shared" si="6"/>
        <v>Westfield State University1</v>
      </c>
      <c r="B181" s="260" t="s">
        <v>465</v>
      </c>
      <c r="C181" s="17" t="s">
        <v>293</v>
      </c>
      <c r="D181" s="20" t="s">
        <v>732</v>
      </c>
      <c r="E181" s="21" t="s">
        <v>733</v>
      </c>
      <c r="F181" s="630">
        <v>37.799999999999997</v>
      </c>
      <c r="G181" s="22" t="s">
        <v>734</v>
      </c>
      <c r="H181" s="22" t="s">
        <v>735</v>
      </c>
      <c r="I181" s="23" t="s">
        <v>471</v>
      </c>
      <c r="J181" s="24">
        <v>1086</v>
      </c>
      <c r="K181" s="25">
        <v>40646</v>
      </c>
      <c r="L181" s="28">
        <v>2012</v>
      </c>
      <c r="M181" s="17">
        <v>37.799999999999997</v>
      </c>
      <c r="N181" s="27" t="s">
        <v>472</v>
      </c>
      <c r="O181" s="17" t="s">
        <v>1212</v>
      </c>
      <c r="P181" s="17" t="s">
        <v>750</v>
      </c>
      <c r="T181" s="17" t="s">
        <v>473</v>
      </c>
      <c r="U181" s="638">
        <v>0.13350000000000001</v>
      </c>
      <c r="V181" s="635">
        <v>44205.588000000003</v>
      </c>
      <c r="Y181" s="555" t="s">
        <v>244</v>
      </c>
      <c r="Z181" s="769">
        <v>1</v>
      </c>
      <c r="AA181" t="str">
        <f>VLOOKUP(Y181,Source!F:F,1,FALSE)</f>
        <v>Westfield State University</v>
      </c>
    </row>
    <row r="182" spans="1:27">
      <c r="A182" s="17" t="str">
        <f t="shared" si="6"/>
        <v>Westfield State University2</v>
      </c>
      <c r="B182" s="260" t="s">
        <v>465</v>
      </c>
      <c r="C182" s="17" t="s">
        <v>293</v>
      </c>
      <c r="D182" s="20" t="s">
        <v>736</v>
      </c>
      <c r="E182" s="21" t="s">
        <v>737</v>
      </c>
      <c r="F182" s="630">
        <v>73.92</v>
      </c>
      <c r="G182" s="22" t="s">
        <v>734</v>
      </c>
      <c r="H182" s="22" t="s">
        <v>735</v>
      </c>
      <c r="I182" s="23" t="s">
        <v>471</v>
      </c>
      <c r="J182" s="24">
        <v>1086</v>
      </c>
      <c r="K182" s="25">
        <v>40646</v>
      </c>
      <c r="L182" s="28">
        <v>2012</v>
      </c>
      <c r="M182" s="17">
        <v>73.92</v>
      </c>
      <c r="N182" s="27" t="s">
        <v>472</v>
      </c>
      <c r="O182" s="17" t="s">
        <v>1212</v>
      </c>
      <c r="P182" s="17" t="s">
        <v>750</v>
      </c>
      <c r="T182" s="17" t="s">
        <v>473</v>
      </c>
      <c r="U182" s="638">
        <v>0.13350000000000001</v>
      </c>
      <c r="V182" s="635">
        <v>86446.483200000017</v>
      </c>
      <c r="Y182" s="555" t="s">
        <v>244</v>
      </c>
      <c r="Z182" s="3">
        <v>2</v>
      </c>
      <c r="AA182" t="str">
        <f>VLOOKUP(Y182,Source!F:F,1,FALSE)</f>
        <v>Westfield State University</v>
      </c>
    </row>
    <row r="183" spans="1:27">
      <c r="A183" s="17" t="str">
        <f t="shared" si="6"/>
        <v>Worcester State University1</v>
      </c>
      <c r="B183" s="260" t="s">
        <v>465</v>
      </c>
      <c r="C183" s="17" t="s">
        <v>293</v>
      </c>
      <c r="D183" s="20" t="s">
        <v>740</v>
      </c>
      <c r="E183" s="21" t="s">
        <v>1890</v>
      </c>
      <c r="F183" s="630">
        <v>40.768000000000001</v>
      </c>
      <c r="G183" s="20" t="s">
        <v>739</v>
      </c>
      <c r="H183" s="22" t="s">
        <v>573</v>
      </c>
      <c r="I183" s="23" t="s">
        <v>471</v>
      </c>
      <c r="J183" s="24">
        <v>1602</v>
      </c>
      <c r="K183" s="25">
        <v>40820</v>
      </c>
      <c r="L183" s="28">
        <v>2012</v>
      </c>
      <c r="M183" s="17">
        <v>40.768000000000001</v>
      </c>
      <c r="N183" s="27" t="s">
        <v>472</v>
      </c>
      <c r="O183" s="17" t="s">
        <v>485</v>
      </c>
      <c r="P183" s="17" t="s">
        <v>750</v>
      </c>
      <c r="T183" s="17" t="s">
        <v>473</v>
      </c>
      <c r="U183" s="638">
        <v>0.13350000000000001</v>
      </c>
      <c r="V183" s="635">
        <v>47676.545279999998</v>
      </c>
      <c r="Y183" s="555" t="s">
        <v>249</v>
      </c>
      <c r="Z183" s="769">
        <v>1</v>
      </c>
      <c r="AA183" t="str">
        <f>VLOOKUP(Y183,Source!F:F,1,FALSE)</f>
        <v>Worcester State University</v>
      </c>
    </row>
    <row r="184" spans="1:27">
      <c r="A184" s="17" t="str">
        <f t="shared" si="6"/>
        <v>Worcester State University2</v>
      </c>
      <c r="B184" s="260" t="s">
        <v>486</v>
      </c>
      <c r="C184" s="27" t="s">
        <v>487</v>
      </c>
      <c r="D184" s="20" t="s">
        <v>738</v>
      </c>
      <c r="E184" s="27" t="s">
        <v>1891</v>
      </c>
      <c r="F184" s="630">
        <v>60</v>
      </c>
      <c r="G184" s="20" t="s">
        <v>739</v>
      </c>
      <c r="H184" s="27" t="s">
        <v>573</v>
      </c>
      <c r="I184" s="23" t="s">
        <v>471</v>
      </c>
      <c r="J184" s="24">
        <v>1602</v>
      </c>
      <c r="K184" s="25">
        <v>40396</v>
      </c>
      <c r="L184" s="28">
        <v>2011</v>
      </c>
      <c r="M184" s="636">
        <v>60</v>
      </c>
      <c r="N184" s="27" t="s">
        <v>472</v>
      </c>
      <c r="O184" s="743"/>
      <c r="P184" s="743"/>
      <c r="T184" s="17" t="s">
        <v>473</v>
      </c>
      <c r="U184" s="17"/>
      <c r="V184" s="17"/>
      <c r="Y184" s="555" t="s">
        <v>249</v>
      </c>
      <c r="Z184" s="3">
        <v>2</v>
      </c>
      <c r="AA184" t="str">
        <f>VLOOKUP(Y184,Source!F:F,1,FALSE)</f>
        <v>Worcester State University</v>
      </c>
    </row>
    <row r="185" spans="1:27">
      <c r="A185" s="17" t="str">
        <f t="shared" si="6"/>
        <v>Worcester State University3</v>
      </c>
      <c r="B185" s="260" t="s">
        <v>486</v>
      </c>
      <c r="C185" s="27" t="s">
        <v>487</v>
      </c>
      <c r="D185" s="20"/>
      <c r="E185" s="27" t="s">
        <v>1892</v>
      </c>
      <c r="F185" s="630">
        <v>60</v>
      </c>
      <c r="G185" s="20" t="s">
        <v>739</v>
      </c>
      <c r="H185" s="27" t="s">
        <v>573</v>
      </c>
      <c r="I185" s="23" t="s">
        <v>471</v>
      </c>
      <c r="J185" s="24">
        <v>1602</v>
      </c>
      <c r="K185" s="25"/>
      <c r="L185" s="28">
        <v>2014</v>
      </c>
      <c r="M185" s="636">
        <v>60</v>
      </c>
      <c r="N185" s="27" t="s">
        <v>472</v>
      </c>
      <c r="O185" s="743" t="s">
        <v>1212</v>
      </c>
      <c r="P185" s="743"/>
      <c r="T185" s="17" t="s">
        <v>473</v>
      </c>
      <c r="U185" s="17"/>
      <c r="V185" s="17"/>
      <c r="Y185" s="555" t="s">
        <v>249</v>
      </c>
      <c r="Z185" s="769">
        <v>3</v>
      </c>
      <c r="AA185" t="str">
        <f>VLOOKUP(Y185,Source!F:F,1,FALSE)</f>
        <v>Worcester State University</v>
      </c>
    </row>
    <row r="186" spans="1:27">
      <c r="A186" s="17" t="str">
        <f t="shared" si="6"/>
        <v>Worcester State University4</v>
      </c>
      <c r="B186" s="260" t="s">
        <v>465</v>
      </c>
      <c r="C186" s="27" t="s">
        <v>293</v>
      </c>
      <c r="D186" s="20" t="s">
        <v>741</v>
      </c>
      <c r="E186" s="27" t="s">
        <v>1980</v>
      </c>
      <c r="F186" s="630">
        <v>105.3</v>
      </c>
      <c r="G186" s="20" t="s">
        <v>739</v>
      </c>
      <c r="H186" s="27" t="s">
        <v>573</v>
      </c>
      <c r="I186" s="17" t="s">
        <v>471</v>
      </c>
      <c r="J186" s="24">
        <v>1602</v>
      </c>
      <c r="K186" s="25">
        <v>40544</v>
      </c>
      <c r="L186" s="28">
        <v>2009</v>
      </c>
      <c r="M186" s="17">
        <v>105.4</v>
      </c>
      <c r="N186" s="27" t="s">
        <v>472</v>
      </c>
      <c r="O186" s="17" t="s">
        <v>1212</v>
      </c>
      <c r="P186" s="17" t="s">
        <v>750</v>
      </c>
      <c r="T186" s="17" t="s">
        <v>473</v>
      </c>
      <c r="U186" s="638">
        <v>0.13350000000000001</v>
      </c>
      <c r="V186" s="635">
        <v>123261.084</v>
      </c>
      <c r="Y186" s="21" t="s">
        <v>249</v>
      </c>
      <c r="Z186" s="3">
        <v>4</v>
      </c>
      <c r="AA186" t="str">
        <f>VLOOKUP(Y186,Source!F:F,1,FALSE)</f>
        <v>Worcester State University</v>
      </c>
    </row>
  </sheetData>
  <autoFilter ref="A1:AA155" xr:uid="{00000000-0009-0000-0000-00000D000000}"/>
  <sortState xmlns:xlrd2="http://schemas.microsoft.com/office/spreadsheetml/2017/richdata2" ref="A2:AA186">
    <sortCondition ref="Y2:Y186"/>
  </sortState>
  <phoneticPr fontId="79" type="noConversion"/>
  <dataValidations count="1">
    <dataValidation type="list" allowBlank="1" showInputMessage="1" showErrorMessage="1" sqref="H3:H38 I34:I45 D11:D21 D23:D35 H176:H184 I181:I182 I184 D177:D182" xr:uid="{F671C6DE-5C73-4572-B05A-CF0287E7E032}"/>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P108"/>
  <sheetViews>
    <sheetView zoomScale="90" zoomScaleNormal="90" workbookViewId="0">
      <selection activeCell="N7" sqref="N7"/>
    </sheetView>
  </sheetViews>
  <sheetFormatPr defaultColWidth="9.1796875" defaultRowHeight="14.5"/>
  <cols>
    <col min="1" max="1" width="34" style="3" customWidth="1"/>
    <col min="2" max="2" width="19" style="3" bestFit="1" customWidth="1"/>
    <col min="3" max="3" width="30.7265625" style="3" bestFit="1" customWidth="1"/>
    <col min="4" max="4" width="8" style="3" bestFit="1" customWidth="1"/>
    <col min="5" max="5" width="12" style="3" bestFit="1" customWidth="1"/>
    <col min="6" max="6" width="46.453125" style="3" bestFit="1" customWidth="1"/>
    <col min="7" max="7" width="37.453125" style="3" customWidth="1"/>
    <col min="8" max="8" width="15.453125" style="3" customWidth="1"/>
    <col min="9" max="9" width="19.1796875" style="270" customWidth="1"/>
    <col min="10" max="10" width="16.26953125" style="266" customWidth="1"/>
    <col min="11" max="11" width="16.453125" style="3" customWidth="1"/>
    <col min="12" max="12" width="12.453125" style="3" customWidth="1"/>
    <col min="13" max="13" width="13.1796875" style="3" customWidth="1"/>
    <col min="14" max="14" width="57.81640625" style="3" customWidth="1"/>
    <col min="15" max="15" width="13.453125" style="3" customWidth="1"/>
    <col min="16" max="16384" width="9.1796875" style="3"/>
  </cols>
  <sheetData>
    <row r="1" spans="1:16" ht="87">
      <c r="A1" s="258" t="str">
        <f>E1&amp;P1</f>
        <v>Agency#</v>
      </c>
      <c r="B1" s="258" t="s">
        <v>319</v>
      </c>
      <c r="C1" s="258" t="s">
        <v>444</v>
      </c>
      <c r="D1" s="258" t="s">
        <v>454</v>
      </c>
      <c r="E1" s="258" t="s">
        <v>433</v>
      </c>
      <c r="F1" s="258" t="s">
        <v>760</v>
      </c>
      <c r="G1" s="258" t="s">
        <v>456</v>
      </c>
      <c r="H1" s="258" t="s">
        <v>761</v>
      </c>
      <c r="I1" s="269" t="s">
        <v>416</v>
      </c>
      <c r="J1" s="261" t="s">
        <v>417</v>
      </c>
      <c r="K1" s="259" t="s">
        <v>457</v>
      </c>
      <c r="L1" s="258" t="s">
        <v>460</v>
      </c>
      <c r="M1" s="258" t="s">
        <v>453</v>
      </c>
      <c r="N1" s="258" t="s">
        <v>463</v>
      </c>
      <c r="O1" s="258" t="s">
        <v>464</v>
      </c>
      <c r="P1" s="258" t="s">
        <v>434</v>
      </c>
    </row>
    <row r="2" spans="1:16" s="284" customFormat="1">
      <c r="A2" s="275" t="str">
        <f t="shared" ref="A2:A33" si="0">F2&amp;P2</f>
        <v>Bristol Community College1</v>
      </c>
      <c r="B2" s="780" t="s">
        <v>762</v>
      </c>
      <c r="C2" s="780" t="s">
        <v>768</v>
      </c>
      <c r="D2" s="780" t="s">
        <v>472</v>
      </c>
      <c r="E2" s="780" t="s">
        <v>769</v>
      </c>
      <c r="F2" s="780" t="s">
        <v>1045</v>
      </c>
      <c r="G2" s="781" t="s">
        <v>770</v>
      </c>
      <c r="H2" s="780" t="s">
        <v>490</v>
      </c>
      <c r="I2" s="785" t="s">
        <v>1992</v>
      </c>
      <c r="J2" s="268" t="s">
        <v>360</v>
      </c>
      <c r="K2" s="264"/>
      <c r="L2" s="803" t="s">
        <v>473</v>
      </c>
      <c r="M2" s="810">
        <v>2016</v>
      </c>
      <c r="N2" s="260"/>
      <c r="O2" s="260"/>
      <c r="P2" s="275">
        <v>1</v>
      </c>
    </row>
    <row r="3" spans="1:16" s="284" customFormat="1">
      <c r="A3" s="275" t="str">
        <f t="shared" si="0"/>
        <v>Bristol Community College2</v>
      </c>
      <c r="B3" s="780" t="s">
        <v>762</v>
      </c>
      <c r="C3" s="780" t="s">
        <v>771</v>
      </c>
      <c r="D3" s="780" t="s">
        <v>472</v>
      </c>
      <c r="E3" s="780" t="s">
        <v>769</v>
      </c>
      <c r="F3" s="780" t="s">
        <v>1045</v>
      </c>
      <c r="G3" s="781" t="s">
        <v>770</v>
      </c>
      <c r="H3" s="780" t="s">
        <v>490</v>
      </c>
      <c r="I3" s="785" t="s">
        <v>1993</v>
      </c>
      <c r="J3" s="268" t="s">
        <v>360</v>
      </c>
      <c r="K3" s="264"/>
      <c r="L3" s="803" t="s">
        <v>473</v>
      </c>
      <c r="M3" s="810">
        <v>2016</v>
      </c>
      <c r="N3" s="286"/>
      <c r="O3" s="285"/>
      <c r="P3" s="285">
        <v>2</v>
      </c>
    </row>
    <row r="4" spans="1:16" s="284" customFormat="1">
      <c r="A4" s="275" t="str">
        <f t="shared" si="0"/>
        <v>Bristol Community College3</v>
      </c>
      <c r="B4" s="780" t="s">
        <v>762</v>
      </c>
      <c r="C4" s="780" t="s">
        <v>763</v>
      </c>
      <c r="D4" s="780" t="s">
        <v>472</v>
      </c>
      <c r="E4" s="780" t="s">
        <v>769</v>
      </c>
      <c r="F4" s="780" t="s">
        <v>1045</v>
      </c>
      <c r="G4" s="780" t="s">
        <v>1994</v>
      </c>
      <c r="H4" s="780" t="s">
        <v>490</v>
      </c>
      <c r="I4" s="786" t="s">
        <v>1995</v>
      </c>
      <c r="J4" s="289" t="s">
        <v>2082</v>
      </c>
      <c r="K4" s="794"/>
      <c r="L4" s="803" t="s">
        <v>473</v>
      </c>
      <c r="M4" s="810">
        <v>2016</v>
      </c>
      <c r="N4" s="286"/>
      <c r="O4" s="285"/>
      <c r="P4" s="285">
        <v>3</v>
      </c>
    </row>
    <row r="5" spans="1:16" s="284" customFormat="1">
      <c r="A5" s="275" t="str">
        <f t="shared" si="0"/>
        <v>Bridgewater State University1</v>
      </c>
      <c r="B5" s="780" t="s">
        <v>762</v>
      </c>
      <c r="C5" s="781" t="s">
        <v>763</v>
      </c>
      <c r="D5" s="782" t="s">
        <v>472</v>
      </c>
      <c r="E5" s="781" t="s">
        <v>764</v>
      </c>
      <c r="F5" s="781" t="s">
        <v>61</v>
      </c>
      <c r="G5" s="781" t="s">
        <v>765</v>
      </c>
      <c r="H5" s="781" t="s">
        <v>484</v>
      </c>
      <c r="I5" s="785" t="s">
        <v>1991</v>
      </c>
      <c r="J5" s="268" t="s">
        <v>779</v>
      </c>
      <c r="K5" s="793"/>
      <c r="L5" s="803" t="s">
        <v>473</v>
      </c>
      <c r="M5" s="809">
        <v>2012</v>
      </c>
      <c r="N5" s="260"/>
      <c r="O5" s="260"/>
      <c r="P5" s="275">
        <v>1</v>
      </c>
    </row>
    <row r="6" spans="1:16" s="284" customFormat="1">
      <c r="A6" s="275" t="str">
        <f t="shared" si="0"/>
        <v>Bridgewater State University2</v>
      </c>
      <c r="B6" s="780" t="s">
        <v>762</v>
      </c>
      <c r="C6" s="780" t="s">
        <v>763</v>
      </c>
      <c r="D6" s="780" t="s">
        <v>472</v>
      </c>
      <c r="E6" s="784" t="s">
        <v>764</v>
      </c>
      <c r="F6" s="784" t="s">
        <v>61</v>
      </c>
      <c r="G6" s="784" t="s">
        <v>2068</v>
      </c>
      <c r="H6" s="784" t="s">
        <v>484</v>
      </c>
      <c r="I6" s="784"/>
      <c r="J6" s="288" t="s">
        <v>2185</v>
      </c>
      <c r="K6" s="784"/>
      <c r="L6" s="739" t="s">
        <v>473</v>
      </c>
      <c r="M6" s="807">
        <v>2022</v>
      </c>
      <c r="N6" s="260"/>
      <c r="O6" s="260"/>
      <c r="P6" s="260">
        <v>2</v>
      </c>
    </row>
    <row r="7" spans="1:16" s="284" customFormat="1">
      <c r="A7" s="275" t="str">
        <f t="shared" si="0"/>
        <v>Bridgewater State University3</v>
      </c>
      <c r="B7" s="780" t="s">
        <v>762</v>
      </c>
      <c r="C7" s="784" t="s">
        <v>763</v>
      </c>
      <c r="D7" s="780" t="s">
        <v>472</v>
      </c>
      <c r="E7" s="784" t="s">
        <v>764</v>
      </c>
      <c r="F7" s="784" t="s">
        <v>61</v>
      </c>
      <c r="G7" s="784" t="s">
        <v>2070</v>
      </c>
      <c r="H7" s="784" t="s">
        <v>484</v>
      </c>
      <c r="I7" s="784" t="s">
        <v>2071</v>
      </c>
      <c r="J7" s="268" t="s">
        <v>779</v>
      </c>
      <c r="K7" s="784"/>
      <c r="L7" s="739" t="s">
        <v>473</v>
      </c>
      <c r="M7" s="807">
        <v>2021</v>
      </c>
      <c r="N7" s="260"/>
      <c r="O7" s="260"/>
      <c r="P7" s="260">
        <v>3</v>
      </c>
    </row>
    <row r="8" spans="1:16">
      <c r="A8" s="275" t="str">
        <f t="shared" si="0"/>
        <v>Bridgewater State University4</v>
      </c>
      <c r="B8" s="784" t="s">
        <v>762</v>
      </c>
      <c r="C8" s="784" t="s">
        <v>763</v>
      </c>
      <c r="D8" s="784" t="s">
        <v>472</v>
      </c>
      <c r="E8" s="784" t="s">
        <v>764</v>
      </c>
      <c r="F8" s="784" t="s">
        <v>61</v>
      </c>
      <c r="G8" s="784" t="s">
        <v>2088</v>
      </c>
      <c r="H8" s="784" t="s">
        <v>484</v>
      </c>
      <c r="I8" s="784"/>
      <c r="J8" s="288" t="s">
        <v>2185</v>
      </c>
      <c r="K8" s="784"/>
      <c r="L8" s="739" t="s">
        <v>473</v>
      </c>
      <c r="M8" s="807">
        <v>2023</v>
      </c>
      <c r="N8" s="260"/>
      <c r="O8" s="260"/>
      <c r="P8" s="260">
        <v>4</v>
      </c>
    </row>
    <row r="9" spans="1:16">
      <c r="A9" s="275" t="str">
        <f t="shared" si="0"/>
        <v>Bridgewater State University5</v>
      </c>
      <c r="B9" s="784" t="s">
        <v>762</v>
      </c>
      <c r="C9" s="784" t="s">
        <v>763</v>
      </c>
      <c r="D9" s="784" t="s">
        <v>472</v>
      </c>
      <c r="E9" s="784" t="s">
        <v>764</v>
      </c>
      <c r="F9" s="784" t="s">
        <v>61</v>
      </c>
      <c r="G9" s="784" t="s">
        <v>2089</v>
      </c>
      <c r="H9" s="784" t="s">
        <v>484</v>
      </c>
      <c r="I9" s="784"/>
      <c r="J9" s="288" t="s">
        <v>2185</v>
      </c>
      <c r="K9" s="784"/>
      <c r="L9" s="739" t="s">
        <v>473</v>
      </c>
      <c r="M9" s="807">
        <v>2023</v>
      </c>
      <c r="N9" s="260"/>
      <c r="O9" s="260"/>
      <c r="P9" s="260">
        <v>5</v>
      </c>
    </row>
    <row r="10" spans="1:16" s="559" customFormat="1">
      <c r="A10" s="275" t="str">
        <f t="shared" si="0"/>
        <v>DCR Blackstone Heritage Corridor1</v>
      </c>
      <c r="B10" s="780" t="s">
        <v>762</v>
      </c>
      <c r="C10" s="780" t="s">
        <v>783</v>
      </c>
      <c r="D10" s="781" t="s">
        <v>516</v>
      </c>
      <c r="E10" s="781" t="s">
        <v>881</v>
      </c>
      <c r="F10" s="780" t="s">
        <v>2000</v>
      </c>
      <c r="G10" s="780" t="s">
        <v>2001</v>
      </c>
      <c r="H10" s="780" t="s">
        <v>573</v>
      </c>
      <c r="I10" s="787" t="s">
        <v>2002</v>
      </c>
      <c r="J10" s="288" t="s">
        <v>2185</v>
      </c>
      <c r="K10" s="795"/>
      <c r="L10" s="803" t="s">
        <v>473</v>
      </c>
      <c r="M10" s="811">
        <v>2018</v>
      </c>
      <c r="N10" s="285"/>
      <c r="O10" s="285"/>
      <c r="P10" s="285">
        <v>1</v>
      </c>
    </row>
    <row r="11" spans="1:16">
      <c r="A11" s="275" t="str">
        <f t="shared" si="0"/>
        <v>DCR Camp Nihan2</v>
      </c>
      <c r="B11" s="780" t="s">
        <v>762</v>
      </c>
      <c r="C11" s="781" t="s">
        <v>783</v>
      </c>
      <c r="D11" s="781" t="s">
        <v>516</v>
      </c>
      <c r="E11" s="781" t="s">
        <v>881</v>
      </c>
      <c r="F11" s="781" t="s">
        <v>2003</v>
      </c>
      <c r="G11" s="780" t="s">
        <v>2004</v>
      </c>
      <c r="H11" s="780" t="s">
        <v>2005</v>
      </c>
      <c r="I11" s="788" t="s">
        <v>2006</v>
      </c>
      <c r="J11" s="288" t="s">
        <v>2185</v>
      </c>
      <c r="K11" s="793">
        <v>102000</v>
      </c>
      <c r="L11" s="803" t="s">
        <v>473</v>
      </c>
      <c r="M11" s="812">
        <v>2016</v>
      </c>
      <c r="N11" s="286"/>
      <c r="O11" s="285"/>
      <c r="P11" s="285">
        <v>2</v>
      </c>
    </row>
    <row r="12" spans="1:16">
      <c r="A12" s="275" t="str">
        <f t="shared" si="0"/>
        <v>DCR Holyoke Range State Park3</v>
      </c>
      <c r="B12" s="780" t="s">
        <v>762</v>
      </c>
      <c r="C12" s="781" t="s">
        <v>783</v>
      </c>
      <c r="D12" s="781" t="s">
        <v>516</v>
      </c>
      <c r="E12" s="781" t="s">
        <v>881</v>
      </c>
      <c r="F12" s="781" t="s">
        <v>2007</v>
      </c>
      <c r="G12" s="781" t="s">
        <v>2008</v>
      </c>
      <c r="H12" s="781" t="s">
        <v>699</v>
      </c>
      <c r="I12" s="788" t="s">
        <v>2006</v>
      </c>
      <c r="J12" s="288" t="s">
        <v>2185</v>
      </c>
      <c r="K12" s="793">
        <v>118402</v>
      </c>
      <c r="L12" s="803" t="s">
        <v>473</v>
      </c>
      <c r="M12" s="809">
        <v>2010</v>
      </c>
      <c r="N12" s="27"/>
      <c r="O12" s="260"/>
      <c r="P12" s="285">
        <v>3</v>
      </c>
    </row>
    <row r="13" spans="1:16">
      <c r="A13" s="275" t="str">
        <f t="shared" si="0"/>
        <v>DCR Holyoke Range State Park4</v>
      </c>
      <c r="B13" s="780" t="s">
        <v>762</v>
      </c>
      <c r="C13" s="781" t="s">
        <v>783</v>
      </c>
      <c r="D13" s="781" t="s">
        <v>516</v>
      </c>
      <c r="E13" s="781" t="s">
        <v>881</v>
      </c>
      <c r="F13" s="781" t="s">
        <v>2007</v>
      </c>
      <c r="G13" s="781" t="s">
        <v>2009</v>
      </c>
      <c r="H13" s="781" t="s">
        <v>699</v>
      </c>
      <c r="I13" s="788" t="s">
        <v>2006</v>
      </c>
      <c r="J13" s="288" t="s">
        <v>2185</v>
      </c>
      <c r="K13" s="793">
        <v>111755</v>
      </c>
      <c r="L13" s="803" t="s">
        <v>473</v>
      </c>
      <c r="M13" s="809">
        <v>2010</v>
      </c>
      <c r="N13" s="27"/>
      <c r="O13" s="260"/>
      <c r="P13" s="285">
        <v>4</v>
      </c>
    </row>
    <row r="14" spans="1:16">
      <c r="A14" s="275" t="str">
        <f t="shared" si="0"/>
        <v>DCR Halibut Point State Park5</v>
      </c>
      <c r="B14" s="780" t="s">
        <v>762</v>
      </c>
      <c r="C14" s="780" t="s">
        <v>771</v>
      </c>
      <c r="D14" s="781" t="s">
        <v>516</v>
      </c>
      <c r="E14" s="781" t="s">
        <v>881</v>
      </c>
      <c r="F14" s="780" t="s">
        <v>1830</v>
      </c>
      <c r="G14" s="780" t="s">
        <v>2010</v>
      </c>
      <c r="H14" s="780" t="s">
        <v>2011</v>
      </c>
      <c r="I14" s="787"/>
      <c r="J14" s="288" t="s">
        <v>2185</v>
      </c>
      <c r="K14" s="794"/>
      <c r="L14" s="804" t="s">
        <v>473</v>
      </c>
      <c r="M14" s="810">
        <v>2019</v>
      </c>
      <c r="N14" s="558" t="s">
        <v>782</v>
      </c>
      <c r="O14" s="557"/>
      <c r="P14" s="285">
        <v>5</v>
      </c>
    </row>
    <row r="15" spans="1:16">
      <c r="A15" s="275" t="str">
        <f t="shared" si="0"/>
        <v>DCR Halibut Point State Park6</v>
      </c>
      <c r="B15" s="780" t="s">
        <v>762</v>
      </c>
      <c r="C15" s="780" t="s">
        <v>763</v>
      </c>
      <c r="D15" s="781" t="s">
        <v>516</v>
      </c>
      <c r="E15" s="781" t="s">
        <v>881</v>
      </c>
      <c r="F15" s="780" t="s">
        <v>1830</v>
      </c>
      <c r="G15" s="780" t="s">
        <v>2010</v>
      </c>
      <c r="H15" s="780" t="s">
        <v>2011</v>
      </c>
      <c r="I15" s="787"/>
      <c r="J15" s="288" t="s">
        <v>2185</v>
      </c>
      <c r="K15" s="794"/>
      <c r="L15" s="803" t="s">
        <v>473</v>
      </c>
      <c r="M15" s="804">
        <v>2019</v>
      </c>
      <c r="N15" s="27"/>
      <c r="O15" s="260"/>
      <c r="P15" s="285">
        <v>6</v>
      </c>
    </row>
    <row r="16" spans="1:16">
      <c r="A16" s="275" t="str">
        <f t="shared" si="0"/>
        <v>DCR Quabbin 7</v>
      </c>
      <c r="B16" s="780" t="s">
        <v>762</v>
      </c>
      <c r="C16" s="781" t="s">
        <v>783</v>
      </c>
      <c r="D16" s="781" t="s">
        <v>516</v>
      </c>
      <c r="E16" s="781" t="s">
        <v>881</v>
      </c>
      <c r="F16" s="781" t="s">
        <v>2012</v>
      </c>
      <c r="G16" s="781" t="s">
        <v>2013</v>
      </c>
      <c r="H16" s="781" t="s">
        <v>1938</v>
      </c>
      <c r="I16" s="785" t="s">
        <v>2014</v>
      </c>
      <c r="J16" s="289" t="s">
        <v>2082</v>
      </c>
      <c r="K16" s="793">
        <v>480000</v>
      </c>
      <c r="L16" s="803" t="s">
        <v>473</v>
      </c>
      <c r="M16" s="809">
        <v>2009</v>
      </c>
      <c r="N16" s="263"/>
      <c r="O16" s="262"/>
      <c r="P16" s="285">
        <v>7</v>
      </c>
    </row>
    <row r="17" spans="1:16">
      <c r="A17" s="275" t="str">
        <f t="shared" si="0"/>
        <v>DCR Quabbin 8</v>
      </c>
      <c r="B17" s="780" t="s">
        <v>762</v>
      </c>
      <c r="C17" s="781" t="s">
        <v>771</v>
      </c>
      <c r="D17" s="781" t="s">
        <v>516</v>
      </c>
      <c r="E17" s="781" t="s">
        <v>881</v>
      </c>
      <c r="F17" s="781" t="s">
        <v>2012</v>
      </c>
      <c r="G17" s="781" t="s">
        <v>2015</v>
      </c>
      <c r="H17" s="781" t="s">
        <v>1938</v>
      </c>
      <c r="I17" s="785" t="s">
        <v>2016</v>
      </c>
      <c r="J17" s="288" t="s">
        <v>2185</v>
      </c>
      <c r="K17" s="793"/>
      <c r="L17" s="803" t="s">
        <v>473</v>
      </c>
      <c r="M17" s="809">
        <v>2015</v>
      </c>
      <c r="N17" s="263"/>
      <c r="O17" s="262"/>
      <c r="P17" s="285">
        <v>8</v>
      </c>
    </row>
    <row r="18" spans="1:16">
      <c r="A18" s="275" t="str">
        <f t="shared" si="0"/>
        <v>DCR Scusset Beach9</v>
      </c>
      <c r="B18" s="780" t="s">
        <v>762</v>
      </c>
      <c r="C18" s="780" t="s">
        <v>771</v>
      </c>
      <c r="D18" s="781" t="s">
        <v>516</v>
      </c>
      <c r="E18" s="781" t="s">
        <v>881</v>
      </c>
      <c r="F18" s="780" t="s">
        <v>2017</v>
      </c>
      <c r="G18" s="780" t="s">
        <v>2018</v>
      </c>
      <c r="H18" s="780" t="s">
        <v>2019</v>
      </c>
      <c r="I18" s="787"/>
      <c r="J18" s="288" t="s">
        <v>2185</v>
      </c>
      <c r="K18" s="796"/>
      <c r="L18" s="803" t="s">
        <v>473</v>
      </c>
      <c r="M18" s="812">
        <v>2020</v>
      </c>
      <c r="N18" s="27"/>
      <c r="O18" s="260"/>
      <c r="P18" s="285">
        <v>9</v>
      </c>
    </row>
    <row r="19" spans="1:16" s="563" customFormat="1">
      <c r="A19" s="275" t="str">
        <f t="shared" si="0"/>
        <v>DCR Veterans Memorial/Bennett Field Pool10</v>
      </c>
      <c r="B19" s="780" t="s">
        <v>762</v>
      </c>
      <c r="C19" s="780" t="s">
        <v>763</v>
      </c>
      <c r="D19" s="781" t="s">
        <v>516</v>
      </c>
      <c r="E19" s="781" t="s">
        <v>881</v>
      </c>
      <c r="F19" s="780" t="s">
        <v>2020</v>
      </c>
      <c r="G19" s="780" t="s">
        <v>2021</v>
      </c>
      <c r="H19" s="780" t="s">
        <v>573</v>
      </c>
      <c r="I19" s="787"/>
      <c r="J19" s="288" t="s">
        <v>2185</v>
      </c>
      <c r="K19" s="797"/>
      <c r="L19" s="803" t="s">
        <v>473</v>
      </c>
      <c r="M19" s="813">
        <v>2012</v>
      </c>
      <c r="N19" s="27"/>
      <c r="O19" s="260"/>
      <c r="P19" s="285">
        <v>10</v>
      </c>
    </row>
    <row r="20" spans="1:16" s="563" customFormat="1">
      <c r="A20" s="275" t="str">
        <f t="shared" si="0"/>
        <v>DCR Wachusett State Park11</v>
      </c>
      <c r="B20" s="780" t="s">
        <v>762</v>
      </c>
      <c r="C20" s="780" t="s">
        <v>783</v>
      </c>
      <c r="D20" s="781" t="s">
        <v>516</v>
      </c>
      <c r="E20" s="781" t="s">
        <v>881</v>
      </c>
      <c r="F20" s="780" t="s">
        <v>2022</v>
      </c>
      <c r="G20" s="780" t="s">
        <v>2023</v>
      </c>
      <c r="H20" s="780" t="s">
        <v>553</v>
      </c>
      <c r="I20" s="787"/>
      <c r="J20" s="288" t="s">
        <v>2185</v>
      </c>
      <c r="K20" s="796"/>
      <c r="L20" s="803" t="s">
        <v>473</v>
      </c>
      <c r="M20" s="812">
        <v>2014</v>
      </c>
      <c r="N20" s="27"/>
      <c r="O20" s="260"/>
      <c r="P20" s="285">
        <v>11</v>
      </c>
    </row>
    <row r="21" spans="1:16" s="563" customFormat="1">
      <c r="A21" s="275" t="str">
        <f t="shared" si="0"/>
        <v>DCR Walden Pond12</v>
      </c>
      <c r="B21" s="780" t="s">
        <v>762</v>
      </c>
      <c r="C21" s="780" t="s">
        <v>763</v>
      </c>
      <c r="D21" s="781" t="s">
        <v>516</v>
      </c>
      <c r="E21" s="781" t="s">
        <v>881</v>
      </c>
      <c r="F21" s="780" t="s">
        <v>1326</v>
      </c>
      <c r="G21" s="780" t="s">
        <v>2024</v>
      </c>
      <c r="H21" s="780" t="s">
        <v>526</v>
      </c>
      <c r="I21" s="787" t="s">
        <v>2025</v>
      </c>
      <c r="J21" s="257" t="s">
        <v>792</v>
      </c>
      <c r="K21" s="794"/>
      <c r="L21" s="803" t="s">
        <v>473</v>
      </c>
      <c r="M21" s="810">
        <v>2016</v>
      </c>
      <c r="N21" s="27" t="s">
        <v>793</v>
      </c>
      <c r="O21" s="260"/>
      <c r="P21" s="285">
        <v>12</v>
      </c>
    </row>
    <row r="22" spans="1:16" s="563" customFormat="1">
      <c r="A22" s="275" t="str">
        <f t="shared" si="0"/>
        <v>DCR Walden Pond13</v>
      </c>
      <c r="B22" s="780" t="s">
        <v>762</v>
      </c>
      <c r="C22" s="780" t="s">
        <v>771</v>
      </c>
      <c r="D22" s="781" t="s">
        <v>516</v>
      </c>
      <c r="E22" s="781" t="s">
        <v>881</v>
      </c>
      <c r="F22" s="780" t="s">
        <v>1326</v>
      </c>
      <c r="G22" s="780" t="s">
        <v>2024</v>
      </c>
      <c r="H22" s="780" t="s">
        <v>526</v>
      </c>
      <c r="I22" s="787" t="s">
        <v>2026</v>
      </c>
      <c r="J22" s="288" t="s">
        <v>2185</v>
      </c>
      <c r="K22" s="794"/>
      <c r="L22" s="803" t="s">
        <v>473</v>
      </c>
      <c r="M22" s="810">
        <v>2016</v>
      </c>
      <c r="N22" s="27"/>
      <c r="O22" s="260"/>
      <c r="P22" s="285">
        <v>13</v>
      </c>
    </row>
    <row r="23" spans="1:16">
      <c r="A23" s="275" t="str">
        <f t="shared" si="0"/>
        <v>DCR Waquoit Bay Reserve 14</v>
      </c>
      <c r="B23" s="780" t="s">
        <v>762</v>
      </c>
      <c r="C23" s="781" t="s">
        <v>763</v>
      </c>
      <c r="D23" s="781" t="s">
        <v>516</v>
      </c>
      <c r="E23" s="781" t="s">
        <v>881</v>
      </c>
      <c r="F23" s="781" t="s">
        <v>518</v>
      </c>
      <c r="G23" s="781" t="s">
        <v>518</v>
      </c>
      <c r="H23" s="781" t="s">
        <v>2027</v>
      </c>
      <c r="I23" s="785"/>
      <c r="J23" s="562" t="s">
        <v>360</v>
      </c>
      <c r="K23" s="796"/>
      <c r="L23" s="803" t="s">
        <v>473</v>
      </c>
      <c r="M23" s="809">
        <v>2006</v>
      </c>
      <c r="N23" s="561"/>
      <c r="O23" s="560"/>
      <c r="P23" s="285">
        <v>14</v>
      </c>
    </row>
    <row r="24" spans="1:16">
      <c r="A24" s="275" t="str">
        <f t="shared" si="0"/>
        <v>DCR West Region HQ15</v>
      </c>
      <c r="B24" s="780" t="s">
        <v>762</v>
      </c>
      <c r="C24" s="781" t="s">
        <v>783</v>
      </c>
      <c r="D24" s="781" t="s">
        <v>516</v>
      </c>
      <c r="E24" s="781" t="s">
        <v>881</v>
      </c>
      <c r="F24" s="781" t="s">
        <v>2028</v>
      </c>
      <c r="G24" s="781" t="s">
        <v>2029</v>
      </c>
      <c r="H24" s="781" t="s">
        <v>470</v>
      </c>
      <c r="I24" s="785" t="s">
        <v>2006</v>
      </c>
      <c r="J24" s="288" t="s">
        <v>2185</v>
      </c>
      <c r="K24" s="796"/>
      <c r="L24" s="803" t="s">
        <v>473</v>
      </c>
      <c r="M24" s="814">
        <v>2010</v>
      </c>
      <c r="N24" s="561"/>
      <c r="O24" s="560"/>
      <c r="P24" s="285">
        <v>15</v>
      </c>
    </row>
    <row r="25" spans="1:16">
      <c r="A25" s="275" t="str">
        <f t="shared" si="0"/>
        <v>DCR Veterans Memorial/Bennett Field Pool16</v>
      </c>
      <c r="B25" s="784" t="s">
        <v>762</v>
      </c>
      <c r="C25" s="783" t="s">
        <v>1982</v>
      </c>
      <c r="D25" s="784" t="s">
        <v>516</v>
      </c>
      <c r="E25" s="784" t="s">
        <v>881</v>
      </c>
      <c r="F25" s="784" t="s">
        <v>2020</v>
      </c>
      <c r="G25" s="783" t="s">
        <v>2090</v>
      </c>
      <c r="H25" s="784" t="s">
        <v>2091</v>
      </c>
      <c r="I25" s="783"/>
      <c r="J25" s="288" t="s">
        <v>2185</v>
      </c>
      <c r="K25" s="802"/>
      <c r="L25" s="739" t="s">
        <v>473</v>
      </c>
      <c r="M25" s="807">
        <v>2023</v>
      </c>
      <c r="P25" s="285">
        <v>16</v>
      </c>
    </row>
    <row r="26" spans="1:16">
      <c r="A26" s="275" t="str">
        <f t="shared" si="0"/>
        <v>DCR Dealtry Pool17</v>
      </c>
      <c r="B26" s="784" t="s">
        <v>762</v>
      </c>
      <c r="C26" s="783" t="s">
        <v>1982</v>
      </c>
      <c r="D26" s="784" t="s">
        <v>516</v>
      </c>
      <c r="E26" s="784" t="s">
        <v>881</v>
      </c>
      <c r="F26" s="784" t="s">
        <v>2092</v>
      </c>
      <c r="G26" s="783" t="s">
        <v>2093</v>
      </c>
      <c r="H26" s="784" t="s">
        <v>2094</v>
      </c>
      <c r="I26" s="783"/>
      <c r="J26" s="288" t="s">
        <v>2185</v>
      </c>
      <c r="K26" s="802"/>
      <c r="L26" s="739" t="s">
        <v>473</v>
      </c>
      <c r="M26" s="807">
        <v>2023</v>
      </c>
      <c r="N26" s="260"/>
      <c r="O26" s="260"/>
      <c r="P26" s="285">
        <v>17</v>
      </c>
    </row>
    <row r="27" spans="1:16">
      <c r="A27" s="275" t="str">
        <f t="shared" si="0"/>
        <v>DCR Fort Phoenix State Reservation18</v>
      </c>
      <c r="B27" s="784" t="s">
        <v>762</v>
      </c>
      <c r="C27" s="783" t="s">
        <v>771</v>
      </c>
      <c r="D27" s="784" t="s">
        <v>516</v>
      </c>
      <c r="E27" s="784" t="s">
        <v>881</v>
      </c>
      <c r="F27" s="784" t="s">
        <v>2095</v>
      </c>
      <c r="G27" s="783" t="s">
        <v>2096</v>
      </c>
      <c r="H27" s="784" t="s">
        <v>2097</v>
      </c>
      <c r="I27" s="783"/>
      <c r="J27" s="288" t="s">
        <v>2185</v>
      </c>
      <c r="K27" s="802"/>
      <c r="L27" s="739" t="s">
        <v>473</v>
      </c>
      <c r="M27" s="807">
        <v>2023</v>
      </c>
      <c r="N27" s="260"/>
      <c r="O27" s="260"/>
      <c r="P27" s="285">
        <v>18</v>
      </c>
    </row>
    <row r="28" spans="1:16">
      <c r="A28" s="275" t="str">
        <f t="shared" si="0"/>
        <v>DCR Fort Phoenix State Reservation19</v>
      </c>
      <c r="B28" s="784" t="s">
        <v>762</v>
      </c>
      <c r="C28" s="783" t="s">
        <v>1982</v>
      </c>
      <c r="D28" s="784" t="s">
        <v>516</v>
      </c>
      <c r="E28" s="784" t="s">
        <v>881</v>
      </c>
      <c r="F28" s="784" t="s">
        <v>2095</v>
      </c>
      <c r="G28" s="783" t="s">
        <v>2096</v>
      </c>
      <c r="H28" s="784" t="s">
        <v>2097</v>
      </c>
      <c r="I28" s="783"/>
      <c r="J28" s="288" t="s">
        <v>2185</v>
      </c>
      <c r="K28" s="802"/>
      <c r="L28" s="739" t="s">
        <v>473</v>
      </c>
      <c r="M28" s="807">
        <v>2023</v>
      </c>
      <c r="N28" s="260"/>
      <c r="O28" s="260"/>
      <c r="P28" s="285">
        <v>19</v>
      </c>
    </row>
    <row r="29" spans="1:16">
      <c r="A29" s="275" t="str">
        <f t="shared" si="0"/>
        <v>DCR Horseneck Beach20</v>
      </c>
      <c r="B29" s="784" t="s">
        <v>762</v>
      </c>
      <c r="C29" s="783" t="s">
        <v>1982</v>
      </c>
      <c r="D29" s="784" t="s">
        <v>516</v>
      </c>
      <c r="E29" s="784" t="s">
        <v>881</v>
      </c>
      <c r="F29" s="784" t="s">
        <v>2098</v>
      </c>
      <c r="G29" s="783" t="s">
        <v>2099</v>
      </c>
      <c r="H29" s="784" t="s">
        <v>2100</v>
      </c>
      <c r="I29" s="783"/>
      <c r="J29" s="288" t="s">
        <v>2185</v>
      </c>
      <c r="K29" s="802"/>
      <c r="L29" s="739" t="s">
        <v>473</v>
      </c>
      <c r="M29" s="807">
        <v>2023</v>
      </c>
      <c r="N29" s="260"/>
      <c r="O29" s="260"/>
      <c r="P29" s="285">
        <v>20</v>
      </c>
    </row>
    <row r="30" spans="1:16">
      <c r="A30" s="275" t="str">
        <f t="shared" si="0"/>
        <v>DCR Latta Brothers Pool &amp; Foss Park21</v>
      </c>
      <c r="B30" s="784" t="s">
        <v>762</v>
      </c>
      <c r="C30" s="783" t="s">
        <v>1982</v>
      </c>
      <c r="D30" s="784" t="s">
        <v>516</v>
      </c>
      <c r="E30" s="784" t="s">
        <v>881</v>
      </c>
      <c r="F30" s="784" t="s">
        <v>2101</v>
      </c>
      <c r="G30" s="783" t="s">
        <v>2102</v>
      </c>
      <c r="H30" s="784" t="s">
        <v>2103</v>
      </c>
      <c r="I30" s="783"/>
      <c r="J30" s="288" t="s">
        <v>2185</v>
      </c>
      <c r="K30" s="802"/>
      <c r="L30" s="739" t="s">
        <v>473</v>
      </c>
      <c r="M30" s="807">
        <v>2023</v>
      </c>
      <c r="P30" s="285">
        <v>21</v>
      </c>
    </row>
    <row r="31" spans="1:16">
      <c r="A31" s="275" t="str">
        <f t="shared" si="0"/>
        <v>DCR Massasoit State Park22</v>
      </c>
      <c r="B31" s="784" t="s">
        <v>762</v>
      </c>
      <c r="C31" s="783" t="s">
        <v>1982</v>
      </c>
      <c r="D31" s="784" t="s">
        <v>516</v>
      </c>
      <c r="E31" s="784" t="s">
        <v>881</v>
      </c>
      <c r="F31" s="784" t="s">
        <v>2104</v>
      </c>
      <c r="G31" s="783" t="s">
        <v>2105</v>
      </c>
      <c r="H31" s="784" t="s">
        <v>921</v>
      </c>
      <c r="I31" s="783"/>
      <c r="J31" s="820" t="s">
        <v>2185</v>
      </c>
      <c r="K31" s="802"/>
      <c r="L31" s="739" t="s">
        <v>473</v>
      </c>
      <c r="M31" s="807">
        <v>2023</v>
      </c>
      <c r="P31" s="285">
        <v>22</v>
      </c>
    </row>
    <row r="32" spans="1:16">
      <c r="A32" s="275" t="str">
        <f t="shared" si="0"/>
        <v>DCR Sandisfield State Forest23</v>
      </c>
      <c r="B32" s="784" t="s">
        <v>762</v>
      </c>
      <c r="C32" s="783" t="s">
        <v>1982</v>
      </c>
      <c r="D32" s="784" t="s">
        <v>516</v>
      </c>
      <c r="E32" s="784" t="s">
        <v>881</v>
      </c>
      <c r="F32" s="784" t="s">
        <v>2106</v>
      </c>
      <c r="G32" s="783" t="s">
        <v>2107</v>
      </c>
      <c r="H32" s="784" t="s">
        <v>2108</v>
      </c>
      <c r="I32" s="783" t="s">
        <v>2109</v>
      </c>
      <c r="J32" s="288" t="s">
        <v>351</v>
      </c>
      <c r="K32" s="802"/>
      <c r="L32" s="739" t="s">
        <v>473</v>
      </c>
      <c r="M32" s="807">
        <v>2023</v>
      </c>
      <c r="P32" s="285">
        <v>23</v>
      </c>
    </row>
    <row r="33" spans="1:16">
      <c r="A33" s="275" t="str">
        <f t="shared" si="0"/>
        <v>DCR Wellflet Hollow State Campground24</v>
      </c>
      <c r="B33" s="784" t="s">
        <v>762</v>
      </c>
      <c r="C33" s="783" t="s">
        <v>1982</v>
      </c>
      <c r="D33" s="784" t="s">
        <v>516</v>
      </c>
      <c r="E33" s="784" t="s">
        <v>881</v>
      </c>
      <c r="F33" s="784" t="s">
        <v>2110</v>
      </c>
      <c r="G33" s="783" t="s">
        <v>2111</v>
      </c>
      <c r="H33" s="784" t="s">
        <v>2112</v>
      </c>
      <c r="I33" s="783" t="s">
        <v>2113</v>
      </c>
      <c r="J33" s="288" t="s">
        <v>351</v>
      </c>
      <c r="K33" s="802"/>
      <c r="L33" s="739" t="s">
        <v>473</v>
      </c>
      <c r="M33" s="807">
        <v>2023</v>
      </c>
      <c r="P33" s="285">
        <v>24</v>
      </c>
    </row>
    <row r="34" spans="1:16">
      <c r="A34" s="275" t="str">
        <f t="shared" ref="A34:A65" si="1">F34&amp;P34</f>
        <v>DCR Blue Hills Reservation25</v>
      </c>
      <c r="B34" s="784" t="s">
        <v>762</v>
      </c>
      <c r="C34" s="783" t="s">
        <v>1982</v>
      </c>
      <c r="D34" s="784" t="s">
        <v>516</v>
      </c>
      <c r="E34" s="784" t="s">
        <v>881</v>
      </c>
      <c r="F34" s="784" t="s">
        <v>2114</v>
      </c>
      <c r="G34" s="783" t="s">
        <v>2115</v>
      </c>
      <c r="H34" s="784" t="s">
        <v>524</v>
      </c>
      <c r="I34" s="783"/>
      <c r="J34" s="288" t="s">
        <v>2185</v>
      </c>
      <c r="K34" s="802"/>
      <c r="L34" s="739" t="s">
        <v>473</v>
      </c>
      <c r="M34" s="807">
        <v>2023</v>
      </c>
      <c r="P34" s="285">
        <v>25</v>
      </c>
    </row>
    <row r="35" spans="1:16">
      <c r="A35" s="275" t="str">
        <f t="shared" si="1"/>
        <v>DCR Blue Hills Reservation26</v>
      </c>
      <c r="B35" s="784" t="s">
        <v>762</v>
      </c>
      <c r="C35" s="783" t="s">
        <v>771</v>
      </c>
      <c r="D35" s="784" t="s">
        <v>516</v>
      </c>
      <c r="E35" s="784" t="s">
        <v>881</v>
      </c>
      <c r="F35" s="784" t="s">
        <v>2114</v>
      </c>
      <c r="G35" s="783" t="s">
        <v>2115</v>
      </c>
      <c r="H35" s="784" t="s">
        <v>524</v>
      </c>
      <c r="I35" s="783"/>
      <c r="J35" s="288" t="s">
        <v>2185</v>
      </c>
      <c r="K35" s="802"/>
      <c r="L35" s="739" t="s">
        <v>473</v>
      </c>
      <c r="M35" s="807">
        <v>2023</v>
      </c>
      <c r="P35" s="285">
        <v>26</v>
      </c>
    </row>
    <row r="36" spans="1:16">
      <c r="A36" s="275" t="str">
        <f t="shared" si="1"/>
        <v>DCR Blue Hills Reservation27</v>
      </c>
      <c r="B36" s="784" t="s">
        <v>762</v>
      </c>
      <c r="C36" s="783" t="s">
        <v>771</v>
      </c>
      <c r="D36" s="784" t="s">
        <v>516</v>
      </c>
      <c r="E36" s="784" t="s">
        <v>881</v>
      </c>
      <c r="F36" s="784" t="s">
        <v>2114</v>
      </c>
      <c r="G36" s="783" t="s">
        <v>2116</v>
      </c>
      <c r="H36" s="784" t="s">
        <v>524</v>
      </c>
      <c r="I36" s="783"/>
      <c r="J36" s="288" t="s">
        <v>2185</v>
      </c>
      <c r="K36" s="802"/>
      <c r="L36" s="739" t="s">
        <v>473</v>
      </c>
      <c r="M36" s="807">
        <v>2015</v>
      </c>
      <c r="P36" s="285">
        <v>27</v>
      </c>
    </row>
    <row r="37" spans="1:16">
      <c r="A37" s="275" t="str">
        <f t="shared" si="1"/>
        <v>DCR Blue Hills Reservation28</v>
      </c>
      <c r="B37" s="784" t="s">
        <v>762</v>
      </c>
      <c r="C37" s="783" t="s">
        <v>771</v>
      </c>
      <c r="D37" s="784" t="s">
        <v>516</v>
      </c>
      <c r="E37" s="784" t="s">
        <v>881</v>
      </c>
      <c r="F37" s="784" t="s">
        <v>2114</v>
      </c>
      <c r="G37" s="783" t="s">
        <v>2117</v>
      </c>
      <c r="H37" s="784" t="s">
        <v>524</v>
      </c>
      <c r="I37" s="783" t="s">
        <v>2118</v>
      </c>
      <c r="J37" s="268" t="s">
        <v>360</v>
      </c>
      <c r="K37" s="802"/>
      <c r="L37" s="739" t="s">
        <v>473</v>
      </c>
      <c r="M37" s="807">
        <v>2023</v>
      </c>
      <c r="P37" s="285">
        <v>28</v>
      </c>
    </row>
    <row r="38" spans="1:16">
      <c r="A38" s="275" t="str">
        <f t="shared" si="1"/>
        <v>DCR Blue Hills Reservation29</v>
      </c>
      <c r="B38" s="784" t="s">
        <v>762</v>
      </c>
      <c r="C38" s="783" t="s">
        <v>771</v>
      </c>
      <c r="D38" s="784" t="s">
        <v>516</v>
      </c>
      <c r="E38" s="784" t="s">
        <v>881</v>
      </c>
      <c r="F38" s="784" t="s">
        <v>2114</v>
      </c>
      <c r="G38" s="783" t="s">
        <v>2119</v>
      </c>
      <c r="H38" s="784" t="s">
        <v>524</v>
      </c>
      <c r="I38" s="783" t="s">
        <v>2120</v>
      </c>
      <c r="J38" s="268" t="s">
        <v>360</v>
      </c>
      <c r="K38" s="802"/>
      <c r="L38" s="739" t="s">
        <v>473</v>
      </c>
      <c r="M38" s="807">
        <v>2023</v>
      </c>
      <c r="P38" s="285">
        <v>29</v>
      </c>
    </row>
    <row r="39" spans="1:16">
      <c r="A39" s="275" t="str">
        <f t="shared" si="1"/>
        <v>DCR Blue Hills Reservation30</v>
      </c>
      <c r="B39" s="784" t="s">
        <v>762</v>
      </c>
      <c r="C39" s="783" t="s">
        <v>771</v>
      </c>
      <c r="D39" s="784" t="s">
        <v>516</v>
      </c>
      <c r="E39" s="784" t="s">
        <v>881</v>
      </c>
      <c r="F39" s="784" t="s">
        <v>2114</v>
      </c>
      <c r="G39" s="783" t="s">
        <v>2121</v>
      </c>
      <c r="H39" s="784" t="s">
        <v>524</v>
      </c>
      <c r="I39" s="783" t="s">
        <v>2122</v>
      </c>
      <c r="J39" s="289" t="s">
        <v>2082</v>
      </c>
      <c r="K39" s="802"/>
      <c r="L39" s="739" t="s">
        <v>473</v>
      </c>
      <c r="M39" s="807">
        <v>2023</v>
      </c>
      <c r="P39" s="285">
        <v>30</v>
      </c>
    </row>
    <row r="40" spans="1:16">
      <c r="A40" s="275" t="str">
        <f t="shared" si="1"/>
        <v>DCR Blue Hills Reservation31</v>
      </c>
      <c r="B40" s="784" t="s">
        <v>762</v>
      </c>
      <c r="C40" s="783" t="s">
        <v>771</v>
      </c>
      <c r="D40" s="784" t="s">
        <v>516</v>
      </c>
      <c r="E40" s="784" t="s">
        <v>881</v>
      </c>
      <c r="F40" s="784" t="s">
        <v>2114</v>
      </c>
      <c r="G40" s="783" t="s">
        <v>2123</v>
      </c>
      <c r="H40" s="784" t="s">
        <v>524</v>
      </c>
      <c r="I40" s="783" t="s">
        <v>2122</v>
      </c>
      <c r="J40" s="289" t="s">
        <v>2082</v>
      </c>
      <c r="K40" s="802"/>
      <c r="L40" s="739" t="s">
        <v>473</v>
      </c>
      <c r="M40" s="807">
        <v>2023</v>
      </c>
      <c r="P40" s="285">
        <v>31</v>
      </c>
    </row>
    <row r="41" spans="1:16">
      <c r="A41" s="275" t="str">
        <f t="shared" si="1"/>
        <v>DCR Blue Hills Reservation32</v>
      </c>
      <c r="B41" s="784" t="s">
        <v>762</v>
      </c>
      <c r="C41" s="783" t="s">
        <v>771</v>
      </c>
      <c r="D41" s="784" t="s">
        <v>516</v>
      </c>
      <c r="E41" s="784" t="s">
        <v>881</v>
      </c>
      <c r="F41" s="784" t="s">
        <v>2114</v>
      </c>
      <c r="G41" s="783" t="s">
        <v>2124</v>
      </c>
      <c r="H41" s="784" t="s">
        <v>524</v>
      </c>
      <c r="I41" s="783"/>
      <c r="J41" s="288" t="s">
        <v>2185</v>
      </c>
      <c r="K41" s="802"/>
      <c r="L41" s="739" t="s">
        <v>473</v>
      </c>
      <c r="M41" s="807">
        <v>2023</v>
      </c>
      <c r="P41" s="285">
        <v>32</v>
      </c>
    </row>
    <row r="42" spans="1:16">
      <c r="A42" s="275" t="str">
        <f t="shared" si="1"/>
        <v>DCR Borderland State Park33</v>
      </c>
      <c r="B42" s="784" t="s">
        <v>762</v>
      </c>
      <c r="C42" s="783" t="s">
        <v>771</v>
      </c>
      <c r="D42" s="784" t="s">
        <v>516</v>
      </c>
      <c r="E42" s="784" t="s">
        <v>881</v>
      </c>
      <c r="F42" s="784" t="s">
        <v>2125</v>
      </c>
      <c r="G42" s="783" t="s">
        <v>2126</v>
      </c>
      <c r="H42" s="784" t="s">
        <v>2127</v>
      </c>
      <c r="I42" s="784" t="s">
        <v>2075</v>
      </c>
      <c r="J42" s="268" t="s">
        <v>360</v>
      </c>
      <c r="K42" s="802"/>
      <c r="L42" s="739" t="s">
        <v>473</v>
      </c>
      <c r="M42" s="807">
        <v>2023</v>
      </c>
      <c r="P42" s="285">
        <v>33</v>
      </c>
    </row>
    <row r="43" spans="1:16">
      <c r="A43" s="275" t="str">
        <f t="shared" si="1"/>
        <v>DCR Breakheart Reservation34</v>
      </c>
      <c r="B43" s="784" t="s">
        <v>762</v>
      </c>
      <c r="C43" s="783" t="s">
        <v>771</v>
      </c>
      <c r="D43" s="784" t="s">
        <v>516</v>
      </c>
      <c r="E43" s="784" t="s">
        <v>881</v>
      </c>
      <c r="F43" s="784" t="s">
        <v>2128</v>
      </c>
      <c r="G43" s="783" t="s">
        <v>2129</v>
      </c>
      <c r="H43" s="784" t="s">
        <v>2005</v>
      </c>
      <c r="I43" s="784" t="s">
        <v>2130</v>
      </c>
      <c r="J43" s="289" t="s">
        <v>2082</v>
      </c>
      <c r="K43" s="802"/>
      <c r="L43" s="739" t="s">
        <v>473</v>
      </c>
      <c r="M43" s="807">
        <v>2023</v>
      </c>
      <c r="P43" s="285">
        <v>34</v>
      </c>
    </row>
    <row r="44" spans="1:16">
      <c r="A44" s="275" t="str">
        <f t="shared" si="1"/>
        <v>DCR Camp Nihan35</v>
      </c>
      <c r="B44" s="784" t="s">
        <v>762</v>
      </c>
      <c r="C44" s="783" t="s">
        <v>771</v>
      </c>
      <c r="D44" s="784" t="s">
        <v>516</v>
      </c>
      <c r="E44" s="784" t="s">
        <v>881</v>
      </c>
      <c r="F44" s="784" t="s">
        <v>2003</v>
      </c>
      <c r="G44" s="783" t="s">
        <v>2131</v>
      </c>
      <c r="H44" s="784" t="s">
        <v>2005</v>
      </c>
      <c r="I44" s="783" t="s">
        <v>2132</v>
      </c>
      <c r="J44" s="289" t="s">
        <v>2082</v>
      </c>
      <c r="K44" s="802"/>
      <c r="L44" s="739" t="s">
        <v>473</v>
      </c>
      <c r="M44" s="807">
        <v>2023</v>
      </c>
      <c r="P44" s="285">
        <v>35</v>
      </c>
    </row>
    <row r="45" spans="1:16">
      <c r="A45" s="275" t="str">
        <f t="shared" si="1"/>
        <v>DCR Hatch Shell36</v>
      </c>
      <c r="B45" s="784" t="s">
        <v>762</v>
      </c>
      <c r="C45" s="783" t="s">
        <v>771</v>
      </c>
      <c r="D45" s="784" t="s">
        <v>516</v>
      </c>
      <c r="E45" s="784" t="s">
        <v>881</v>
      </c>
      <c r="F45" s="784" t="s">
        <v>2133</v>
      </c>
      <c r="G45" s="783" t="s">
        <v>2134</v>
      </c>
      <c r="H45" s="784" t="s">
        <v>494</v>
      </c>
      <c r="I45" s="784" t="s">
        <v>2135</v>
      </c>
      <c r="J45" s="268" t="s">
        <v>360</v>
      </c>
      <c r="K45" s="802"/>
      <c r="L45" s="739" t="s">
        <v>473</v>
      </c>
      <c r="M45" s="807">
        <v>2023</v>
      </c>
      <c r="P45" s="285">
        <v>36</v>
      </c>
    </row>
    <row r="46" spans="1:16">
      <c r="A46" s="275" t="str">
        <f t="shared" si="1"/>
        <v>DCR Clinton37</v>
      </c>
      <c r="B46" s="784" t="s">
        <v>762</v>
      </c>
      <c r="C46" s="783" t="s">
        <v>771</v>
      </c>
      <c r="D46" s="784" t="s">
        <v>516</v>
      </c>
      <c r="E46" s="784" t="s">
        <v>881</v>
      </c>
      <c r="F46" s="784" t="s">
        <v>2136</v>
      </c>
      <c r="G46" s="783" t="s">
        <v>2137</v>
      </c>
      <c r="H46" s="784" t="s">
        <v>615</v>
      </c>
      <c r="I46" s="783"/>
      <c r="J46" s="288" t="s">
        <v>2185</v>
      </c>
      <c r="K46" s="802"/>
      <c r="L46" s="739" t="s">
        <v>473</v>
      </c>
      <c r="M46" s="807">
        <v>2023</v>
      </c>
      <c r="P46" s="285">
        <v>37</v>
      </c>
    </row>
    <row r="47" spans="1:16">
      <c r="A47" s="275" t="str">
        <f t="shared" si="1"/>
        <v>DCR Hampton Ponds State Park38</v>
      </c>
      <c r="B47" s="784" t="s">
        <v>762</v>
      </c>
      <c r="C47" s="783" t="s">
        <v>771</v>
      </c>
      <c r="D47" s="784" t="s">
        <v>516</v>
      </c>
      <c r="E47" s="784" t="s">
        <v>881</v>
      </c>
      <c r="F47" s="784" t="s">
        <v>2138</v>
      </c>
      <c r="G47" s="783" t="s">
        <v>2139</v>
      </c>
      <c r="H47" s="784" t="s">
        <v>735</v>
      </c>
      <c r="I47" s="783"/>
      <c r="J47" s="288" t="s">
        <v>2185</v>
      </c>
      <c r="K47" s="802"/>
      <c r="L47" s="739" t="s">
        <v>473</v>
      </c>
      <c r="M47" s="807">
        <v>2023</v>
      </c>
      <c r="P47" s="285">
        <v>38</v>
      </c>
    </row>
    <row r="48" spans="1:16">
      <c r="A48" s="275" t="str">
        <f t="shared" si="1"/>
        <v>DCR Harold Parker State Forest39</v>
      </c>
      <c r="B48" s="784" t="s">
        <v>762</v>
      </c>
      <c r="C48" s="783" t="s">
        <v>771</v>
      </c>
      <c r="D48" s="784" t="s">
        <v>516</v>
      </c>
      <c r="E48" s="784" t="s">
        <v>881</v>
      </c>
      <c r="F48" s="784" t="s">
        <v>2140</v>
      </c>
      <c r="G48" s="783" t="s">
        <v>2141</v>
      </c>
      <c r="H48" s="784" t="s">
        <v>2142</v>
      </c>
      <c r="I48" s="784" t="s">
        <v>2075</v>
      </c>
      <c r="J48" s="268" t="s">
        <v>360</v>
      </c>
      <c r="K48" s="802"/>
      <c r="L48" s="739" t="s">
        <v>473</v>
      </c>
      <c r="M48" s="807">
        <v>2023</v>
      </c>
      <c r="P48" s="285">
        <v>39</v>
      </c>
    </row>
    <row r="49" spans="1:16">
      <c r="A49" s="275" t="str">
        <f t="shared" si="1"/>
        <v>DCR Harold Parker State Forest40</v>
      </c>
      <c r="B49" s="784" t="s">
        <v>762</v>
      </c>
      <c r="C49" s="783" t="s">
        <v>771</v>
      </c>
      <c r="D49" s="784" t="s">
        <v>516</v>
      </c>
      <c r="E49" s="784" t="s">
        <v>881</v>
      </c>
      <c r="F49" s="784" t="s">
        <v>2140</v>
      </c>
      <c r="G49" s="783" t="s">
        <v>2143</v>
      </c>
      <c r="H49" s="784" t="s">
        <v>2142</v>
      </c>
      <c r="I49" s="784" t="s">
        <v>2075</v>
      </c>
      <c r="J49" s="268" t="s">
        <v>360</v>
      </c>
      <c r="K49" s="802"/>
      <c r="L49" s="739" t="s">
        <v>473</v>
      </c>
      <c r="M49" s="807">
        <v>2023</v>
      </c>
      <c r="P49" s="285">
        <v>40</v>
      </c>
    </row>
    <row r="50" spans="1:16">
      <c r="A50" s="275" t="str">
        <f t="shared" si="1"/>
        <v>DCR Hopkinton State Park41</v>
      </c>
      <c r="B50" s="784" t="s">
        <v>762</v>
      </c>
      <c r="C50" s="783" t="s">
        <v>771</v>
      </c>
      <c r="D50" s="784" t="s">
        <v>516</v>
      </c>
      <c r="E50" s="784" t="s">
        <v>881</v>
      </c>
      <c r="F50" s="784" t="s">
        <v>2144</v>
      </c>
      <c r="G50" s="783" t="s">
        <v>2145</v>
      </c>
      <c r="H50" s="784" t="s">
        <v>747</v>
      </c>
      <c r="I50" s="783"/>
      <c r="J50" s="820" t="s">
        <v>2185</v>
      </c>
      <c r="K50" s="802"/>
      <c r="L50" s="739" t="s">
        <v>473</v>
      </c>
      <c r="M50" s="807">
        <v>2023</v>
      </c>
      <c r="P50" s="285">
        <v>41</v>
      </c>
    </row>
    <row r="51" spans="1:16">
      <c r="A51" s="275" t="str">
        <f t="shared" si="1"/>
        <v>DCR Lowell Heritage State Park42</v>
      </c>
      <c r="B51" s="784" t="s">
        <v>762</v>
      </c>
      <c r="C51" s="783" t="s">
        <v>771</v>
      </c>
      <c r="D51" s="784" t="s">
        <v>516</v>
      </c>
      <c r="E51" s="784" t="s">
        <v>881</v>
      </c>
      <c r="F51" s="784" t="s">
        <v>2146</v>
      </c>
      <c r="G51" s="783" t="s">
        <v>2147</v>
      </c>
      <c r="H51" s="784" t="s">
        <v>808</v>
      </c>
      <c r="I51" s="784" t="s">
        <v>2075</v>
      </c>
      <c r="J51" s="268" t="s">
        <v>360</v>
      </c>
      <c r="K51" s="802"/>
      <c r="L51" s="739" t="s">
        <v>473</v>
      </c>
      <c r="M51" s="807">
        <v>2023</v>
      </c>
      <c r="P51" s="285">
        <v>42</v>
      </c>
    </row>
    <row r="52" spans="1:16">
      <c r="A52" s="275" t="str">
        <f t="shared" si="1"/>
        <v>DCR Mohawk Trail State Forest43</v>
      </c>
      <c r="B52" s="784" t="s">
        <v>762</v>
      </c>
      <c r="C52" s="783" t="s">
        <v>771</v>
      </c>
      <c r="D52" s="784" t="s">
        <v>516</v>
      </c>
      <c r="E52" s="784" t="s">
        <v>881</v>
      </c>
      <c r="F52" s="784" t="s">
        <v>2148</v>
      </c>
      <c r="G52" s="783" t="s">
        <v>2149</v>
      </c>
      <c r="H52" s="784" t="s">
        <v>2150</v>
      </c>
      <c r="I52" s="783"/>
      <c r="J52" s="288" t="s">
        <v>2185</v>
      </c>
      <c r="K52" s="802"/>
      <c r="L52" s="739" t="s">
        <v>473</v>
      </c>
      <c r="M52" s="807">
        <v>2023</v>
      </c>
      <c r="P52" s="285">
        <v>43</v>
      </c>
    </row>
    <row r="53" spans="1:16">
      <c r="A53" s="275" t="str">
        <f t="shared" si="1"/>
        <v>DCR Mohawk Trail State Forest44</v>
      </c>
      <c r="B53" s="784" t="s">
        <v>762</v>
      </c>
      <c r="C53" s="783" t="s">
        <v>771</v>
      </c>
      <c r="D53" s="784" t="s">
        <v>516</v>
      </c>
      <c r="E53" s="784" t="s">
        <v>881</v>
      </c>
      <c r="F53" s="784" t="s">
        <v>2148</v>
      </c>
      <c r="G53" s="783" t="s">
        <v>2151</v>
      </c>
      <c r="H53" s="784" t="s">
        <v>2150</v>
      </c>
      <c r="I53" s="783"/>
      <c r="J53" s="288" t="s">
        <v>2185</v>
      </c>
      <c r="K53" s="802"/>
      <c r="L53" s="739" t="s">
        <v>473</v>
      </c>
      <c r="M53" s="807">
        <v>2023</v>
      </c>
      <c r="P53" s="285">
        <v>44</v>
      </c>
    </row>
    <row r="54" spans="1:16">
      <c r="A54" s="275" t="str">
        <f t="shared" si="1"/>
        <v>DCR Myles Standish State Forest45</v>
      </c>
      <c r="B54" s="784" t="s">
        <v>762</v>
      </c>
      <c r="C54" s="783" t="s">
        <v>771</v>
      </c>
      <c r="D54" s="784" t="s">
        <v>516</v>
      </c>
      <c r="E54" s="784" t="s">
        <v>881</v>
      </c>
      <c r="F54" s="784" t="s">
        <v>2152</v>
      </c>
      <c r="G54" s="783" t="s">
        <v>2153</v>
      </c>
      <c r="H54" s="784" t="s">
        <v>2154</v>
      </c>
      <c r="I54" s="784" t="s">
        <v>2135</v>
      </c>
      <c r="J54" s="268" t="s">
        <v>360</v>
      </c>
      <c r="K54" s="802"/>
      <c r="L54" s="739" t="s">
        <v>473</v>
      </c>
      <c r="M54" s="807">
        <v>2023</v>
      </c>
      <c r="P54" s="285">
        <v>45</v>
      </c>
    </row>
    <row r="55" spans="1:16">
      <c r="A55" s="275" t="str">
        <f t="shared" si="1"/>
        <v>DCR Myles Standish State Forest46</v>
      </c>
      <c r="B55" s="784" t="s">
        <v>762</v>
      </c>
      <c r="C55" s="783" t="s">
        <v>771</v>
      </c>
      <c r="D55" s="784" t="s">
        <v>516</v>
      </c>
      <c r="E55" s="784" t="s">
        <v>881</v>
      </c>
      <c r="F55" s="784" t="s">
        <v>2152</v>
      </c>
      <c r="G55" s="783" t="s">
        <v>2155</v>
      </c>
      <c r="H55" s="784" t="s">
        <v>2154</v>
      </c>
      <c r="I55" s="784" t="s">
        <v>2075</v>
      </c>
      <c r="J55" s="268" t="s">
        <v>360</v>
      </c>
      <c r="K55" s="802"/>
      <c r="L55" s="739" t="s">
        <v>473</v>
      </c>
      <c r="M55" s="807">
        <v>2023</v>
      </c>
      <c r="P55" s="285">
        <v>46</v>
      </c>
    </row>
    <row r="56" spans="1:16">
      <c r="A56" s="275" t="str">
        <f t="shared" si="1"/>
        <v>DCR Mystic River Reservation47</v>
      </c>
      <c r="B56" s="784" t="s">
        <v>762</v>
      </c>
      <c r="C56" s="783" t="s">
        <v>771</v>
      </c>
      <c r="D56" s="784" t="s">
        <v>516</v>
      </c>
      <c r="E56" s="784" t="s">
        <v>881</v>
      </c>
      <c r="F56" s="784" t="s">
        <v>2156</v>
      </c>
      <c r="G56" s="783" t="s">
        <v>2157</v>
      </c>
      <c r="H56" s="784" t="s">
        <v>2081</v>
      </c>
      <c r="I56" s="784" t="s">
        <v>2158</v>
      </c>
      <c r="J56" s="289" t="s">
        <v>2082</v>
      </c>
      <c r="K56" s="802"/>
      <c r="L56" s="739" t="s">
        <v>473</v>
      </c>
      <c r="M56" s="807">
        <v>2020</v>
      </c>
      <c r="P56" s="285">
        <v>47</v>
      </c>
    </row>
    <row r="57" spans="1:16">
      <c r="A57" s="275" t="str">
        <f t="shared" si="1"/>
        <v>DCR Neponset Facility48</v>
      </c>
      <c r="B57" s="784" t="s">
        <v>762</v>
      </c>
      <c r="C57" s="783" t="s">
        <v>771</v>
      </c>
      <c r="D57" s="784" t="s">
        <v>516</v>
      </c>
      <c r="E57" s="784" t="s">
        <v>881</v>
      </c>
      <c r="F57" s="784" t="s">
        <v>2159</v>
      </c>
      <c r="G57" s="783" t="s">
        <v>2160</v>
      </c>
      <c r="H57" s="784" t="s">
        <v>494</v>
      </c>
      <c r="I57" s="784" t="s">
        <v>2135</v>
      </c>
      <c r="J57" s="268" t="s">
        <v>360</v>
      </c>
      <c r="K57" s="802"/>
      <c r="L57" s="739" t="s">
        <v>473</v>
      </c>
      <c r="M57" s="807">
        <v>2023</v>
      </c>
      <c r="P57" s="285">
        <v>48</v>
      </c>
    </row>
    <row r="58" spans="1:16">
      <c r="A58" s="275" t="str">
        <f t="shared" si="1"/>
        <v>DCR Ponkapoag49</v>
      </c>
      <c r="B58" s="784" t="s">
        <v>762</v>
      </c>
      <c r="C58" s="783" t="s">
        <v>771</v>
      </c>
      <c r="D58" s="784" t="s">
        <v>516</v>
      </c>
      <c r="E58" s="784" t="s">
        <v>881</v>
      </c>
      <c r="F58" s="784" t="s">
        <v>2161</v>
      </c>
      <c r="G58" s="783" t="s">
        <v>2162</v>
      </c>
      <c r="H58" s="784" t="s">
        <v>577</v>
      </c>
      <c r="I58" s="783"/>
      <c r="J58" s="288" t="s">
        <v>2185</v>
      </c>
      <c r="K58" s="802"/>
      <c r="L58" s="739" t="s">
        <v>473</v>
      </c>
      <c r="M58" s="807">
        <v>2017</v>
      </c>
      <c r="P58" s="285">
        <v>49</v>
      </c>
    </row>
    <row r="59" spans="1:16">
      <c r="A59" s="275" t="str">
        <f t="shared" si="1"/>
        <v>DCR Ponkapoag50</v>
      </c>
      <c r="B59" s="784" t="s">
        <v>762</v>
      </c>
      <c r="C59" s="783" t="s">
        <v>771</v>
      </c>
      <c r="D59" s="784" t="s">
        <v>516</v>
      </c>
      <c r="E59" s="784" t="s">
        <v>881</v>
      </c>
      <c r="F59" s="784" t="s">
        <v>2161</v>
      </c>
      <c r="G59" s="783" t="s">
        <v>2162</v>
      </c>
      <c r="H59" s="784" t="s">
        <v>577</v>
      </c>
      <c r="I59" s="783"/>
      <c r="J59" s="288" t="s">
        <v>2185</v>
      </c>
      <c r="K59" s="802"/>
      <c r="L59" s="739" t="s">
        <v>473</v>
      </c>
      <c r="M59" s="807">
        <v>2022</v>
      </c>
      <c r="P59" s="285">
        <v>50</v>
      </c>
    </row>
    <row r="60" spans="1:16">
      <c r="A60" s="275" t="str">
        <f t="shared" si="1"/>
        <v>DCR Revere Beach51</v>
      </c>
      <c r="B60" s="784" t="s">
        <v>762</v>
      </c>
      <c r="C60" s="783" t="s">
        <v>771</v>
      </c>
      <c r="D60" s="784" t="s">
        <v>516</v>
      </c>
      <c r="E60" s="784" t="s">
        <v>881</v>
      </c>
      <c r="F60" s="784" t="s">
        <v>2163</v>
      </c>
      <c r="G60" s="783" t="s">
        <v>2164</v>
      </c>
      <c r="H60" s="784" t="s">
        <v>2165</v>
      </c>
      <c r="I60" s="783"/>
      <c r="J60" s="288" t="s">
        <v>2185</v>
      </c>
      <c r="K60" s="802"/>
      <c r="L60" s="739" t="s">
        <v>473</v>
      </c>
      <c r="M60" s="807">
        <v>2021</v>
      </c>
      <c r="P60" s="285">
        <v>51</v>
      </c>
    </row>
    <row r="61" spans="1:16">
      <c r="A61" s="275" t="str">
        <f t="shared" si="1"/>
        <v>DCR Robinson State Park52</v>
      </c>
      <c r="B61" s="784" t="s">
        <v>762</v>
      </c>
      <c r="C61" s="783" t="s">
        <v>771</v>
      </c>
      <c r="D61" s="784" t="s">
        <v>516</v>
      </c>
      <c r="E61" s="784" t="s">
        <v>881</v>
      </c>
      <c r="F61" s="784" t="s">
        <v>2166</v>
      </c>
      <c r="G61" s="783" t="s">
        <v>2167</v>
      </c>
      <c r="H61" s="784" t="s">
        <v>2168</v>
      </c>
      <c r="I61" s="783"/>
      <c r="J61" s="288" t="s">
        <v>2185</v>
      </c>
      <c r="K61" s="802"/>
      <c r="L61" s="739" t="s">
        <v>473</v>
      </c>
      <c r="M61" s="807">
        <v>2023</v>
      </c>
      <c r="P61" s="285">
        <v>52</v>
      </c>
    </row>
    <row r="62" spans="1:16">
      <c r="A62" s="275" t="str">
        <f t="shared" si="1"/>
        <v>DCR Rutland State Park53</v>
      </c>
      <c r="B62" s="784" t="s">
        <v>762</v>
      </c>
      <c r="C62" s="783" t="s">
        <v>771</v>
      </c>
      <c r="D62" s="784" t="s">
        <v>516</v>
      </c>
      <c r="E62" s="784" t="s">
        <v>881</v>
      </c>
      <c r="F62" s="784" t="s">
        <v>2169</v>
      </c>
      <c r="G62" s="783" t="s">
        <v>2170</v>
      </c>
      <c r="H62" s="784" t="s">
        <v>2171</v>
      </c>
      <c r="I62" s="783"/>
      <c r="J62" s="288" t="s">
        <v>2185</v>
      </c>
      <c r="K62" s="802"/>
      <c r="L62" s="739" t="s">
        <v>473</v>
      </c>
      <c r="M62" s="807">
        <v>2023</v>
      </c>
      <c r="P62" s="285">
        <v>53</v>
      </c>
    </row>
    <row r="63" spans="1:16">
      <c r="A63" s="275" t="str">
        <f t="shared" si="1"/>
        <v>DCR Salisbury Beach54</v>
      </c>
      <c r="B63" s="784" t="s">
        <v>762</v>
      </c>
      <c r="C63" s="783" t="s">
        <v>771</v>
      </c>
      <c r="D63" s="784" t="s">
        <v>516</v>
      </c>
      <c r="E63" s="784" t="s">
        <v>881</v>
      </c>
      <c r="F63" s="784" t="s">
        <v>2172</v>
      </c>
      <c r="G63" s="783" t="s">
        <v>2173</v>
      </c>
      <c r="H63" s="784" t="s">
        <v>745</v>
      </c>
      <c r="I63" s="784"/>
      <c r="J63" s="288" t="s">
        <v>2185</v>
      </c>
      <c r="K63" s="802"/>
      <c r="L63" s="739" t="s">
        <v>473</v>
      </c>
      <c r="M63" s="807">
        <v>2023</v>
      </c>
      <c r="P63" s="285">
        <v>54</v>
      </c>
    </row>
    <row r="64" spans="1:16">
      <c r="A64" s="275" t="str">
        <f t="shared" si="1"/>
        <v>DCR Savoy Mountain State Forest55</v>
      </c>
      <c r="B64" s="784" t="s">
        <v>762</v>
      </c>
      <c r="C64" s="783" t="s">
        <v>771</v>
      </c>
      <c r="D64" s="784" t="s">
        <v>516</v>
      </c>
      <c r="E64" s="784" t="s">
        <v>881</v>
      </c>
      <c r="F64" s="784" t="s">
        <v>2174</v>
      </c>
      <c r="G64" s="783" t="s">
        <v>2175</v>
      </c>
      <c r="H64" s="784" t="s">
        <v>2176</v>
      </c>
      <c r="I64" s="783"/>
      <c r="J64" s="288" t="s">
        <v>2185</v>
      </c>
      <c r="K64" s="802"/>
      <c r="L64" s="739" t="s">
        <v>473</v>
      </c>
      <c r="M64" s="807">
        <v>2023</v>
      </c>
      <c r="P64" s="285">
        <v>55</v>
      </c>
    </row>
    <row r="65" spans="1:16">
      <c r="A65" s="275" t="str">
        <f t="shared" si="1"/>
        <v>DCR Stoneham56</v>
      </c>
      <c r="B65" s="784" t="s">
        <v>762</v>
      </c>
      <c r="C65" s="783" t="s">
        <v>771</v>
      </c>
      <c r="D65" s="784" t="s">
        <v>516</v>
      </c>
      <c r="E65" s="784" t="s">
        <v>881</v>
      </c>
      <c r="F65" s="784" t="s">
        <v>2177</v>
      </c>
      <c r="G65" s="783" t="s">
        <v>2178</v>
      </c>
      <c r="H65" s="784" t="s">
        <v>2179</v>
      </c>
      <c r="I65" s="783"/>
      <c r="J65" s="288" t="s">
        <v>2185</v>
      </c>
      <c r="K65" s="802"/>
      <c r="L65" s="739" t="s">
        <v>473</v>
      </c>
      <c r="M65" s="807">
        <v>2017</v>
      </c>
      <c r="P65" s="285">
        <v>56</v>
      </c>
    </row>
    <row r="66" spans="1:16">
      <c r="A66" s="275" t="str">
        <f t="shared" ref="A66:A97" si="2">F66&amp;P66</f>
        <v>DCR Stoneham57</v>
      </c>
      <c r="B66" s="784" t="s">
        <v>762</v>
      </c>
      <c r="C66" s="783" t="s">
        <v>771</v>
      </c>
      <c r="D66" s="784" t="s">
        <v>516</v>
      </c>
      <c r="E66" s="784" t="s">
        <v>881</v>
      </c>
      <c r="F66" s="784" t="s">
        <v>2177</v>
      </c>
      <c r="G66" s="783" t="s">
        <v>2180</v>
      </c>
      <c r="H66" s="784" t="s">
        <v>2179</v>
      </c>
      <c r="I66" s="783"/>
      <c r="J66" s="288" t="s">
        <v>2185</v>
      </c>
      <c r="K66" s="802"/>
      <c r="L66" s="739" t="s">
        <v>473</v>
      </c>
      <c r="M66" s="807">
        <v>2023</v>
      </c>
      <c r="P66" s="285">
        <v>57</v>
      </c>
    </row>
    <row r="67" spans="1:16">
      <c r="A67" s="275" t="str">
        <f t="shared" si="2"/>
        <v>DCR Wompatuck State Park58</v>
      </c>
      <c r="B67" s="784" t="s">
        <v>762</v>
      </c>
      <c r="C67" s="783" t="s">
        <v>771</v>
      </c>
      <c r="D67" s="784" t="s">
        <v>516</v>
      </c>
      <c r="E67" s="784" t="s">
        <v>881</v>
      </c>
      <c r="F67" s="784" t="s">
        <v>2181</v>
      </c>
      <c r="G67" s="783" t="s">
        <v>2182</v>
      </c>
      <c r="H67" s="784" t="s">
        <v>1934</v>
      </c>
      <c r="I67" s="784" t="s">
        <v>2075</v>
      </c>
      <c r="J67" s="268" t="s">
        <v>360</v>
      </c>
      <c r="K67" s="802"/>
      <c r="L67" s="739" t="s">
        <v>473</v>
      </c>
      <c r="M67" s="807">
        <v>2023</v>
      </c>
      <c r="P67" s="285">
        <v>58</v>
      </c>
    </row>
    <row r="68" spans="1:16">
      <c r="A68" s="275" t="str">
        <f t="shared" si="2"/>
        <v>DCR Rutland State Park59</v>
      </c>
      <c r="B68" s="784" t="s">
        <v>762</v>
      </c>
      <c r="C68" s="783" t="s">
        <v>771</v>
      </c>
      <c r="D68" s="784" t="s">
        <v>516</v>
      </c>
      <c r="E68" s="784" t="s">
        <v>881</v>
      </c>
      <c r="F68" s="791" t="s">
        <v>2169</v>
      </c>
      <c r="G68" s="791" t="s">
        <v>2183</v>
      </c>
      <c r="H68" s="792" t="s">
        <v>2171</v>
      </c>
      <c r="I68" s="791" t="s">
        <v>2184</v>
      </c>
      <c r="J68" s="289" t="s">
        <v>2082</v>
      </c>
      <c r="K68" s="739"/>
      <c r="L68" s="739" t="s">
        <v>473</v>
      </c>
      <c r="M68" s="819">
        <v>2024</v>
      </c>
      <c r="P68" s="285">
        <v>59</v>
      </c>
    </row>
    <row r="69" spans="1:16">
      <c r="A69" s="275" t="str">
        <f t="shared" si="2"/>
        <v>DDS Hogan Regional Center1</v>
      </c>
      <c r="B69" s="780" t="s">
        <v>762</v>
      </c>
      <c r="C69" s="781" t="s">
        <v>763</v>
      </c>
      <c r="D69" s="782" t="s">
        <v>513</v>
      </c>
      <c r="E69" s="781" t="s">
        <v>1983</v>
      </c>
      <c r="F69" s="781" t="s">
        <v>2030</v>
      </c>
      <c r="G69" s="781" t="s">
        <v>2031</v>
      </c>
      <c r="H69" s="781" t="s">
        <v>682</v>
      </c>
      <c r="I69" s="785"/>
      <c r="J69" s="562" t="s">
        <v>360</v>
      </c>
      <c r="K69" s="796"/>
      <c r="L69" s="803" t="s">
        <v>473</v>
      </c>
      <c r="M69" s="809">
        <v>2013</v>
      </c>
      <c r="N69" s="821"/>
      <c r="O69" s="563"/>
      <c r="P69" s="563">
        <v>1</v>
      </c>
    </row>
    <row r="70" spans="1:16">
      <c r="A70" s="275" t="str">
        <f t="shared" si="2"/>
        <v>DFW McLaughlin Hatchery1</v>
      </c>
      <c r="B70" s="780" t="s">
        <v>762</v>
      </c>
      <c r="C70" s="781" t="s">
        <v>783</v>
      </c>
      <c r="D70" s="781" t="s">
        <v>516</v>
      </c>
      <c r="E70" s="781" t="s">
        <v>1984</v>
      </c>
      <c r="F70" s="780" t="s">
        <v>2032</v>
      </c>
      <c r="G70" s="780" t="s">
        <v>2033</v>
      </c>
      <c r="H70" s="780" t="s">
        <v>1938</v>
      </c>
      <c r="I70" s="787" t="s">
        <v>2034</v>
      </c>
      <c r="J70" s="289" t="s">
        <v>2082</v>
      </c>
      <c r="K70" s="796"/>
      <c r="L70" s="803" t="s">
        <v>473</v>
      </c>
      <c r="M70" s="812">
        <v>2016</v>
      </c>
      <c r="N70" s="821"/>
      <c r="O70" s="563"/>
      <c r="P70" s="563">
        <v>1</v>
      </c>
    </row>
    <row r="71" spans="1:16">
      <c r="A71" s="275" t="str">
        <f t="shared" si="2"/>
        <v>DFW Plum Island2</v>
      </c>
      <c r="B71" s="780" t="s">
        <v>762</v>
      </c>
      <c r="C71" s="781" t="s">
        <v>771</v>
      </c>
      <c r="D71" s="781" t="s">
        <v>516</v>
      </c>
      <c r="E71" s="781" t="s">
        <v>1984</v>
      </c>
      <c r="F71" s="781" t="s">
        <v>2035</v>
      </c>
      <c r="G71" s="781" t="s">
        <v>2036</v>
      </c>
      <c r="H71" s="781" t="s">
        <v>2037</v>
      </c>
      <c r="I71" s="785"/>
      <c r="J71" s="268" t="s">
        <v>360</v>
      </c>
      <c r="K71" s="794"/>
      <c r="L71" s="803" t="s">
        <v>473</v>
      </c>
      <c r="M71" s="808">
        <v>2017</v>
      </c>
      <c r="P71" s="3">
        <v>2</v>
      </c>
    </row>
    <row r="72" spans="1:16">
      <c r="A72" s="275" t="str">
        <f t="shared" si="2"/>
        <v>Greenfield Community College1</v>
      </c>
      <c r="B72" s="783" t="s">
        <v>762</v>
      </c>
      <c r="C72" s="783" t="s">
        <v>768</v>
      </c>
      <c r="D72" s="783" t="s">
        <v>472</v>
      </c>
      <c r="E72" s="783" t="s">
        <v>773</v>
      </c>
      <c r="F72" s="783" t="s">
        <v>1294</v>
      </c>
      <c r="G72" s="783" t="s">
        <v>2038</v>
      </c>
      <c r="H72" s="783" t="s">
        <v>595</v>
      </c>
      <c r="I72" s="783" t="s">
        <v>774</v>
      </c>
      <c r="J72" s="268" t="s">
        <v>360</v>
      </c>
      <c r="K72" s="798">
        <v>1133896</v>
      </c>
      <c r="L72" s="805" t="s">
        <v>473</v>
      </c>
      <c r="M72" s="815">
        <v>2011</v>
      </c>
      <c r="N72" s="822" t="s">
        <v>799</v>
      </c>
      <c r="O72" s="822"/>
      <c r="P72" s="822">
        <v>1</v>
      </c>
    </row>
    <row r="73" spans="1:16">
      <c r="A73" s="275" t="str">
        <f t="shared" si="2"/>
        <v>Holyoke Community College1</v>
      </c>
      <c r="B73" s="780" t="s">
        <v>762</v>
      </c>
      <c r="C73" s="781" t="s">
        <v>763</v>
      </c>
      <c r="D73" s="781" t="s">
        <v>472</v>
      </c>
      <c r="E73" s="781" t="s">
        <v>775</v>
      </c>
      <c r="F73" s="781" t="s">
        <v>1344</v>
      </c>
      <c r="G73" s="781" t="s">
        <v>776</v>
      </c>
      <c r="H73" s="781" t="s">
        <v>777</v>
      </c>
      <c r="I73" s="785"/>
      <c r="J73" s="288" t="s">
        <v>2185</v>
      </c>
      <c r="K73" s="264">
        <v>86978</v>
      </c>
      <c r="L73" s="803" t="s">
        <v>473</v>
      </c>
      <c r="M73" s="814">
        <v>2012</v>
      </c>
      <c r="N73" t="s">
        <v>804</v>
      </c>
      <c r="O73"/>
      <c r="P73" s="822">
        <v>1</v>
      </c>
    </row>
    <row r="74" spans="1:16">
      <c r="A74" s="275" t="str">
        <f t="shared" si="2"/>
        <v>MassPort1</v>
      </c>
      <c r="B74" s="780" t="s">
        <v>762</v>
      </c>
      <c r="C74" s="784" t="s">
        <v>763</v>
      </c>
      <c r="D74" s="784" t="s">
        <v>780</v>
      </c>
      <c r="E74" s="784" t="s">
        <v>1986</v>
      </c>
      <c r="F74" s="784" t="s">
        <v>1986</v>
      </c>
      <c r="G74" s="784" t="s">
        <v>2078</v>
      </c>
      <c r="H74" s="784" t="s">
        <v>494</v>
      </c>
      <c r="I74" s="784" t="s">
        <v>693</v>
      </c>
      <c r="J74" s="288" t="s">
        <v>2185</v>
      </c>
      <c r="K74" s="784"/>
      <c r="L74" s="739" t="s">
        <v>473</v>
      </c>
      <c r="M74" s="807">
        <v>2022</v>
      </c>
      <c r="P74" s="3">
        <v>1</v>
      </c>
    </row>
    <row r="75" spans="1:16">
      <c r="A75" s="275" t="str">
        <f t="shared" si="2"/>
        <v>MBTA Hingham1</v>
      </c>
      <c r="B75" s="780" t="s">
        <v>762</v>
      </c>
      <c r="C75" s="781" t="s">
        <v>768</v>
      </c>
      <c r="D75" s="781" t="s">
        <v>780</v>
      </c>
      <c r="E75" s="781" t="s">
        <v>1390</v>
      </c>
      <c r="F75" s="781" t="s">
        <v>2045</v>
      </c>
      <c r="G75" s="781" t="s">
        <v>2046</v>
      </c>
      <c r="H75" s="781" t="s">
        <v>1934</v>
      </c>
      <c r="I75" s="785"/>
      <c r="J75" s="268" t="s">
        <v>772</v>
      </c>
      <c r="K75" s="264"/>
      <c r="L75" s="803" t="s">
        <v>473</v>
      </c>
      <c r="M75" s="808">
        <v>2017</v>
      </c>
      <c r="P75" s="3">
        <v>1</v>
      </c>
    </row>
    <row r="76" spans="1:16">
      <c r="A76" s="275" t="str">
        <f t="shared" si="2"/>
        <v>Middlesex Community College1</v>
      </c>
      <c r="B76" s="780" t="s">
        <v>762</v>
      </c>
      <c r="C76" s="780" t="s">
        <v>768</v>
      </c>
      <c r="D76" s="781" t="s">
        <v>472</v>
      </c>
      <c r="E76" s="781" t="s">
        <v>1985</v>
      </c>
      <c r="F76" s="781" t="s">
        <v>2047</v>
      </c>
      <c r="G76" s="781" t="s">
        <v>2048</v>
      </c>
      <c r="H76" s="781" t="s">
        <v>662</v>
      </c>
      <c r="I76" s="785"/>
      <c r="J76" s="288" t="s">
        <v>2185</v>
      </c>
      <c r="K76" s="800">
        <v>324113</v>
      </c>
      <c r="L76" s="803" t="s">
        <v>473</v>
      </c>
      <c r="M76" s="809">
        <v>2013</v>
      </c>
      <c r="P76" s="3">
        <v>1</v>
      </c>
    </row>
    <row r="77" spans="1:16">
      <c r="A77" s="275" t="str">
        <f t="shared" si="2"/>
        <v>Mass Maritime Academy1</v>
      </c>
      <c r="B77" s="780" t="s">
        <v>762</v>
      </c>
      <c r="C77" s="780" t="s">
        <v>768</v>
      </c>
      <c r="D77" s="781" t="s">
        <v>472</v>
      </c>
      <c r="E77" s="781" t="s">
        <v>778</v>
      </c>
      <c r="F77" s="781" t="s">
        <v>601</v>
      </c>
      <c r="G77" s="781" t="s">
        <v>2041</v>
      </c>
      <c r="H77" s="781" t="s">
        <v>603</v>
      </c>
      <c r="I77" s="785" t="s">
        <v>2042</v>
      </c>
      <c r="J77" s="268" t="s">
        <v>779</v>
      </c>
      <c r="K77" s="799">
        <v>1218736</v>
      </c>
      <c r="L77" s="803" t="s">
        <v>473</v>
      </c>
      <c r="M77" s="816">
        <v>2012</v>
      </c>
      <c r="P77" s="822">
        <v>1</v>
      </c>
    </row>
    <row r="78" spans="1:16">
      <c r="A78" s="275" t="str">
        <f t="shared" si="2"/>
        <v>Mass Maritime Academy2</v>
      </c>
      <c r="B78" s="780" t="s">
        <v>762</v>
      </c>
      <c r="C78" s="781" t="s">
        <v>763</v>
      </c>
      <c r="D78" s="781" t="s">
        <v>472</v>
      </c>
      <c r="E78" s="781" t="s">
        <v>778</v>
      </c>
      <c r="F78" s="781" t="s">
        <v>601</v>
      </c>
      <c r="G78" s="781" t="s">
        <v>2043</v>
      </c>
      <c r="H78" s="781" t="s">
        <v>603</v>
      </c>
      <c r="I78" s="785" t="s">
        <v>2044</v>
      </c>
      <c r="J78" s="288" t="s">
        <v>2185</v>
      </c>
      <c r="K78" s="793">
        <v>189200</v>
      </c>
      <c r="L78" s="803" t="s">
        <v>473</v>
      </c>
      <c r="M78" s="809">
        <v>2016</v>
      </c>
      <c r="P78" s="3">
        <v>2</v>
      </c>
    </row>
    <row r="79" spans="1:16">
      <c r="A79" s="275" t="str">
        <f t="shared" si="2"/>
        <v>Department of State Police1</v>
      </c>
      <c r="B79" s="784" t="s">
        <v>762</v>
      </c>
      <c r="C79" s="784" t="s">
        <v>771</v>
      </c>
      <c r="D79" s="784" t="s">
        <v>529</v>
      </c>
      <c r="E79" s="784" t="s">
        <v>1987</v>
      </c>
      <c r="F79" s="784" t="s">
        <v>2079</v>
      </c>
      <c r="G79" s="784" t="s">
        <v>2080</v>
      </c>
      <c r="H79" s="784" t="s">
        <v>2081</v>
      </c>
      <c r="I79" s="784" t="s">
        <v>2082</v>
      </c>
      <c r="J79" s="289" t="s">
        <v>2082</v>
      </c>
      <c r="K79" s="784"/>
      <c r="L79" s="739" t="s">
        <v>473</v>
      </c>
      <c r="M79" s="807">
        <v>2023</v>
      </c>
      <c r="P79" s="3">
        <v>1</v>
      </c>
    </row>
    <row r="80" spans="1:16">
      <c r="A80" s="275" t="str">
        <f t="shared" si="2"/>
        <v>Department of State Police2</v>
      </c>
      <c r="B80" s="784" t="s">
        <v>762</v>
      </c>
      <c r="C80" s="784" t="s">
        <v>771</v>
      </c>
      <c r="D80" s="784" t="s">
        <v>529</v>
      </c>
      <c r="E80" s="784" t="s">
        <v>1987</v>
      </c>
      <c r="F80" s="784" t="s">
        <v>2079</v>
      </c>
      <c r="G80" s="784" t="s">
        <v>2083</v>
      </c>
      <c r="H80" s="784" t="s">
        <v>2084</v>
      </c>
      <c r="I80" s="784" t="s">
        <v>2082</v>
      </c>
      <c r="J80" s="289" t="s">
        <v>2082</v>
      </c>
      <c r="K80" s="784"/>
      <c r="L80" s="739" t="s">
        <v>473</v>
      </c>
      <c r="M80" s="807">
        <v>2023</v>
      </c>
      <c r="P80" s="3">
        <v>2</v>
      </c>
    </row>
    <row r="81" spans="1:16">
      <c r="A81" s="275" t="str">
        <f t="shared" si="2"/>
        <v>Department of State Police3</v>
      </c>
      <c r="B81" s="784" t="s">
        <v>762</v>
      </c>
      <c r="C81" s="784" t="s">
        <v>771</v>
      </c>
      <c r="D81" s="784" t="s">
        <v>529</v>
      </c>
      <c r="E81" s="784" t="s">
        <v>1987</v>
      </c>
      <c r="F81" s="784" t="s">
        <v>2079</v>
      </c>
      <c r="G81" s="784" t="s">
        <v>2085</v>
      </c>
      <c r="H81" s="784" t="s">
        <v>548</v>
      </c>
      <c r="I81" s="784" t="s">
        <v>2082</v>
      </c>
      <c r="J81" s="289" t="s">
        <v>2082</v>
      </c>
      <c r="K81" s="784"/>
      <c r="L81" s="739" t="s">
        <v>473</v>
      </c>
      <c r="M81" s="807">
        <v>2023</v>
      </c>
      <c r="P81" s="3">
        <v>3</v>
      </c>
    </row>
    <row r="82" spans="1:16">
      <c r="A82" s="275" t="str">
        <f t="shared" si="2"/>
        <v>Department of State Police4</v>
      </c>
      <c r="B82" s="784" t="s">
        <v>762</v>
      </c>
      <c r="C82" s="784" t="s">
        <v>771</v>
      </c>
      <c r="D82" s="784" t="s">
        <v>529</v>
      </c>
      <c r="E82" s="784" t="s">
        <v>1987</v>
      </c>
      <c r="F82" s="784" t="s">
        <v>2079</v>
      </c>
      <c r="G82" s="784" t="s">
        <v>2086</v>
      </c>
      <c r="H82" s="784" t="s">
        <v>682</v>
      </c>
      <c r="I82" s="784" t="s">
        <v>2082</v>
      </c>
      <c r="J82" s="289" t="s">
        <v>2082</v>
      </c>
      <c r="K82" s="784"/>
      <c r="L82" s="739" t="s">
        <v>473</v>
      </c>
      <c r="M82" s="807">
        <v>2023</v>
      </c>
      <c r="P82" s="3">
        <v>4</v>
      </c>
    </row>
    <row r="83" spans="1:16">
      <c r="A83" s="275" t="str">
        <f t="shared" si="2"/>
        <v>Department of State Police5</v>
      </c>
      <c r="B83" s="784" t="s">
        <v>762</v>
      </c>
      <c r="C83" s="784" t="s">
        <v>771</v>
      </c>
      <c r="D83" s="784" t="s">
        <v>529</v>
      </c>
      <c r="E83" s="784" t="s">
        <v>1987</v>
      </c>
      <c r="F83" s="784" t="s">
        <v>2079</v>
      </c>
      <c r="G83" s="784" t="s">
        <v>2087</v>
      </c>
      <c r="H83" s="784" t="s">
        <v>494</v>
      </c>
      <c r="I83" s="784" t="s">
        <v>2082</v>
      </c>
      <c r="J83" s="289" t="s">
        <v>2082</v>
      </c>
      <c r="K83" s="784"/>
      <c r="L83" s="739" t="s">
        <v>473</v>
      </c>
      <c r="M83" s="807">
        <v>2023</v>
      </c>
      <c r="P83" s="3">
        <v>5</v>
      </c>
    </row>
    <row r="84" spans="1:16">
      <c r="A84" s="275" t="str">
        <f t="shared" si="2"/>
        <v>Mount Wachusett Community College  1</v>
      </c>
      <c r="B84" s="780" t="s">
        <v>762</v>
      </c>
      <c r="C84" s="781" t="s">
        <v>783</v>
      </c>
      <c r="D84" s="781" t="s">
        <v>472</v>
      </c>
      <c r="E84" s="781" t="s">
        <v>784</v>
      </c>
      <c r="F84" s="781" t="s">
        <v>678</v>
      </c>
      <c r="G84" s="781" t="s">
        <v>2052</v>
      </c>
      <c r="H84" s="781" t="s">
        <v>553</v>
      </c>
      <c r="I84" s="785"/>
      <c r="J84" s="288" t="s">
        <v>2185</v>
      </c>
      <c r="K84" s="264"/>
      <c r="L84" s="803" t="s">
        <v>473</v>
      </c>
      <c r="M84" s="808">
        <v>2006</v>
      </c>
      <c r="P84" s="3">
        <v>1</v>
      </c>
    </row>
    <row r="85" spans="1:16">
      <c r="A85" s="275" t="str">
        <f t="shared" si="2"/>
        <v>Mass Water Resources Authority1</v>
      </c>
      <c r="B85" s="784" t="s">
        <v>762</v>
      </c>
      <c r="C85" s="780" t="s">
        <v>768</v>
      </c>
      <c r="D85" s="784" t="s">
        <v>780</v>
      </c>
      <c r="E85" s="784" t="s">
        <v>781</v>
      </c>
      <c r="F85" s="784" t="s">
        <v>2072</v>
      </c>
      <c r="G85" s="784" t="s">
        <v>2073</v>
      </c>
      <c r="H85" s="784" t="s">
        <v>628</v>
      </c>
      <c r="I85" s="784" t="s">
        <v>2074</v>
      </c>
      <c r="J85" s="268" t="s">
        <v>360</v>
      </c>
      <c r="K85" s="784"/>
      <c r="L85" s="739" t="s">
        <v>473</v>
      </c>
      <c r="M85" s="807">
        <v>2021</v>
      </c>
      <c r="P85" s="3">
        <v>1</v>
      </c>
    </row>
    <row r="86" spans="1:16">
      <c r="A86" s="275" t="str">
        <f t="shared" si="2"/>
        <v>North Shore Comm College/Health Professions &amp; Student Services Center1</v>
      </c>
      <c r="B86" s="780" t="s">
        <v>762</v>
      </c>
      <c r="C86" s="780" t="s">
        <v>768</v>
      </c>
      <c r="D86" s="781" t="s">
        <v>472</v>
      </c>
      <c r="E86" s="781" t="s">
        <v>785</v>
      </c>
      <c r="F86" s="781" t="s">
        <v>2053</v>
      </c>
      <c r="G86" s="781" t="s">
        <v>2054</v>
      </c>
      <c r="H86" s="781" t="s">
        <v>682</v>
      </c>
      <c r="I86" s="785" t="s">
        <v>2055</v>
      </c>
      <c r="J86" s="268" t="s">
        <v>360</v>
      </c>
      <c r="K86" s="799">
        <v>1101799</v>
      </c>
      <c r="L86" s="803" t="s">
        <v>473</v>
      </c>
      <c r="M86" s="816">
        <v>2011</v>
      </c>
      <c r="P86" s="3">
        <v>1</v>
      </c>
    </row>
    <row r="87" spans="1:16">
      <c r="A87" s="275" t="str">
        <f t="shared" si="2"/>
        <v>Quinsigamond Community College1</v>
      </c>
      <c r="B87" s="780" t="s">
        <v>762</v>
      </c>
      <c r="C87" s="781" t="s">
        <v>763</v>
      </c>
      <c r="D87" s="781" t="s">
        <v>472</v>
      </c>
      <c r="E87" s="781" t="s">
        <v>786</v>
      </c>
      <c r="F87" s="781" t="s">
        <v>787</v>
      </c>
      <c r="G87" s="781" t="s">
        <v>2056</v>
      </c>
      <c r="H87" s="781" t="s">
        <v>573</v>
      </c>
      <c r="I87" s="785"/>
      <c r="J87" s="288" t="s">
        <v>2185</v>
      </c>
      <c r="K87" s="793">
        <v>52000</v>
      </c>
      <c r="L87" s="803" t="s">
        <v>473</v>
      </c>
      <c r="M87" s="809">
        <v>2013</v>
      </c>
      <c r="P87" s="3">
        <v>1</v>
      </c>
    </row>
    <row r="88" spans="1:16">
      <c r="A88" s="275" t="str">
        <f t="shared" si="2"/>
        <v>Roxbury Community College1</v>
      </c>
      <c r="B88" s="780" t="s">
        <v>762</v>
      </c>
      <c r="C88" s="781" t="s">
        <v>768</v>
      </c>
      <c r="D88" s="781" t="s">
        <v>1981</v>
      </c>
      <c r="E88" s="781" t="s">
        <v>788</v>
      </c>
      <c r="F88" s="781" t="s">
        <v>1404</v>
      </c>
      <c r="G88" s="781" t="s">
        <v>2057</v>
      </c>
      <c r="H88" s="781" t="s">
        <v>494</v>
      </c>
      <c r="I88" s="785"/>
      <c r="J88" s="288" t="s">
        <v>2185</v>
      </c>
      <c r="K88" s="793">
        <v>3950000</v>
      </c>
      <c r="L88" s="803" t="s">
        <v>473</v>
      </c>
      <c r="M88" s="809">
        <v>2018</v>
      </c>
      <c r="P88" s="3">
        <v>1</v>
      </c>
    </row>
    <row r="89" spans="1:16">
      <c r="A89" s="275" t="str">
        <f t="shared" si="2"/>
        <v>Roxbury Community College2</v>
      </c>
      <c r="B89" s="780" t="s">
        <v>762</v>
      </c>
      <c r="C89" s="781" t="s">
        <v>763</v>
      </c>
      <c r="D89" s="781" t="s">
        <v>472</v>
      </c>
      <c r="E89" s="781" t="s">
        <v>788</v>
      </c>
      <c r="F89" s="781" t="s">
        <v>1404</v>
      </c>
      <c r="G89" s="781" t="s">
        <v>789</v>
      </c>
      <c r="H89" s="781" t="s">
        <v>494</v>
      </c>
      <c r="I89" s="785" t="s">
        <v>2058</v>
      </c>
      <c r="J89" s="288" t="s">
        <v>2185</v>
      </c>
      <c r="K89" s="793">
        <v>161800</v>
      </c>
      <c r="L89" s="803" t="s">
        <v>473</v>
      </c>
      <c r="M89" s="809">
        <v>2018</v>
      </c>
      <c r="P89" s="3">
        <v>2</v>
      </c>
    </row>
    <row r="90" spans="1:16">
      <c r="A90" s="275" t="str">
        <f t="shared" si="2"/>
        <v>Berkshire HOC Main Facility- Sheriff1</v>
      </c>
      <c r="B90" s="780" t="s">
        <v>762</v>
      </c>
      <c r="C90" s="781" t="s">
        <v>763</v>
      </c>
      <c r="D90" s="782" t="s">
        <v>529</v>
      </c>
      <c r="E90" s="781" t="s">
        <v>1947</v>
      </c>
      <c r="F90" s="781" t="s">
        <v>1988</v>
      </c>
      <c r="G90" s="781" t="s">
        <v>1989</v>
      </c>
      <c r="H90" s="781" t="s">
        <v>1990</v>
      </c>
      <c r="I90" s="785"/>
      <c r="J90" s="288" t="s">
        <v>2185</v>
      </c>
      <c r="K90" s="264">
        <v>383155</v>
      </c>
      <c r="L90" s="803" t="s">
        <v>473</v>
      </c>
      <c r="M90" s="808">
        <v>2015</v>
      </c>
      <c r="N90" s="824" t="s">
        <v>767</v>
      </c>
      <c r="O90" s="284"/>
      <c r="P90" s="284">
        <v>1</v>
      </c>
    </row>
    <row r="91" spans="1:16">
      <c r="A91" s="275" t="str">
        <f t="shared" si="2"/>
        <v>Bristol County Sheriff's Office1</v>
      </c>
      <c r="B91" s="780" t="s">
        <v>762</v>
      </c>
      <c r="C91" s="780" t="s">
        <v>763</v>
      </c>
      <c r="D91" s="780" t="s">
        <v>529</v>
      </c>
      <c r="E91" s="780" t="s">
        <v>1947</v>
      </c>
      <c r="F91" s="780" t="s">
        <v>1996</v>
      </c>
      <c r="G91" s="780" t="s">
        <v>1997</v>
      </c>
      <c r="H91" s="780" t="s">
        <v>1998</v>
      </c>
      <c r="I91" s="787" t="s">
        <v>1999</v>
      </c>
      <c r="J91" s="287" t="s">
        <v>772</v>
      </c>
      <c r="K91" s="795"/>
      <c r="L91" s="803" t="s">
        <v>473</v>
      </c>
      <c r="M91" s="811">
        <v>2017</v>
      </c>
      <c r="N91" s="823"/>
      <c r="O91" s="823"/>
      <c r="P91" s="823">
        <v>1</v>
      </c>
    </row>
    <row r="92" spans="1:16">
      <c r="A92" s="275" t="str">
        <f t="shared" si="2"/>
        <v>Hampshire Sheriff Dept. 1</v>
      </c>
      <c r="B92" s="780" t="s">
        <v>762</v>
      </c>
      <c r="C92" s="781" t="s">
        <v>763</v>
      </c>
      <c r="D92" s="781" t="s">
        <v>529</v>
      </c>
      <c r="E92" s="781" t="s">
        <v>1947</v>
      </c>
      <c r="F92" s="781" t="s">
        <v>2039</v>
      </c>
      <c r="G92" s="781" t="s">
        <v>2039</v>
      </c>
      <c r="H92" s="781" t="s">
        <v>2040</v>
      </c>
      <c r="I92" s="785"/>
      <c r="J92" s="268" t="s">
        <v>779</v>
      </c>
      <c r="K92" s="793">
        <v>790022</v>
      </c>
      <c r="L92" s="803" t="s">
        <v>473</v>
      </c>
      <c r="M92" s="809">
        <v>2011</v>
      </c>
      <c r="N92" s="822" t="s">
        <v>801</v>
      </c>
      <c r="O92" s="822"/>
      <c r="P92" s="822">
        <v>1</v>
      </c>
    </row>
    <row r="93" spans="1:16">
      <c r="A93" s="275" t="str">
        <f t="shared" si="2"/>
        <v>Middlesex County Sheriff's Office1</v>
      </c>
      <c r="B93" s="780" t="s">
        <v>762</v>
      </c>
      <c r="C93" s="780" t="s">
        <v>771</v>
      </c>
      <c r="D93" s="780" t="s">
        <v>529</v>
      </c>
      <c r="E93" s="780" t="s">
        <v>1947</v>
      </c>
      <c r="F93" s="780" t="s">
        <v>2049</v>
      </c>
      <c r="G93" s="780" t="s">
        <v>2050</v>
      </c>
      <c r="H93" s="780" t="s">
        <v>1936</v>
      </c>
      <c r="I93" s="787" t="s">
        <v>2051</v>
      </c>
      <c r="J93" s="268" t="s">
        <v>360</v>
      </c>
      <c r="K93" s="795"/>
      <c r="L93" s="803" t="s">
        <v>473</v>
      </c>
      <c r="M93" s="811">
        <v>2018</v>
      </c>
      <c r="P93" s="3">
        <v>1</v>
      </c>
    </row>
    <row r="94" spans="1:16">
      <c r="A94" s="275" t="str">
        <f t="shared" si="2"/>
        <v>Salem State University1</v>
      </c>
      <c r="B94" s="780" t="s">
        <v>762</v>
      </c>
      <c r="C94" s="781" t="s">
        <v>768</v>
      </c>
      <c r="D94" s="781" t="s">
        <v>472</v>
      </c>
      <c r="E94" s="781" t="s">
        <v>790</v>
      </c>
      <c r="F94" s="781" t="s">
        <v>211</v>
      </c>
      <c r="G94" s="781" t="s">
        <v>791</v>
      </c>
      <c r="H94" s="781" t="s">
        <v>690</v>
      </c>
      <c r="I94" s="785" t="s">
        <v>2059</v>
      </c>
      <c r="J94" s="289" t="s">
        <v>2082</v>
      </c>
      <c r="K94" s="793"/>
      <c r="L94" s="803" t="s">
        <v>473</v>
      </c>
      <c r="M94" s="809">
        <v>2014</v>
      </c>
      <c r="P94" s="3">
        <v>1</v>
      </c>
    </row>
    <row r="95" spans="1:16">
      <c r="A95" s="275" t="str">
        <f t="shared" si="2"/>
        <v>Springfield Technical Community College1</v>
      </c>
      <c r="B95" s="783" t="s">
        <v>762</v>
      </c>
      <c r="C95" s="783" t="s">
        <v>768</v>
      </c>
      <c r="D95" s="783" t="s">
        <v>472</v>
      </c>
      <c r="E95" s="783" t="s">
        <v>794</v>
      </c>
      <c r="F95" s="783" t="s">
        <v>1483</v>
      </c>
      <c r="G95" s="783" t="s">
        <v>1500</v>
      </c>
      <c r="H95" s="783" t="s">
        <v>652</v>
      </c>
      <c r="I95" s="783" t="s">
        <v>2060</v>
      </c>
      <c r="J95" s="268" t="s">
        <v>360</v>
      </c>
      <c r="K95" s="798">
        <v>344731</v>
      </c>
      <c r="L95" s="805" t="s">
        <v>473</v>
      </c>
      <c r="M95" s="815">
        <v>2011</v>
      </c>
      <c r="P95" s="3">
        <v>1</v>
      </c>
    </row>
    <row r="96" spans="1:16">
      <c r="A96" s="275" t="str">
        <f t="shared" si="2"/>
        <v>Springfield Technical Community College2</v>
      </c>
      <c r="B96" s="780" t="s">
        <v>762</v>
      </c>
      <c r="C96" s="784" t="s">
        <v>771</v>
      </c>
      <c r="D96" s="780" t="s">
        <v>472</v>
      </c>
      <c r="E96" s="784" t="s">
        <v>794</v>
      </c>
      <c r="F96" s="784" t="s">
        <v>1483</v>
      </c>
      <c r="G96" s="784" t="s">
        <v>1499</v>
      </c>
      <c r="H96" s="784" t="s">
        <v>652</v>
      </c>
      <c r="I96" s="784" t="s">
        <v>2069</v>
      </c>
      <c r="J96" s="268" t="s">
        <v>360</v>
      </c>
      <c r="K96" s="784"/>
      <c r="L96" s="739" t="s">
        <v>473</v>
      </c>
      <c r="M96" s="807">
        <v>2022</v>
      </c>
      <c r="P96" s="3">
        <v>2</v>
      </c>
    </row>
    <row r="97" spans="1:16">
      <c r="A97" s="275" t="str">
        <f t="shared" si="2"/>
        <v>Springfield Technical Community College3</v>
      </c>
      <c r="B97" s="780" t="s">
        <v>762</v>
      </c>
      <c r="C97" s="784" t="s">
        <v>771</v>
      </c>
      <c r="D97" s="780" t="s">
        <v>472</v>
      </c>
      <c r="E97" s="784" t="s">
        <v>794</v>
      </c>
      <c r="F97" s="784" t="s">
        <v>1483</v>
      </c>
      <c r="G97" s="784" t="s">
        <v>795</v>
      </c>
      <c r="H97" s="784" t="s">
        <v>652</v>
      </c>
      <c r="I97" s="790" t="s">
        <v>2075</v>
      </c>
      <c r="J97" s="268" t="s">
        <v>360</v>
      </c>
      <c r="K97" s="784"/>
      <c r="L97" s="739" t="s">
        <v>473</v>
      </c>
      <c r="M97" s="807">
        <v>2021</v>
      </c>
      <c r="P97" s="3">
        <v>3</v>
      </c>
    </row>
    <row r="98" spans="1:16">
      <c r="A98" s="275" t="str">
        <f t="shared" ref="A98:A108" si="3">F98&amp;P98</f>
        <v>Springfield Technical Community College4</v>
      </c>
      <c r="B98" s="780" t="s">
        <v>762</v>
      </c>
      <c r="C98" s="784" t="s">
        <v>771</v>
      </c>
      <c r="D98" s="780" t="s">
        <v>472</v>
      </c>
      <c r="E98" s="784" t="s">
        <v>794</v>
      </c>
      <c r="F98" s="784" t="s">
        <v>1483</v>
      </c>
      <c r="G98" s="784" t="s">
        <v>796</v>
      </c>
      <c r="H98" s="784" t="s">
        <v>652</v>
      </c>
      <c r="I98" s="790" t="s">
        <v>2076</v>
      </c>
      <c r="J98" s="268" t="s">
        <v>360</v>
      </c>
      <c r="K98" s="784"/>
      <c r="L98" s="739" t="s">
        <v>473</v>
      </c>
      <c r="M98" s="807">
        <v>2021</v>
      </c>
      <c r="P98" s="3">
        <v>4</v>
      </c>
    </row>
    <row r="99" spans="1:16">
      <c r="A99" s="275" t="str">
        <f t="shared" si="3"/>
        <v>Springfield Technical Community College5</v>
      </c>
      <c r="B99" s="780" t="s">
        <v>762</v>
      </c>
      <c r="C99" s="784" t="s">
        <v>771</v>
      </c>
      <c r="D99" s="780" t="s">
        <v>472</v>
      </c>
      <c r="E99" s="784" t="s">
        <v>794</v>
      </c>
      <c r="F99" s="784" t="s">
        <v>1483</v>
      </c>
      <c r="G99" s="784" t="s">
        <v>797</v>
      </c>
      <c r="H99" s="784" t="s">
        <v>652</v>
      </c>
      <c r="I99" s="790" t="s">
        <v>2076</v>
      </c>
      <c r="J99" s="268" t="s">
        <v>360</v>
      </c>
      <c r="K99" s="784"/>
      <c r="L99" s="739" t="s">
        <v>473</v>
      </c>
      <c r="M99" s="807">
        <v>2021</v>
      </c>
      <c r="P99" s="3">
        <v>5</v>
      </c>
    </row>
    <row r="100" spans="1:16">
      <c r="A100" s="275" t="str">
        <f t="shared" si="3"/>
        <v>Springfield Technical Community College6</v>
      </c>
      <c r="B100" s="780" t="s">
        <v>762</v>
      </c>
      <c r="C100" s="784" t="s">
        <v>771</v>
      </c>
      <c r="D100" s="780" t="s">
        <v>472</v>
      </c>
      <c r="E100" s="784" t="s">
        <v>794</v>
      </c>
      <c r="F100" s="784" t="s">
        <v>1483</v>
      </c>
      <c r="G100" s="784" t="s">
        <v>797</v>
      </c>
      <c r="H100" s="784" t="s">
        <v>652</v>
      </c>
      <c r="I100" s="790" t="s">
        <v>2077</v>
      </c>
      <c r="J100" s="268" t="s">
        <v>360</v>
      </c>
      <c r="K100" s="784"/>
      <c r="L100" s="739" t="s">
        <v>473</v>
      </c>
      <c r="M100" s="807">
        <v>2021</v>
      </c>
      <c r="P100" s="3">
        <v>6</v>
      </c>
    </row>
    <row r="101" spans="1:16">
      <c r="A101" s="275" t="str">
        <f t="shared" si="3"/>
        <v>UMass Amherst1</v>
      </c>
      <c r="B101" s="780" t="s">
        <v>762</v>
      </c>
      <c r="C101" s="780" t="s">
        <v>768</v>
      </c>
      <c r="D101" s="780" t="s">
        <v>472</v>
      </c>
      <c r="E101" s="780" t="s">
        <v>798</v>
      </c>
      <c r="F101" s="780" t="s">
        <v>222</v>
      </c>
      <c r="G101" s="780" t="s">
        <v>2061</v>
      </c>
      <c r="H101" s="780" t="s">
        <v>699</v>
      </c>
      <c r="I101" s="787" t="s">
        <v>766</v>
      </c>
      <c r="J101" s="288" t="s">
        <v>2185</v>
      </c>
      <c r="K101" s="794"/>
      <c r="L101" s="803" t="s">
        <v>473</v>
      </c>
      <c r="M101" s="810">
        <v>2011</v>
      </c>
      <c r="P101" s="3">
        <v>1</v>
      </c>
    </row>
    <row r="102" spans="1:16">
      <c r="A102" s="275" t="str">
        <f t="shared" si="3"/>
        <v>UMass Amherst2</v>
      </c>
      <c r="B102" s="780" t="s">
        <v>762</v>
      </c>
      <c r="C102" s="780" t="s">
        <v>768</v>
      </c>
      <c r="D102" s="780" t="s">
        <v>472</v>
      </c>
      <c r="E102" s="780" t="s">
        <v>798</v>
      </c>
      <c r="F102" s="780" t="s">
        <v>222</v>
      </c>
      <c r="G102" s="780" t="s">
        <v>802</v>
      </c>
      <c r="H102" s="780" t="s">
        <v>699</v>
      </c>
      <c r="I102" s="787" t="s">
        <v>803</v>
      </c>
      <c r="J102" s="288" t="s">
        <v>2185</v>
      </c>
      <c r="K102" s="794"/>
      <c r="L102" s="803" t="s">
        <v>473</v>
      </c>
      <c r="M102" s="810"/>
      <c r="P102" s="3">
        <v>2</v>
      </c>
    </row>
    <row r="103" spans="1:16">
      <c r="A103" s="275" t="str">
        <f t="shared" si="3"/>
        <v>UMass Amherst3</v>
      </c>
      <c r="B103" s="780" t="s">
        <v>762</v>
      </c>
      <c r="C103" s="780" t="s">
        <v>768</v>
      </c>
      <c r="D103" s="780" t="s">
        <v>472</v>
      </c>
      <c r="E103" s="780" t="s">
        <v>798</v>
      </c>
      <c r="F103" s="780" t="s">
        <v>222</v>
      </c>
      <c r="G103" s="780" t="s">
        <v>800</v>
      </c>
      <c r="H103" s="780" t="s">
        <v>699</v>
      </c>
      <c r="I103" s="787" t="s">
        <v>2062</v>
      </c>
      <c r="J103" s="288" t="s">
        <v>2185</v>
      </c>
      <c r="K103" s="794"/>
      <c r="L103" s="803" t="s">
        <v>473</v>
      </c>
      <c r="M103" s="810">
        <v>2011</v>
      </c>
      <c r="P103" s="3">
        <v>3</v>
      </c>
    </row>
    <row r="104" spans="1:16">
      <c r="A104" s="275" t="str">
        <f t="shared" si="3"/>
        <v>UMass Amherst4</v>
      </c>
      <c r="B104" s="780" t="s">
        <v>762</v>
      </c>
      <c r="C104" s="780" t="s">
        <v>763</v>
      </c>
      <c r="D104" s="780" t="s">
        <v>472</v>
      </c>
      <c r="E104" s="780" t="s">
        <v>798</v>
      </c>
      <c r="F104" s="780" t="s">
        <v>222</v>
      </c>
      <c r="G104" s="780" t="s">
        <v>2063</v>
      </c>
      <c r="H104" s="780" t="s">
        <v>805</v>
      </c>
      <c r="I104" s="787" t="s">
        <v>2064</v>
      </c>
      <c r="J104" s="288" t="s">
        <v>2185</v>
      </c>
      <c r="K104" s="796"/>
      <c r="L104" s="803" t="s">
        <v>473</v>
      </c>
      <c r="M104" s="812">
        <v>2017</v>
      </c>
      <c r="P104" s="3">
        <v>4</v>
      </c>
    </row>
    <row r="105" spans="1:16">
      <c r="A105" s="275" t="str">
        <f t="shared" si="3"/>
        <v>UMass Lowell1</v>
      </c>
      <c r="B105" s="780" t="s">
        <v>762</v>
      </c>
      <c r="C105" s="780" t="s">
        <v>763</v>
      </c>
      <c r="D105" s="780" t="s">
        <v>472</v>
      </c>
      <c r="E105" s="780" t="s">
        <v>798</v>
      </c>
      <c r="F105" s="780" t="s">
        <v>234</v>
      </c>
      <c r="G105" s="780" t="s">
        <v>807</v>
      </c>
      <c r="H105" s="780" t="s">
        <v>808</v>
      </c>
      <c r="I105" s="787" t="s">
        <v>2065</v>
      </c>
      <c r="J105" s="289" t="s">
        <v>2082</v>
      </c>
      <c r="K105" s="796"/>
      <c r="L105" s="803" t="s">
        <v>473</v>
      </c>
      <c r="M105" s="812">
        <v>2017</v>
      </c>
      <c r="P105" s="3">
        <v>1</v>
      </c>
    </row>
    <row r="106" spans="1:16">
      <c r="A106" s="275" t="str">
        <f t="shared" si="3"/>
        <v>UMass Lowell2</v>
      </c>
      <c r="B106" s="780" t="s">
        <v>762</v>
      </c>
      <c r="C106" s="780" t="s">
        <v>763</v>
      </c>
      <c r="D106" s="780" t="s">
        <v>472</v>
      </c>
      <c r="E106" s="780" t="s">
        <v>798</v>
      </c>
      <c r="F106" s="780" t="s">
        <v>234</v>
      </c>
      <c r="G106" s="780" t="s">
        <v>2066</v>
      </c>
      <c r="H106" s="780" t="s">
        <v>808</v>
      </c>
      <c r="I106" s="789"/>
      <c r="J106" s="288" t="s">
        <v>2185</v>
      </c>
      <c r="K106" s="801"/>
      <c r="L106" s="806" t="s">
        <v>473</v>
      </c>
      <c r="M106" s="817">
        <v>2017</v>
      </c>
      <c r="P106" s="3">
        <v>2</v>
      </c>
    </row>
    <row r="107" spans="1:16">
      <c r="A107" s="275" t="str">
        <f t="shared" si="3"/>
        <v>UMass Boston1</v>
      </c>
      <c r="B107" s="784" t="s">
        <v>762</v>
      </c>
      <c r="C107" s="784" t="s">
        <v>763</v>
      </c>
      <c r="D107" s="784" t="s">
        <v>472</v>
      </c>
      <c r="E107" s="784" t="s">
        <v>798</v>
      </c>
      <c r="F107" s="784" t="s">
        <v>227</v>
      </c>
      <c r="G107" s="784" t="s">
        <v>1188</v>
      </c>
      <c r="H107" s="784" t="s">
        <v>494</v>
      </c>
      <c r="I107" s="784"/>
      <c r="J107" s="288" t="s">
        <v>2185</v>
      </c>
      <c r="K107" s="784"/>
      <c r="L107" s="739" t="s">
        <v>473</v>
      </c>
      <c r="M107" s="807">
        <v>2015</v>
      </c>
      <c r="P107" s="3">
        <v>1</v>
      </c>
    </row>
    <row r="108" spans="1:16">
      <c r="A108" s="275" t="str">
        <f t="shared" si="3"/>
        <v>Worcester State University1</v>
      </c>
      <c r="B108" s="780" t="s">
        <v>762</v>
      </c>
      <c r="C108" s="780" t="s">
        <v>763</v>
      </c>
      <c r="D108" s="780" t="s">
        <v>472</v>
      </c>
      <c r="E108" s="784" t="s">
        <v>809</v>
      </c>
      <c r="F108" s="784" t="s">
        <v>249</v>
      </c>
      <c r="G108" s="784"/>
      <c r="H108" s="784" t="s">
        <v>573</v>
      </c>
      <c r="I108" s="784" t="s">
        <v>2067</v>
      </c>
      <c r="J108" s="288" t="s">
        <v>2185</v>
      </c>
      <c r="K108" s="784"/>
      <c r="L108" s="807" t="s">
        <v>473</v>
      </c>
      <c r="M108" s="818">
        <v>2015</v>
      </c>
      <c r="P108" s="3">
        <v>1</v>
      </c>
    </row>
  </sheetData>
  <autoFilter ref="A1:P108" xr:uid="{00000000-0001-0000-0E00-000000000000}">
    <sortState xmlns:xlrd2="http://schemas.microsoft.com/office/spreadsheetml/2017/richdata2" ref="A2:P108">
      <sortCondition ref="E2:E108"/>
    </sortState>
  </autoFilter>
  <sortState xmlns:xlrd2="http://schemas.microsoft.com/office/spreadsheetml/2017/richdata2" ref="A2:P33">
    <sortCondition ref="F2:F33"/>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FC231"/>
  <sheetViews>
    <sheetView showGridLines="0" topLeftCell="A23" zoomScale="60" zoomScaleNormal="60" workbookViewId="0">
      <selection activeCell="K59" sqref="K59"/>
    </sheetView>
  </sheetViews>
  <sheetFormatPr defaultColWidth="0" defaultRowHeight="14.5" zeroHeight="1"/>
  <cols>
    <col min="1" max="1" width="2.1796875" style="460" customWidth="1"/>
    <col min="2" max="2" width="14.7265625" style="460" customWidth="1"/>
    <col min="3" max="3" width="18.26953125" style="460" customWidth="1"/>
    <col min="4" max="6" width="20.453125" style="460" customWidth="1"/>
    <col min="7" max="7" width="25.1796875" style="460" bestFit="1" customWidth="1"/>
    <col min="8" max="8" width="24.54296875" style="460" customWidth="1"/>
    <col min="9" max="9" width="20.453125" style="460" customWidth="1"/>
    <col min="10" max="10" width="25.1796875" style="460" customWidth="1"/>
    <col min="11" max="11" width="45.26953125" style="460" customWidth="1"/>
    <col min="12" max="12" width="33.1796875" style="460" customWidth="1"/>
    <col min="13" max="13" width="1.81640625" style="460" hidden="1" customWidth="1"/>
    <col min="14" max="15" width="15.453125" style="460" hidden="1" customWidth="1"/>
    <col min="16" max="16" width="16.26953125" style="460" hidden="1" customWidth="1"/>
    <col min="17" max="17" width="9.1796875" style="460" hidden="1" customWidth="1"/>
    <col min="18" max="24" width="0" style="460" hidden="1" customWidth="1"/>
    <col min="25" max="16383" width="9.1796875" style="460" hidden="1"/>
    <col min="16384" max="16384" width="5" style="460" customWidth="1"/>
  </cols>
  <sheetData>
    <row r="1" spans="1:22" customFormat="1" ht="19" customHeight="1" thickBot="1">
      <c r="A1" s="43"/>
      <c r="B1" s="1137" t="s">
        <v>23</v>
      </c>
      <c r="C1" s="1137"/>
      <c r="D1" s="1137"/>
      <c r="E1" s="1137"/>
      <c r="F1" s="1137"/>
      <c r="G1" s="1137"/>
      <c r="H1" s="1137"/>
      <c r="I1" s="1137"/>
      <c r="J1" s="1137"/>
      <c r="K1" s="1137"/>
      <c r="L1" s="43"/>
      <c r="N1" s="15"/>
      <c r="O1" s="15"/>
      <c r="P1" s="15"/>
      <c r="Q1" s="15"/>
    </row>
    <row r="2" spans="1:22" customFormat="1" ht="18.649999999999999" customHeight="1">
      <c r="A2" s="43"/>
      <c r="B2" s="1093" t="s">
        <v>18</v>
      </c>
      <c r="C2" s="1114" t="s">
        <v>810</v>
      </c>
      <c r="D2" s="1114"/>
      <c r="E2" s="1114"/>
      <c r="F2" s="1114"/>
      <c r="G2" s="1114"/>
      <c r="H2" s="1114"/>
      <c r="I2" s="1114"/>
      <c r="J2" s="1114"/>
      <c r="K2" s="1114"/>
      <c r="L2" s="43"/>
      <c r="M2" s="15"/>
      <c r="N2" s="15"/>
      <c r="O2" s="15"/>
      <c r="P2" s="15"/>
      <c r="Q2" s="15"/>
      <c r="R2" s="15"/>
      <c r="S2" s="15"/>
      <c r="T2" s="15"/>
      <c r="U2" s="15"/>
      <c r="V2" s="15"/>
    </row>
    <row r="3" spans="1:22" customFormat="1" ht="20.149999999999999" customHeight="1">
      <c r="A3" s="43"/>
      <c r="B3" s="1094"/>
      <c r="C3" s="1114"/>
      <c r="D3" s="1114"/>
      <c r="E3" s="1114"/>
      <c r="F3" s="1114"/>
      <c r="G3" s="1114"/>
      <c r="H3" s="1114"/>
      <c r="I3" s="1114"/>
      <c r="J3" s="1114"/>
      <c r="K3" s="1114"/>
      <c r="L3" s="43"/>
      <c r="M3" s="15"/>
      <c r="N3" s="15"/>
      <c r="O3" s="15"/>
      <c r="P3" s="15"/>
      <c r="Q3" s="15"/>
      <c r="R3" s="15"/>
      <c r="S3" s="15"/>
      <c r="T3" s="15"/>
      <c r="U3" s="15"/>
      <c r="V3" s="15"/>
    </row>
    <row r="4" spans="1:22" customFormat="1" ht="22.5" customHeight="1">
      <c r="A4" s="43"/>
      <c r="B4" s="1094"/>
      <c r="C4" s="1114"/>
      <c r="D4" s="1114"/>
      <c r="E4" s="1114"/>
      <c r="F4" s="1114"/>
      <c r="G4" s="1114"/>
      <c r="H4" s="1114"/>
      <c r="I4" s="1114"/>
      <c r="J4" s="1114"/>
      <c r="K4" s="1114"/>
      <c r="L4" s="43"/>
      <c r="M4" s="15"/>
      <c r="N4" s="15"/>
      <c r="O4" s="15"/>
      <c r="P4" s="15"/>
      <c r="Q4" s="15"/>
      <c r="R4" s="15"/>
      <c r="S4" s="15"/>
      <c r="T4" s="15"/>
      <c r="U4" s="15"/>
      <c r="V4" s="15"/>
    </row>
    <row r="5" spans="1:22" customFormat="1" ht="15" customHeight="1" thickBot="1">
      <c r="A5" s="43"/>
      <c r="B5" s="1094"/>
      <c r="C5" s="1062" t="s">
        <v>392</v>
      </c>
      <c r="D5" s="1062"/>
      <c r="E5" s="1062"/>
      <c r="F5" s="1062"/>
      <c r="G5" s="1062"/>
      <c r="H5" s="1062"/>
      <c r="I5" s="1062"/>
      <c r="J5" s="1062"/>
      <c r="K5" s="1062"/>
      <c r="L5" s="43"/>
      <c r="M5" s="15"/>
      <c r="N5" s="15"/>
      <c r="O5" s="15"/>
      <c r="P5" s="15"/>
      <c r="Q5" s="15"/>
    </row>
    <row r="6" spans="1:22" customFormat="1" ht="22" customHeight="1">
      <c r="A6" s="43"/>
      <c r="B6" s="1094"/>
      <c r="C6" s="1095" t="s">
        <v>811</v>
      </c>
      <c r="D6" s="1096"/>
      <c r="E6" s="1096"/>
      <c r="F6" s="1096"/>
      <c r="G6" s="1096"/>
      <c r="H6" s="1096"/>
      <c r="I6" s="1096"/>
      <c r="J6" s="1096"/>
      <c r="K6" s="1097"/>
      <c r="L6" s="43"/>
      <c r="N6" s="121"/>
      <c r="O6" s="216"/>
      <c r="P6" s="15"/>
      <c r="Q6" s="15"/>
      <c r="R6" s="15"/>
    </row>
    <row r="7" spans="1:22" customFormat="1" ht="22" customHeight="1">
      <c r="A7" s="43"/>
      <c r="B7" s="1094"/>
      <c r="C7" s="485" t="s">
        <v>1514</v>
      </c>
      <c r="D7" s="121"/>
      <c r="E7" s="121"/>
      <c r="F7" s="121"/>
      <c r="G7" s="121"/>
      <c r="H7" s="121"/>
      <c r="I7" s="121"/>
      <c r="J7" s="121"/>
      <c r="K7" s="486"/>
      <c r="L7" s="43"/>
      <c r="N7" s="120"/>
      <c r="O7" s="120"/>
      <c r="P7" s="15"/>
      <c r="Q7" s="15"/>
      <c r="R7" s="15"/>
    </row>
    <row r="8" spans="1:22" s="43" customFormat="1" ht="26.15" customHeight="1">
      <c r="B8" s="226"/>
      <c r="C8" s="484"/>
      <c r="D8" s="484"/>
      <c r="E8" s="484"/>
      <c r="F8" s="484"/>
      <c r="G8" s="484"/>
      <c r="H8" s="484"/>
      <c r="I8" s="484"/>
      <c r="J8" s="484"/>
      <c r="K8" s="484"/>
      <c r="N8" s="215"/>
      <c r="O8" s="215"/>
      <c r="P8" s="215"/>
      <c r="Q8" s="215"/>
      <c r="R8" s="215"/>
    </row>
    <row r="9" spans="1:22" s="43" customFormat="1" ht="21">
      <c r="B9" s="1104" t="s">
        <v>812</v>
      </c>
      <c r="C9" s="1105"/>
      <c r="D9" s="1105"/>
      <c r="E9" s="1105"/>
      <c r="F9" s="1105"/>
      <c r="G9" s="1105"/>
      <c r="H9" s="1105"/>
      <c r="I9" s="1105"/>
      <c r="J9" s="1105"/>
      <c r="K9" s="1106"/>
      <c r="N9" s="215"/>
      <c r="O9" s="215"/>
      <c r="P9" s="215"/>
      <c r="Q9" s="215"/>
      <c r="R9" s="215"/>
    </row>
    <row r="10" spans="1:22" s="43" customFormat="1" ht="15.5">
      <c r="B10" s="1101" t="s">
        <v>813</v>
      </c>
      <c r="C10" s="1102"/>
      <c r="D10" s="1102"/>
      <c r="E10" s="1102"/>
      <c r="F10" s="1102"/>
      <c r="G10" s="1102"/>
      <c r="H10" s="1102"/>
      <c r="I10" s="1102"/>
      <c r="J10" s="1102"/>
      <c r="K10" s="1103"/>
      <c r="N10" s="215"/>
      <c r="O10" s="215"/>
      <c r="P10" s="215"/>
      <c r="Q10" s="215"/>
      <c r="R10" s="215"/>
    </row>
    <row r="11" spans="1:22" customFormat="1" ht="36" customHeight="1">
      <c r="A11" s="43"/>
      <c r="B11" s="1110" t="s">
        <v>2498</v>
      </c>
      <c r="C11" s="1111"/>
      <c r="D11" s="1111"/>
      <c r="E11" s="1111"/>
      <c r="F11" s="1111"/>
      <c r="G11" s="1111"/>
      <c r="H11" s="1111"/>
      <c r="I11" s="1111"/>
      <c r="J11" s="1111"/>
      <c r="K11" s="664" t="s">
        <v>258</v>
      </c>
      <c r="L11" s="43"/>
    </row>
    <row r="12" spans="1:22" customFormat="1" ht="15" customHeight="1">
      <c r="A12" s="43"/>
      <c r="B12" s="1107" t="s">
        <v>814</v>
      </c>
      <c r="C12" s="1108"/>
      <c r="D12" s="1108"/>
      <c r="E12" s="1108"/>
      <c r="F12" s="1108"/>
      <c r="G12" s="1108"/>
      <c r="H12" s="1108"/>
      <c r="I12" s="1108"/>
      <c r="J12" s="1108"/>
      <c r="K12" s="1109"/>
      <c r="L12" s="43"/>
    </row>
    <row r="13" spans="1:22" customFormat="1" ht="15" customHeight="1">
      <c r="A13" s="43"/>
      <c r="B13" s="1138"/>
      <c r="C13" s="1139"/>
      <c r="D13" s="1139"/>
      <c r="E13" s="1139"/>
      <c r="F13" s="1139"/>
      <c r="G13" s="1139"/>
      <c r="H13" s="1139"/>
      <c r="I13" s="1139"/>
      <c r="J13" s="1139"/>
      <c r="K13" s="1140"/>
      <c r="L13" s="43"/>
    </row>
    <row r="14" spans="1:22" customFormat="1" ht="16" customHeight="1">
      <c r="A14" s="43"/>
      <c r="B14" s="1138"/>
      <c r="C14" s="1139"/>
      <c r="D14" s="1139"/>
      <c r="E14" s="1139"/>
      <c r="F14" s="1139"/>
      <c r="G14" s="1139"/>
      <c r="H14" s="1139"/>
      <c r="I14" s="1139"/>
      <c r="J14" s="1139"/>
      <c r="K14" s="1140"/>
      <c r="L14" s="43"/>
    </row>
    <row r="15" spans="1:22" customFormat="1" ht="16" customHeight="1">
      <c r="B15" s="648"/>
      <c r="C15" s="649"/>
      <c r="D15" s="649"/>
      <c r="E15" s="649"/>
      <c r="F15" s="649"/>
      <c r="G15" s="649"/>
      <c r="H15" s="649"/>
      <c r="I15" s="649"/>
      <c r="J15" s="649"/>
      <c r="K15" s="650"/>
    </row>
    <row r="16" spans="1:22" customFormat="1" ht="16" customHeight="1">
      <c r="A16" s="43"/>
      <c r="B16" s="1115" t="s">
        <v>2499</v>
      </c>
      <c r="C16" s="1116"/>
      <c r="D16" s="1116"/>
      <c r="E16" s="1116"/>
      <c r="F16" s="1116"/>
      <c r="G16" s="1116"/>
      <c r="H16" s="1116"/>
      <c r="I16" s="1116"/>
      <c r="J16" s="1116"/>
      <c r="K16" s="665" t="s">
        <v>1506</v>
      </c>
      <c r="L16" s="43"/>
    </row>
    <row r="17" spans="1:21" customFormat="1" ht="16" customHeight="1">
      <c r="A17" s="43"/>
      <c r="B17" s="645"/>
      <c r="C17" s="646"/>
      <c r="D17" s="646"/>
      <c r="E17" s="646"/>
      <c r="F17" s="646"/>
      <c r="G17" s="646"/>
      <c r="H17" s="646"/>
      <c r="I17" s="646"/>
      <c r="J17" s="646"/>
      <c r="K17" s="647"/>
      <c r="L17" s="43"/>
    </row>
    <row r="18" spans="1:21" customFormat="1" ht="16" customHeight="1">
      <c r="A18" s="43"/>
      <c r="B18" s="645"/>
      <c r="C18" s="646"/>
      <c r="D18" s="646"/>
      <c r="E18" s="646"/>
      <c r="F18" s="646"/>
      <c r="G18" s="646"/>
      <c r="H18" s="646"/>
      <c r="I18" s="646"/>
      <c r="J18" s="646"/>
      <c r="K18" s="647"/>
      <c r="L18" s="43"/>
    </row>
    <row r="19" spans="1:21" customFormat="1" ht="16" customHeight="1">
      <c r="A19" s="43"/>
      <c r="B19" s="645"/>
      <c r="C19" s="646"/>
      <c r="D19" s="646"/>
      <c r="E19" s="646"/>
      <c r="F19" s="646"/>
      <c r="G19" s="646"/>
      <c r="H19" s="646"/>
      <c r="I19" s="646"/>
      <c r="J19" s="646"/>
      <c r="K19" s="647"/>
      <c r="L19" s="43"/>
    </row>
    <row r="20" spans="1:21" customFormat="1" ht="16" customHeight="1">
      <c r="A20" s="43"/>
      <c r="B20" s="645"/>
      <c r="C20" s="646"/>
      <c r="D20" s="646"/>
      <c r="E20" s="646"/>
      <c r="F20" s="646"/>
      <c r="G20" s="646"/>
      <c r="H20" s="646"/>
      <c r="I20" s="646"/>
      <c r="J20" s="646"/>
      <c r="K20" s="647"/>
      <c r="L20" s="43"/>
    </row>
    <row r="21" spans="1:21" s="43" customFormat="1" ht="15.5">
      <c r="B21" s="488"/>
      <c r="C21" s="220"/>
      <c r="D21" s="221"/>
      <c r="E21" s="221"/>
      <c r="F21" s="222"/>
      <c r="G21" s="222"/>
      <c r="H21" s="222"/>
      <c r="I21" s="222"/>
      <c r="J21" s="222"/>
      <c r="K21" s="489"/>
    </row>
    <row r="22" spans="1:21" s="43" customFormat="1" ht="21" customHeight="1">
      <c r="B22" s="1112" t="s">
        <v>815</v>
      </c>
      <c r="C22" s="1113"/>
      <c r="D22" s="1113"/>
      <c r="E22" s="1113"/>
      <c r="F22" s="1113"/>
      <c r="G22" s="1113"/>
      <c r="H22" s="1113"/>
      <c r="I22" s="1113"/>
      <c r="J22" s="1113"/>
      <c r="K22" s="487" t="s">
        <v>258</v>
      </c>
    </row>
    <row r="23" spans="1:21" s="43" customFormat="1" ht="15.5">
      <c r="B23" s="1107" t="s">
        <v>816</v>
      </c>
      <c r="C23" s="1108"/>
      <c r="D23" s="1108"/>
      <c r="E23" s="1108"/>
      <c r="F23" s="1108"/>
      <c r="G23" s="1108"/>
      <c r="H23" s="1108"/>
      <c r="I23" s="1108"/>
      <c r="J23" s="1108"/>
      <c r="K23" s="1109"/>
    </row>
    <row r="24" spans="1:21" s="43" customFormat="1" ht="16" customHeight="1">
      <c r="B24" s="1141"/>
      <c r="C24" s="1125"/>
      <c r="D24" s="1125"/>
      <c r="E24" s="1125"/>
      <c r="F24" s="1125"/>
      <c r="G24" s="1125"/>
      <c r="H24" s="1125"/>
      <c r="I24" s="1125"/>
      <c r="J24" s="1125"/>
      <c r="K24" s="1142"/>
    </row>
    <row r="25" spans="1:21" s="43" customFormat="1" ht="16" customHeight="1">
      <c r="B25" s="1141"/>
      <c r="C25" s="1125"/>
      <c r="D25" s="1125"/>
      <c r="E25" s="1125"/>
      <c r="F25" s="1125"/>
      <c r="G25" s="1125"/>
      <c r="H25" s="1125"/>
      <c r="I25" s="1125"/>
      <c r="J25" s="1125"/>
      <c r="K25" s="1142"/>
    </row>
    <row r="26" spans="1:21" s="43" customFormat="1" ht="15.5">
      <c r="B26" s="488"/>
      <c r="C26" s="220"/>
      <c r="D26" s="221"/>
      <c r="E26" s="221"/>
      <c r="F26" s="222"/>
      <c r="G26" s="222"/>
      <c r="H26" s="222"/>
      <c r="I26" s="222"/>
      <c r="J26" s="222"/>
      <c r="K26" s="489"/>
    </row>
    <row r="27" spans="1:21" s="43" customFormat="1" ht="15.5">
      <c r="B27" s="490"/>
      <c r="C27" s="491"/>
      <c r="D27" s="492"/>
      <c r="E27" s="492"/>
      <c r="F27" s="493"/>
      <c r="G27" s="493"/>
      <c r="H27" s="493"/>
      <c r="I27" s="493"/>
      <c r="J27" s="493"/>
      <c r="K27" s="494"/>
    </row>
    <row r="28" spans="1:21" customFormat="1" ht="21" customHeight="1">
      <c r="A28" s="43"/>
      <c r="B28" s="1070" t="s">
        <v>1507</v>
      </c>
      <c r="C28" s="1070"/>
      <c r="D28" s="1070"/>
      <c r="E28" s="1070"/>
      <c r="F28" s="1070"/>
      <c r="G28" s="1070"/>
      <c r="H28" s="1070"/>
      <c r="I28" s="1070"/>
      <c r="J28" s="1070"/>
      <c r="K28" s="1070"/>
      <c r="L28" s="1070"/>
      <c r="M28" s="1070"/>
      <c r="N28" s="1070"/>
      <c r="O28" s="1070"/>
      <c r="P28" s="1070"/>
      <c r="Q28" s="1070"/>
      <c r="R28" s="1070"/>
      <c r="S28" s="1070"/>
      <c r="T28" s="1070"/>
      <c r="U28" s="1070"/>
    </row>
    <row r="29" spans="1:21" customFormat="1" ht="72" customHeight="1" thickBot="1">
      <c r="A29" s="43"/>
      <c r="B29" s="1126" t="s">
        <v>1513</v>
      </c>
      <c r="C29" s="1126"/>
      <c r="D29" s="1126"/>
      <c r="E29" s="1126"/>
      <c r="F29" s="1126"/>
      <c r="G29" s="1126"/>
      <c r="H29" s="1126"/>
      <c r="I29" s="1126"/>
      <c r="J29" s="1126"/>
      <c r="K29" s="1126"/>
      <c r="L29" s="1126"/>
    </row>
    <row r="30" spans="1:21" customFormat="1" ht="18.5" customHeight="1" thickBot="1">
      <c r="A30" s="43"/>
      <c r="B30" s="1117" t="s">
        <v>1713</v>
      </c>
      <c r="C30" s="1118"/>
      <c r="D30" s="1118"/>
      <c r="E30" s="1118"/>
      <c r="F30" s="1118"/>
      <c r="G30" s="1118"/>
      <c r="H30" s="1118"/>
      <c r="I30" s="1118"/>
      <c r="J30" s="1119"/>
      <c r="K30" s="675"/>
      <c r="L30" s="675"/>
    </row>
    <row r="31" spans="1:21" s="101" customFormat="1" ht="30" customHeight="1" thickBot="1">
      <c r="A31" s="217"/>
      <c r="B31" s="1129" t="s">
        <v>817</v>
      </c>
      <c r="C31" s="1129"/>
      <c r="D31" s="586" t="s">
        <v>818</v>
      </c>
      <c r="E31" s="586" t="s">
        <v>819</v>
      </c>
      <c r="F31" s="586" t="s">
        <v>820</v>
      </c>
      <c r="G31" s="586" t="s">
        <v>821</v>
      </c>
      <c r="H31" s="586" t="s">
        <v>822</v>
      </c>
      <c r="I31" s="651" t="s">
        <v>823</v>
      </c>
      <c r="J31" s="651" t="s">
        <v>2500</v>
      </c>
      <c r="K31" s="586" t="s">
        <v>321</v>
      </c>
    </row>
    <row r="32" spans="1:21" s="103" customFormat="1" ht="17.25" customHeight="1" thickBot="1">
      <c r="A32" s="218"/>
      <c r="B32" s="1128" t="s">
        <v>374</v>
      </c>
      <c r="C32" s="1128"/>
      <c r="D32" s="495"/>
      <c r="E32" s="495"/>
      <c r="F32" s="495"/>
      <c r="G32" s="495"/>
      <c r="H32" s="495"/>
      <c r="I32" s="495"/>
      <c r="J32" s="495"/>
      <c r="K32" s="496"/>
    </row>
    <row r="33" spans="1:13" s="103" customFormat="1" ht="17.25" customHeight="1" thickBot="1">
      <c r="A33" s="218"/>
      <c r="B33" s="1128" t="s">
        <v>824</v>
      </c>
      <c r="C33" s="1128"/>
      <c r="D33" s="495"/>
      <c r="E33" s="495"/>
      <c r="F33" s="495"/>
      <c r="G33" s="495"/>
      <c r="H33" s="495"/>
      <c r="I33" s="495"/>
      <c r="J33" s="495"/>
      <c r="K33" s="496"/>
    </row>
    <row r="34" spans="1:13" s="103" customFormat="1" ht="17.25" customHeight="1" thickBot="1">
      <c r="A34" s="218"/>
      <c r="B34" s="1128" t="s">
        <v>825</v>
      </c>
      <c r="C34" s="1128"/>
      <c r="D34" s="495"/>
      <c r="E34" s="495"/>
      <c r="F34" s="495"/>
      <c r="G34" s="495"/>
      <c r="H34" s="495"/>
      <c r="I34" s="495"/>
      <c r="J34" s="495"/>
      <c r="K34" s="496"/>
    </row>
    <row r="35" spans="1:13" s="103" customFormat="1" ht="17.25" customHeight="1" thickBot="1">
      <c r="A35" s="218"/>
      <c r="B35" s="1128" t="s">
        <v>826</v>
      </c>
      <c r="C35" s="1128"/>
      <c r="D35" s="495"/>
      <c r="E35" s="495"/>
      <c r="F35" s="495"/>
      <c r="G35" s="495"/>
      <c r="H35" s="495"/>
      <c r="I35" s="495"/>
      <c r="J35" s="495"/>
      <c r="K35" s="496"/>
    </row>
    <row r="36" spans="1:13" s="103" customFormat="1" ht="17.25" customHeight="1" thickBot="1">
      <c r="A36" s="218"/>
      <c r="B36" s="1128" t="s">
        <v>827</v>
      </c>
      <c r="C36" s="1128"/>
      <c r="D36" s="495"/>
      <c r="E36" s="495"/>
      <c r="F36" s="495"/>
      <c r="G36" s="495"/>
      <c r="H36" s="495"/>
      <c r="I36" s="495"/>
      <c r="J36" s="495"/>
      <c r="K36" s="496"/>
    </row>
    <row r="37" spans="1:13" s="103" customFormat="1" ht="17.25" customHeight="1" thickBot="1">
      <c r="A37" s="218"/>
      <c r="B37" s="1130" t="s">
        <v>828</v>
      </c>
      <c r="C37" s="1130"/>
      <c r="D37" s="495"/>
      <c r="E37" s="495"/>
      <c r="F37" s="495"/>
      <c r="G37" s="495"/>
      <c r="H37" s="495"/>
      <c r="I37" s="495"/>
      <c r="J37" s="495"/>
      <c r="K37" s="496"/>
    </row>
    <row r="38" spans="1:13" s="103" customFormat="1" ht="17.25" customHeight="1" thickBot="1">
      <c r="A38" s="218"/>
      <c r="B38" s="1130" t="s">
        <v>828</v>
      </c>
      <c r="C38" s="1130"/>
      <c r="D38" s="495"/>
      <c r="E38" s="495"/>
      <c r="F38" s="495"/>
      <c r="G38" s="495"/>
      <c r="H38" s="495"/>
      <c r="I38" s="495"/>
      <c r="J38" s="495"/>
      <c r="K38" s="496"/>
    </row>
    <row r="39" spans="1:13" s="103" customFormat="1" ht="17.25" customHeight="1" thickBot="1">
      <c r="A39" s="218"/>
      <c r="B39" s="1130" t="s">
        <v>828</v>
      </c>
      <c r="C39" s="1130"/>
      <c r="D39" s="495"/>
      <c r="E39" s="495"/>
      <c r="F39" s="495"/>
      <c r="G39" s="495"/>
      <c r="H39" s="495"/>
      <c r="I39" s="495"/>
      <c r="J39" s="495"/>
      <c r="K39" s="496"/>
    </row>
    <row r="40" spans="1:13" customFormat="1" ht="16.5" customHeight="1">
      <c r="A40" s="43"/>
      <c r="B40" s="1134" t="s">
        <v>829</v>
      </c>
      <c r="C40" s="1134"/>
      <c r="D40" s="482">
        <f>SUM(D32:D39)</f>
        <v>0</v>
      </c>
      <c r="E40" s="482">
        <f>SUM(E32:E39)</f>
        <v>0</v>
      </c>
      <c r="F40" s="482">
        <f>SUM(F32:F39)</f>
        <v>0</v>
      </c>
      <c r="G40" s="482">
        <f>SUM(G32:G39)</f>
        <v>0</v>
      </c>
      <c r="H40" s="482">
        <f>SUM(H32:H39)</f>
        <v>0</v>
      </c>
      <c r="I40" s="482">
        <f t="shared" ref="I40:J40" si="0">SUM(I32:I39)</f>
        <v>0</v>
      </c>
      <c r="J40" s="482">
        <f t="shared" si="0"/>
        <v>0</v>
      </c>
      <c r="K40" s="483"/>
    </row>
    <row r="41" spans="1:13" s="43" customFormat="1">
      <c r="B41" s="1124" t="s">
        <v>2501</v>
      </c>
      <c r="C41" s="1124"/>
      <c r="D41" s="1124"/>
      <c r="E41" s="1124"/>
      <c r="F41" s="1124"/>
      <c r="G41" s="480"/>
      <c r="H41" s="480"/>
      <c r="I41" s="480"/>
      <c r="J41" s="480"/>
    </row>
    <row r="42" spans="1:13" s="101" customFormat="1" ht="19" customHeight="1" thickBot="1">
      <c r="A42" s="217"/>
      <c r="B42" s="43"/>
      <c r="C42" s="43"/>
      <c r="D42" s="43"/>
      <c r="E42" s="477"/>
      <c r="F42" s="477"/>
      <c r="G42" s="477"/>
      <c r="H42" s="1098" t="s">
        <v>1508</v>
      </c>
      <c r="I42" s="1098"/>
      <c r="J42" s="476">
        <f>SUM(D40:J40)</f>
        <v>0</v>
      </c>
      <c r="K42" s="605" t="s">
        <v>830</v>
      </c>
      <c r="L42" s="217"/>
    </row>
    <row r="43" spans="1:13" customFormat="1" ht="36" customHeight="1" thickBot="1">
      <c r="A43" s="43"/>
      <c r="B43" s="43"/>
      <c r="C43" s="43"/>
      <c r="D43" s="1120"/>
      <c r="E43" s="1120"/>
      <c r="F43" s="1120"/>
      <c r="G43" s="1120"/>
      <c r="H43" s="1120"/>
      <c r="I43" s="478"/>
      <c r="J43" s="479"/>
      <c r="K43" s="527"/>
      <c r="L43" s="43"/>
    </row>
    <row r="44" spans="1:13" customFormat="1" ht="69.5" customHeight="1" thickBot="1">
      <c r="A44" s="43"/>
      <c r="B44" s="43"/>
      <c r="C44" s="43"/>
      <c r="D44" s="1121" t="s">
        <v>1818</v>
      </c>
      <c r="E44" s="1122"/>
      <c r="F44" s="1122"/>
      <c r="G44" s="1122"/>
      <c r="H44" s="1123"/>
      <c r="I44" s="676" t="s">
        <v>1715</v>
      </c>
      <c r="J44" s="479"/>
      <c r="K44" s="62"/>
      <c r="L44" s="43"/>
    </row>
    <row r="45" spans="1:13" customFormat="1" ht="16" customHeight="1" thickBot="1">
      <c r="A45" s="43"/>
      <c r="B45" s="43"/>
      <c r="C45" s="43"/>
      <c r="D45" s="1131" t="s">
        <v>1510</v>
      </c>
      <c r="E45" s="1132"/>
      <c r="F45" s="1132"/>
      <c r="G45" s="1133"/>
      <c r="H45" s="1135" t="s">
        <v>1511</v>
      </c>
      <c r="I45" s="1136"/>
      <c r="J45" s="479"/>
      <c r="K45" s="45"/>
      <c r="L45" s="43"/>
    </row>
    <row r="46" spans="1:13" customFormat="1" ht="36" customHeight="1">
      <c r="A46" s="43"/>
      <c r="B46" s="1129" t="s">
        <v>817</v>
      </c>
      <c r="C46" s="1129"/>
      <c r="D46" s="655" t="s">
        <v>820</v>
      </c>
      <c r="E46" s="656" t="s">
        <v>821</v>
      </c>
      <c r="F46" s="656" t="s">
        <v>822</v>
      </c>
      <c r="G46" s="656" t="s">
        <v>1509</v>
      </c>
      <c r="H46" s="898" t="s">
        <v>2502</v>
      </c>
      <c r="I46" s="657" t="s">
        <v>2503</v>
      </c>
      <c r="J46" s="653" t="s">
        <v>321</v>
      </c>
      <c r="K46" s="479"/>
      <c r="L46" s="45"/>
      <c r="M46" s="43"/>
    </row>
    <row r="47" spans="1:13" customFormat="1" ht="15.5">
      <c r="A47" s="43"/>
      <c r="B47" s="1128" t="s">
        <v>374</v>
      </c>
      <c r="C47" s="1128"/>
      <c r="D47" s="660"/>
      <c r="E47" s="654"/>
      <c r="F47" s="654"/>
      <c r="G47" s="896"/>
      <c r="H47" s="897"/>
      <c r="I47" s="661"/>
      <c r="J47" s="661"/>
      <c r="K47" s="479"/>
      <c r="L47" s="45"/>
      <c r="M47" s="43"/>
    </row>
    <row r="48" spans="1:13" customFormat="1" ht="15.5">
      <c r="A48" s="43"/>
      <c r="B48" s="1128" t="s">
        <v>824</v>
      </c>
      <c r="C48" s="1128"/>
      <c r="D48" s="660"/>
      <c r="E48" s="654"/>
      <c r="F48" s="654"/>
      <c r="G48" s="896"/>
      <c r="H48" s="897"/>
      <c r="I48" s="661"/>
      <c r="J48" s="661"/>
      <c r="K48" s="479"/>
      <c r="L48" s="45"/>
      <c r="M48" s="43"/>
    </row>
    <row r="49" spans="1:13" customFormat="1" ht="15.5">
      <c r="A49" s="43"/>
      <c r="B49" s="1128" t="s">
        <v>825</v>
      </c>
      <c r="C49" s="1128"/>
      <c r="D49" s="660"/>
      <c r="E49" s="654"/>
      <c r="F49" s="654"/>
      <c r="G49" s="896"/>
      <c r="H49" s="897"/>
      <c r="I49" s="661"/>
      <c r="J49" s="661"/>
      <c r="K49" s="479"/>
      <c r="L49" s="45"/>
      <c r="M49" s="43"/>
    </row>
    <row r="50" spans="1:13" customFormat="1" ht="15.5">
      <c r="A50" s="43"/>
      <c r="B50" s="1128" t="s">
        <v>826</v>
      </c>
      <c r="C50" s="1128"/>
      <c r="D50" s="660"/>
      <c r="E50" s="654"/>
      <c r="F50" s="654"/>
      <c r="G50" s="896"/>
      <c r="H50" s="897"/>
      <c r="I50" s="661"/>
      <c r="J50" s="661"/>
      <c r="K50" s="479"/>
      <c r="L50" s="45"/>
      <c r="M50" s="43"/>
    </row>
    <row r="51" spans="1:13" customFormat="1" ht="15.5">
      <c r="A51" s="43"/>
      <c r="B51" s="1128" t="s">
        <v>827</v>
      </c>
      <c r="C51" s="1128"/>
      <c r="D51" s="660"/>
      <c r="E51" s="654"/>
      <c r="F51" s="654"/>
      <c r="G51" s="896"/>
      <c r="H51" s="897"/>
      <c r="I51" s="661"/>
      <c r="J51" s="661"/>
      <c r="K51" s="479"/>
      <c r="L51" s="45"/>
      <c r="M51" s="43"/>
    </row>
    <row r="52" spans="1:13" customFormat="1" ht="15.5">
      <c r="A52" s="43"/>
      <c r="B52" s="1130" t="s">
        <v>828</v>
      </c>
      <c r="C52" s="1130"/>
      <c r="D52" s="660"/>
      <c r="E52" s="654"/>
      <c r="F52" s="654"/>
      <c r="G52" s="896"/>
      <c r="H52" s="897"/>
      <c r="I52" s="661"/>
      <c r="J52" s="661"/>
      <c r="K52" s="479"/>
      <c r="L52" s="45"/>
      <c r="M52" s="43"/>
    </row>
    <row r="53" spans="1:13" customFormat="1" ht="15.5">
      <c r="A53" s="43"/>
      <c r="B53" s="1134" t="s">
        <v>829</v>
      </c>
      <c r="C53" s="1134"/>
      <c r="D53" s="663">
        <f>SUM(D47:D52)</f>
        <v>0</v>
      </c>
      <c r="E53" s="663">
        <f t="shared" ref="E53:I53" si="1">SUM(E47:E52)</f>
        <v>0</v>
      </c>
      <c r="F53" s="663">
        <f t="shared" si="1"/>
        <v>0</v>
      </c>
      <c r="G53" s="663">
        <f t="shared" si="1"/>
        <v>0</v>
      </c>
      <c r="H53" s="663">
        <f>SUM(H47:H52)</f>
        <v>0</v>
      </c>
      <c r="I53" s="663">
        <f t="shared" si="1"/>
        <v>0</v>
      </c>
      <c r="J53" s="662"/>
      <c r="K53" s="479"/>
      <c r="L53" s="45"/>
      <c r="M53" s="43"/>
    </row>
    <row r="54" spans="1:13" customFormat="1" ht="15.5">
      <c r="A54" s="43"/>
      <c r="B54" s="43"/>
      <c r="C54" s="43"/>
      <c r="D54" s="43"/>
      <c r="E54" s="477"/>
      <c r="F54" s="477"/>
      <c r="G54" s="477"/>
      <c r="H54" s="658"/>
      <c r="I54" s="658"/>
      <c r="J54" s="659"/>
      <c r="K54" s="45"/>
      <c r="L54" s="43"/>
    </row>
    <row r="55" spans="1:13" customFormat="1" ht="15.5">
      <c r="A55" s="43"/>
      <c r="B55" s="43"/>
      <c r="C55" s="43"/>
      <c r="D55" s="43"/>
      <c r="E55" s="477"/>
      <c r="F55" s="477"/>
      <c r="G55" s="477"/>
      <c r="H55" s="1098" t="s">
        <v>1512</v>
      </c>
      <c r="I55" s="1098"/>
      <c r="J55" s="476">
        <f>SUM(D53:I53)</f>
        <v>0</v>
      </c>
      <c r="K55" s="605" t="s">
        <v>830</v>
      </c>
      <c r="L55" s="43"/>
    </row>
    <row r="56" spans="1:13" customFormat="1" ht="15.5">
      <c r="A56" s="43"/>
      <c r="B56" s="43"/>
      <c r="C56" s="43"/>
      <c r="D56" s="43"/>
      <c r="E56" s="477"/>
      <c r="F56" s="477"/>
      <c r="G56" s="477"/>
      <c r="H56" s="478"/>
      <c r="I56" s="478"/>
      <c r="J56" s="479"/>
      <c r="K56" s="1099"/>
      <c r="L56" s="43"/>
    </row>
    <row r="57" spans="1:13" customFormat="1" ht="15.5">
      <c r="A57" s="43"/>
      <c r="B57" s="43"/>
      <c r="C57" s="43"/>
      <c r="D57" s="43"/>
      <c r="E57" s="477"/>
      <c r="F57" s="477"/>
      <c r="G57" s="477"/>
      <c r="H57" s="478"/>
      <c r="I57" s="478"/>
      <c r="J57" s="479"/>
      <c r="K57" s="1099"/>
      <c r="L57" s="43"/>
    </row>
    <row r="58" spans="1:13" s="43" customFormat="1">
      <c r="E58" s="480"/>
      <c r="F58" s="480"/>
      <c r="G58" s="480"/>
      <c r="H58" s="481"/>
      <c r="I58" s="481"/>
      <c r="J58" s="480"/>
    </row>
    <row r="59" spans="1:13" s="43" customFormat="1" ht="19" customHeight="1">
      <c r="B59" s="1127" t="s">
        <v>1277</v>
      </c>
      <c r="C59" s="1127"/>
      <c r="D59" s="1127"/>
      <c r="E59" s="1127"/>
      <c r="F59" s="1127"/>
      <c r="G59" s="1127"/>
      <c r="H59" s="1127"/>
      <c r="I59" s="1127"/>
      <c r="J59" s="1127"/>
      <c r="K59" s="464" t="s">
        <v>258</v>
      </c>
    </row>
    <row r="60" spans="1:13" s="461" customFormat="1" ht="15.5">
      <c r="B60" s="1100" t="s">
        <v>2584</v>
      </c>
      <c r="C60" s="1100"/>
      <c r="D60" s="1100"/>
      <c r="E60" s="1100"/>
      <c r="F60" s="1100"/>
      <c r="G60" s="1100"/>
      <c r="H60" s="1100"/>
      <c r="I60" s="1100"/>
      <c r="J60" s="1100"/>
      <c r="K60" s="1100"/>
    </row>
    <row r="61" spans="1:13" s="461" customFormat="1" ht="16" customHeight="1">
      <c r="B61" s="1125"/>
      <c r="C61" s="1125"/>
      <c r="D61" s="1125"/>
      <c r="E61" s="1125"/>
      <c r="F61" s="1125"/>
      <c r="G61" s="1125"/>
      <c r="H61" s="1125"/>
      <c r="I61" s="1125"/>
      <c r="J61" s="1125"/>
      <c r="K61" s="1125"/>
    </row>
    <row r="62" spans="1:13" s="461" customFormat="1" ht="16" customHeight="1">
      <c r="B62" s="1125"/>
      <c r="C62" s="1125"/>
      <c r="D62" s="1125"/>
      <c r="E62" s="1125"/>
      <c r="F62" s="1125"/>
      <c r="G62" s="1125"/>
      <c r="H62" s="1125"/>
      <c r="I62" s="1125"/>
      <c r="J62" s="1125"/>
      <c r="K62" s="1125"/>
    </row>
    <row r="63" spans="1:13" s="461" customFormat="1" ht="16" customHeight="1">
      <c r="B63" s="652"/>
      <c r="C63" s="652"/>
      <c r="D63" s="652"/>
      <c r="E63" s="652"/>
      <c r="F63" s="652"/>
      <c r="G63" s="652"/>
      <c r="H63" s="652"/>
      <c r="I63" s="652"/>
      <c r="J63" s="652"/>
      <c r="K63" s="652"/>
    </row>
    <row r="64" spans="1:13" s="461" customFormat="1" ht="16" customHeight="1">
      <c r="B64" s="652"/>
      <c r="C64" s="652"/>
      <c r="D64" s="652"/>
      <c r="E64" s="652"/>
      <c r="F64" s="652"/>
      <c r="G64" s="652"/>
      <c r="H64" s="652"/>
      <c r="I64" s="652"/>
      <c r="J64" s="652"/>
      <c r="K64" s="652"/>
    </row>
    <row r="65" spans="2:11" s="461" customFormat="1" ht="16" customHeight="1">
      <c r="B65" s="652"/>
      <c r="C65" s="652"/>
      <c r="D65" s="652"/>
      <c r="E65" s="652"/>
      <c r="F65" s="652"/>
      <c r="G65" s="652"/>
      <c r="H65" s="652"/>
      <c r="I65" s="652"/>
      <c r="J65" s="652"/>
      <c r="K65" s="652"/>
    </row>
    <row r="66" spans="2:11" s="461" customFormat="1"/>
    <row r="67" spans="2:11"/>
    <row r="68" spans="2:11"/>
    <row r="69" spans="2:11"/>
    <row r="71" spans="2:11"/>
    <row r="72" spans="2:11"/>
    <row r="73" spans="2:11"/>
    <row r="74" spans="2:11"/>
    <row r="75" spans="2:11"/>
    <row r="77" spans="2:11"/>
    <row r="78" spans="2:11"/>
    <row r="79" spans="2:11"/>
    <row r="80" spans="2:11"/>
    <row r="81" s="460" customFormat="1"/>
    <row r="82" s="460" customFormat="1"/>
    <row r="83" s="460" customFormat="1"/>
    <row r="84" s="460" customFormat="1"/>
    <row r="85"/>
    <row r="86"/>
    <row r="87"/>
    <row r="88"/>
    <row r="89"/>
    <row r="90"/>
    <row r="91"/>
    <row r="92"/>
    <row r="93"/>
    <row r="94"/>
    <row r="95"/>
    <row r="96"/>
    <row r="97"/>
    <row r="98"/>
    <row r="99"/>
    <row r="100"/>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sheetData>
  <sheetProtection selectLockedCells="1"/>
  <mergeCells count="46">
    <mergeCell ref="B1:K1"/>
    <mergeCell ref="C5:K5"/>
    <mergeCell ref="H42:I42"/>
    <mergeCell ref="B31:C31"/>
    <mergeCell ref="B32:C32"/>
    <mergeCell ref="B33:C33"/>
    <mergeCell ref="B34:C34"/>
    <mergeCell ref="B35:C35"/>
    <mergeCell ref="B12:K12"/>
    <mergeCell ref="B36:C36"/>
    <mergeCell ref="B37:C37"/>
    <mergeCell ref="B38:C38"/>
    <mergeCell ref="B39:C39"/>
    <mergeCell ref="B40:C40"/>
    <mergeCell ref="B13:K14"/>
    <mergeCell ref="B24:K25"/>
    <mergeCell ref="B61:K62"/>
    <mergeCell ref="B28:U28"/>
    <mergeCell ref="B29:L29"/>
    <mergeCell ref="B59:J59"/>
    <mergeCell ref="B49:C49"/>
    <mergeCell ref="B46:C46"/>
    <mergeCell ref="B47:C47"/>
    <mergeCell ref="B48:C48"/>
    <mergeCell ref="B50:C50"/>
    <mergeCell ref="B51:C51"/>
    <mergeCell ref="B52:C52"/>
    <mergeCell ref="D45:G45"/>
    <mergeCell ref="B53:C53"/>
    <mergeCell ref="H45:I45"/>
    <mergeCell ref="B2:B7"/>
    <mergeCell ref="C6:K6"/>
    <mergeCell ref="H55:I55"/>
    <mergeCell ref="K56:K57"/>
    <mergeCell ref="B60:K60"/>
    <mergeCell ref="B10:K10"/>
    <mergeCell ref="B9:K9"/>
    <mergeCell ref="B23:K23"/>
    <mergeCell ref="B11:J11"/>
    <mergeCell ref="B22:J22"/>
    <mergeCell ref="C2:K4"/>
    <mergeCell ref="B16:J16"/>
    <mergeCell ref="B30:J30"/>
    <mergeCell ref="D43:H43"/>
    <mergeCell ref="D44:H44"/>
    <mergeCell ref="B41:F41"/>
  </mergeCells>
  <conditionalFormatting sqref="B12">
    <cfRule type="expression" dxfId="30" priority="4">
      <formula>$K$11&lt;&gt;"yes"</formula>
    </cfRule>
  </conditionalFormatting>
  <conditionalFormatting sqref="B23:K23">
    <cfRule type="expression" dxfId="29" priority="2">
      <formula>$K$22&lt;&gt;"yes"</formula>
    </cfRule>
  </conditionalFormatting>
  <conditionalFormatting sqref="B60:K60">
    <cfRule type="expression" dxfId="28" priority="1">
      <formula>$K$59&lt;&gt;"yes"</formula>
    </cfRule>
  </conditionalFormatting>
  <hyperlinks>
    <hyperlink ref="I44" r:id="rId1" location=":~:text=The%20Massachusetts%20Department%20of%20Environmental,GVWR)%20greater%20than%208%2C500%20pounds." display="For more information on the MassDEP MD/HD reporting requirement, click here." xr:uid="{43C3F78F-2BB6-4916-AAB5-109554FDF916}"/>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C338E21-527B-024C-94D3-D9AC14C92EB8}">
          <x14:formula1>
            <xm:f>Source!$I$1:$I$4</xm:f>
          </x14:formula1>
          <xm:sqref>K11 K22 K59</xm:sqref>
        </x14:dataValidation>
        <x14:dataValidation type="list" allowBlank="1" showInputMessage="1" showErrorMessage="1" xr:uid="{65257A4D-64FA-4A4A-8121-19B46E2DBF0D}">
          <x14:formula1>
            <xm:f>Source!$AQ$1:$AQ$6</xm:f>
          </x14:formula1>
          <xm:sqref>B37:C39 B52:C52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121"/>
  <sheetViews>
    <sheetView showGridLines="0" zoomScale="60" zoomScaleNormal="60" workbookViewId="0">
      <pane xSplit="1" ySplit="5" topLeftCell="B6" activePane="bottomRight" state="frozen"/>
      <selection activeCell="J24" sqref="J24"/>
      <selection pane="topRight" activeCell="J24" sqref="J24"/>
      <selection pane="bottomLeft" activeCell="J24" sqref="J24"/>
      <selection pane="bottomRight" activeCell="I61" sqref="I61"/>
    </sheetView>
  </sheetViews>
  <sheetFormatPr defaultColWidth="0" defaultRowHeight="15.5" zeroHeight="1"/>
  <cols>
    <col min="1" max="1" width="1.81640625" style="196" customWidth="1"/>
    <col min="2" max="2" width="10.26953125" style="196" customWidth="1"/>
    <col min="3" max="3" width="27" style="196" customWidth="1"/>
    <col min="4" max="4" width="8.7265625" style="196" customWidth="1"/>
    <col min="5" max="5" width="58.26953125" style="411" customWidth="1"/>
    <col min="6" max="6" width="24" style="196" customWidth="1"/>
    <col min="7" max="7" width="14.26953125" style="196" customWidth="1"/>
    <col min="8" max="8" width="13.453125" style="224" customWidth="1"/>
    <col min="9" max="9" width="20" style="196" customWidth="1"/>
    <col min="10" max="10" width="12.1796875" style="196" customWidth="1"/>
    <col min="11" max="11" width="38" style="196" customWidth="1"/>
    <col min="12" max="12" width="8.453125" style="196" customWidth="1"/>
    <col min="13" max="16384" width="9.1796875" style="196" hidden="1"/>
  </cols>
  <sheetData>
    <row r="1" spans="2:19" ht="16" thickBot="1">
      <c r="B1" s="1143" t="s">
        <v>23</v>
      </c>
      <c r="C1" s="1143"/>
      <c r="D1" s="1143"/>
      <c r="E1" s="1143"/>
      <c r="F1" s="1143"/>
      <c r="G1" s="1143"/>
      <c r="H1" s="1143"/>
      <c r="I1" s="1143"/>
      <c r="J1" s="1143"/>
      <c r="K1" s="1143"/>
      <c r="L1" s="58"/>
      <c r="M1" s="529"/>
      <c r="N1" s="529"/>
      <c r="O1" s="529"/>
      <c r="P1" s="529"/>
      <c r="Q1" s="529"/>
      <c r="R1" s="529"/>
      <c r="S1" s="529"/>
    </row>
    <row r="2" spans="2:19" ht="15.75" customHeight="1">
      <c r="B2" s="941" t="s">
        <v>19</v>
      </c>
      <c r="C2" s="941"/>
      <c r="D2" s="941"/>
      <c r="E2" s="1144" t="s">
        <v>831</v>
      </c>
      <c r="F2" s="1145"/>
      <c r="G2" s="1145"/>
      <c r="H2" s="1145"/>
      <c r="I2" s="1145"/>
      <c r="J2" s="1145"/>
      <c r="K2" s="1145"/>
      <c r="L2" s="215"/>
      <c r="M2" s="215"/>
      <c r="N2" s="215"/>
      <c r="O2" s="215"/>
      <c r="P2" s="215"/>
      <c r="Q2" s="215"/>
      <c r="R2" s="215"/>
      <c r="S2" s="215"/>
    </row>
    <row r="3" spans="2:19">
      <c r="B3" s="941"/>
      <c r="C3" s="941"/>
      <c r="D3" s="941"/>
      <c r="E3" s="1144"/>
      <c r="F3" s="1145"/>
      <c r="G3" s="1145"/>
      <c r="H3" s="1145"/>
      <c r="I3" s="1145"/>
      <c r="J3" s="1145"/>
      <c r="K3" s="1145"/>
      <c r="L3" s="215"/>
      <c r="M3" s="215"/>
      <c r="N3" s="215"/>
      <c r="O3" s="215"/>
      <c r="P3" s="215"/>
      <c r="Q3" s="215"/>
      <c r="R3" s="215"/>
      <c r="S3" s="215"/>
    </row>
    <row r="4" spans="2:19" ht="15.75" customHeight="1" thickBot="1">
      <c r="B4" s="941"/>
      <c r="C4" s="941"/>
      <c r="D4" s="941"/>
      <c r="E4" s="1146" t="s">
        <v>832</v>
      </c>
      <c r="F4" s="1147"/>
      <c r="G4" s="1147"/>
      <c r="H4" s="1147"/>
      <c r="I4" s="1147"/>
      <c r="J4" s="1147"/>
      <c r="K4" s="1147"/>
      <c r="L4" s="223"/>
      <c r="M4" s="215"/>
      <c r="N4" s="215"/>
      <c r="O4" s="215"/>
      <c r="P4" s="215"/>
      <c r="Q4" s="215"/>
      <c r="R4" s="215"/>
      <c r="S4" s="215"/>
    </row>
    <row r="5" spans="2:19" ht="18" customHeight="1">
      <c r="B5" s="941"/>
      <c r="C5" s="941"/>
      <c r="D5" s="941"/>
      <c r="E5" s="1061" t="s">
        <v>392</v>
      </c>
      <c r="F5" s="1062"/>
      <c r="G5" s="1062"/>
      <c r="H5" s="1062"/>
      <c r="I5" s="1062"/>
      <c r="J5" s="1062"/>
      <c r="K5" s="1062"/>
      <c r="L5" s="215"/>
      <c r="M5" s="215"/>
      <c r="N5" s="215"/>
      <c r="O5" s="215"/>
      <c r="P5" s="215"/>
      <c r="Q5" s="215"/>
      <c r="R5" s="215"/>
      <c r="S5" s="215"/>
    </row>
    <row r="6" spans="2:19" ht="13" customHeight="1">
      <c r="B6" s="529"/>
      <c r="C6" s="529"/>
      <c r="D6" s="529"/>
      <c r="E6" s="546"/>
      <c r="F6" s="529"/>
      <c r="G6" s="529"/>
      <c r="H6" s="547"/>
      <c r="I6" s="529"/>
      <c r="J6" s="529"/>
      <c r="K6" s="529"/>
      <c r="L6" s="529"/>
      <c r="M6" s="529"/>
      <c r="N6" s="529"/>
      <c r="O6" s="529"/>
      <c r="P6" s="529"/>
      <c r="Q6" s="529"/>
      <c r="R6" s="529"/>
      <c r="S6" s="529"/>
    </row>
    <row r="7" spans="2:19" s="225" customFormat="1" ht="1.5" hidden="1" customHeight="1">
      <c r="B7" s="548"/>
      <c r="C7" s="548"/>
      <c r="D7" s="548"/>
      <c r="E7" s="1150" t="s">
        <v>27</v>
      </c>
      <c r="F7" s="1150"/>
      <c r="G7" s="1152" t="str">
        <f>'Contact Information '!J9</f>
        <v>Please select your answer from the dropdown</v>
      </c>
      <c r="H7" s="1152"/>
      <c r="I7" s="1152"/>
      <c r="J7" s="119"/>
      <c r="K7" s="226"/>
      <c r="L7" s="548"/>
      <c r="M7" s="548"/>
      <c r="N7" s="548"/>
      <c r="O7" s="548"/>
      <c r="P7" s="548"/>
      <c r="Q7" s="548"/>
      <c r="R7" s="548"/>
      <c r="S7" s="548"/>
    </row>
    <row r="8" spans="2:19" ht="16.5" customHeight="1">
      <c r="B8" s="529"/>
      <c r="C8" s="529"/>
      <c r="D8" s="529"/>
      <c r="E8" s="546"/>
      <c r="F8" s="529"/>
      <c r="G8" s="529"/>
      <c r="H8" s="529"/>
      <c r="I8" s="529"/>
      <c r="J8" s="529"/>
      <c r="K8" s="529"/>
      <c r="L8" s="529"/>
      <c r="M8" s="529"/>
      <c r="N8" s="529"/>
      <c r="O8" s="529"/>
      <c r="P8" s="529"/>
      <c r="Q8" s="529"/>
      <c r="R8" s="529"/>
      <c r="S8" s="529"/>
    </row>
    <row r="9" spans="2:19" ht="14.5" customHeight="1">
      <c r="B9" s="529"/>
      <c r="C9" s="529"/>
      <c r="D9" s="529"/>
      <c r="E9" s="546"/>
      <c r="F9" s="227"/>
      <c r="G9" s="227"/>
      <c r="H9" s="227"/>
      <c r="I9" s="227"/>
      <c r="J9" s="227"/>
      <c r="K9" s="227"/>
      <c r="L9" s="529"/>
      <c r="M9" s="529"/>
      <c r="N9" s="529"/>
      <c r="O9" s="529"/>
      <c r="P9" s="529"/>
      <c r="Q9" s="529"/>
      <c r="R9" s="529"/>
      <c r="S9" s="529"/>
    </row>
    <row r="10" spans="2:19" ht="30.75" customHeight="1" thickBot="1">
      <c r="B10" s="1148" t="s">
        <v>19</v>
      </c>
      <c r="C10" s="1148"/>
      <c r="D10" s="1148"/>
      <c r="E10" s="1148"/>
      <c r="F10" s="1148"/>
      <c r="G10" s="1148"/>
      <c r="H10" s="1148"/>
      <c r="I10" s="1148"/>
      <c r="J10" s="1148"/>
      <c r="K10" s="1148"/>
      <c r="L10" s="56"/>
      <c r="M10" s="529"/>
      <c r="N10" s="529"/>
      <c r="O10" s="529"/>
      <c r="P10" s="529"/>
      <c r="Q10" s="529"/>
      <c r="R10" s="529"/>
      <c r="S10" s="529"/>
    </row>
    <row r="11" spans="2:19" s="225" customFormat="1" ht="36" customHeight="1" thickBot="1">
      <c r="B11" s="256" t="s">
        <v>394</v>
      </c>
      <c r="C11" s="1153" t="s">
        <v>833</v>
      </c>
      <c r="D11" s="1153"/>
      <c r="E11" s="1153"/>
      <c r="F11" s="1153"/>
      <c r="G11" s="1153"/>
      <c r="H11" s="1153"/>
      <c r="I11" s="1153"/>
      <c r="J11" s="1153"/>
      <c r="K11" s="1153"/>
      <c r="L11" s="57"/>
      <c r="M11" s="548"/>
      <c r="N11" s="548"/>
      <c r="O11" s="548"/>
      <c r="P11" s="548"/>
      <c r="Q11" s="548"/>
      <c r="R11" s="548"/>
      <c r="S11" s="548"/>
    </row>
    <row r="12" spans="2:19" s="225" customFormat="1" ht="36" customHeight="1">
      <c r="B12" s="118" t="s">
        <v>396</v>
      </c>
      <c r="C12" s="1154" t="s">
        <v>834</v>
      </c>
      <c r="D12" s="1154"/>
      <c r="E12" s="1154"/>
      <c r="F12" s="1154"/>
      <c r="G12" s="1154"/>
      <c r="H12" s="1154"/>
      <c r="I12" s="1154"/>
      <c r="J12" s="1154"/>
      <c r="K12" s="1154"/>
      <c r="L12" s="57"/>
      <c r="M12" s="548"/>
      <c r="N12" s="548"/>
      <c r="O12" s="548"/>
      <c r="P12" s="548"/>
      <c r="Q12" s="548"/>
      <c r="R12" s="548"/>
      <c r="S12" s="548"/>
    </row>
    <row r="13" spans="2:19" s="271" customFormat="1" ht="20.25" customHeight="1">
      <c r="B13" s="273"/>
      <c r="E13" s="273"/>
      <c r="H13" s="272"/>
    </row>
    <row r="14" spans="2:19" ht="21">
      <c r="B14" s="1151" t="s">
        <v>399</v>
      </c>
      <c r="C14" s="1151"/>
      <c r="D14" s="1151"/>
      <c r="E14" s="1151"/>
      <c r="F14" s="1151"/>
      <c r="G14" s="1151"/>
      <c r="H14" s="1151"/>
      <c r="I14" s="1151"/>
      <c r="J14" s="1151"/>
      <c r="K14" s="1151"/>
      <c r="L14" s="54"/>
      <c r="M14" s="529"/>
      <c r="N14" s="529"/>
      <c r="O14" s="529"/>
      <c r="P14" s="529"/>
      <c r="Q14" s="529"/>
      <c r="R14" s="529"/>
      <c r="S14" s="529"/>
    </row>
    <row r="15" spans="2:19" ht="18.5">
      <c r="B15" s="1149" t="s">
        <v>835</v>
      </c>
      <c r="C15" s="1149"/>
      <c r="D15" s="1149"/>
      <c r="E15" s="1149"/>
      <c r="F15" s="1149"/>
      <c r="G15" s="1149"/>
      <c r="H15" s="1149"/>
      <c r="I15" s="1149"/>
      <c r="J15" s="1149"/>
      <c r="K15" s="1149"/>
      <c r="L15" s="54"/>
      <c r="M15" s="529"/>
      <c r="N15" s="529"/>
      <c r="O15" s="529"/>
      <c r="P15" s="529"/>
      <c r="Q15" s="529"/>
      <c r="R15" s="529"/>
      <c r="S15" s="529"/>
    </row>
    <row r="16" spans="2:19" ht="15.75" customHeight="1" thickBot="1">
      <c r="B16" s="1157" t="s">
        <v>836</v>
      </c>
      <c r="C16" s="1157"/>
      <c r="D16" s="1157"/>
      <c r="E16" s="1157"/>
      <c r="F16" s="1157"/>
      <c r="G16" s="1157"/>
      <c r="H16" s="1157"/>
      <c r="I16" s="1157"/>
      <c r="J16" s="1157"/>
      <c r="K16" s="1157"/>
      <c r="L16" s="55"/>
      <c r="M16" s="529"/>
      <c r="N16" s="529"/>
      <c r="O16" s="529"/>
      <c r="P16" s="529"/>
      <c r="Q16" s="529"/>
      <c r="R16" s="529"/>
      <c r="S16" s="529"/>
    </row>
    <row r="17" spans="2:12" ht="16" thickBot="1">
      <c r="B17" s="1158" t="s">
        <v>837</v>
      </c>
      <c r="C17" s="1158"/>
      <c r="D17" s="1158"/>
      <c r="E17" s="1158"/>
      <c r="F17" s="1158"/>
      <c r="G17" s="1158"/>
      <c r="H17" s="1158"/>
      <c r="I17" s="1158"/>
      <c r="J17" s="1158"/>
      <c r="K17" s="1158"/>
      <c r="L17" s="55"/>
    </row>
    <row r="18" spans="2:12" ht="41.25" customHeight="1" thickBot="1">
      <c r="B18" s="115"/>
      <c r="C18" s="1163" t="s">
        <v>760</v>
      </c>
      <c r="D18" s="1163"/>
      <c r="E18" s="587" t="s">
        <v>456</v>
      </c>
      <c r="F18" s="116" t="s">
        <v>838</v>
      </c>
      <c r="G18" s="116" t="s">
        <v>839</v>
      </c>
      <c r="H18" s="117" t="s">
        <v>840</v>
      </c>
      <c r="I18" s="116" t="s">
        <v>1268</v>
      </c>
      <c r="J18" s="1162" t="s">
        <v>842</v>
      </c>
      <c r="K18" s="1162"/>
      <c r="L18" s="529"/>
    </row>
    <row r="19" spans="2:12" ht="16" thickBot="1">
      <c r="B19" s="549">
        <v>1</v>
      </c>
      <c r="C19" s="1161" t="str">
        <f>IFERROR(VLOOKUP($G$7&amp;$B19,'EV Charging Stations source'!A:V,5,FALSE),"")</f>
        <v/>
      </c>
      <c r="D19" s="1161"/>
      <c r="E19" s="412" t="str">
        <f>IFERROR(VLOOKUP($G$7&amp;$B19,'EV Charging Stations source'!A:V,6,FALSE),"")</f>
        <v/>
      </c>
      <c r="F19" s="228" t="str">
        <f>IFERROR(VLOOKUP($G$7&amp;$B19,'EV Charging Stations source'!A:V,20,FALSE),"")</f>
        <v/>
      </c>
      <c r="G19" s="228" t="str">
        <f>IFERROR(VLOOKUP($G$7&amp;$B19,'EV Charging Stations source'!A:V,22,FALSE),"")</f>
        <v/>
      </c>
      <c r="H19" s="228" t="str">
        <f>IFERROR(VLOOKUP($G$7&amp;$B19,'EV Charging Stations source'!A:V,21,FALSE)," ")</f>
        <v xml:space="preserve"> </v>
      </c>
      <c r="I19" s="228" t="str">
        <f>IFERROR(VLOOKUP($G$7&amp;$B19,'EV Charging Stations source'!A:V,13,FALSE)," ")</f>
        <v xml:space="preserve"> </v>
      </c>
      <c r="J19" s="1159"/>
      <c r="K19" s="1160"/>
      <c r="L19" s="529"/>
    </row>
    <row r="20" spans="2:12" ht="16" thickBot="1">
      <c r="B20" s="549">
        <v>2</v>
      </c>
      <c r="C20" s="1161" t="str">
        <f>IFERROR(VLOOKUP($G$7&amp;$B20,'EV Charging Stations source'!A:V,5,FALSE),"")</f>
        <v/>
      </c>
      <c r="D20" s="1161"/>
      <c r="E20" s="412" t="str">
        <f>IFERROR(VLOOKUP($G$7&amp;$B20,'EV Charging Stations source'!A:V,6,FALSE),"")</f>
        <v/>
      </c>
      <c r="F20" s="228" t="str">
        <f>IFERROR(VLOOKUP($G$7&amp;$B20,'EV Charging Stations source'!A:V,20,FALSE),"")</f>
        <v/>
      </c>
      <c r="G20" s="228" t="str">
        <f>IFERROR(VLOOKUP($G$7&amp;$B20,'EV Charging Stations source'!A:V,22,FALSE),"")</f>
        <v/>
      </c>
      <c r="H20" s="228" t="str">
        <f>IFERROR(VLOOKUP($G$7&amp;$B20,'EV Charging Stations source'!A:V,21,FALSE)," ")</f>
        <v xml:space="preserve"> </v>
      </c>
      <c r="I20" s="228" t="str">
        <f>IFERROR(VLOOKUP($G$7&amp;$B20,'EV Charging Stations source'!A:V,13,FALSE)," ")</f>
        <v xml:space="preserve"> </v>
      </c>
      <c r="J20" s="1159"/>
      <c r="K20" s="1160"/>
      <c r="L20" s="529"/>
    </row>
    <row r="21" spans="2:12" ht="16" thickBot="1">
      <c r="B21" s="549">
        <v>3</v>
      </c>
      <c r="C21" s="1161" t="str">
        <f>IFERROR(VLOOKUP($G$7&amp;$B21,'EV Charging Stations source'!A:V,5,FALSE),"")</f>
        <v/>
      </c>
      <c r="D21" s="1161"/>
      <c r="E21" s="412" t="str">
        <f>IFERROR(VLOOKUP($G$7&amp;$B21,'EV Charging Stations source'!A:V,6,FALSE),"")</f>
        <v/>
      </c>
      <c r="F21" s="228" t="str">
        <f>IFERROR(VLOOKUP($G$7&amp;$B21,'EV Charging Stations source'!A:V,20,FALSE),"")</f>
        <v/>
      </c>
      <c r="G21" s="228" t="str">
        <f>IFERROR(VLOOKUP($G$7&amp;$B21,'EV Charging Stations source'!A:V,22,FALSE),"")</f>
        <v/>
      </c>
      <c r="H21" s="228" t="str">
        <f>IFERROR(VLOOKUP($G$7&amp;$B21,'EV Charging Stations source'!A:V,21,FALSE)," ")</f>
        <v xml:space="preserve"> </v>
      </c>
      <c r="I21" s="228" t="str">
        <f>IFERROR(VLOOKUP($G$7&amp;$B21,'EV Charging Stations source'!A:V,13,FALSE)," ")</f>
        <v xml:space="preserve"> </v>
      </c>
      <c r="J21" s="1159"/>
      <c r="K21" s="1160"/>
      <c r="L21" s="529"/>
    </row>
    <row r="22" spans="2:12" ht="16" thickBot="1">
      <c r="B22" s="549">
        <v>4</v>
      </c>
      <c r="C22" s="1161" t="str">
        <f>IFERROR(VLOOKUP($G$7&amp;$B22,'EV Charging Stations source'!A:V,5,FALSE),"")</f>
        <v/>
      </c>
      <c r="D22" s="1161"/>
      <c r="E22" s="412" t="str">
        <f>IFERROR(VLOOKUP($G$7&amp;$B22,'EV Charging Stations source'!A:V,6,FALSE),"")</f>
        <v/>
      </c>
      <c r="F22" s="228" t="str">
        <f>IFERROR(VLOOKUP($G$7&amp;$B22,'EV Charging Stations source'!A:V,20,FALSE),"")</f>
        <v/>
      </c>
      <c r="G22" s="228" t="str">
        <f>IFERROR(VLOOKUP($G$7&amp;$B22,'EV Charging Stations source'!A:V,22,FALSE),"")</f>
        <v/>
      </c>
      <c r="H22" s="228" t="str">
        <f>IFERROR(VLOOKUP($G$7&amp;$B22,'EV Charging Stations source'!A:V,21,FALSE)," ")</f>
        <v xml:space="preserve"> </v>
      </c>
      <c r="I22" s="228" t="str">
        <f>IFERROR(VLOOKUP($G$7&amp;$B22,'EV Charging Stations source'!A:V,13,FALSE)," ")</f>
        <v xml:space="preserve"> </v>
      </c>
      <c r="J22" s="1159"/>
      <c r="K22" s="1160"/>
      <c r="L22" s="529"/>
    </row>
    <row r="23" spans="2:12" ht="16" thickBot="1">
      <c r="B23" s="549">
        <v>5</v>
      </c>
      <c r="C23" s="1161" t="str">
        <f>IFERROR(VLOOKUP($G$7&amp;$B23,'EV Charging Stations source'!A:V,5,FALSE),"")</f>
        <v/>
      </c>
      <c r="D23" s="1161"/>
      <c r="E23" s="412" t="str">
        <f>IFERROR(VLOOKUP($G$7&amp;$B23,'EV Charging Stations source'!A:V,6,FALSE),"")</f>
        <v/>
      </c>
      <c r="F23" s="228" t="str">
        <f>IFERROR(VLOOKUP($G$7&amp;$B23,'EV Charging Stations source'!A:V,20,FALSE),"")</f>
        <v/>
      </c>
      <c r="G23" s="228" t="str">
        <f>IFERROR(VLOOKUP($G$7&amp;$B23,'EV Charging Stations source'!A:V,22,FALSE),"")</f>
        <v/>
      </c>
      <c r="H23" s="228" t="str">
        <f>IFERROR(VLOOKUP($G$7&amp;$B23,'EV Charging Stations source'!A:V,21,FALSE)," ")</f>
        <v xml:space="preserve"> </v>
      </c>
      <c r="I23" s="228" t="str">
        <f>IFERROR(VLOOKUP($G$7&amp;$B23,'EV Charging Stations source'!A:V,13,FALSE)," ")</f>
        <v xml:space="preserve"> </v>
      </c>
      <c r="J23" s="1159"/>
      <c r="K23" s="1160"/>
      <c r="L23" s="529"/>
    </row>
    <row r="24" spans="2:12" ht="16" thickBot="1">
      <c r="B24" s="549">
        <v>6</v>
      </c>
      <c r="C24" s="1161" t="str">
        <f>IFERROR(VLOOKUP($G$7&amp;$B24,'EV Charging Stations source'!A:V,5,FALSE),"")</f>
        <v/>
      </c>
      <c r="D24" s="1161"/>
      <c r="E24" s="412" t="str">
        <f>IFERROR(VLOOKUP($G$7&amp;$B24,'EV Charging Stations source'!A:V,6,FALSE),"")</f>
        <v/>
      </c>
      <c r="F24" s="228" t="str">
        <f>IFERROR(VLOOKUP($G$7&amp;$B24,'EV Charging Stations source'!A:V,20,FALSE),"")</f>
        <v/>
      </c>
      <c r="G24" s="228" t="str">
        <f>IFERROR(VLOOKUP($G$7&amp;$B24,'EV Charging Stations source'!A:V,22,FALSE),"")</f>
        <v/>
      </c>
      <c r="H24" s="228" t="str">
        <f>IFERROR(VLOOKUP($G$7&amp;$B24,'EV Charging Stations source'!A:V,21,FALSE)," ")</f>
        <v xml:space="preserve"> </v>
      </c>
      <c r="I24" s="228" t="str">
        <f>IFERROR(VLOOKUP($G$7&amp;$B24,'EV Charging Stations source'!A:V,13,FALSE)," ")</f>
        <v xml:space="preserve"> </v>
      </c>
      <c r="J24" s="1159"/>
      <c r="K24" s="1160"/>
      <c r="L24" s="529"/>
    </row>
    <row r="25" spans="2:12" ht="16" thickBot="1">
      <c r="B25" s="549">
        <v>7</v>
      </c>
      <c r="C25" s="1161" t="str">
        <f>IFERROR(VLOOKUP($G$7&amp;$B25,'EV Charging Stations source'!A:V,5,FALSE),"")</f>
        <v/>
      </c>
      <c r="D25" s="1161"/>
      <c r="E25" s="412" t="str">
        <f>IFERROR(VLOOKUP($G$7&amp;$B25,'EV Charging Stations source'!A:V,6,FALSE),"")</f>
        <v/>
      </c>
      <c r="F25" s="228" t="str">
        <f>IFERROR(VLOOKUP($G$7&amp;$B25,'EV Charging Stations source'!A:V,20,FALSE),"")</f>
        <v/>
      </c>
      <c r="G25" s="228" t="str">
        <f>IFERROR(VLOOKUP($G$7&amp;$B25,'EV Charging Stations source'!A:V,22,FALSE),"")</f>
        <v/>
      </c>
      <c r="H25" s="228" t="str">
        <f>IFERROR(VLOOKUP($G$7&amp;$B25,'EV Charging Stations source'!A:V,21,FALSE)," ")</f>
        <v xml:space="preserve"> </v>
      </c>
      <c r="I25" s="228" t="str">
        <f>IFERROR(VLOOKUP($G$7&amp;$B25,'EV Charging Stations source'!A:V,13,FALSE)," ")</f>
        <v xml:space="preserve"> </v>
      </c>
      <c r="J25" s="1159"/>
      <c r="K25" s="1160"/>
      <c r="L25" s="529"/>
    </row>
    <row r="26" spans="2:12" ht="16" thickBot="1">
      <c r="B26" s="549">
        <v>8</v>
      </c>
      <c r="C26" s="1161" t="str">
        <f>IFERROR(VLOOKUP($G$7&amp;$B26,'EV Charging Stations source'!A:V,5,FALSE),"")</f>
        <v/>
      </c>
      <c r="D26" s="1161"/>
      <c r="E26" s="412" t="str">
        <f>IFERROR(VLOOKUP($G$7&amp;$B26,'EV Charging Stations source'!A:V,6,FALSE),"")</f>
        <v/>
      </c>
      <c r="F26" s="228" t="str">
        <f>IFERROR(VLOOKUP($G$7&amp;$B26,'EV Charging Stations source'!A:V,20,FALSE),"")</f>
        <v/>
      </c>
      <c r="G26" s="228" t="str">
        <f>IFERROR(VLOOKUP($G$7&amp;$B26,'EV Charging Stations source'!A:V,22,FALSE),"")</f>
        <v/>
      </c>
      <c r="H26" s="228" t="str">
        <f>IFERROR(VLOOKUP($G$7&amp;$B26,'EV Charging Stations source'!A:V,21,FALSE)," ")</f>
        <v xml:space="preserve"> </v>
      </c>
      <c r="I26" s="228" t="str">
        <f>IFERROR(VLOOKUP($G$7&amp;$B26,'EV Charging Stations source'!A:V,13,FALSE)," ")</f>
        <v xml:space="preserve"> </v>
      </c>
      <c r="J26" s="1159"/>
      <c r="K26" s="1160"/>
      <c r="L26" s="529"/>
    </row>
    <row r="27" spans="2:12" ht="16" thickBot="1">
      <c r="B27" s="549">
        <v>9</v>
      </c>
      <c r="C27" s="1161" t="str">
        <f>IFERROR(VLOOKUP($G$7&amp;$B27,'EV Charging Stations source'!A:V,5,FALSE),"")</f>
        <v/>
      </c>
      <c r="D27" s="1161"/>
      <c r="E27" s="412" t="str">
        <f>IFERROR(VLOOKUP($G$7&amp;$B27,'EV Charging Stations source'!A:V,6,FALSE),"")</f>
        <v/>
      </c>
      <c r="F27" s="228" t="str">
        <f>IFERROR(VLOOKUP($G$7&amp;$B27,'EV Charging Stations source'!A:V,20,FALSE),"")</f>
        <v/>
      </c>
      <c r="G27" s="228" t="str">
        <f>IFERROR(VLOOKUP($G$7&amp;$B27,'EV Charging Stations source'!A:V,22,FALSE),"")</f>
        <v/>
      </c>
      <c r="H27" s="228" t="str">
        <f>IFERROR(VLOOKUP($G$7&amp;$B27,'EV Charging Stations source'!A:V,21,FALSE)," ")</f>
        <v xml:space="preserve"> </v>
      </c>
      <c r="I27" s="228" t="str">
        <f>IFERROR(VLOOKUP($G$7&amp;$B27,'EV Charging Stations source'!A:V,13,FALSE)," ")</f>
        <v xml:space="preserve"> </v>
      </c>
      <c r="J27" s="1159"/>
      <c r="K27" s="1160"/>
      <c r="L27" s="529"/>
    </row>
    <row r="28" spans="2:12" ht="16" thickBot="1">
      <c r="B28" s="549">
        <v>10</v>
      </c>
      <c r="C28" s="1161" t="str">
        <f>IFERROR(VLOOKUP($G$7&amp;$B28,'EV Charging Stations source'!A:V,5,FALSE),"")</f>
        <v/>
      </c>
      <c r="D28" s="1161"/>
      <c r="E28" s="412" t="str">
        <f>IFERROR(VLOOKUP($G$7&amp;$B28,'EV Charging Stations source'!A:V,6,FALSE),"")</f>
        <v/>
      </c>
      <c r="F28" s="228" t="str">
        <f>IFERROR(VLOOKUP($G$7&amp;$B28,'EV Charging Stations source'!A:V,20,FALSE),"")</f>
        <v/>
      </c>
      <c r="G28" s="228" t="str">
        <f>IFERROR(VLOOKUP($G$7&amp;$B28,'EV Charging Stations source'!A:V,22,FALSE),"")</f>
        <v/>
      </c>
      <c r="H28" s="228" t="str">
        <f>IFERROR(VLOOKUP($G$7&amp;$B28,'EV Charging Stations source'!A:V,21,FALSE)," ")</f>
        <v xml:space="preserve"> </v>
      </c>
      <c r="I28" s="228" t="str">
        <f>IFERROR(VLOOKUP($G$7&amp;$B28,'EV Charging Stations source'!A:V,13,FALSE)," ")</f>
        <v xml:space="preserve"> </v>
      </c>
      <c r="J28" s="1159"/>
      <c r="K28" s="1160"/>
      <c r="L28" s="529"/>
    </row>
    <row r="29" spans="2:12" ht="16" thickBot="1">
      <c r="B29" s="549">
        <v>11</v>
      </c>
      <c r="C29" s="1161" t="str">
        <f>IFERROR(VLOOKUP($G$7&amp;$B29,'EV Charging Stations source'!A:V,5,FALSE),"")</f>
        <v/>
      </c>
      <c r="D29" s="1161"/>
      <c r="E29" s="412" t="str">
        <f>IFERROR(VLOOKUP($G$7&amp;$B29,'EV Charging Stations source'!A:V,6,FALSE),"")</f>
        <v/>
      </c>
      <c r="F29" s="228" t="str">
        <f>IFERROR(VLOOKUP($G$7&amp;$B29,'EV Charging Stations source'!A:V,20,FALSE),"")</f>
        <v/>
      </c>
      <c r="G29" s="228" t="str">
        <f>IFERROR(VLOOKUP($G$7&amp;$B29,'EV Charging Stations source'!A:V,22,FALSE),"")</f>
        <v/>
      </c>
      <c r="H29" s="228" t="str">
        <f>IFERROR(VLOOKUP($G$7&amp;$B29,'EV Charging Stations source'!A:V,21,FALSE)," ")</f>
        <v xml:space="preserve"> </v>
      </c>
      <c r="I29" s="228" t="str">
        <f>IFERROR(VLOOKUP($G$7&amp;$B29,'EV Charging Stations source'!A:V,13,FALSE)," ")</f>
        <v xml:space="preserve"> </v>
      </c>
      <c r="J29" s="1159"/>
      <c r="K29" s="1160"/>
      <c r="L29" s="529"/>
    </row>
    <row r="30" spans="2:12" ht="16" thickBot="1">
      <c r="B30" s="549">
        <v>12</v>
      </c>
      <c r="C30" s="1161" t="str">
        <f>IFERROR(VLOOKUP($G$7&amp;$B30,'EV Charging Stations source'!A:V,5,FALSE),"")</f>
        <v/>
      </c>
      <c r="D30" s="1161"/>
      <c r="E30" s="412" t="str">
        <f>IFERROR(VLOOKUP($G$7&amp;$B30,'EV Charging Stations source'!A:V,6,FALSE),"")</f>
        <v/>
      </c>
      <c r="F30" s="228" t="str">
        <f>IFERROR(VLOOKUP($G$7&amp;$B30,'EV Charging Stations source'!A:V,20,FALSE),"")</f>
        <v/>
      </c>
      <c r="G30" s="228" t="str">
        <f>IFERROR(VLOOKUP($G$7&amp;$B30,'EV Charging Stations source'!A:V,22,FALSE),"")</f>
        <v/>
      </c>
      <c r="H30" s="228" t="str">
        <f>IFERROR(VLOOKUP($G$7&amp;$B30,'EV Charging Stations source'!A:V,21,FALSE)," ")</f>
        <v xml:space="preserve"> </v>
      </c>
      <c r="I30" s="228" t="str">
        <f>IFERROR(VLOOKUP($G$7&amp;$B30,'EV Charging Stations source'!A:V,13,FALSE)," ")</f>
        <v xml:space="preserve"> </v>
      </c>
      <c r="J30" s="1159"/>
      <c r="K30" s="1160"/>
      <c r="L30" s="529"/>
    </row>
    <row r="31" spans="2:12" ht="16" thickBot="1">
      <c r="B31" s="549">
        <v>13</v>
      </c>
      <c r="C31" s="1161" t="str">
        <f>IFERROR(VLOOKUP($G$7&amp;$B31,'EV Charging Stations source'!A:V,5,FALSE),"")</f>
        <v/>
      </c>
      <c r="D31" s="1161"/>
      <c r="E31" s="412" t="str">
        <f>IFERROR(VLOOKUP($G$7&amp;$B31,'EV Charging Stations source'!A:V,6,FALSE),"")</f>
        <v/>
      </c>
      <c r="F31" s="228" t="str">
        <f>IFERROR(VLOOKUP($G$7&amp;$B31,'EV Charging Stations source'!A:V,20,FALSE),"")</f>
        <v/>
      </c>
      <c r="G31" s="228" t="str">
        <f>IFERROR(VLOOKUP($G$7&amp;$B31,'EV Charging Stations source'!A:V,22,FALSE),"")</f>
        <v/>
      </c>
      <c r="H31" s="228" t="str">
        <f>IFERROR(VLOOKUP($G$7&amp;$B31,'EV Charging Stations source'!A:V,21,FALSE)," ")</f>
        <v xml:space="preserve"> </v>
      </c>
      <c r="I31" s="228" t="str">
        <f>IFERROR(VLOOKUP($G$7&amp;$B31,'EV Charging Stations source'!A:V,13,FALSE)," ")</f>
        <v xml:space="preserve"> </v>
      </c>
      <c r="J31" s="1159"/>
      <c r="K31" s="1160"/>
      <c r="L31" s="529"/>
    </row>
    <row r="32" spans="2:12" ht="16" thickBot="1">
      <c r="B32" s="549">
        <v>14</v>
      </c>
      <c r="C32" s="1161" t="str">
        <f>IFERROR(VLOOKUP($G$7&amp;$B32,'EV Charging Stations source'!A:V,5,FALSE),"")</f>
        <v/>
      </c>
      <c r="D32" s="1161"/>
      <c r="E32" s="412" t="str">
        <f>IFERROR(VLOOKUP($G$7&amp;$B32,'EV Charging Stations source'!A:V,6,FALSE),"")</f>
        <v/>
      </c>
      <c r="F32" s="228" t="str">
        <f>IFERROR(VLOOKUP($G$7&amp;$B32,'EV Charging Stations source'!A:V,20,FALSE),"")</f>
        <v/>
      </c>
      <c r="G32" s="228" t="str">
        <f>IFERROR(VLOOKUP($G$7&amp;$B32,'EV Charging Stations source'!A:V,22,FALSE),"")</f>
        <v/>
      </c>
      <c r="H32" s="228" t="str">
        <f>IFERROR(VLOOKUP($G$7&amp;$B32,'EV Charging Stations source'!A:V,21,FALSE)," ")</f>
        <v xml:space="preserve"> </v>
      </c>
      <c r="I32" s="228" t="str">
        <f>IFERROR(VLOOKUP($G$7&amp;$B32,'EV Charging Stations source'!A:V,13,FALSE)," ")</f>
        <v xml:space="preserve"> </v>
      </c>
      <c r="J32" s="1159"/>
      <c r="K32" s="1160"/>
      <c r="L32" s="529"/>
    </row>
    <row r="33" spans="2:13" ht="16" thickBot="1">
      <c r="B33" s="549">
        <v>15</v>
      </c>
      <c r="C33" s="1161" t="str">
        <f>IFERROR(VLOOKUP($G$7&amp;$B33,'EV Charging Stations source'!A:V,5,FALSE),"")</f>
        <v/>
      </c>
      <c r="D33" s="1161"/>
      <c r="E33" s="412" t="str">
        <f>IFERROR(VLOOKUP($G$7&amp;$B33,'EV Charging Stations source'!A:V,6,FALSE),"")</f>
        <v/>
      </c>
      <c r="F33" s="228" t="str">
        <f>IFERROR(VLOOKUP($G$7&amp;$B33,'EV Charging Stations source'!A:V,20,FALSE),"")</f>
        <v/>
      </c>
      <c r="G33" s="228" t="str">
        <f>IFERROR(VLOOKUP($G$7&amp;$B33,'EV Charging Stations source'!A:V,22,FALSE),"")</f>
        <v/>
      </c>
      <c r="H33" s="228" t="str">
        <f>IFERROR(VLOOKUP($G$7&amp;$B33,'EV Charging Stations source'!A:V,21,FALSE)," ")</f>
        <v xml:space="preserve"> </v>
      </c>
      <c r="I33" s="228" t="str">
        <f>IFERROR(VLOOKUP($G$7&amp;$B33,'EV Charging Stations source'!A:V,13,FALSE)," ")</f>
        <v xml:space="preserve"> </v>
      </c>
      <c r="J33" s="1159"/>
      <c r="K33" s="1160"/>
      <c r="L33" s="529"/>
      <c r="M33" s="529"/>
    </row>
    <row r="34" spans="2:13" ht="16" thickBot="1">
      <c r="B34" s="549">
        <v>16</v>
      </c>
      <c r="C34" s="1161" t="str">
        <f>IFERROR(VLOOKUP($G$7&amp;$B34,'EV Charging Stations source'!A:V,5,FALSE),"")</f>
        <v/>
      </c>
      <c r="D34" s="1161"/>
      <c r="E34" s="412" t="str">
        <f>IFERROR(VLOOKUP($G$7&amp;$B34,'EV Charging Stations source'!A:V,6,FALSE),"")</f>
        <v/>
      </c>
      <c r="F34" s="228" t="str">
        <f>IFERROR(VLOOKUP($G$7&amp;$B34,'EV Charging Stations source'!A:V,20,FALSE),"")</f>
        <v/>
      </c>
      <c r="G34" s="228" t="str">
        <f>IFERROR(VLOOKUP($G$7&amp;$B34,'EV Charging Stations source'!A:V,22,FALSE),"")</f>
        <v/>
      </c>
      <c r="H34" s="228" t="str">
        <f>IFERROR(VLOOKUP($G$7&amp;$B34,'EV Charging Stations source'!A:V,21,FALSE)," ")</f>
        <v xml:space="preserve"> </v>
      </c>
      <c r="I34" s="228" t="str">
        <f>IFERROR(VLOOKUP($G$7&amp;$B34,'EV Charging Stations source'!A:V,13,FALSE)," ")</f>
        <v xml:space="preserve"> </v>
      </c>
      <c r="J34" s="1159"/>
      <c r="K34" s="1160"/>
      <c r="L34" s="529"/>
      <c r="M34" s="529"/>
    </row>
    <row r="35" spans="2:13" ht="16" thickBot="1">
      <c r="B35" s="549">
        <v>17</v>
      </c>
      <c r="C35" s="1161" t="str">
        <f>IFERROR(VLOOKUP($G$7&amp;$B35,'EV Charging Stations source'!A:V,5,FALSE),"")</f>
        <v/>
      </c>
      <c r="D35" s="1161"/>
      <c r="E35" s="412" t="str">
        <f>IFERROR(VLOOKUP($G$7&amp;$B35,'EV Charging Stations source'!A:V,6,FALSE),"")</f>
        <v/>
      </c>
      <c r="F35" s="228" t="str">
        <f>IFERROR(VLOOKUP($G$7&amp;$B35,'EV Charging Stations source'!A:V,20,FALSE),"")</f>
        <v/>
      </c>
      <c r="G35" s="228" t="str">
        <f>IFERROR(VLOOKUP($G$7&amp;$B35,'EV Charging Stations source'!A:V,22,FALSE),"")</f>
        <v/>
      </c>
      <c r="H35" s="228" t="str">
        <f>IFERROR(VLOOKUP($G$7&amp;$B35,'EV Charging Stations source'!A:V,21,FALSE)," ")</f>
        <v xml:space="preserve"> </v>
      </c>
      <c r="I35" s="228" t="str">
        <f>IFERROR(VLOOKUP($G$7&amp;$B35,'EV Charging Stations source'!A:V,13,FALSE)," ")</f>
        <v xml:space="preserve"> </v>
      </c>
      <c r="J35" s="1159"/>
      <c r="K35" s="1160"/>
      <c r="L35" s="529"/>
      <c r="M35" s="529"/>
    </row>
    <row r="36" spans="2:13" ht="16" thickBot="1">
      <c r="B36" s="549">
        <v>18</v>
      </c>
      <c r="C36" s="1161" t="str">
        <f>IFERROR(VLOOKUP($G$7&amp;$B36,'EV Charging Stations source'!A:V,5,FALSE),"")</f>
        <v/>
      </c>
      <c r="D36" s="1161"/>
      <c r="E36" s="412" t="str">
        <f>IFERROR(VLOOKUP($G$7&amp;$B36,'EV Charging Stations source'!A:V,6,FALSE),"")</f>
        <v/>
      </c>
      <c r="F36" s="228" t="str">
        <f>IFERROR(VLOOKUP($G$7&amp;$B36,'EV Charging Stations source'!A:V,20,FALSE),"")</f>
        <v/>
      </c>
      <c r="G36" s="228" t="str">
        <f>IFERROR(VLOOKUP($G$7&amp;$B36,'EV Charging Stations source'!A:V,22,FALSE),"")</f>
        <v/>
      </c>
      <c r="H36" s="228" t="str">
        <f>IFERROR(VLOOKUP($G$7&amp;$B36,'EV Charging Stations source'!A:V,21,FALSE)," ")</f>
        <v xml:space="preserve"> </v>
      </c>
      <c r="I36" s="228" t="str">
        <f>IFERROR(VLOOKUP($G$7&amp;$B36,'EV Charging Stations source'!A:V,13,FALSE)," ")</f>
        <v xml:space="preserve"> </v>
      </c>
      <c r="J36" s="1159"/>
      <c r="K36" s="1160"/>
      <c r="L36" s="529"/>
      <c r="M36" s="529"/>
    </row>
    <row r="37" spans="2:13" ht="16" thickBot="1">
      <c r="B37" s="549">
        <v>19</v>
      </c>
      <c r="C37" s="1161" t="str">
        <f>IFERROR(VLOOKUP($G$7&amp;$B37,'EV Charging Stations source'!A:V,5,FALSE),"")</f>
        <v/>
      </c>
      <c r="D37" s="1161"/>
      <c r="E37" s="412" t="str">
        <f>IFERROR(VLOOKUP($G$7&amp;$B37,'EV Charging Stations source'!A:V,6,FALSE),"")</f>
        <v/>
      </c>
      <c r="F37" s="228" t="str">
        <f>IFERROR(VLOOKUP($G$7&amp;$B37,'EV Charging Stations source'!A:V,20,FALSE),"")</f>
        <v/>
      </c>
      <c r="G37" s="228" t="str">
        <f>IFERROR(VLOOKUP($G$7&amp;$B37,'EV Charging Stations source'!A:V,22,FALSE),"")</f>
        <v/>
      </c>
      <c r="H37" s="228" t="str">
        <f>IFERROR(VLOOKUP($G$7&amp;$B37,'EV Charging Stations source'!A:V,21,FALSE)," ")</f>
        <v xml:space="preserve"> </v>
      </c>
      <c r="I37" s="228" t="str">
        <f>IFERROR(VLOOKUP($G$7&amp;$B37,'EV Charging Stations source'!A:V,13,FALSE)," ")</f>
        <v xml:space="preserve"> </v>
      </c>
      <c r="J37" s="1159"/>
      <c r="K37" s="1160"/>
      <c r="L37" s="529"/>
      <c r="M37" s="529"/>
    </row>
    <row r="38" spans="2:13" ht="16" thickBot="1">
      <c r="B38" s="549">
        <v>20</v>
      </c>
      <c r="C38" s="1161" t="str">
        <f>IFERROR(VLOOKUP($G$7&amp;$B38,'EV Charging Stations source'!A:V,5,FALSE),"")</f>
        <v/>
      </c>
      <c r="D38" s="1161"/>
      <c r="E38" s="412" t="str">
        <f>IFERROR(VLOOKUP($G$7&amp;$B38,'EV Charging Stations source'!A:V,6,FALSE),"")</f>
        <v/>
      </c>
      <c r="F38" s="228" t="str">
        <f>IFERROR(VLOOKUP($G$7&amp;$B38,'EV Charging Stations source'!A:V,20,FALSE),"")</f>
        <v/>
      </c>
      <c r="G38" s="228" t="str">
        <f>IFERROR(VLOOKUP($G$7&amp;$B38,'EV Charging Stations source'!A:V,22,FALSE),"")</f>
        <v/>
      </c>
      <c r="H38" s="228" t="str">
        <f>IFERROR(VLOOKUP($G$7&amp;$B38,'EV Charging Stations source'!A:V,21,FALSE)," ")</f>
        <v xml:space="preserve"> </v>
      </c>
      <c r="I38" s="228" t="str">
        <f>IFERROR(VLOOKUP($G$7&amp;$B38,'EV Charging Stations source'!A:V,13,FALSE)," ")</f>
        <v xml:space="preserve"> </v>
      </c>
      <c r="J38" s="580"/>
      <c r="K38" s="584"/>
      <c r="L38" s="529"/>
      <c r="M38" s="529"/>
    </row>
    <row r="39" spans="2:13" ht="16" thickBot="1">
      <c r="B39" s="549">
        <v>21</v>
      </c>
      <c r="C39" s="1161" t="str">
        <f>IFERROR(VLOOKUP($G$7&amp;$B39,'EV Charging Stations source'!A:V,5,FALSE),"")</f>
        <v/>
      </c>
      <c r="D39" s="1161"/>
      <c r="E39" s="412" t="str">
        <f>IFERROR(VLOOKUP($G$7&amp;$B39,'EV Charging Stations source'!A:V,6,FALSE),"")</f>
        <v/>
      </c>
      <c r="F39" s="228" t="str">
        <f>IFERROR(VLOOKUP($G$7&amp;$B39,'EV Charging Stations source'!A:V,20,FALSE),"")</f>
        <v/>
      </c>
      <c r="G39" s="228" t="str">
        <f>IFERROR(VLOOKUP($G$7&amp;$B39,'EV Charging Stations source'!A:V,22,FALSE),"")</f>
        <v/>
      </c>
      <c r="H39" s="228" t="str">
        <f>IFERROR(VLOOKUP($G$7&amp;$B39,'EV Charging Stations source'!A:V,21,FALSE)," ")</f>
        <v xml:space="preserve"> </v>
      </c>
      <c r="I39" s="228" t="str">
        <f>IFERROR(VLOOKUP($G$7&amp;$B39,'EV Charging Stations source'!A:V,13,FALSE)," ")</f>
        <v xml:space="preserve"> </v>
      </c>
      <c r="J39" s="580"/>
      <c r="K39" s="584"/>
      <c r="L39" s="529"/>
      <c r="M39" s="529"/>
    </row>
    <row r="40" spans="2:13" ht="16" thickBot="1">
      <c r="B40" s="549">
        <v>22</v>
      </c>
      <c r="C40" s="1161" t="str">
        <f>IFERROR(VLOOKUP($G$7&amp;$B40,'EV Charging Stations source'!A:V,5,FALSE),"")</f>
        <v/>
      </c>
      <c r="D40" s="1161"/>
      <c r="E40" s="412" t="str">
        <f>IFERROR(VLOOKUP($G$7&amp;$B40,'EV Charging Stations source'!A:V,6,FALSE),"")</f>
        <v/>
      </c>
      <c r="F40" s="228" t="str">
        <f>IFERROR(VLOOKUP($G$7&amp;$B40,'EV Charging Stations source'!A:V,20,FALSE),"")</f>
        <v/>
      </c>
      <c r="G40" s="228" t="str">
        <f>IFERROR(VLOOKUP($G$7&amp;$B40,'EV Charging Stations source'!A:V,22,FALSE),"")</f>
        <v/>
      </c>
      <c r="H40" s="228" t="str">
        <f>IFERROR(VLOOKUP($G$7&amp;$B40,'EV Charging Stations source'!A:V,21,FALSE)," ")</f>
        <v xml:space="preserve"> </v>
      </c>
      <c r="I40" s="228" t="str">
        <f>IFERROR(VLOOKUP($G$7&amp;$B40,'EV Charging Stations source'!A:V,13,FALSE)," ")</f>
        <v xml:space="preserve"> </v>
      </c>
      <c r="J40" s="580"/>
      <c r="K40" s="584"/>
      <c r="L40" s="529"/>
      <c r="M40" s="529"/>
    </row>
    <row r="41" spans="2:13" ht="16" thickBot="1">
      <c r="B41" s="549">
        <v>23</v>
      </c>
      <c r="C41" s="1161" t="str">
        <f>IFERROR(VLOOKUP($G$7&amp;$B41,'EV Charging Stations source'!A:V,5,FALSE),"")</f>
        <v/>
      </c>
      <c r="D41" s="1161"/>
      <c r="E41" s="412" t="str">
        <f>IFERROR(VLOOKUP($G$7&amp;$B41,'EV Charging Stations source'!A:V,6,FALSE),"")</f>
        <v/>
      </c>
      <c r="F41" s="228" t="str">
        <f>IFERROR(VLOOKUP($G$7&amp;$B41,'EV Charging Stations source'!A:V,20,FALSE),"")</f>
        <v/>
      </c>
      <c r="G41" s="228" t="str">
        <f>IFERROR(VLOOKUP($G$7&amp;$B41,'EV Charging Stations source'!A:V,22,FALSE),"")</f>
        <v/>
      </c>
      <c r="H41" s="228" t="str">
        <f>IFERROR(VLOOKUP($G$7&amp;$B41,'EV Charging Stations source'!A:V,21,FALSE)," ")</f>
        <v xml:space="preserve"> </v>
      </c>
      <c r="I41" s="228" t="str">
        <f>IFERROR(VLOOKUP($G$7&amp;$B41,'EV Charging Stations source'!A:V,13,FALSE)," ")</f>
        <v xml:space="preserve"> </v>
      </c>
      <c r="J41" s="580"/>
      <c r="K41" s="584"/>
      <c r="L41" s="529"/>
      <c r="M41" s="529"/>
    </row>
    <row r="42" spans="2:13" ht="16" thickBot="1">
      <c r="B42" s="549">
        <v>24</v>
      </c>
      <c r="C42" s="1161" t="str">
        <f>IFERROR(VLOOKUP($G$7&amp;$B42,'EV Charging Stations source'!A:V,5,FALSE),"")</f>
        <v/>
      </c>
      <c r="D42" s="1161"/>
      <c r="E42" s="412" t="str">
        <f>IFERROR(VLOOKUP($G$7&amp;$B42,'EV Charging Stations source'!A:V,6,FALSE),"")</f>
        <v/>
      </c>
      <c r="F42" s="228" t="str">
        <f>IFERROR(VLOOKUP($G$7&amp;$B42,'EV Charging Stations source'!A:V,20,FALSE),"")</f>
        <v/>
      </c>
      <c r="G42" s="228" t="str">
        <f>IFERROR(VLOOKUP($G$7&amp;$B42,'EV Charging Stations source'!A:V,22,FALSE),"")</f>
        <v/>
      </c>
      <c r="H42" s="228" t="str">
        <f>IFERROR(VLOOKUP($G$7&amp;$B42,'EV Charging Stations source'!A:V,21,FALSE)," ")</f>
        <v xml:space="preserve"> </v>
      </c>
      <c r="I42" s="228" t="str">
        <f>IFERROR(VLOOKUP($G$7&amp;$B42,'EV Charging Stations source'!A:V,13,FALSE)," ")</f>
        <v xml:space="preserve"> </v>
      </c>
      <c r="J42" s="580"/>
      <c r="K42" s="584"/>
      <c r="L42" s="529"/>
      <c r="M42" s="529"/>
    </row>
    <row r="43" spans="2:13" ht="16" thickBot="1">
      <c r="B43" s="549">
        <v>25</v>
      </c>
      <c r="C43" s="1161" t="str">
        <f>IFERROR(VLOOKUP($G$7&amp;$B43,'EV Charging Stations source'!A:V,5,FALSE),"")</f>
        <v/>
      </c>
      <c r="D43" s="1161"/>
      <c r="E43" s="412" t="str">
        <f>IFERROR(VLOOKUP($G$7&amp;$B43,'EV Charging Stations source'!A:V,6,FALSE),"")</f>
        <v/>
      </c>
      <c r="F43" s="228" t="str">
        <f>IFERROR(VLOOKUP($G$7&amp;$B43,'EV Charging Stations source'!A:V,20,FALSE),"")</f>
        <v/>
      </c>
      <c r="G43" s="228" t="str">
        <f>IFERROR(VLOOKUP($G$7&amp;$B43,'EV Charging Stations source'!A:V,22,FALSE),"")</f>
        <v/>
      </c>
      <c r="H43" s="228" t="str">
        <f>IFERROR(VLOOKUP($G$7&amp;$B43,'EV Charging Stations source'!A:V,21,FALSE)," ")</f>
        <v xml:space="preserve"> </v>
      </c>
      <c r="I43" s="228" t="str">
        <f>IFERROR(VLOOKUP($G$7&amp;$B43,'EV Charging Stations source'!A:V,13,FALSE)," ")</f>
        <v xml:space="preserve"> </v>
      </c>
      <c r="J43" s="580"/>
      <c r="K43" s="584"/>
      <c r="L43" s="529"/>
      <c r="M43" s="529"/>
    </row>
    <row r="44" spans="2:13" ht="16" thickBot="1">
      <c r="B44" s="550">
        <v>26</v>
      </c>
      <c r="C44" s="1161" t="str">
        <f>IFERROR(VLOOKUP($G$7&amp;$B44,'EV Charging Stations source'!A:V,5,FALSE),"")</f>
        <v/>
      </c>
      <c r="D44" s="1161"/>
      <c r="E44" s="412" t="str">
        <f>IFERROR(VLOOKUP($G$7&amp;$B44,'EV Charging Stations source'!A:V,6,FALSE),"")</f>
        <v/>
      </c>
      <c r="F44" s="228" t="str">
        <f>IFERROR(VLOOKUP($G$7&amp;$B44,'EV Charging Stations source'!A:V,20,FALSE),"")</f>
        <v/>
      </c>
      <c r="G44" s="228" t="str">
        <f>IFERROR(VLOOKUP($G$7&amp;$B44,'EV Charging Stations source'!A:V,22,FALSE),"")</f>
        <v/>
      </c>
      <c r="H44" s="228" t="str">
        <f>IFERROR(VLOOKUP($G$7&amp;$B44,'EV Charging Stations source'!A:V,21,FALSE)," ")</f>
        <v xml:space="preserve"> </v>
      </c>
      <c r="I44" s="228" t="str">
        <f>IFERROR(VLOOKUP($G$7&amp;$B44,'EV Charging Stations source'!A:V,13,FALSE)," ")</f>
        <v xml:space="preserve"> </v>
      </c>
      <c r="J44" s="1169"/>
      <c r="K44" s="1170"/>
      <c r="L44" s="529"/>
      <c r="M44" s="529"/>
    </row>
    <row r="45" spans="2:13" ht="16" thickBot="1">
      <c r="B45" s="549">
        <v>27</v>
      </c>
      <c r="C45" s="1161" t="str">
        <f>IFERROR(VLOOKUP($G$7&amp;$B45,'EV Charging Stations source'!A:V,5,FALSE),"")</f>
        <v/>
      </c>
      <c r="D45" s="1161"/>
      <c r="E45" s="412" t="str">
        <f>IFERROR(VLOOKUP($G$7&amp;$B45,'EV Charging Stations source'!A:V,6,FALSE),"")</f>
        <v/>
      </c>
      <c r="F45" s="228" t="str">
        <f>IFERROR(VLOOKUP($G$7&amp;$B45,'EV Charging Stations source'!A:V,20,FALSE),"")</f>
        <v/>
      </c>
      <c r="G45" s="228" t="str">
        <f>IFERROR(VLOOKUP($G$7&amp;$B45,'EV Charging Stations source'!A:V,22,FALSE),"")</f>
        <v/>
      </c>
      <c r="H45" s="228" t="str">
        <f>IFERROR(VLOOKUP($G$7&amp;$B45,'EV Charging Stations source'!A:V,21,FALSE)," ")</f>
        <v xml:space="preserve"> </v>
      </c>
      <c r="I45" s="228" t="str">
        <f>IFERROR(VLOOKUP($G$7&amp;$B45,'EV Charging Stations source'!A:V,13,FALSE)," ")</f>
        <v xml:space="preserve"> </v>
      </c>
      <c r="J45" s="892"/>
      <c r="K45" s="825"/>
      <c r="L45" s="529"/>
      <c r="M45" s="529"/>
    </row>
    <row r="46" spans="2:13" ht="16" thickBot="1">
      <c r="B46" s="549">
        <v>28</v>
      </c>
      <c r="C46" s="1161" t="str">
        <f>IFERROR(VLOOKUP($G$7&amp;$B46,'EV Charging Stations source'!A:V,5,FALSE),"")</f>
        <v/>
      </c>
      <c r="D46" s="1161"/>
      <c r="E46" s="412" t="str">
        <f>IFERROR(VLOOKUP($G$7&amp;$B46,'EV Charging Stations source'!A:V,6,FALSE),"")</f>
        <v/>
      </c>
      <c r="F46" s="228" t="str">
        <f>IFERROR(VLOOKUP($G$7&amp;$B46,'EV Charging Stations source'!A:V,20,FALSE),"")</f>
        <v/>
      </c>
      <c r="G46" s="228" t="str">
        <f>IFERROR(VLOOKUP($G$7&amp;$B46,'EV Charging Stations source'!A:V,22,FALSE),"")</f>
        <v/>
      </c>
      <c r="H46" s="228" t="str">
        <f>IFERROR(VLOOKUP($G$7&amp;$B46,'EV Charging Stations source'!A:V,21,FALSE)," ")</f>
        <v xml:space="preserve"> </v>
      </c>
      <c r="I46" s="228" t="str">
        <f>IFERROR(VLOOKUP($G$7&amp;$B46,'EV Charging Stations source'!A:V,13,FALSE)," ")</f>
        <v xml:space="preserve"> </v>
      </c>
      <c r="J46" s="892"/>
      <c r="K46" s="825"/>
      <c r="L46" s="529"/>
      <c r="M46" s="529"/>
    </row>
    <row r="47" spans="2:13" ht="16" thickBot="1">
      <c r="B47" s="550">
        <v>29</v>
      </c>
      <c r="C47" s="1161" t="str">
        <f>IFERROR(VLOOKUP($G$7&amp;$B47,'EV Charging Stations source'!A:V,5,FALSE),"")</f>
        <v/>
      </c>
      <c r="D47" s="1161"/>
      <c r="E47" s="412" t="str">
        <f>IFERROR(VLOOKUP($G$7&amp;$B47,'EV Charging Stations source'!A:V,6,FALSE),"")</f>
        <v/>
      </c>
      <c r="F47" s="228" t="str">
        <f>IFERROR(VLOOKUP($G$7&amp;$B47,'EV Charging Stations source'!A:V,20,FALSE),"")</f>
        <v/>
      </c>
      <c r="G47" s="228" t="str">
        <f>IFERROR(VLOOKUP($G$7&amp;$B47,'EV Charging Stations source'!A:V,22,FALSE),"")</f>
        <v/>
      </c>
      <c r="H47" s="228" t="str">
        <f>IFERROR(VLOOKUP($G$7&amp;$B47,'EV Charging Stations source'!A:V,21,FALSE)," ")</f>
        <v xml:space="preserve"> </v>
      </c>
      <c r="I47" s="228" t="str">
        <f>IFERROR(VLOOKUP($G$7&amp;$B47,'EV Charging Stations source'!A:V,13,FALSE)," ")</f>
        <v xml:space="preserve"> </v>
      </c>
      <c r="J47" s="892"/>
      <c r="K47" s="825"/>
      <c r="L47" s="529"/>
      <c r="M47" s="529"/>
    </row>
    <row r="48" spans="2:13" ht="16" thickBot="1">
      <c r="B48" s="549">
        <v>30</v>
      </c>
      <c r="C48" s="1161" t="str">
        <f>IFERROR(VLOOKUP($G$7&amp;$B48,'EV Charging Stations source'!A:V,5,FALSE),"")</f>
        <v/>
      </c>
      <c r="D48" s="1161"/>
      <c r="E48" s="412" t="str">
        <f>IFERROR(VLOOKUP($G$7&amp;$B48,'EV Charging Stations source'!A:V,6,FALSE),"")</f>
        <v/>
      </c>
      <c r="F48" s="228" t="str">
        <f>IFERROR(VLOOKUP($G$7&amp;$B48,'EV Charging Stations source'!A:V,20,FALSE),"")</f>
        <v/>
      </c>
      <c r="G48" s="228" t="str">
        <f>IFERROR(VLOOKUP($G$7&amp;$B48,'EV Charging Stations source'!A:V,22,FALSE),"")</f>
        <v/>
      </c>
      <c r="H48" s="228" t="str">
        <f>IFERROR(VLOOKUP($G$7&amp;$B48,'EV Charging Stations source'!A:V,21,FALSE)," ")</f>
        <v xml:space="preserve"> </v>
      </c>
      <c r="I48" s="228" t="str">
        <f>IFERROR(VLOOKUP($G$7&amp;$B48,'EV Charging Stations source'!A:V,13,FALSE)," ")</f>
        <v xml:space="preserve"> </v>
      </c>
      <c r="J48" s="892"/>
      <c r="K48" s="825"/>
      <c r="L48" s="529"/>
      <c r="M48" s="529"/>
    </row>
    <row r="49" spans="1:13" ht="16" thickBot="1">
      <c r="B49" s="549">
        <v>31</v>
      </c>
      <c r="C49" s="1161" t="str">
        <f>IFERROR(VLOOKUP($G$7&amp;$B49,'EV Charging Stations source'!A:V,5,FALSE),"")</f>
        <v/>
      </c>
      <c r="D49" s="1161"/>
      <c r="E49" s="412" t="str">
        <f>IFERROR(VLOOKUP($G$7&amp;$B49,'EV Charging Stations source'!A:V,6,FALSE),"")</f>
        <v/>
      </c>
      <c r="F49" s="228" t="str">
        <f>IFERROR(VLOOKUP($G$7&amp;$B49,'EV Charging Stations source'!A:V,20,FALSE),"")</f>
        <v/>
      </c>
      <c r="G49" s="228" t="str">
        <f>IFERROR(VLOOKUP($G$7&amp;$B49,'EV Charging Stations source'!A:V,22,FALSE),"")</f>
        <v/>
      </c>
      <c r="H49" s="228" t="str">
        <f>IFERROR(VLOOKUP($G$7&amp;$B49,'EV Charging Stations source'!A:V,21,FALSE)," ")</f>
        <v xml:space="preserve"> </v>
      </c>
      <c r="I49" s="228" t="str">
        <f>IFERROR(VLOOKUP($G$7&amp;$B49,'EV Charging Stations source'!A:V,13,FALSE)," ")</f>
        <v xml:space="preserve"> </v>
      </c>
      <c r="J49" s="892"/>
      <c r="K49" s="825"/>
      <c r="L49" s="529"/>
      <c r="M49" s="529"/>
    </row>
    <row r="50" spans="1:13" ht="16" thickBot="1">
      <c r="B50" s="550">
        <v>32</v>
      </c>
      <c r="C50" s="1161" t="str">
        <f>IFERROR(VLOOKUP($G$7&amp;$B50,'EV Charging Stations source'!A:V,5,FALSE),"")</f>
        <v/>
      </c>
      <c r="D50" s="1161"/>
      <c r="E50" s="412" t="str">
        <f>IFERROR(VLOOKUP($G$7&amp;$B50,'EV Charging Stations source'!A:V,6,FALSE),"")</f>
        <v/>
      </c>
      <c r="F50" s="228" t="str">
        <f>IFERROR(VLOOKUP($G$7&amp;$B50,'EV Charging Stations source'!A:V,20,FALSE),"")</f>
        <v/>
      </c>
      <c r="G50" s="228" t="str">
        <f>IFERROR(VLOOKUP($G$7&amp;$B50,'EV Charging Stations source'!A:V,22,FALSE),"")</f>
        <v/>
      </c>
      <c r="H50" s="228" t="str">
        <f>IFERROR(VLOOKUP($G$7&amp;$B50,'EV Charging Stations source'!A:V,21,FALSE)," ")</f>
        <v xml:space="preserve"> </v>
      </c>
      <c r="I50" s="228" t="str">
        <f>IFERROR(VLOOKUP($G$7&amp;$B50,'EV Charging Stations source'!A:V,13,FALSE)," ")</f>
        <v xml:space="preserve"> </v>
      </c>
      <c r="J50" s="892"/>
      <c r="K50" s="825"/>
      <c r="L50" s="529"/>
      <c r="M50" s="529"/>
    </row>
    <row r="51" spans="1:13" ht="16" thickBot="1">
      <c r="B51" s="549">
        <v>33</v>
      </c>
      <c r="C51" s="1161" t="str">
        <f>IFERROR(VLOOKUP($G$7&amp;$B51,'EV Charging Stations source'!A:V,5,FALSE),"")</f>
        <v/>
      </c>
      <c r="D51" s="1161"/>
      <c r="E51" s="412" t="str">
        <f>IFERROR(VLOOKUP($G$7&amp;$B51,'EV Charging Stations source'!A:V,6,FALSE),"")</f>
        <v/>
      </c>
      <c r="F51" s="228" t="str">
        <f>IFERROR(VLOOKUP($G$7&amp;$B51,'EV Charging Stations source'!A:V,20,FALSE),"")</f>
        <v/>
      </c>
      <c r="G51" s="228" t="str">
        <f>IFERROR(VLOOKUP($G$7&amp;$B51,'EV Charging Stations source'!A:V,22,FALSE),"")</f>
        <v/>
      </c>
      <c r="H51" s="228" t="str">
        <f>IFERROR(VLOOKUP($G$7&amp;$B51,'EV Charging Stations source'!A:V,21,FALSE)," ")</f>
        <v xml:space="preserve"> </v>
      </c>
      <c r="I51" s="228" t="str">
        <f>IFERROR(VLOOKUP($G$7&amp;$B51,'EV Charging Stations source'!A:V,13,FALSE)," ")</f>
        <v xml:space="preserve"> </v>
      </c>
      <c r="J51" s="892"/>
      <c r="K51" s="825"/>
      <c r="L51" s="529"/>
      <c r="M51" s="529"/>
    </row>
    <row r="52" spans="1:13" ht="16" thickBot="1">
      <c r="B52" s="549">
        <v>34</v>
      </c>
      <c r="C52" s="1161" t="str">
        <f>IFERROR(VLOOKUP($G$7&amp;$B52,'EV Charging Stations source'!A:V,5,FALSE),"")</f>
        <v/>
      </c>
      <c r="D52" s="1161"/>
      <c r="E52" s="412" t="str">
        <f>IFERROR(VLOOKUP($G$7&amp;$B52,'EV Charging Stations source'!A:V,6,FALSE),"")</f>
        <v/>
      </c>
      <c r="F52" s="228" t="str">
        <f>IFERROR(VLOOKUP($G$7&amp;$B52,'EV Charging Stations source'!A:V,20,FALSE),"")</f>
        <v/>
      </c>
      <c r="G52" s="228" t="str">
        <f>IFERROR(VLOOKUP($G$7&amp;$B52,'EV Charging Stations source'!A:V,22,FALSE),"")</f>
        <v/>
      </c>
      <c r="H52" s="228" t="str">
        <f>IFERROR(VLOOKUP($G$7&amp;$B52,'EV Charging Stations source'!A:V,21,FALSE)," ")</f>
        <v xml:space="preserve"> </v>
      </c>
      <c r="I52" s="228" t="str">
        <f>IFERROR(VLOOKUP($G$7&amp;$B52,'EV Charging Stations source'!A:V,13,FALSE)," ")</f>
        <v xml:space="preserve"> </v>
      </c>
      <c r="J52" s="892"/>
      <c r="K52" s="825"/>
      <c r="L52" s="529"/>
      <c r="M52" s="529"/>
    </row>
    <row r="53" spans="1:13" ht="16" thickBot="1">
      <c r="B53" s="550">
        <v>35</v>
      </c>
      <c r="C53" s="1161" t="str">
        <f>IFERROR(VLOOKUP($G$7&amp;$B53,'EV Charging Stations source'!A:V,5,FALSE),"")</f>
        <v/>
      </c>
      <c r="D53" s="1161"/>
      <c r="E53" s="412" t="str">
        <f>IFERROR(VLOOKUP($G$7&amp;$B53,'EV Charging Stations source'!A:V,6,FALSE),"")</f>
        <v/>
      </c>
      <c r="F53" s="228" t="str">
        <f>IFERROR(VLOOKUP($G$7&amp;$B53,'EV Charging Stations source'!A:V,20,FALSE),"")</f>
        <v/>
      </c>
      <c r="G53" s="228" t="str">
        <f>IFERROR(VLOOKUP($G$7&amp;$B53,'EV Charging Stations source'!A:V,22,FALSE),"")</f>
        <v/>
      </c>
      <c r="H53" s="228" t="str">
        <f>IFERROR(VLOOKUP($G$7&amp;$B53,'EV Charging Stations source'!A:V,21,FALSE)," ")</f>
        <v xml:space="preserve"> </v>
      </c>
      <c r="I53" s="228" t="str">
        <f>IFERROR(VLOOKUP($G$7&amp;$B53,'EV Charging Stations source'!A:V,13,FALSE)," ")</f>
        <v xml:space="preserve"> </v>
      </c>
      <c r="J53" s="892"/>
      <c r="K53" s="825"/>
      <c r="L53" s="529"/>
      <c r="M53" s="529"/>
    </row>
    <row r="54" spans="1:13" ht="19" thickBot="1">
      <c r="B54" s="1184" t="s">
        <v>843</v>
      </c>
      <c r="C54" s="1185"/>
      <c r="D54" s="1185"/>
      <c r="E54" s="1185"/>
      <c r="F54" s="1185"/>
      <c r="G54" s="1185"/>
      <c r="H54" s="1185"/>
      <c r="I54" s="1185"/>
      <c r="J54" s="1185"/>
      <c r="K54" s="1186"/>
      <c r="L54" s="54"/>
      <c r="M54" s="529"/>
    </row>
    <row r="55" spans="1:13" s="6" customFormat="1" ht="41.25" customHeight="1" thickBot="1">
      <c r="A55" s="196"/>
      <c r="B55" s="115"/>
      <c r="C55" s="1183" t="s">
        <v>446</v>
      </c>
      <c r="D55" s="1183"/>
      <c r="E55" s="587" t="s">
        <v>844</v>
      </c>
      <c r="F55" s="116" t="s">
        <v>838</v>
      </c>
      <c r="G55" s="116" t="s">
        <v>845</v>
      </c>
      <c r="H55" s="116" t="s">
        <v>839</v>
      </c>
      <c r="I55" s="628" t="s">
        <v>2504</v>
      </c>
      <c r="J55" s="116" t="s">
        <v>841</v>
      </c>
      <c r="K55" s="588" t="s">
        <v>842</v>
      </c>
      <c r="L55" s="626"/>
      <c r="M55" s="530"/>
    </row>
    <row r="56" spans="1:13" s="6" customFormat="1" ht="16" thickBot="1">
      <c r="A56" s="196"/>
      <c r="B56" s="589"/>
      <c r="C56" s="1155"/>
      <c r="D56" s="1156"/>
      <c r="E56" s="413"/>
      <c r="F56" s="92" t="s">
        <v>258</v>
      </c>
      <c r="G56" s="92"/>
      <c r="H56" s="92" t="s">
        <v>258</v>
      </c>
      <c r="I56" s="589"/>
      <c r="J56" s="92" t="s">
        <v>258</v>
      </c>
      <c r="K56" s="625"/>
      <c r="L56" s="627"/>
      <c r="M56" s="530"/>
    </row>
    <row r="57" spans="1:13" s="6" customFormat="1" ht="16" thickBot="1">
      <c r="A57" s="196"/>
      <c r="B57" s="589"/>
      <c r="C57" s="1155"/>
      <c r="D57" s="1156"/>
      <c r="E57" s="413"/>
      <c r="F57" s="92" t="s">
        <v>258</v>
      </c>
      <c r="G57" s="92"/>
      <c r="H57" s="92" t="s">
        <v>258</v>
      </c>
      <c r="I57" s="589"/>
      <c r="J57" s="92" t="s">
        <v>258</v>
      </c>
      <c r="K57" s="625"/>
      <c r="L57" s="627"/>
      <c r="M57" s="530"/>
    </row>
    <row r="58" spans="1:13" s="6" customFormat="1" ht="16" thickBot="1">
      <c r="A58" s="529"/>
      <c r="B58" s="589"/>
      <c r="C58" s="1155"/>
      <c r="D58" s="1156"/>
      <c r="E58" s="413"/>
      <c r="F58" s="92" t="s">
        <v>258</v>
      </c>
      <c r="G58" s="92"/>
      <c r="H58" s="92" t="s">
        <v>258</v>
      </c>
      <c r="I58" s="589"/>
      <c r="J58" s="92" t="s">
        <v>258</v>
      </c>
      <c r="K58" s="625"/>
      <c r="L58" s="627"/>
      <c r="M58" s="530"/>
    </row>
    <row r="59" spans="1:13" s="6" customFormat="1" ht="16" thickBot="1">
      <c r="A59" s="529"/>
      <c r="B59" s="589"/>
      <c r="C59" s="1155"/>
      <c r="D59" s="1156"/>
      <c r="E59" s="413"/>
      <c r="F59" s="92" t="s">
        <v>258</v>
      </c>
      <c r="G59" s="92"/>
      <c r="H59" s="92" t="s">
        <v>258</v>
      </c>
      <c r="I59" s="589"/>
      <c r="J59" s="92" t="s">
        <v>258</v>
      </c>
      <c r="K59" s="625"/>
      <c r="L59" s="627"/>
      <c r="M59" s="530"/>
    </row>
    <row r="60" spans="1:13" s="6" customFormat="1" ht="16" thickBot="1">
      <c r="A60" s="529"/>
      <c r="B60" s="589"/>
      <c r="C60" s="589"/>
      <c r="D60" s="590"/>
      <c r="E60" s="413"/>
      <c r="F60" s="92" t="s">
        <v>258</v>
      </c>
      <c r="G60" s="92"/>
      <c r="H60" s="92" t="s">
        <v>258</v>
      </c>
      <c r="I60" s="589"/>
      <c r="J60" s="92" t="s">
        <v>258</v>
      </c>
      <c r="K60" s="625"/>
      <c r="L60" s="627"/>
      <c r="M60" s="530"/>
    </row>
    <row r="61" spans="1:13" s="6" customFormat="1" ht="16" thickBot="1">
      <c r="A61" s="529"/>
      <c r="B61" s="589"/>
      <c r="C61" s="589"/>
      <c r="D61" s="590"/>
      <c r="E61" s="413"/>
      <c r="F61" s="92" t="s">
        <v>258</v>
      </c>
      <c r="G61" s="92"/>
      <c r="H61" s="92" t="s">
        <v>258</v>
      </c>
      <c r="I61" s="589"/>
      <c r="J61" s="92" t="s">
        <v>258</v>
      </c>
      <c r="K61" s="625"/>
      <c r="L61" s="627"/>
      <c r="M61" s="530"/>
    </row>
    <row r="62" spans="1:13" s="6" customFormat="1" ht="16" thickBot="1">
      <c r="A62" s="529"/>
      <c r="B62" s="589"/>
      <c r="C62" s="589"/>
      <c r="D62" s="590"/>
      <c r="E62" s="413"/>
      <c r="F62" s="92" t="s">
        <v>258</v>
      </c>
      <c r="G62" s="92"/>
      <c r="H62" s="92" t="s">
        <v>258</v>
      </c>
      <c r="I62" s="589"/>
      <c r="J62" s="92" t="s">
        <v>258</v>
      </c>
      <c r="K62" s="625"/>
      <c r="L62" s="627"/>
      <c r="M62" s="530"/>
    </row>
    <row r="63" spans="1:13" s="6" customFormat="1" ht="16" thickBot="1">
      <c r="A63" s="529"/>
      <c r="B63" s="589"/>
      <c r="C63" s="589"/>
      <c r="D63" s="590"/>
      <c r="E63" s="413"/>
      <c r="F63" s="92" t="s">
        <v>258</v>
      </c>
      <c r="G63" s="92"/>
      <c r="H63" s="92" t="s">
        <v>258</v>
      </c>
      <c r="I63" s="589"/>
      <c r="J63" s="92" t="s">
        <v>258</v>
      </c>
      <c r="K63" s="625"/>
      <c r="L63" s="627"/>
      <c r="M63" s="530"/>
    </row>
    <row r="64" spans="1:13" s="6" customFormat="1" ht="16" thickBot="1">
      <c r="A64" s="529"/>
      <c r="B64" s="589"/>
      <c r="C64" s="1155"/>
      <c r="D64" s="1156"/>
      <c r="E64" s="413"/>
      <c r="F64" s="92" t="s">
        <v>258</v>
      </c>
      <c r="G64" s="92"/>
      <c r="H64" s="92" t="s">
        <v>258</v>
      </c>
      <c r="I64" s="589"/>
      <c r="J64" s="92" t="s">
        <v>258</v>
      </c>
      <c r="K64" s="625"/>
      <c r="L64" s="627"/>
      <c r="M64" s="530"/>
    </row>
    <row r="65" spans="1:13" ht="23.25" customHeight="1">
      <c r="A65" s="529"/>
      <c r="B65" s="551"/>
      <c r="C65" s="551"/>
      <c r="D65" s="551"/>
      <c r="E65" s="414"/>
      <c r="F65" s="229"/>
      <c r="G65" s="229"/>
      <c r="H65" s="229"/>
      <c r="I65" s="529"/>
      <c r="J65" s="529"/>
      <c r="K65" s="529"/>
      <c r="L65" s="229"/>
      <c r="M65" s="529"/>
    </row>
    <row r="66" spans="1:13" s="225" customFormat="1" ht="23.25" customHeight="1">
      <c r="A66" s="548"/>
      <c r="B66" s="1167" t="s">
        <v>412</v>
      </c>
      <c r="C66" s="1167"/>
      <c r="D66" s="1167"/>
      <c r="E66" s="1167"/>
      <c r="F66" s="1167"/>
      <c r="G66" s="1167"/>
      <c r="H66" s="1167"/>
      <c r="I66" s="1167"/>
      <c r="J66" s="1167"/>
      <c r="K66" s="1167"/>
      <c r="L66" s="61"/>
      <c r="M66" s="548"/>
    </row>
    <row r="67" spans="1:13" s="225" customFormat="1" ht="21" customHeight="1">
      <c r="A67" s="548"/>
      <c r="B67" s="1168" t="s">
        <v>846</v>
      </c>
      <c r="C67" s="1168"/>
      <c r="D67" s="1168"/>
      <c r="E67" s="1168"/>
      <c r="F67" s="1168"/>
      <c r="G67" s="1168"/>
      <c r="H67" s="1168"/>
      <c r="I67" s="1168"/>
      <c r="J67" s="1168"/>
      <c r="K67" s="1168"/>
      <c r="L67" s="61"/>
      <c r="M67" s="548"/>
    </row>
    <row r="68" spans="1:13" ht="18.75" customHeight="1" thickBot="1">
      <c r="A68" s="529"/>
      <c r="B68" s="1164" t="s">
        <v>847</v>
      </c>
      <c r="C68" s="1164"/>
      <c r="D68" s="1164"/>
      <c r="E68" s="1164"/>
      <c r="F68" s="1164"/>
      <c r="G68" s="1164"/>
      <c r="H68" s="1164"/>
      <c r="I68" s="1164"/>
      <c r="J68" s="1164"/>
      <c r="K68" s="1164"/>
      <c r="L68" s="60"/>
      <c r="M68" s="529"/>
    </row>
    <row r="69" spans="1:13" ht="48.75" customHeight="1" thickBot="1">
      <c r="A69" s="529"/>
      <c r="B69" s="587"/>
      <c r="C69" s="1163" t="s">
        <v>446</v>
      </c>
      <c r="D69" s="1163"/>
      <c r="E69" s="587" t="s">
        <v>844</v>
      </c>
      <c r="F69" s="587" t="s">
        <v>838</v>
      </c>
      <c r="G69" s="587" t="s">
        <v>845</v>
      </c>
      <c r="H69" s="116" t="s">
        <v>839</v>
      </c>
      <c r="I69" s="116" t="s">
        <v>1487</v>
      </c>
      <c r="J69" s="587" t="s">
        <v>848</v>
      </c>
      <c r="K69" s="587" t="s">
        <v>321</v>
      </c>
      <c r="L69"/>
      <c r="M69" s="529"/>
    </row>
    <row r="70" spans="1:13" ht="18.75" customHeight="1" thickBot="1">
      <c r="A70" s="529"/>
      <c r="B70" s="589">
        <v>1</v>
      </c>
      <c r="C70" s="1165"/>
      <c r="D70" s="1166"/>
      <c r="E70" s="413"/>
      <c r="F70" s="92" t="s">
        <v>258</v>
      </c>
      <c r="G70" s="92"/>
      <c r="H70" s="92" t="s">
        <v>258</v>
      </c>
      <c r="I70" s="589"/>
      <c r="J70" s="92" t="s">
        <v>258</v>
      </c>
      <c r="K70" s="589"/>
      <c r="L70"/>
      <c r="M70" s="529"/>
    </row>
    <row r="71" spans="1:13" ht="16" thickBot="1">
      <c r="A71" s="529"/>
      <c r="B71" s="589">
        <v>2</v>
      </c>
      <c r="C71" s="1155"/>
      <c r="D71" s="1156"/>
      <c r="E71" s="413"/>
      <c r="F71" s="92" t="s">
        <v>258</v>
      </c>
      <c r="G71" s="92"/>
      <c r="H71" s="92" t="s">
        <v>258</v>
      </c>
      <c r="I71" s="589"/>
      <c r="J71" s="92" t="s">
        <v>258</v>
      </c>
      <c r="K71" s="589"/>
      <c r="L71"/>
      <c r="M71" s="529"/>
    </row>
    <row r="72" spans="1:13" ht="16" thickBot="1">
      <c r="A72" s="529"/>
      <c r="B72" s="589">
        <v>3</v>
      </c>
      <c r="C72" s="1155"/>
      <c r="D72" s="1156"/>
      <c r="E72" s="413"/>
      <c r="F72" s="92" t="s">
        <v>258</v>
      </c>
      <c r="G72" s="92"/>
      <c r="H72" s="92" t="s">
        <v>258</v>
      </c>
      <c r="I72" s="589"/>
      <c r="J72" s="92" t="s">
        <v>258</v>
      </c>
      <c r="K72" s="589"/>
      <c r="L72"/>
      <c r="M72" s="529"/>
    </row>
    <row r="73" spans="1:13" ht="16" thickBot="1">
      <c r="A73" s="529"/>
      <c r="B73" s="589">
        <v>4</v>
      </c>
      <c r="C73" s="1155"/>
      <c r="D73" s="1156"/>
      <c r="E73" s="413"/>
      <c r="F73" s="92" t="s">
        <v>258</v>
      </c>
      <c r="G73" s="92"/>
      <c r="H73" s="92" t="s">
        <v>258</v>
      </c>
      <c r="I73" s="589"/>
      <c r="J73" s="92" t="s">
        <v>258</v>
      </c>
      <c r="K73" s="589"/>
      <c r="L73"/>
      <c r="M73" s="529"/>
    </row>
    <row r="74" spans="1:13" ht="16" thickBot="1">
      <c r="A74" s="529"/>
      <c r="B74" s="589">
        <v>5</v>
      </c>
      <c r="C74" s="1155"/>
      <c r="D74" s="1156"/>
      <c r="E74" s="413"/>
      <c r="F74" s="92" t="s">
        <v>258</v>
      </c>
      <c r="G74" s="92"/>
      <c r="H74" s="92" t="s">
        <v>258</v>
      </c>
      <c r="I74" s="589"/>
      <c r="J74" s="92" t="s">
        <v>258</v>
      </c>
      <c r="K74" s="589"/>
      <c r="L74"/>
      <c r="M74" s="529"/>
    </row>
    <row r="75" spans="1:13" ht="16" thickBot="1">
      <c r="A75" s="529"/>
      <c r="B75" s="589">
        <v>6</v>
      </c>
      <c r="C75" s="1155"/>
      <c r="D75" s="1156"/>
      <c r="E75" s="413"/>
      <c r="F75" s="92" t="s">
        <v>258</v>
      </c>
      <c r="G75" s="92"/>
      <c r="H75" s="92" t="s">
        <v>258</v>
      </c>
      <c r="I75" s="589"/>
      <c r="J75" s="92" t="s">
        <v>258</v>
      </c>
      <c r="K75" s="589"/>
      <c r="L75"/>
      <c r="M75" s="529"/>
    </row>
    <row r="76" spans="1:13" ht="16" thickBot="1">
      <c r="A76" s="529"/>
      <c r="B76" s="589">
        <v>7</v>
      </c>
      <c r="C76" s="1155"/>
      <c r="D76" s="1156"/>
      <c r="E76" s="413"/>
      <c r="F76" s="92" t="s">
        <v>258</v>
      </c>
      <c r="G76" s="92"/>
      <c r="H76" s="92" t="s">
        <v>258</v>
      </c>
      <c r="I76" s="589"/>
      <c r="J76" s="92" t="s">
        <v>258</v>
      </c>
      <c r="K76" s="589"/>
      <c r="L76"/>
      <c r="M76" s="529"/>
    </row>
    <row r="77" spans="1:13" ht="16" thickBot="1">
      <c r="A77" s="529"/>
      <c r="B77" s="589">
        <v>8</v>
      </c>
      <c r="C77" s="1155"/>
      <c r="D77" s="1156"/>
      <c r="E77" s="413"/>
      <c r="F77" s="92" t="s">
        <v>258</v>
      </c>
      <c r="G77" s="92"/>
      <c r="H77" s="92" t="s">
        <v>258</v>
      </c>
      <c r="I77" s="589"/>
      <c r="J77" s="92" t="s">
        <v>258</v>
      </c>
      <c r="K77" s="589"/>
      <c r="L77"/>
      <c r="M77" s="529"/>
    </row>
    <row r="78" spans="1:13" ht="16" thickBot="1">
      <c r="A78" s="529"/>
      <c r="B78" s="589">
        <v>9</v>
      </c>
      <c r="C78" s="1155"/>
      <c r="D78" s="1156"/>
      <c r="E78" s="413"/>
      <c r="F78" s="92" t="s">
        <v>258</v>
      </c>
      <c r="G78" s="92"/>
      <c r="H78" s="92" t="s">
        <v>258</v>
      </c>
      <c r="I78" s="589"/>
      <c r="J78" s="92" t="s">
        <v>258</v>
      </c>
      <c r="K78" s="589"/>
      <c r="L78"/>
      <c r="M78" s="529"/>
    </row>
    <row r="79" spans="1:13" ht="16" thickBot="1">
      <c r="A79" s="529"/>
      <c r="B79" s="589">
        <v>10</v>
      </c>
      <c r="C79" s="1155"/>
      <c r="D79" s="1156"/>
      <c r="E79" s="413"/>
      <c r="F79" s="92" t="s">
        <v>258</v>
      </c>
      <c r="G79" s="92"/>
      <c r="H79" s="92" t="s">
        <v>258</v>
      </c>
      <c r="I79" s="589"/>
      <c r="J79" s="92" t="s">
        <v>258</v>
      </c>
      <c r="K79" s="589"/>
      <c r="L79"/>
      <c r="M79" s="529"/>
    </row>
    <row r="80" spans="1:13" ht="0.75" customHeight="1" thickBot="1">
      <c r="A80" s="529"/>
      <c r="B80" s="529"/>
      <c r="C80" s="529"/>
      <c r="D80" s="529"/>
      <c r="E80" s="546"/>
      <c r="F80" s="92" t="s">
        <v>258</v>
      </c>
      <c r="G80" s="529"/>
      <c r="H80" s="547"/>
      <c r="I80" s="529"/>
      <c r="J80" s="529"/>
      <c r="K80" s="529"/>
      <c r="L80" s="529"/>
      <c r="M80" s="529"/>
    </row>
    <row r="81" spans="1:13" ht="15.75" customHeight="1">
      <c r="A81" s="529"/>
      <c r="B81" s="529"/>
      <c r="C81" s="529"/>
      <c r="D81" s="529"/>
      <c r="E81" s="546"/>
      <c r="F81" s="529"/>
      <c r="G81" s="529"/>
      <c r="H81" s="547"/>
      <c r="I81" s="529"/>
      <c r="J81" s="529"/>
      <c r="K81" s="529"/>
      <c r="L81" s="529"/>
      <c r="M81" s="529"/>
    </row>
    <row r="82" spans="1:13">
      <c r="A82" s="529"/>
      <c r="B82" s="529"/>
      <c r="C82" s="529"/>
      <c r="D82" s="529"/>
      <c r="E82" s="546"/>
      <c r="F82" s="529"/>
      <c r="G82" s="529"/>
      <c r="H82" s="547"/>
      <c r="I82" s="529"/>
      <c r="J82" s="529"/>
      <c r="K82" s="529"/>
      <c r="L82" s="529"/>
      <c r="M82" s="529"/>
    </row>
    <row r="83" spans="1:13" ht="25" customHeight="1" thickBot="1">
      <c r="A83" s="529"/>
      <c r="B83" s="1173" t="s">
        <v>849</v>
      </c>
      <c r="C83" s="1173"/>
      <c r="D83" s="1173"/>
      <c r="E83" s="1173"/>
      <c r="F83" s="1173"/>
      <c r="G83" s="1173"/>
      <c r="H83" s="1174"/>
      <c r="I83" s="1175" t="s">
        <v>258</v>
      </c>
      <c r="J83" s="1176"/>
      <c r="K83" s="1176"/>
      <c r="L83" s="529"/>
      <c r="M83" s="529"/>
    </row>
    <row r="84" spans="1:13" ht="20.25" customHeight="1">
      <c r="A84" s="529"/>
      <c r="B84" s="1177" t="str">
        <f>IF(I83="yes","Please provide any details below","")</f>
        <v/>
      </c>
      <c r="C84" s="1177"/>
      <c r="D84" s="1177"/>
      <c r="E84" s="1177"/>
      <c r="F84" s="1177"/>
      <c r="G84" s="1177"/>
      <c r="H84" s="1177"/>
      <c r="I84" s="1177"/>
      <c r="J84" s="1177"/>
      <c r="K84" s="1177"/>
      <c r="L84" s="529"/>
      <c r="M84" s="529"/>
    </row>
    <row r="85" spans="1:13" ht="63.75" customHeight="1">
      <c r="A85" s="529"/>
      <c r="B85" s="1178"/>
      <c r="C85" s="1178"/>
      <c r="D85" s="1178"/>
      <c r="E85" s="1178"/>
      <c r="F85" s="1178"/>
      <c r="G85" s="1178"/>
      <c r="H85" s="1178"/>
      <c r="I85" s="1178"/>
      <c r="J85" s="1178"/>
      <c r="K85" s="1178"/>
      <c r="L85" s="529"/>
      <c r="M85" s="529"/>
    </row>
    <row r="86" spans="1:13">
      <c r="A86" s="529"/>
      <c r="B86" s="529"/>
      <c r="C86" s="529"/>
      <c r="D86" s="529"/>
      <c r="E86" s="546"/>
      <c r="F86" s="529"/>
      <c r="G86" s="529"/>
      <c r="H86" s="547"/>
      <c r="I86" s="529"/>
      <c r="J86" s="529"/>
      <c r="K86" s="529"/>
      <c r="L86" s="529"/>
      <c r="M86" s="529"/>
    </row>
    <row r="87" spans="1:13" ht="23.15" customHeight="1" thickBot="1">
      <c r="A87" s="529"/>
      <c r="B87" s="1179"/>
      <c r="C87" s="1179"/>
      <c r="D87" s="1179"/>
      <c r="E87" s="1179"/>
      <c r="F87" s="1179"/>
      <c r="G87" s="1179"/>
      <c r="H87" s="1180"/>
      <c r="I87" s="1181"/>
      <c r="J87" s="1182"/>
      <c r="K87" s="1182"/>
      <c r="L87" s="529"/>
      <c r="M87" s="529"/>
    </row>
    <row r="88" spans="1:13">
      <c r="A88" s="529"/>
      <c r="B88" s="1171"/>
      <c r="C88" s="1171"/>
      <c r="D88" s="1171"/>
      <c r="E88" s="1171"/>
      <c r="F88" s="1171"/>
      <c r="G88" s="1171"/>
      <c r="H88" s="1171"/>
      <c r="I88" s="1171"/>
      <c r="J88" s="1171"/>
      <c r="K88" s="1171"/>
      <c r="L88" s="529"/>
      <c r="M88" s="529"/>
    </row>
    <row r="89" spans="1:13" ht="53.15" customHeight="1">
      <c r="A89" s="529"/>
      <c r="B89" s="1172"/>
      <c r="C89" s="1172"/>
      <c r="D89" s="1172"/>
      <c r="E89" s="1172"/>
      <c r="F89" s="1172"/>
      <c r="G89" s="1172"/>
      <c r="H89" s="1172"/>
      <c r="I89" s="1172"/>
      <c r="J89" s="1172"/>
      <c r="K89" s="1172"/>
      <c r="L89" s="529"/>
      <c r="M89" s="529"/>
    </row>
    <row r="90" spans="1:13">
      <c r="A90" s="529"/>
      <c r="B90" s="529"/>
      <c r="C90" s="529"/>
      <c r="D90" s="529"/>
      <c r="E90" s="546"/>
      <c r="F90" s="529"/>
      <c r="G90" s="529"/>
      <c r="H90" s="547"/>
      <c r="I90" s="529"/>
      <c r="J90" s="529"/>
      <c r="K90" s="529"/>
      <c r="L90" s="529"/>
      <c r="M90" s="529"/>
    </row>
    <row r="91" spans="1:13">
      <c r="A91" s="529"/>
      <c r="B91" s="529"/>
      <c r="C91" s="529"/>
      <c r="D91" s="529"/>
      <c r="E91" s="546"/>
      <c r="F91" s="529"/>
      <c r="G91" s="529"/>
      <c r="H91" s="547"/>
      <c r="I91" s="529"/>
      <c r="J91" s="529"/>
      <c r="K91" s="529"/>
      <c r="L91" s="529"/>
      <c r="M91" s="529"/>
    </row>
    <row r="92" spans="1:13">
      <c r="A92" s="529"/>
      <c r="B92" s="529"/>
      <c r="C92" s="529"/>
      <c r="D92" s="529"/>
      <c r="E92" s="546"/>
      <c r="F92" s="529"/>
      <c r="G92" s="529"/>
      <c r="H92" s="547"/>
      <c r="I92" s="529"/>
      <c r="J92" s="529"/>
      <c r="K92" s="529"/>
      <c r="L92" s="529"/>
      <c r="M92" s="529"/>
    </row>
    <row r="93" spans="1:13">
      <c r="A93" s="529"/>
      <c r="B93" s="529"/>
      <c r="C93" s="529"/>
      <c r="D93" s="529"/>
      <c r="E93" s="546"/>
      <c r="F93" s="529"/>
      <c r="G93" s="529"/>
      <c r="H93" s="547"/>
      <c r="I93" s="529"/>
      <c r="J93" s="529"/>
      <c r="K93" s="529"/>
      <c r="L93" s="529"/>
      <c r="M93" s="529"/>
    </row>
    <row r="94" spans="1:13"/>
    <row r="95" spans="1:13"/>
    <row r="96" spans="1:13"/>
    <row r="97"/>
    <row r="98"/>
    <row r="99"/>
    <row r="100"/>
    <row r="101"/>
    <row r="102"/>
    <row r="103"/>
    <row r="104"/>
    <row r="105"/>
    <row r="106"/>
    <row r="107"/>
    <row r="108"/>
    <row r="109"/>
    <row r="110"/>
    <row r="111"/>
    <row r="112"/>
    <row r="113"/>
    <row r="114"/>
    <row r="115"/>
    <row r="116"/>
    <row r="117"/>
    <row r="118"/>
    <row r="119"/>
    <row r="120"/>
    <row r="121"/>
  </sheetData>
  <sheetProtection selectLockedCells="1"/>
  <mergeCells count="100">
    <mergeCell ref="C53:D53"/>
    <mergeCell ref="C44:D44"/>
    <mergeCell ref="C55:D55"/>
    <mergeCell ref="C39:D39"/>
    <mergeCell ref="C40:D40"/>
    <mergeCell ref="C41:D41"/>
    <mergeCell ref="C42:D42"/>
    <mergeCell ref="C43:D43"/>
    <mergeCell ref="B54:K54"/>
    <mergeCell ref="C45:D45"/>
    <mergeCell ref="C46:D46"/>
    <mergeCell ref="C47:D47"/>
    <mergeCell ref="C48:D48"/>
    <mergeCell ref="C49:D49"/>
    <mergeCell ref="C50:D50"/>
    <mergeCell ref="C51:D51"/>
    <mergeCell ref="C52:D52"/>
    <mergeCell ref="B88:K88"/>
    <mergeCell ref="B89:K89"/>
    <mergeCell ref="B83:H83"/>
    <mergeCell ref="I83:K83"/>
    <mergeCell ref="B84:K84"/>
    <mergeCell ref="B85:K85"/>
    <mergeCell ref="B87:H87"/>
    <mergeCell ref="I87:K87"/>
    <mergeCell ref="C75:D75"/>
    <mergeCell ref="C76:D76"/>
    <mergeCell ref="C77:D77"/>
    <mergeCell ref="C78:D78"/>
    <mergeCell ref="C79:D79"/>
    <mergeCell ref="C64:D64"/>
    <mergeCell ref="C56:D56"/>
    <mergeCell ref="C18:D18"/>
    <mergeCell ref="C35:D35"/>
    <mergeCell ref="C36:D36"/>
    <mergeCell ref="C37:D37"/>
    <mergeCell ref="C38:D38"/>
    <mergeCell ref="C29:D29"/>
    <mergeCell ref="C30:D30"/>
    <mergeCell ref="C31:D31"/>
    <mergeCell ref="C32:D32"/>
    <mergeCell ref="C33:D33"/>
    <mergeCell ref="C24:D24"/>
    <mergeCell ref="C25:D25"/>
    <mergeCell ref="C26:D26"/>
    <mergeCell ref="C27:D27"/>
    <mergeCell ref="C19:D19"/>
    <mergeCell ref="C20:D20"/>
    <mergeCell ref="J44:K44"/>
    <mergeCell ref="J28:K28"/>
    <mergeCell ref="J29:K29"/>
    <mergeCell ref="J30:K30"/>
    <mergeCell ref="J31:K31"/>
    <mergeCell ref="J32:K32"/>
    <mergeCell ref="J33:K33"/>
    <mergeCell ref="J34:K34"/>
    <mergeCell ref="J21:K21"/>
    <mergeCell ref="J22:K22"/>
    <mergeCell ref="C74:D74"/>
    <mergeCell ref="C69:D69"/>
    <mergeCell ref="B68:K68"/>
    <mergeCell ref="C70:D70"/>
    <mergeCell ref="C71:D71"/>
    <mergeCell ref="C72:D72"/>
    <mergeCell ref="C73:D73"/>
    <mergeCell ref="B66:K66"/>
    <mergeCell ref="B67:K67"/>
    <mergeCell ref="J35:K35"/>
    <mergeCell ref="C58:D58"/>
    <mergeCell ref="C59:D59"/>
    <mergeCell ref="J36:K36"/>
    <mergeCell ref="J37:K37"/>
    <mergeCell ref="C57:D57"/>
    <mergeCell ref="B16:K16"/>
    <mergeCell ref="B17:K17"/>
    <mergeCell ref="J25:K25"/>
    <mergeCell ref="J26:K26"/>
    <mergeCell ref="J27:K27"/>
    <mergeCell ref="C28:D28"/>
    <mergeCell ref="C34:D34"/>
    <mergeCell ref="C21:D21"/>
    <mergeCell ref="C22:D22"/>
    <mergeCell ref="C23:D23"/>
    <mergeCell ref="J23:K23"/>
    <mergeCell ref="J24:K24"/>
    <mergeCell ref="J18:K18"/>
    <mergeCell ref="J19:K19"/>
    <mergeCell ref="J20:K20"/>
    <mergeCell ref="B10:K10"/>
    <mergeCell ref="B15:K15"/>
    <mergeCell ref="E7:F7"/>
    <mergeCell ref="B14:K14"/>
    <mergeCell ref="G7:I7"/>
    <mergeCell ref="C11:K11"/>
    <mergeCell ref="C12:K12"/>
    <mergeCell ref="B2:D5"/>
    <mergeCell ref="B1:K1"/>
    <mergeCell ref="E2:K3"/>
    <mergeCell ref="E4:K4"/>
    <mergeCell ref="E5:K5"/>
  </mergeCells>
  <conditionalFormatting sqref="B84:K84">
    <cfRule type="expression" dxfId="27" priority="2">
      <formula>$I$83="yes"</formula>
    </cfRule>
  </conditionalFormatting>
  <conditionalFormatting sqref="B88:K88">
    <cfRule type="expression" dxfId="26" priority="1">
      <formula>$I$83="yes"</formula>
    </cfRule>
  </conditionalFormatting>
  <dataValidations count="2">
    <dataValidation type="list" allowBlank="1" showInputMessage="1" showErrorMessage="1" sqref="G65" xr:uid="{1A6F2D35-1D81-4921-B47A-B4C060483E0B}">
      <formula1>$V$1:$V$5</formula1>
    </dataValidation>
    <dataValidation type="list" allowBlank="1" showInputMessage="1" showErrorMessage="1" sqref="H65" xr:uid="{A5C12227-04D5-4020-B36F-B6F44A5A1209}">
      <formula1>$W$1:$W$4</formula1>
    </dataValidation>
  </dataValidations>
  <pageMargins left="0.7" right="0.7" top="0.75" bottom="0.75" header="0.3" footer="0.3"/>
  <pageSetup scale="46"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E8C6A8DB-20D5-4C6D-9DD4-2418CC367C81}">
          <x14:formula1>
            <xm:f>Source!$W$1:$W$5</xm:f>
          </x14:formula1>
          <xm:sqref>F70:F80 F56:F64</xm:sqref>
        </x14:dataValidation>
        <x14:dataValidation type="list" allowBlank="1" showInputMessage="1" showErrorMessage="1" xr:uid="{3661C3C0-2ED2-470D-B128-668B668F665D}">
          <x14:formula1>
            <xm:f>Source!$X$1:$X$4</xm:f>
          </x14:formula1>
          <xm:sqref>H69:H79 H56:H64</xm:sqref>
        </x14:dataValidation>
        <x14:dataValidation type="list" allowBlank="1" showInputMessage="1" showErrorMessage="1" xr:uid="{6B990701-6258-427D-ACDA-52E328B325AC}">
          <x14:formula1>
            <xm:f>Source!$I$1:$I$3</xm:f>
          </x14:formula1>
          <xm:sqref>K65</xm:sqref>
        </x14:dataValidation>
        <x14:dataValidation type="list" allowBlank="1" showInputMessage="1" showErrorMessage="1" xr:uid="{AB117CCD-DCC2-432E-9C19-679F3601BAA2}">
          <x14:formula1>
            <xm:f>Source!$A$1:$A$9</xm:f>
          </x14:formula1>
          <xm:sqref>I65:J65</xm:sqref>
        </x14:dataValidation>
        <x14:dataValidation type="list" allowBlank="1" showInputMessage="1" showErrorMessage="1" xr:uid="{9482B766-A80B-4EFB-B584-1C56195BB7E0}">
          <x14:formula1>
            <xm:f>Source!$X$2:$X$4</xm:f>
          </x14:formula1>
          <xm:sqref>H56:H64</xm:sqref>
        </x14:dataValidation>
        <x14:dataValidation type="list" allowBlank="1" showInputMessage="1" showErrorMessage="1" xr:uid="{A5B43D4B-FF9E-4DBE-A8DC-3B1CEF21EF9C}">
          <x14:formula1>
            <xm:f>Source!$T$1:$T$4</xm:f>
          </x14:formula1>
          <xm:sqref>I83:K83 I87:K87</xm:sqref>
        </x14:dataValidation>
        <x14:dataValidation type="list" allowBlank="1" showInputMessage="1" showErrorMessage="1" xr:uid="{B84D34D6-16A0-4481-A90D-ECB448C90EFB}">
          <x14:formula1>
            <xm:f>Source!$AB$1:$AB$5</xm:f>
          </x14:formula1>
          <xm:sqref>J70:J79 J56:J64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2"/>
  <sheetViews>
    <sheetView workbookViewId="0">
      <selection activeCell="E23" sqref="E23"/>
    </sheetView>
  </sheetViews>
  <sheetFormatPr defaultColWidth="9.1796875" defaultRowHeight="14.5"/>
  <cols>
    <col min="1" max="1" width="37" style="51" customWidth="1"/>
    <col min="2" max="3" width="20.26953125" bestFit="1" customWidth="1"/>
    <col min="4" max="4" width="11.453125" style="46" bestFit="1" customWidth="1"/>
    <col min="5" max="5" width="37.453125" bestFit="1" customWidth="1"/>
    <col min="6" max="6" width="31" customWidth="1"/>
    <col min="7" max="7" width="37.1796875" customWidth="1"/>
    <col min="8" max="8" width="13.453125" bestFit="1" customWidth="1"/>
    <col min="12" max="12" width="15.1796875" customWidth="1"/>
    <col min="13" max="13" width="18.81640625" bestFit="1" customWidth="1"/>
    <col min="14" max="14" width="17.453125" style="48" customWidth="1"/>
    <col min="15" max="15" width="16.7265625" style="49" bestFit="1" customWidth="1"/>
    <col min="16" max="16" width="19.7265625" bestFit="1" customWidth="1"/>
    <col min="18" max="18" width="16" bestFit="1" customWidth="1"/>
    <col min="21" max="21" width="17.7265625" style="49" customWidth="1"/>
    <col min="22" max="22" width="19.7265625" style="49" bestFit="1" customWidth="1"/>
    <col min="23" max="23" width="17.7265625" style="49" customWidth="1"/>
    <col min="24" max="24" width="9.1796875" style="49"/>
    <col min="25" max="25" width="30.7265625" bestFit="1" customWidth="1"/>
    <col min="26" max="26" width="18.7265625" bestFit="1" customWidth="1"/>
    <col min="27" max="27" width="17.7265625" bestFit="1" customWidth="1"/>
    <col min="28" max="29" width="19.7265625" bestFit="1" customWidth="1"/>
    <col min="31" max="31" width="14.453125" style="49" bestFit="1" customWidth="1"/>
    <col min="32" max="32" width="19.26953125" bestFit="1" customWidth="1"/>
    <col min="34" max="34" width="19.1796875" bestFit="1" customWidth="1"/>
    <col min="36" max="36" width="40.26953125" bestFit="1" customWidth="1"/>
  </cols>
  <sheetData>
    <row r="1" spans="1:35" s="49" customFormat="1" ht="39">
      <c r="A1" s="53" t="s">
        <v>850</v>
      </c>
      <c r="B1" s="53" t="s">
        <v>319</v>
      </c>
      <c r="C1" s="53" t="s">
        <v>444</v>
      </c>
      <c r="D1" s="53" t="s">
        <v>851</v>
      </c>
      <c r="E1" s="53" t="s">
        <v>433</v>
      </c>
      <c r="F1" s="53" t="s">
        <v>760</v>
      </c>
      <c r="G1" s="53" t="s">
        <v>456</v>
      </c>
      <c r="H1" s="53" t="s">
        <v>449</v>
      </c>
      <c r="I1" s="53" t="s">
        <v>450</v>
      </c>
      <c r="J1" s="53" t="s">
        <v>852</v>
      </c>
      <c r="K1" s="53" t="s">
        <v>853</v>
      </c>
      <c r="L1" s="53" t="s">
        <v>854</v>
      </c>
      <c r="M1" s="53" t="s">
        <v>855</v>
      </c>
      <c r="N1" s="53" t="s">
        <v>856</v>
      </c>
      <c r="O1" s="53" t="s">
        <v>857</v>
      </c>
      <c r="P1" s="53" t="s">
        <v>848</v>
      </c>
      <c r="Q1" s="52" t="s">
        <v>858</v>
      </c>
      <c r="R1" s="52" t="s">
        <v>859</v>
      </c>
      <c r="S1" s="52" t="s">
        <v>860</v>
      </c>
      <c r="T1" s="52" t="s">
        <v>861</v>
      </c>
      <c r="U1" s="52" t="s">
        <v>838</v>
      </c>
      <c r="V1" s="52" t="s">
        <v>839</v>
      </c>
      <c r="W1" s="53" t="s">
        <v>862</v>
      </c>
      <c r="X1" s="53" t="s">
        <v>863</v>
      </c>
      <c r="Y1" s="53" t="s">
        <v>864</v>
      </c>
      <c r="Z1" s="53" t="s">
        <v>865</v>
      </c>
      <c r="AA1" s="53" t="s">
        <v>434</v>
      </c>
      <c r="AB1"/>
      <c r="AC1" s="47"/>
      <c r="AD1" s="47"/>
      <c r="AE1" s="47"/>
      <c r="AF1" s="47"/>
      <c r="AG1" s="47"/>
      <c r="AH1" s="47"/>
      <c r="AI1" s="47"/>
    </row>
    <row r="2" spans="1:35" s="296" customFormat="1">
      <c r="A2" s="293" t="str">
        <f>E2&amp;AA21</f>
        <v>Holyoke Comm. College</v>
      </c>
      <c r="B2" s="293" t="s">
        <v>866</v>
      </c>
      <c r="C2" s="293" t="s">
        <v>866</v>
      </c>
      <c r="D2" s="293" t="s">
        <v>867</v>
      </c>
      <c r="E2" s="293" t="s">
        <v>134</v>
      </c>
      <c r="F2" s="293" t="s">
        <v>868</v>
      </c>
      <c r="G2" s="293" t="s">
        <v>869</v>
      </c>
      <c r="H2" s="294" t="s">
        <v>777</v>
      </c>
      <c r="I2" s="294" t="s">
        <v>471</v>
      </c>
      <c r="J2" s="295" t="s">
        <v>870</v>
      </c>
      <c r="K2" s="294"/>
      <c r="L2" s="294"/>
      <c r="M2" s="294"/>
      <c r="N2" s="294" t="s">
        <v>871</v>
      </c>
      <c r="O2" s="294" t="s">
        <v>872</v>
      </c>
      <c r="P2" s="294" t="s">
        <v>873</v>
      </c>
      <c r="Q2" s="294"/>
      <c r="R2" s="294"/>
      <c r="S2" s="294"/>
      <c r="T2" s="294"/>
      <c r="U2" s="294" t="s">
        <v>874</v>
      </c>
      <c r="V2" s="294" t="s">
        <v>875</v>
      </c>
      <c r="W2" s="294">
        <v>2</v>
      </c>
      <c r="X2" s="293"/>
      <c r="Y2" s="293">
        <v>2020</v>
      </c>
      <c r="Z2" s="293"/>
      <c r="AA2" s="293">
        <v>1</v>
      </c>
      <c r="AB2" s="296" t="str">
        <f>VLOOKUP(E2,Source!F:F,1,FALSE)</f>
        <v>Holyoke Comm. College</v>
      </c>
      <c r="AC2" s="297"/>
      <c r="AD2" s="298"/>
      <c r="AE2" s="299"/>
      <c r="AF2" s="298"/>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Source!$I$1:$I$3</xm:f>
          </x14:formula1>
          <xm:sqref>O2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199"/>
  <sheetViews>
    <sheetView topLeftCell="A145" zoomScale="80" zoomScaleNormal="80" workbookViewId="0">
      <selection activeCell="B200" sqref="B200"/>
    </sheetView>
  </sheetViews>
  <sheetFormatPr defaultColWidth="9.1796875" defaultRowHeight="14.5"/>
  <cols>
    <col min="1" max="1" width="41" customWidth="1"/>
    <col min="2" max="2" width="8.1796875" customWidth="1"/>
    <col min="3" max="3" width="10" style="51" bestFit="1" customWidth="1"/>
    <col min="4" max="4" width="48" bestFit="1" customWidth="1"/>
    <col min="5" max="5" width="43.81640625" bestFit="1" customWidth="1"/>
    <col min="6" max="6" width="49.1796875" style="46" bestFit="1" customWidth="1"/>
    <col min="7" max="7" width="52.36328125" bestFit="1" customWidth="1"/>
    <col min="8" max="8" width="14.54296875" bestFit="1" customWidth="1"/>
    <col min="9" max="9" width="6.26953125" bestFit="1" customWidth="1"/>
    <col min="10" max="10" width="11.81640625" bestFit="1" customWidth="1"/>
    <col min="11" max="11" width="6.08984375" bestFit="1" customWidth="1"/>
    <col min="12" max="13" width="22.453125" bestFit="1" customWidth="1"/>
    <col min="14" max="14" width="15.36328125" bestFit="1" customWidth="1"/>
    <col min="15" max="15" width="14.81640625" bestFit="1" customWidth="1"/>
    <col min="16" max="16" width="14.36328125" style="48" bestFit="1" customWidth="1"/>
    <col min="17" max="17" width="12.08984375" style="49" bestFit="1" customWidth="1"/>
    <col min="18" max="18" width="15.08984375" bestFit="1" customWidth="1"/>
    <col min="19" max="19" width="8.90625" bestFit="1" customWidth="1"/>
    <col min="20" max="20" width="9.26953125" customWidth="1"/>
    <col min="21" max="21" width="9.81640625" bestFit="1" customWidth="1"/>
    <col min="22" max="22" width="23.54296875" customWidth="1"/>
  </cols>
  <sheetData>
    <row r="1" spans="1:22" s="49" customFormat="1">
      <c r="A1" s="624" t="s">
        <v>850</v>
      </c>
      <c r="B1" s="624" t="s">
        <v>434</v>
      </c>
      <c r="C1" s="624" t="s">
        <v>851</v>
      </c>
      <c r="D1" s="624" t="s">
        <v>1039</v>
      </c>
      <c r="E1" s="624" t="s">
        <v>1278</v>
      </c>
      <c r="F1" s="624" t="s">
        <v>1279</v>
      </c>
      <c r="G1" s="624" t="s">
        <v>1280</v>
      </c>
      <c r="H1" s="624" t="s">
        <v>449</v>
      </c>
      <c r="I1" s="624" t="s">
        <v>852</v>
      </c>
      <c r="J1" s="624" t="s">
        <v>856</v>
      </c>
      <c r="K1" s="624" t="s">
        <v>857</v>
      </c>
      <c r="L1" s="624" t="s">
        <v>1281</v>
      </c>
      <c r="M1" s="624" t="s">
        <v>1282</v>
      </c>
      <c r="N1" s="624" t="s">
        <v>1283</v>
      </c>
      <c r="O1" s="624" t="s">
        <v>1284</v>
      </c>
      <c r="P1" s="624" t="s">
        <v>1285</v>
      </c>
      <c r="Q1" s="624" t="s">
        <v>1286</v>
      </c>
      <c r="R1" s="624" t="s">
        <v>1287</v>
      </c>
      <c r="S1" s="624" t="s">
        <v>862</v>
      </c>
      <c r="T1" s="624" t="s">
        <v>1288</v>
      </c>
      <c r="U1" s="624" t="s">
        <v>864</v>
      </c>
      <c r="V1" s="624" t="s">
        <v>839</v>
      </c>
    </row>
    <row r="2" spans="1:22">
      <c r="A2" s="17" t="str">
        <f t="shared" ref="A2:A33" si="0">D2&amp;B2</f>
        <v>Bridgewater State University1</v>
      </c>
      <c r="B2" s="17">
        <v>1</v>
      </c>
      <c r="C2" s="346" t="s">
        <v>472</v>
      </c>
      <c r="D2" s="826" t="s">
        <v>61</v>
      </c>
      <c r="E2" s="346" t="s">
        <v>876</v>
      </c>
      <c r="F2" s="346" t="s">
        <v>1315</v>
      </c>
      <c r="G2" s="346" t="s">
        <v>1316</v>
      </c>
      <c r="H2" s="346" t="s">
        <v>484</v>
      </c>
      <c r="I2" s="616" t="s">
        <v>877</v>
      </c>
      <c r="J2" s="346" t="s">
        <v>878</v>
      </c>
      <c r="K2" s="346" t="s">
        <v>872</v>
      </c>
      <c r="L2" s="346" t="s">
        <v>1378</v>
      </c>
      <c r="M2" s="346" t="s">
        <v>1379</v>
      </c>
      <c r="N2" s="346" t="s">
        <v>1293</v>
      </c>
      <c r="O2" s="838"/>
      <c r="P2" s="838">
        <v>3</v>
      </c>
      <c r="Q2" s="838"/>
      <c r="R2" s="838">
        <v>3</v>
      </c>
      <c r="S2" s="838">
        <v>6</v>
      </c>
      <c r="T2" s="346" t="s">
        <v>874</v>
      </c>
      <c r="U2" s="346">
        <v>2014</v>
      </c>
      <c r="V2" s="46" t="s">
        <v>1489</v>
      </c>
    </row>
    <row r="3" spans="1:22">
      <c r="A3" s="17" t="str">
        <f t="shared" si="0"/>
        <v>Bridgewater State University2</v>
      </c>
      <c r="B3" s="17">
        <v>2</v>
      </c>
      <c r="C3" s="346" t="s">
        <v>472</v>
      </c>
      <c r="D3" s="826" t="s">
        <v>61</v>
      </c>
      <c r="E3" s="346" t="s">
        <v>1457</v>
      </c>
      <c r="F3" s="346" t="s">
        <v>1458</v>
      </c>
      <c r="G3" s="346"/>
      <c r="H3" s="346" t="s">
        <v>484</v>
      </c>
      <c r="I3" s="616" t="s">
        <v>877</v>
      </c>
      <c r="J3" s="346"/>
      <c r="K3" s="346" t="s">
        <v>872</v>
      </c>
      <c r="L3" s="346" t="s">
        <v>1378</v>
      </c>
      <c r="M3" s="346" t="s">
        <v>1379</v>
      </c>
      <c r="N3" s="346"/>
      <c r="O3" s="838">
        <v>8</v>
      </c>
      <c r="P3" s="838"/>
      <c r="Q3" s="838"/>
      <c r="R3" s="838">
        <v>8</v>
      </c>
      <c r="S3" s="838">
        <v>16</v>
      </c>
      <c r="T3" s="346" t="s">
        <v>898</v>
      </c>
      <c r="U3" s="346">
        <v>2022</v>
      </c>
      <c r="V3" s="46" t="s">
        <v>1489</v>
      </c>
    </row>
    <row r="4" spans="1:22">
      <c r="A4" s="17" t="str">
        <f t="shared" si="0"/>
        <v>Bridgewater State University3</v>
      </c>
      <c r="B4" s="17">
        <v>3</v>
      </c>
      <c r="C4" s="346" t="s">
        <v>472</v>
      </c>
      <c r="D4" s="826" t="s">
        <v>61</v>
      </c>
      <c r="E4" s="346" t="s">
        <v>1459</v>
      </c>
      <c r="F4" s="346" t="s">
        <v>1460</v>
      </c>
      <c r="G4" s="346"/>
      <c r="H4" s="346" t="s">
        <v>484</v>
      </c>
      <c r="I4" s="616" t="s">
        <v>1461</v>
      </c>
      <c r="J4" s="346"/>
      <c r="K4" s="346" t="s">
        <v>872</v>
      </c>
      <c r="L4" s="346" t="s">
        <v>1378</v>
      </c>
      <c r="M4" s="346" t="s">
        <v>1379</v>
      </c>
      <c r="N4" s="346"/>
      <c r="O4" s="838">
        <v>2</v>
      </c>
      <c r="P4" s="838"/>
      <c r="Q4" s="838"/>
      <c r="R4" s="838">
        <v>2</v>
      </c>
      <c r="S4" s="838">
        <v>4</v>
      </c>
      <c r="T4" s="346" t="s">
        <v>898</v>
      </c>
      <c r="U4" s="346">
        <v>2022</v>
      </c>
      <c r="V4" t="s">
        <v>1489</v>
      </c>
    </row>
    <row r="5" spans="1:22">
      <c r="A5" s="17" t="str">
        <f t="shared" si="0"/>
        <v>Bridgewater State University4</v>
      </c>
      <c r="B5" s="17">
        <v>4</v>
      </c>
      <c r="C5" s="346" t="s">
        <v>472</v>
      </c>
      <c r="D5" s="826" t="s">
        <v>61</v>
      </c>
      <c r="E5" s="826" t="s">
        <v>61</v>
      </c>
      <c r="F5" s="346" t="s">
        <v>2296</v>
      </c>
      <c r="G5" s="346"/>
      <c r="H5" s="346" t="s">
        <v>484</v>
      </c>
      <c r="I5" s="616" t="s">
        <v>877</v>
      </c>
      <c r="J5" s="346"/>
      <c r="K5" s="346" t="s">
        <v>872</v>
      </c>
      <c r="L5" s="346" t="s">
        <v>909</v>
      </c>
      <c r="M5" s="346" t="s">
        <v>2384</v>
      </c>
      <c r="N5" s="346"/>
      <c r="O5" s="838"/>
      <c r="P5" s="838">
        <v>4</v>
      </c>
      <c r="Q5" s="838"/>
      <c r="R5" s="838">
        <v>4</v>
      </c>
      <c r="S5" s="838">
        <v>8</v>
      </c>
      <c r="T5" s="346" t="s">
        <v>874</v>
      </c>
      <c r="U5" s="346">
        <v>2024</v>
      </c>
      <c r="V5" s="46" t="s">
        <v>1489</v>
      </c>
    </row>
    <row r="6" spans="1:22">
      <c r="A6" s="17" t="str">
        <f t="shared" si="0"/>
        <v>Bristol Community College1</v>
      </c>
      <c r="B6" s="17">
        <v>1</v>
      </c>
      <c r="C6" s="346" t="s">
        <v>472</v>
      </c>
      <c r="D6" s="826" t="s">
        <v>1045</v>
      </c>
      <c r="E6" s="346" t="s">
        <v>879</v>
      </c>
      <c r="F6" s="346" t="s">
        <v>489</v>
      </c>
      <c r="G6" s="346" t="s">
        <v>1317</v>
      </c>
      <c r="H6" s="346" t="s">
        <v>490</v>
      </c>
      <c r="I6" s="616" t="s">
        <v>880</v>
      </c>
      <c r="J6" s="346" t="s">
        <v>878</v>
      </c>
      <c r="K6" s="346" t="s">
        <v>872</v>
      </c>
      <c r="L6" s="346" t="s">
        <v>873</v>
      </c>
      <c r="M6" s="346" t="s">
        <v>873</v>
      </c>
      <c r="N6" s="346" t="s">
        <v>1293</v>
      </c>
      <c r="O6" s="838"/>
      <c r="P6" s="838">
        <v>1</v>
      </c>
      <c r="Q6" s="838"/>
      <c r="R6" s="838">
        <v>1</v>
      </c>
      <c r="S6" s="838">
        <v>2</v>
      </c>
      <c r="T6" s="346" t="s">
        <v>874</v>
      </c>
      <c r="U6" s="346">
        <v>2016</v>
      </c>
      <c r="V6" s="46" t="s">
        <v>1489</v>
      </c>
    </row>
    <row r="7" spans="1:22">
      <c r="A7" s="17" t="str">
        <f t="shared" si="0"/>
        <v>Bristol Community College2</v>
      </c>
      <c r="B7" s="17">
        <v>2</v>
      </c>
      <c r="C7" s="346" t="s">
        <v>472</v>
      </c>
      <c r="D7" s="826" t="s">
        <v>1045</v>
      </c>
      <c r="E7" s="346" t="s">
        <v>879</v>
      </c>
      <c r="F7" s="346" t="s">
        <v>489</v>
      </c>
      <c r="G7" s="346" t="s">
        <v>1318</v>
      </c>
      <c r="H7" s="346" t="s">
        <v>490</v>
      </c>
      <c r="I7" s="616" t="s">
        <v>880</v>
      </c>
      <c r="J7" s="346" t="s">
        <v>878</v>
      </c>
      <c r="K7" s="346" t="s">
        <v>872</v>
      </c>
      <c r="L7" s="346" t="s">
        <v>873</v>
      </c>
      <c r="M7" s="346" t="s">
        <v>873</v>
      </c>
      <c r="N7" s="346" t="s">
        <v>1293</v>
      </c>
      <c r="O7" s="838"/>
      <c r="P7" s="838">
        <v>5</v>
      </c>
      <c r="Q7" s="838"/>
      <c r="R7" s="838">
        <v>5</v>
      </c>
      <c r="S7" s="838">
        <v>10</v>
      </c>
      <c r="T7" s="346" t="s">
        <v>874</v>
      </c>
      <c r="U7" s="346">
        <v>2020</v>
      </c>
      <c r="V7" s="46" t="s">
        <v>1489</v>
      </c>
    </row>
    <row r="8" spans="1:22">
      <c r="A8" s="17" t="str">
        <f t="shared" si="0"/>
        <v>Bristol Community College3</v>
      </c>
      <c r="B8" s="17">
        <v>3</v>
      </c>
      <c r="C8" s="346" t="s">
        <v>472</v>
      </c>
      <c r="D8" s="826" t="s">
        <v>1045</v>
      </c>
      <c r="E8" s="346" t="s">
        <v>879</v>
      </c>
      <c r="F8" s="346" t="s">
        <v>489</v>
      </c>
      <c r="G8" s="346" t="s">
        <v>1319</v>
      </c>
      <c r="H8" s="346" t="s">
        <v>490</v>
      </c>
      <c r="I8" s="616" t="s">
        <v>880</v>
      </c>
      <c r="J8" s="346" t="s">
        <v>878</v>
      </c>
      <c r="K8" s="346" t="s">
        <v>872</v>
      </c>
      <c r="L8" s="346" t="s">
        <v>873</v>
      </c>
      <c r="M8" s="346" t="s">
        <v>873</v>
      </c>
      <c r="N8" s="346" t="s">
        <v>1293</v>
      </c>
      <c r="O8" s="838"/>
      <c r="P8" s="838">
        <v>5</v>
      </c>
      <c r="Q8" s="838"/>
      <c r="R8" s="838">
        <v>5</v>
      </c>
      <c r="S8" s="838">
        <v>10</v>
      </c>
      <c r="T8" s="346" t="s">
        <v>874</v>
      </c>
      <c r="U8" s="346">
        <v>2020</v>
      </c>
      <c r="V8" s="46" t="s">
        <v>1489</v>
      </c>
    </row>
    <row r="9" spans="1:22">
      <c r="A9" s="17" t="str">
        <f t="shared" si="0"/>
        <v>Cape Cod Community College1</v>
      </c>
      <c r="B9" s="17">
        <v>1</v>
      </c>
      <c r="C9" s="346" t="s">
        <v>472</v>
      </c>
      <c r="D9" s="826" t="s">
        <v>499</v>
      </c>
      <c r="E9" s="346" t="s">
        <v>1289</v>
      </c>
      <c r="F9" s="346" t="s">
        <v>1290</v>
      </c>
      <c r="G9" s="346"/>
      <c r="H9" s="346" t="s">
        <v>1291</v>
      </c>
      <c r="I9" s="616" t="s">
        <v>1292</v>
      </c>
      <c r="J9" s="346" t="s">
        <v>889</v>
      </c>
      <c r="K9" s="346" t="s">
        <v>872</v>
      </c>
      <c r="L9" s="346" t="s">
        <v>873</v>
      </c>
      <c r="M9" s="346" t="s">
        <v>873</v>
      </c>
      <c r="N9" s="346" t="s">
        <v>1293</v>
      </c>
      <c r="O9" s="838"/>
      <c r="P9" s="838"/>
      <c r="Q9" s="838">
        <v>1</v>
      </c>
      <c r="R9" s="838">
        <v>1</v>
      </c>
      <c r="S9" s="838">
        <v>1</v>
      </c>
      <c r="T9" s="346" t="s">
        <v>896</v>
      </c>
      <c r="U9" s="346">
        <v>2016</v>
      </c>
      <c r="V9" t="s">
        <v>1488</v>
      </c>
    </row>
    <row r="10" spans="1:22">
      <c r="A10" s="17" t="str">
        <f t="shared" si="0"/>
        <v>Cape Cod Community College2</v>
      </c>
      <c r="B10" s="17">
        <v>2</v>
      </c>
      <c r="C10" s="346" t="s">
        <v>472</v>
      </c>
      <c r="D10" s="826" t="s">
        <v>499</v>
      </c>
      <c r="E10" s="361" t="s">
        <v>2371</v>
      </c>
      <c r="F10" s="346" t="s">
        <v>1290</v>
      </c>
      <c r="G10" s="361"/>
      <c r="H10" s="346" t="s">
        <v>1291</v>
      </c>
      <c r="I10" s="616" t="s">
        <v>1292</v>
      </c>
      <c r="J10" s="346" t="s">
        <v>889</v>
      </c>
      <c r="K10" s="346" t="s">
        <v>872</v>
      </c>
      <c r="L10" s="346" t="s">
        <v>873</v>
      </c>
      <c r="M10" s="346" t="s">
        <v>873</v>
      </c>
      <c r="N10" s="361"/>
      <c r="O10" s="361"/>
      <c r="P10" s="361">
        <v>2</v>
      </c>
      <c r="Q10" s="361"/>
      <c r="R10" s="838">
        <v>2</v>
      </c>
      <c r="S10" s="361">
        <v>4</v>
      </c>
      <c r="T10" s="346" t="s">
        <v>874</v>
      </c>
      <c r="U10" s="361">
        <v>2024</v>
      </c>
      <c r="V10" t="s">
        <v>1489</v>
      </c>
    </row>
    <row r="11" spans="1:22">
      <c r="A11" s="17" t="str">
        <f t="shared" si="0"/>
        <v>Cape Cod Community College3</v>
      </c>
      <c r="B11" s="17">
        <v>3</v>
      </c>
      <c r="C11" s="346" t="s">
        <v>472</v>
      </c>
      <c r="D11" s="826" t="s">
        <v>499</v>
      </c>
      <c r="E11" s="361" t="s">
        <v>2372</v>
      </c>
      <c r="F11" s="346" t="s">
        <v>1290</v>
      </c>
      <c r="G11" s="361"/>
      <c r="H11" s="346" t="s">
        <v>1291</v>
      </c>
      <c r="I11" s="616" t="s">
        <v>1292</v>
      </c>
      <c r="J11" s="346" t="s">
        <v>889</v>
      </c>
      <c r="K11" s="346" t="s">
        <v>872</v>
      </c>
      <c r="L11" s="346" t="s">
        <v>873</v>
      </c>
      <c r="M11" s="346" t="s">
        <v>873</v>
      </c>
      <c r="N11" s="361"/>
      <c r="O11" s="361"/>
      <c r="P11" s="361">
        <v>1</v>
      </c>
      <c r="Q11" s="361"/>
      <c r="R11" s="838">
        <v>1</v>
      </c>
      <c r="S11" s="361">
        <v>2</v>
      </c>
      <c r="T11" s="346" t="s">
        <v>874</v>
      </c>
      <c r="U11" s="361">
        <v>2024</v>
      </c>
      <c r="V11" s="46" t="s">
        <v>1489</v>
      </c>
    </row>
    <row r="12" spans="1:22" s="46" customFormat="1">
      <c r="A12" s="17" t="str">
        <f t="shared" si="0"/>
        <v>Cape Cod Regional Transit Authority1</v>
      </c>
      <c r="B12" s="17">
        <v>1</v>
      </c>
      <c r="C12" s="346" t="s">
        <v>1320</v>
      </c>
      <c r="D12" s="826" t="s">
        <v>1321</v>
      </c>
      <c r="E12" s="346" t="s">
        <v>1322</v>
      </c>
      <c r="F12" s="346" t="s">
        <v>1323</v>
      </c>
      <c r="G12" s="346"/>
      <c r="H12" s="346" t="s">
        <v>1324</v>
      </c>
      <c r="I12" s="616" t="s">
        <v>1325</v>
      </c>
      <c r="J12" s="346" t="s">
        <v>889</v>
      </c>
      <c r="K12" s="346" t="s">
        <v>872</v>
      </c>
      <c r="L12" s="346" t="s">
        <v>873</v>
      </c>
      <c r="M12" s="346" t="s">
        <v>873</v>
      </c>
      <c r="N12" s="346" t="s">
        <v>1293</v>
      </c>
      <c r="O12" s="838"/>
      <c r="P12" s="838">
        <v>1</v>
      </c>
      <c r="Q12" s="838"/>
      <c r="R12" s="838">
        <v>1</v>
      </c>
      <c r="S12" s="838">
        <v>2</v>
      </c>
      <c r="T12" s="346" t="s">
        <v>874</v>
      </c>
      <c r="U12" s="346">
        <v>2013</v>
      </c>
      <c r="V12" s="46" t="s">
        <v>1489</v>
      </c>
    </row>
    <row r="13" spans="1:22" s="46" customFormat="1">
      <c r="A13" s="17" t="str">
        <f t="shared" si="0"/>
        <v>Cape Cod Regional Transit Authority2</v>
      </c>
      <c r="B13" s="17">
        <v>2</v>
      </c>
      <c r="C13" s="346" t="s">
        <v>1320</v>
      </c>
      <c r="D13" s="826" t="s">
        <v>1321</v>
      </c>
      <c r="E13" s="346" t="s">
        <v>1322</v>
      </c>
      <c r="F13" s="346" t="s">
        <v>1323</v>
      </c>
      <c r="G13" s="346"/>
      <c r="H13" s="346" t="s">
        <v>1324</v>
      </c>
      <c r="I13" s="616" t="s">
        <v>1325</v>
      </c>
      <c r="J13" s="346" t="s">
        <v>889</v>
      </c>
      <c r="K13" s="346" t="s">
        <v>872</v>
      </c>
      <c r="L13" s="346" t="s">
        <v>873</v>
      </c>
      <c r="M13" s="346" t="s">
        <v>873</v>
      </c>
      <c r="N13" s="346" t="s">
        <v>1293</v>
      </c>
      <c r="O13" s="838"/>
      <c r="P13" s="838">
        <v>10</v>
      </c>
      <c r="Q13" s="838"/>
      <c r="R13" s="838">
        <v>10</v>
      </c>
      <c r="S13" s="838">
        <v>20</v>
      </c>
      <c r="T13" s="346" t="s">
        <v>874</v>
      </c>
      <c r="U13" s="346">
        <v>2019</v>
      </c>
      <c r="V13" s="46" t="s">
        <v>1489</v>
      </c>
    </row>
    <row r="14" spans="1:22" s="46" customFormat="1">
      <c r="A14" s="17" t="str">
        <f t="shared" si="0"/>
        <v>DCAMM1</v>
      </c>
      <c r="B14" s="17">
        <v>1</v>
      </c>
      <c r="C14" s="346" t="s">
        <v>867</v>
      </c>
      <c r="D14" s="826" t="s">
        <v>867</v>
      </c>
      <c r="E14" s="346" t="s">
        <v>886</v>
      </c>
      <c r="F14" s="346" t="s">
        <v>887</v>
      </c>
      <c r="G14" s="346"/>
      <c r="H14" s="346" t="s">
        <v>652</v>
      </c>
      <c r="I14" s="616" t="s">
        <v>888</v>
      </c>
      <c r="J14" s="346" t="s">
        <v>889</v>
      </c>
      <c r="K14" s="346" t="s">
        <v>872</v>
      </c>
      <c r="L14" s="346" t="s">
        <v>383</v>
      </c>
      <c r="M14" s="346" t="s">
        <v>383</v>
      </c>
      <c r="N14" s="346"/>
      <c r="O14" s="838"/>
      <c r="P14" s="838">
        <v>1</v>
      </c>
      <c r="Q14" s="838"/>
      <c r="R14" s="838">
        <v>1</v>
      </c>
      <c r="S14" s="838">
        <v>2</v>
      </c>
      <c r="T14" s="346" t="s">
        <v>874</v>
      </c>
      <c r="U14" s="346">
        <v>2015</v>
      </c>
      <c r="V14" s="46" t="s">
        <v>1489</v>
      </c>
    </row>
    <row r="15" spans="1:22" s="46" customFormat="1">
      <c r="A15" s="17" t="str">
        <f t="shared" si="0"/>
        <v>DCAMM2</v>
      </c>
      <c r="B15" s="622">
        <v>2</v>
      </c>
      <c r="C15" s="346" t="s">
        <v>867</v>
      </c>
      <c r="D15" s="826" t="s">
        <v>867</v>
      </c>
      <c r="E15" s="346" t="s">
        <v>1394</v>
      </c>
      <c r="F15" s="346" t="s">
        <v>890</v>
      </c>
      <c r="G15" s="346"/>
      <c r="H15" s="346" t="s">
        <v>494</v>
      </c>
      <c r="I15" s="616" t="s">
        <v>891</v>
      </c>
      <c r="J15" s="346" t="s">
        <v>889</v>
      </c>
      <c r="K15" s="346" t="s">
        <v>872</v>
      </c>
      <c r="L15" s="346" t="s">
        <v>873</v>
      </c>
      <c r="M15" s="346" t="s">
        <v>873</v>
      </c>
      <c r="N15" s="346" t="s">
        <v>1293</v>
      </c>
      <c r="O15" s="838"/>
      <c r="P15" s="838">
        <v>3</v>
      </c>
      <c r="Q15" s="838"/>
      <c r="R15" s="838">
        <v>3</v>
      </c>
      <c r="S15" s="838">
        <v>6</v>
      </c>
      <c r="T15" s="346" t="s">
        <v>874</v>
      </c>
      <c r="U15" s="346">
        <v>2019</v>
      </c>
      <c r="V15" s="46" t="s">
        <v>1489</v>
      </c>
    </row>
    <row r="16" spans="1:22" s="46" customFormat="1">
      <c r="A16" s="17" t="str">
        <f t="shared" si="0"/>
        <v>DCAMM3</v>
      </c>
      <c r="B16" s="17">
        <v>3</v>
      </c>
      <c r="C16" s="361" t="s">
        <v>867</v>
      </c>
      <c r="D16" s="837" t="s">
        <v>867</v>
      </c>
      <c r="E16" s="361" t="s">
        <v>2381</v>
      </c>
      <c r="F16" s="361" t="s">
        <v>2382</v>
      </c>
      <c r="G16" s="361"/>
      <c r="H16" s="361" t="s">
        <v>512</v>
      </c>
      <c r="I16" s="616" t="s">
        <v>939</v>
      </c>
      <c r="J16" s="361"/>
      <c r="K16" s="361" t="s">
        <v>872</v>
      </c>
      <c r="L16" s="361" t="s">
        <v>909</v>
      </c>
      <c r="M16" s="361" t="s">
        <v>2384</v>
      </c>
      <c r="N16" s="361"/>
      <c r="O16" s="361"/>
      <c r="P16" s="361">
        <v>4</v>
      </c>
      <c r="Q16" s="361"/>
      <c r="R16" s="361">
        <v>4</v>
      </c>
      <c r="S16" s="361">
        <v>8</v>
      </c>
      <c r="T16" s="346" t="s">
        <v>874</v>
      </c>
      <c r="U16" s="361"/>
      <c r="V16" s="46" t="s">
        <v>1489</v>
      </c>
    </row>
    <row r="17" spans="1:22">
      <c r="A17" s="17" t="str">
        <f t="shared" si="0"/>
        <v>Department of Conservation &amp; Recreation1</v>
      </c>
      <c r="B17" s="17">
        <v>1</v>
      </c>
      <c r="C17" s="346" t="s">
        <v>881</v>
      </c>
      <c r="D17" s="826" t="s">
        <v>2194</v>
      </c>
      <c r="E17" s="346" t="s">
        <v>1326</v>
      </c>
      <c r="F17" s="346" t="s">
        <v>525</v>
      </c>
      <c r="G17" s="346" t="s">
        <v>955</v>
      </c>
      <c r="H17" s="346" t="s">
        <v>526</v>
      </c>
      <c r="I17" s="616" t="s">
        <v>882</v>
      </c>
      <c r="J17" s="346" t="s">
        <v>871</v>
      </c>
      <c r="K17" s="346" t="s">
        <v>872</v>
      </c>
      <c r="L17" s="346" t="s">
        <v>873</v>
      </c>
      <c r="M17" s="346" t="s">
        <v>873</v>
      </c>
      <c r="N17" s="346" t="s">
        <v>1327</v>
      </c>
      <c r="O17" s="838"/>
      <c r="P17" s="838">
        <v>2</v>
      </c>
      <c r="Q17" s="838"/>
      <c r="R17" s="838">
        <v>2</v>
      </c>
      <c r="S17" s="838">
        <v>4</v>
      </c>
      <c r="T17" s="346" t="s">
        <v>874</v>
      </c>
      <c r="U17" s="346">
        <v>2016</v>
      </c>
      <c r="V17" t="s">
        <v>1489</v>
      </c>
    </row>
    <row r="18" spans="1:22">
      <c r="A18" s="17" t="str">
        <f t="shared" si="0"/>
        <v>Department of Conservation &amp; Recreation2</v>
      </c>
      <c r="B18" s="17">
        <v>2</v>
      </c>
      <c r="C18" s="346" t="s">
        <v>881</v>
      </c>
      <c r="D18" s="826" t="s">
        <v>2194</v>
      </c>
      <c r="E18" s="346" t="s">
        <v>1328</v>
      </c>
      <c r="F18" s="346" t="s">
        <v>1329</v>
      </c>
      <c r="G18" s="346"/>
      <c r="H18" s="346" t="s">
        <v>1330</v>
      </c>
      <c r="I18" s="616" t="s">
        <v>1331</v>
      </c>
      <c r="J18" s="346"/>
      <c r="K18" s="346" t="s">
        <v>872</v>
      </c>
      <c r="L18" s="346" t="s">
        <v>909</v>
      </c>
      <c r="M18" s="346" t="s">
        <v>2384</v>
      </c>
      <c r="N18" s="346"/>
      <c r="O18" s="838"/>
      <c r="P18" s="838">
        <v>3</v>
      </c>
      <c r="Q18" s="838"/>
      <c r="R18" s="838">
        <v>3</v>
      </c>
      <c r="S18" s="838">
        <v>6</v>
      </c>
      <c r="T18" s="346" t="s">
        <v>874</v>
      </c>
      <c r="U18" s="346">
        <v>2023</v>
      </c>
      <c r="V18" s="46" t="s">
        <v>1489</v>
      </c>
    </row>
    <row r="19" spans="1:22">
      <c r="A19" s="17" t="str">
        <f t="shared" si="0"/>
        <v>Department of Conservation &amp; Recreation3</v>
      </c>
      <c r="B19" s="17">
        <v>3</v>
      </c>
      <c r="C19" s="346" t="s">
        <v>881</v>
      </c>
      <c r="D19" s="826" t="s">
        <v>2194</v>
      </c>
      <c r="E19" s="346" t="s">
        <v>1469</v>
      </c>
      <c r="F19" s="346" t="s">
        <v>1470</v>
      </c>
      <c r="G19" s="346" t="s">
        <v>955</v>
      </c>
      <c r="H19" s="346" t="s">
        <v>573</v>
      </c>
      <c r="I19" s="616" t="s">
        <v>947</v>
      </c>
      <c r="J19" s="346"/>
      <c r="K19" s="346" t="s">
        <v>872</v>
      </c>
      <c r="L19" s="346" t="s">
        <v>873</v>
      </c>
      <c r="M19" s="346" t="s">
        <v>873</v>
      </c>
      <c r="N19" s="346"/>
      <c r="O19" s="838"/>
      <c r="P19" s="838">
        <v>1</v>
      </c>
      <c r="Q19" s="838"/>
      <c r="R19" s="838">
        <v>1</v>
      </c>
      <c r="S19" s="838">
        <v>1</v>
      </c>
      <c r="T19" s="346" t="s">
        <v>874</v>
      </c>
      <c r="U19" s="346">
        <v>2020</v>
      </c>
      <c r="V19" t="s">
        <v>1488</v>
      </c>
    </row>
    <row r="20" spans="1:22" ht="29">
      <c r="A20" s="17" t="str">
        <f t="shared" si="0"/>
        <v>Department of Conservation &amp; Recreation4</v>
      </c>
      <c r="B20" s="17">
        <v>4</v>
      </c>
      <c r="C20" s="346" t="s">
        <v>881</v>
      </c>
      <c r="D20" s="826" t="s">
        <v>2194</v>
      </c>
      <c r="E20" s="826" t="s">
        <v>2297</v>
      </c>
      <c r="F20" s="346" t="s">
        <v>2298</v>
      </c>
      <c r="G20" s="346"/>
      <c r="H20" s="346" t="s">
        <v>655</v>
      </c>
      <c r="I20" s="616" t="s">
        <v>2299</v>
      </c>
      <c r="J20" s="346"/>
      <c r="K20" s="346" t="s">
        <v>872</v>
      </c>
      <c r="L20" s="346" t="s">
        <v>909</v>
      </c>
      <c r="M20" s="346" t="s">
        <v>2384</v>
      </c>
      <c r="N20" s="346"/>
      <c r="O20" s="838"/>
      <c r="P20" s="838">
        <v>1</v>
      </c>
      <c r="Q20" s="838"/>
      <c r="R20" s="838">
        <v>1</v>
      </c>
      <c r="S20" s="838">
        <v>3</v>
      </c>
      <c r="T20" s="346" t="s">
        <v>874</v>
      </c>
      <c r="U20" s="346">
        <v>2024</v>
      </c>
      <c r="V20" t="s">
        <v>1489</v>
      </c>
    </row>
    <row r="21" spans="1:22">
      <c r="A21" s="17" t="str">
        <f t="shared" si="0"/>
        <v>Department of Conservation &amp; Recreation5</v>
      </c>
      <c r="B21" s="17">
        <v>5</v>
      </c>
      <c r="C21" s="346" t="s">
        <v>881</v>
      </c>
      <c r="D21" s="826" t="s">
        <v>2194</v>
      </c>
      <c r="E21" s="826" t="s">
        <v>2300</v>
      </c>
      <c r="F21" s="346" t="s">
        <v>2301</v>
      </c>
      <c r="G21" s="346"/>
      <c r="H21" s="346" t="s">
        <v>735</v>
      </c>
      <c r="I21" s="616" t="s">
        <v>2302</v>
      </c>
      <c r="J21" s="346"/>
      <c r="K21" s="346" t="s">
        <v>872</v>
      </c>
      <c r="L21" s="346" t="s">
        <v>909</v>
      </c>
      <c r="M21" s="346" t="s">
        <v>2384</v>
      </c>
      <c r="N21" s="346"/>
      <c r="O21" s="838"/>
      <c r="P21" s="838">
        <v>2</v>
      </c>
      <c r="Q21" s="838"/>
      <c r="R21" s="838">
        <v>2</v>
      </c>
      <c r="S21" s="838">
        <v>4</v>
      </c>
      <c r="T21" s="346" t="s">
        <v>874</v>
      </c>
      <c r="U21" s="346">
        <v>2024</v>
      </c>
      <c r="V21" t="s">
        <v>1489</v>
      </c>
    </row>
    <row r="22" spans="1:22">
      <c r="A22" s="17" t="str">
        <f t="shared" si="0"/>
        <v>Department of Conservation &amp; Recreation6</v>
      </c>
      <c r="B22" s="17">
        <v>6</v>
      </c>
      <c r="C22" s="346" t="s">
        <v>881</v>
      </c>
      <c r="D22" s="826" t="s">
        <v>2194</v>
      </c>
      <c r="E22" s="826" t="s">
        <v>2303</v>
      </c>
      <c r="F22" s="346" t="s">
        <v>2304</v>
      </c>
      <c r="G22" s="346"/>
      <c r="H22" s="346" t="s">
        <v>615</v>
      </c>
      <c r="I22" s="616" t="s">
        <v>2305</v>
      </c>
      <c r="J22" s="346"/>
      <c r="K22" s="346" t="s">
        <v>872</v>
      </c>
      <c r="L22" s="346" t="s">
        <v>909</v>
      </c>
      <c r="M22" s="346" t="s">
        <v>2384</v>
      </c>
      <c r="N22" s="346"/>
      <c r="O22" s="838"/>
      <c r="P22" s="838">
        <v>2</v>
      </c>
      <c r="Q22" s="838"/>
      <c r="R22" s="838">
        <v>2</v>
      </c>
      <c r="S22" s="838">
        <v>4</v>
      </c>
      <c r="T22" s="346" t="s">
        <v>874</v>
      </c>
      <c r="U22" s="346">
        <v>2024</v>
      </c>
      <c r="V22" t="s">
        <v>1489</v>
      </c>
    </row>
    <row r="23" spans="1:22">
      <c r="A23" s="17" t="str">
        <f t="shared" si="0"/>
        <v>Department of Conservation &amp; Recreation7</v>
      </c>
      <c r="B23" s="17">
        <v>7</v>
      </c>
      <c r="C23" s="346" t="s">
        <v>881</v>
      </c>
      <c r="D23" s="826" t="s">
        <v>2194</v>
      </c>
      <c r="E23" s="826" t="s">
        <v>2306</v>
      </c>
      <c r="F23" s="346" t="s">
        <v>2307</v>
      </c>
      <c r="G23" s="346" t="s">
        <v>573</v>
      </c>
      <c r="H23" s="346" t="s">
        <v>573</v>
      </c>
      <c r="I23" s="616" t="s">
        <v>2308</v>
      </c>
      <c r="J23" s="346"/>
      <c r="K23" s="346" t="s">
        <v>872</v>
      </c>
      <c r="L23" s="346" t="s">
        <v>909</v>
      </c>
      <c r="M23" s="346" t="s">
        <v>2384</v>
      </c>
      <c r="N23" s="346"/>
      <c r="O23" s="838"/>
      <c r="P23" s="838">
        <v>2</v>
      </c>
      <c r="Q23" s="838"/>
      <c r="R23" s="838">
        <v>2</v>
      </c>
      <c r="S23" s="838">
        <v>4</v>
      </c>
      <c r="T23" s="346" t="s">
        <v>874</v>
      </c>
      <c r="U23" s="346">
        <v>2024</v>
      </c>
      <c r="V23" t="s">
        <v>1489</v>
      </c>
    </row>
    <row r="24" spans="1:22">
      <c r="A24" s="17" t="str">
        <f t="shared" si="0"/>
        <v>Department of Conservation &amp; Recreation8</v>
      </c>
      <c r="B24" s="17">
        <v>8</v>
      </c>
      <c r="C24" s="346" t="s">
        <v>881</v>
      </c>
      <c r="D24" s="826" t="s">
        <v>2194</v>
      </c>
      <c r="E24" s="826" t="s">
        <v>2309</v>
      </c>
      <c r="F24" s="346" t="s">
        <v>2310</v>
      </c>
      <c r="G24" s="346" t="s">
        <v>2311</v>
      </c>
      <c r="H24" s="346" t="s">
        <v>2311</v>
      </c>
      <c r="I24" s="616" t="s">
        <v>2312</v>
      </c>
      <c r="J24" s="346"/>
      <c r="K24" s="346" t="s">
        <v>872</v>
      </c>
      <c r="L24" s="346" t="s">
        <v>909</v>
      </c>
      <c r="M24" s="346" t="s">
        <v>2384</v>
      </c>
      <c r="N24" s="346"/>
      <c r="O24" s="838"/>
      <c r="P24" s="838">
        <v>1</v>
      </c>
      <c r="Q24" s="838"/>
      <c r="R24" s="838">
        <v>1</v>
      </c>
      <c r="S24" s="838">
        <v>3</v>
      </c>
      <c r="T24" s="346" t="s">
        <v>874</v>
      </c>
      <c r="U24" s="346">
        <v>2024</v>
      </c>
      <c r="V24" t="s">
        <v>1489</v>
      </c>
    </row>
    <row r="25" spans="1:22" ht="29">
      <c r="A25" s="17" t="str">
        <f t="shared" si="0"/>
        <v>Department of Conservation &amp; Recreation9</v>
      </c>
      <c r="B25" s="17">
        <v>9</v>
      </c>
      <c r="C25" s="346" t="s">
        <v>881</v>
      </c>
      <c r="D25" s="826" t="s">
        <v>2194</v>
      </c>
      <c r="E25" s="826" t="s">
        <v>1056</v>
      </c>
      <c r="F25" s="346" t="s">
        <v>2313</v>
      </c>
      <c r="G25" s="346"/>
      <c r="H25" s="346" t="s">
        <v>2179</v>
      </c>
      <c r="I25" s="616" t="s">
        <v>2314</v>
      </c>
      <c r="J25" s="346"/>
      <c r="K25" s="346" t="s">
        <v>872</v>
      </c>
      <c r="L25" s="346" t="s">
        <v>909</v>
      </c>
      <c r="M25" s="346" t="s">
        <v>2384</v>
      </c>
      <c r="N25" s="346"/>
      <c r="O25" s="838"/>
      <c r="P25" s="838">
        <v>1</v>
      </c>
      <c r="Q25" s="838"/>
      <c r="R25" s="838">
        <v>1</v>
      </c>
      <c r="S25" s="838">
        <v>2</v>
      </c>
      <c r="T25" s="346" t="s">
        <v>874</v>
      </c>
      <c r="U25" s="346">
        <v>2024</v>
      </c>
      <c r="V25" s="46" t="s">
        <v>1489</v>
      </c>
    </row>
    <row r="26" spans="1:22">
      <c r="A26" s="17" t="str">
        <f t="shared" si="0"/>
        <v>Department of Conservation &amp; Recreation10</v>
      </c>
      <c r="B26" s="17">
        <v>10</v>
      </c>
      <c r="C26" s="346" t="s">
        <v>881</v>
      </c>
      <c r="D26" s="826" t="s">
        <v>2194</v>
      </c>
      <c r="E26" s="826" t="s">
        <v>2315</v>
      </c>
      <c r="F26" s="346" t="s">
        <v>2316</v>
      </c>
      <c r="G26" s="346"/>
      <c r="H26" s="346" t="s">
        <v>648</v>
      </c>
      <c r="I26" s="616" t="s">
        <v>2317</v>
      </c>
      <c r="J26" s="346"/>
      <c r="K26" s="346" t="s">
        <v>872</v>
      </c>
      <c r="L26" s="346" t="s">
        <v>909</v>
      </c>
      <c r="M26" s="346" t="s">
        <v>2384</v>
      </c>
      <c r="N26" s="346"/>
      <c r="O26" s="838"/>
      <c r="P26" s="838">
        <v>1</v>
      </c>
      <c r="Q26" s="838"/>
      <c r="R26" s="838">
        <v>1</v>
      </c>
      <c r="S26" s="838">
        <v>3</v>
      </c>
      <c r="T26" s="346" t="s">
        <v>874</v>
      </c>
      <c r="U26" s="346">
        <v>2024</v>
      </c>
      <c r="V26" t="s">
        <v>1489</v>
      </c>
    </row>
    <row r="27" spans="1:22">
      <c r="A27" s="17" t="str">
        <f t="shared" si="0"/>
        <v>Department of Conservation &amp; Recreation11</v>
      </c>
      <c r="B27" s="17">
        <v>11</v>
      </c>
      <c r="C27" s="346" t="s">
        <v>881</v>
      </c>
      <c r="D27" s="826" t="s">
        <v>2194</v>
      </c>
      <c r="E27" s="826" t="s">
        <v>2318</v>
      </c>
      <c r="F27" s="346" t="s">
        <v>2319</v>
      </c>
      <c r="G27" s="346" t="s">
        <v>2320</v>
      </c>
      <c r="H27" s="346" t="s">
        <v>1330</v>
      </c>
      <c r="I27" s="616" t="s">
        <v>1331</v>
      </c>
      <c r="J27" s="346"/>
      <c r="K27" s="346" t="s">
        <v>872</v>
      </c>
      <c r="L27" s="346" t="s">
        <v>909</v>
      </c>
      <c r="M27" s="346" t="s">
        <v>2384</v>
      </c>
      <c r="N27" s="346"/>
      <c r="O27" s="838"/>
      <c r="P27" s="838">
        <v>1</v>
      </c>
      <c r="Q27" s="838"/>
      <c r="R27" s="838">
        <v>1</v>
      </c>
      <c r="S27" s="838">
        <v>3</v>
      </c>
      <c r="T27" s="346" t="s">
        <v>874</v>
      </c>
      <c r="U27" s="346">
        <v>2024</v>
      </c>
      <c r="V27" t="s">
        <v>1489</v>
      </c>
    </row>
    <row r="28" spans="1:22">
      <c r="A28" s="17" t="str">
        <f t="shared" si="0"/>
        <v>Department of Conservation &amp; Recreation12</v>
      </c>
      <c r="B28" s="17">
        <v>12</v>
      </c>
      <c r="C28" s="346" t="s">
        <v>881</v>
      </c>
      <c r="D28" s="826" t="s">
        <v>2194</v>
      </c>
      <c r="E28" s="826" t="s">
        <v>2321</v>
      </c>
      <c r="F28" s="346" t="s">
        <v>2322</v>
      </c>
      <c r="G28" s="346"/>
      <c r="H28" s="346" t="s">
        <v>1934</v>
      </c>
      <c r="I28" s="616" t="s">
        <v>2323</v>
      </c>
      <c r="J28" s="346"/>
      <c r="K28" s="346" t="s">
        <v>872</v>
      </c>
      <c r="L28" s="346" t="s">
        <v>909</v>
      </c>
      <c r="M28" s="346" t="s">
        <v>2384</v>
      </c>
      <c r="N28" s="346"/>
      <c r="O28" s="838"/>
      <c r="P28" s="838">
        <v>2</v>
      </c>
      <c r="Q28" s="838"/>
      <c r="R28" s="838">
        <v>2</v>
      </c>
      <c r="S28" s="838">
        <v>4</v>
      </c>
      <c r="T28" s="346" t="s">
        <v>874</v>
      </c>
      <c r="U28" s="346">
        <v>2024</v>
      </c>
      <c r="V28" t="s">
        <v>1489</v>
      </c>
    </row>
    <row r="29" spans="1:22">
      <c r="A29" s="17" t="str">
        <f t="shared" si="0"/>
        <v>Department of Conservation &amp; Recreation13</v>
      </c>
      <c r="B29" s="17">
        <v>13</v>
      </c>
      <c r="C29" s="346" t="s">
        <v>881</v>
      </c>
      <c r="D29" s="826" t="s">
        <v>2194</v>
      </c>
      <c r="E29" s="826" t="s">
        <v>2324</v>
      </c>
      <c r="F29" s="346" t="s">
        <v>2325</v>
      </c>
      <c r="G29" s="346"/>
      <c r="H29" s="346" t="s">
        <v>490</v>
      </c>
      <c r="I29" s="616" t="s">
        <v>880</v>
      </c>
      <c r="J29" s="346"/>
      <c r="K29" s="346" t="s">
        <v>872</v>
      </c>
      <c r="L29" s="346" t="s">
        <v>909</v>
      </c>
      <c r="M29" s="346" t="s">
        <v>2384</v>
      </c>
      <c r="N29" s="346"/>
      <c r="O29" s="838"/>
      <c r="P29" s="838">
        <v>1</v>
      </c>
      <c r="Q29" s="838"/>
      <c r="R29" s="838">
        <v>1</v>
      </c>
      <c r="S29" s="838">
        <v>3</v>
      </c>
      <c r="T29" s="346" t="s">
        <v>874</v>
      </c>
      <c r="U29" s="346">
        <v>2024</v>
      </c>
      <c r="V29" t="s">
        <v>1489</v>
      </c>
    </row>
    <row r="30" spans="1:22">
      <c r="A30" s="17" t="str">
        <f t="shared" si="0"/>
        <v>Department of Conservation &amp; Recreation14</v>
      </c>
      <c r="B30" s="17">
        <v>14</v>
      </c>
      <c r="C30" s="346" t="s">
        <v>881</v>
      </c>
      <c r="D30" s="826" t="s">
        <v>2194</v>
      </c>
      <c r="E30" s="826" t="s">
        <v>2326</v>
      </c>
      <c r="F30" s="346" t="s">
        <v>2327</v>
      </c>
      <c r="G30" s="346"/>
      <c r="H30" s="346" t="s">
        <v>520</v>
      </c>
      <c r="I30" s="616" t="s">
        <v>2328</v>
      </c>
      <c r="J30" s="346"/>
      <c r="K30" s="346" t="s">
        <v>872</v>
      </c>
      <c r="L30" s="346" t="s">
        <v>909</v>
      </c>
      <c r="M30" s="346" t="s">
        <v>2384</v>
      </c>
      <c r="N30" s="346"/>
      <c r="O30" s="838"/>
      <c r="P30" s="838">
        <v>1</v>
      </c>
      <c r="Q30" s="838"/>
      <c r="R30" s="838">
        <v>1</v>
      </c>
      <c r="S30" s="838">
        <v>3</v>
      </c>
      <c r="T30" s="346" t="s">
        <v>874</v>
      </c>
      <c r="U30" s="346">
        <v>2024</v>
      </c>
      <c r="V30" t="s">
        <v>1489</v>
      </c>
    </row>
    <row r="31" spans="1:22">
      <c r="A31" s="17" t="str">
        <f t="shared" si="0"/>
        <v>Department of Conservation &amp; Recreation15</v>
      </c>
      <c r="B31" s="17">
        <v>15</v>
      </c>
      <c r="C31" s="346" t="s">
        <v>881</v>
      </c>
      <c r="D31" s="826" t="s">
        <v>2194</v>
      </c>
      <c r="E31" s="361" t="s">
        <v>2373</v>
      </c>
      <c r="F31" s="346" t="s">
        <v>2374</v>
      </c>
      <c r="G31" s="361" t="s">
        <v>2375</v>
      </c>
      <c r="H31" s="361" t="s">
        <v>494</v>
      </c>
      <c r="I31" s="616" t="s">
        <v>2376</v>
      </c>
      <c r="J31" s="361"/>
      <c r="K31" s="346" t="s">
        <v>872</v>
      </c>
      <c r="L31" s="346" t="s">
        <v>909</v>
      </c>
      <c r="M31" s="346" t="s">
        <v>2384</v>
      </c>
      <c r="N31" s="361"/>
      <c r="O31" s="361"/>
      <c r="P31" s="361">
        <v>1</v>
      </c>
      <c r="Q31" s="361"/>
      <c r="R31" s="361">
        <v>1</v>
      </c>
      <c r="S31" s="361">
        <v>1</v>
      </c>
      <c r="T31" s="346" t="s">
        <v>874</v>
      </c>
      <c r="U31" s="361">
        <v>2024</v>
      </c>
      <c r="V31" t="s">
        <v>1488</v>
      </c>
    </row>
    <row r="32" spans="1:22">
      <c r="A32" s="17" t="str">
        <f t="shared" si="0"/>
        <v>Department of Correction1</v>
      </c>
      <c r="B32" s="17">
        <v>1</v>
      </c>
      <c r="C32" s="346" t="s">
        <v>1449</v>
      </c>
      <c r="D32" s="826" t="s">
        <v>1450</v>
      </c>
      <c r="E32" s="346" t="s">
        <v>1451</v>
      </c>
      <c r="F32" s="346" t="s">
        <v>1452</v>
      </c>
      <c r="G32" s="346"/>
      <c r="H32" s="346" t="s">
        <v>526</v>
      </c>
      <c r="I32" s="616" t="s">
        <v>882</v>
      </c>
      <c r="J32" s="346"/>
      <c r="K32" s="346" t="s">
        <v>872</v>
      </c>
      <c r="L32" s="346" t="s">
        <v>909</v>
      </c>
      <c r="M32" s="346" t="s">
        <v>2384</v>
      </c>
      <c r="N32" s="346"/>
      <c r="O32" s="838"/>
      <c r="P32" s="838">
        <v>1</v>
      </c>
      <c r="Q32" s="838"/>
      <c r="R32" s="838">
        <v>1</v>
      </c>
      <c r="S32" s="838">
        <v>2</v>
      </c>
      <c r="T32" s="346" t="s">
        <v>874</v>
      </c>
      <c r="U32" s="346">
        <v>2022</v>
      </c>
      <c r="V32" s="46" t="s">
        <v>1489</v>
      </c>
    </row>
    <row r="33" spans="1:22">
      <c r="A33" s="17" t="str">
        <f t="shared" si="0"/>
        <v>Department of Correction2</v>
      </c>
      <c r="B33" s="17">
        <v>2</v>
      </c>
      <c r="C33" s="346" t="s">
        <v>1449</v>
      </c>
      <c r="D33" s="826" t="s">
        <v>1450</v>
      </c>
      <c r="E33" s="346" t="s">
        <v>1453</v>
      </c>
      <c r="F33" s="346" t="s">
        <v>1454</v>
      </c>
      <c r="G33" s="346"/>
      <c r="H33" s="346" t="s">
        <v>1455</v>
      </c>
      <c r="I33" s="616" t="s">
        <v>1456</v>
      </c>
      <c r="J33" s="346"/>
      <c r="K33" s="346" t="s">
        <v>872</v>
      </c>
      <c r="L33" s="346" t="s">
        <v>909</v>
      </c>
      <c r="M33" s="346" t="s">
        <v>2384</v>
      </c>
      <c r="N33" s="346"/>
      <c r="O33" s="838"/>
      <c r="P33" s="838">
        <v>1</v>
      </c>
      <c r="Q33" s="838"/>
      <c r="R33" s="838">
        <v>1</v>
      </c>
      <c r="S33" s="838">
        <v>2</v>
      </c>
      <c r="T33" s="346" t="s">
        <v>874</v>
      </c>
      <c r="U33" s="346">
        <v>2023</v>
      </c>
      <c r="V33" s="46" t="s">
        <v>1489</v>
      </c>
    </row>
    <row r="34" spans="1:22">
      <c r="A34" s="17" t="str">
        <f t="shared" ref="A34:A65" si="1">D34&amp;B34</f>
        <v>Department of Correction3</v>
      </c>
      <c r="B34" s="17">
        <v>3</v>
      </c>
      <c r="C34" s="346" t="s">
        <v>1449</v>
      </c>
      <c r="D34" s="826" t="s">
        <v>1450</v>
      </c>
      <c r="E34" s="346" t="s">
        <v>1453</v>
      </c>
      <c r="F34" s="346" t="s">
        <v>1454</v>
      </c>
      <c r="G34" s="346"/>
      <c r="H34" s="346" t="s">
        <v>1455</v>
      </c>
      <c r="I34" s="616" t="s">
        <v>1456</v>
      </c>
      <c r="J34" s="346"/>
      <c r="K34" s="346" t="s">
        <v>872</v>
      </c>
      <c r="L34" s="346" t="s">
        <v>909</v>
      </c>
      <c r="M34" s="346" t="s">
        <v>2384</v>
      </c>
      <c r="N34" s="346"/>
      <c r="O34" s="838"/>
      <c r="P34" s="838">
        <v>2</v>
      </c>
      <c r="Q34" s="838"/>
      <c r="R34" s="838">
        <v>2</v>
      </c>
      <c r="S34" s="838">
        <v>2</v>
      </c>
      <c r="T34" s="346" t="s">
        <v>874</v>
      </c>
      <c r="U34" s="346">
        <v>2023</v>
      </c>
      <c r="V34" s="46" t="s">
        <v>1488</v>
      </c>
    </row>
    <row r="35" spans="1:22">
      <c r="A35" s="17" t="str">
        <f t="shared" si="1"/>
        <v>Department of Correction4</v>
      </c>
      <c r="B35" s="17">
        <v>4</v>
      </c>
      <c r="C35" s="346" t="s">
        <v>1449</v>
      </c>
      <c r="D35" s="826" t="s">
        <v>1450</v>
      </c>
      <c r="E35" s="346" t="s">
        <v>1453</v>
      </c>
      <c r="F35" s="346" t="s">
        <v>1454</v>
      </c>
      <c r="G35" s="346"/>
      <c r="H35" s="346" t="s">
        <v>1455</v>
      </c>
      <c r="I35" s="616" t="s">
        <v>1456</v>
      </c>
      <c r="J35" s="346"/>
      <c r="K35" s="346" t="s">
        <v>872</v>
      </c>
      <c r="L35" s="346" t="s">
        <v>909</v>
      </c>
      <c r="M35" s="346" t="s">
        <v>2384</v>
      </c>
      <c r="N35" s="346"/>
      <c r="O35" s="838"/>
      <c r="P35" s="838">
        <v>2</v>
      </c>
      <c r="Q35" s="838"/>
      <c r="R35" s="838">
        <v>2</v>
      </c>
      <c r="S35" s="838">
        <v>2</v>
      </c>
      <c r="T35" s="346" t="s">
        <v>874</v>
      </c>
      <c r="U35" s="346">
        <v>2023</v>
      </c>
      <c r="V35" s="46" t="s">
        <v>1488</v>
      </c>
    </row>
    <row r="36" spans="1:22">
      <c r="A36" s="17" t="str">
        <f t="shared" si="1"/>
        <v>Department of Correction5</v>
      </c>
      <c r="B36" s="17">
        <v>5</v>
      </c>
      <c r="C36" s="346" t="s">
        <v>1449</v>
      </c>
      <c r="D36" s="826" t="s">
        <v>1450</v>
      </c>
      <c r="E36" s="826" t="s">
        <v>2350</v>
      </c>
      <c r="F36" s="346" t="s">
        <v>2351</v>
      </c>
      <c r="G36" s="346"/>
      <c r="H36" s="346" t="s">
        <v>535</v>
      </c>
      <c r="I36" s="616" t="s">
        <v>2352</v>
      </c>
      <c r="J36" s="346"/>
      <c r="K36" s="346" t="s">
        <v>872</v>
      </c>
      <c r="L36" s="346" t="s">
        <v>909</v>
      </c>
      <c r="M36" s="346" t="s">
        <v>2384</v>
      </c>
      <c r="N36" s="346"/>
      <c r="O36" s="838"/>
      <c r="P36" s="838">
        <v>2</v>
      </c>
      <c r="Q36" s="838"/>
      <c r="R36" s="838">
        <v>2</v>
      </c>
      <c r="S36" s="838">
        <v>4</v>
      </c>
      <c r="T36" s="346" t="s">
        <v>874</v>
      </c>
      <c r="U36" s="346">
        <v>2023</v>
      </c>
      <c r="V36" t="s">
        <v>1489</v>
      </c>
    </row>
    <row r="37" spans="1:22">
      <c r="A37" s="17" t="str">
        <f t="shared" si="1"/>
        <v>Department of Correction6</v>
      </c>
      <c r="B37" s="17">
        <v>6</v>
      </c>
      <c r="C37" s="346" t="s">
        <v>1449</v>
      </c>
      <c r="D37" s="826" t="s">
        <v>1450</v>
      </c>
      <c r="E37" s="826" t="s">
        <v>2353</v>
      </c>
      <c r="F37" s="346" t="s">
        <v>2354</v>
      </c>
      <c r="G37" s="346"/>
      <c r="H37" s="346" t="s">
        <v>484</v>
      </c>
      <c r="I37" s="616" t="s">
        <v>877</v>
      </c>
      <c r="J37" s="346"/>
      <c r="K37" s="346" t="s">
        <v>872</v>
      </c>
      <c r="L37" s="346" t="s">
        <v>909</v>
      </c>
      <c r="M37" s="346" t="s">
        <v>2384</v>
      </c>
      <c r="N37" s="346"/>
      <c r="O37" s="838"/>
      <c r="P37" s="838">
        <v>1</v>
      </c>
      <c r="Q37" s="838"/>
      <c r="R37" s="838">
        <v>1</v>
      </c>
      <c r="S37" s="838">
        <v>2</v>
      </c>
      <c r="T37" s="346" t="s">
        <v>874</v>
      </c>
      <c r="U37" s="346">
        <v>2023</v>
      </c>
      <c r="V37" s="46" t="s">
        <v>1489</v>
      </c>
    </row>
    <row r="38" spans="1:22">
      <c r="A38" s="17" t="str">
        <f t="shared" si="1"/>
        <v>Department of Correction7</v>
      </c>
      <c r="B38" s="17">
        <v>7</v>
      </c>
      <c r="C38" s="346" t="s">
        <v>1449</v>
      </c>
      <c r="D38" s="826" t="s">
        <v>1450</v>
      </c>
      <c r="E38" s="826" t="s">
        <v>2355</v>
      </c>
      <c r="F38" s="346" t="s">
        <v>1977</v>
      </c>
      <c r="G38" s="346"/>
      <c r="H38" s="346" t="s">
        <v>532</v>
      </c>
      <c r="I38" s="616" t="s">
        <v>2356</v>
      </c>
      <c r="J38" s="346"/>
      <c r="K38" s="346" t="s">
        <v>872</v>
      </c>
      <c r="L38" s="346" t="s">
        <v>909</v>
      </c>
      <c r="M38" s="346" t="s">
        <v>2384</v>
      </c>
      <c r="N38" s="346"/>
      <c r="O38" s="838"/>
      <c r="P38" s="838">
        <v>1</v>
      </c>
      <c r="Q38" s="838"/>
      <c r="R38" s="838">
        <v>1</v>
      </c>
      <c r="S38" s="838">
        <v>2</v>
      </c>
      <c r="T38" s="346" t="s">
        <v>874</v>
      </c>
      <c r="U38" s="346">
        <v>2023</v>
      </c>
      <c r="V38" s="46" t="s">
        <v>1489</v>
      </c>
    </row>
    <row r="39" spans="1:22">
      <c r="A39" s="17" t="str">
        <f t="shared" si="1"/>
        <v>Department of Developmental Services1</v>
      </c>
      <c r="B39" s="17">
        <v>1</v>
      </c>
      <c r="C39" s="346" t="s">
        <v>1983</v>
      </c>
      <c r="D39" s="826" t="s">
        <v>2329</v>
      </c>
      <c r="E39" s="826" t="s">
        <v>2329</v>
      </c>
      <c r="F39" s="346" t="s">
        <v>2330</v>
      </c>
      <c r="G39" s="826" t="s">
        <v>2331</v>
      </c>
      <c r="H39" s="346" t="s">
        <v>562</v>
      </c>
      <c r="I39" s="616" t="s">
        <v>2332</v>
      </c>
      <c r="J39" s="346"/>
      <c r="K39" s="346" t="s">
        <v>872</v>
      </c>
      <c r="L39" s="346" t="s">
        <v>909</v>
      </c>
      <c r="M39" s="346" t="s">
        <v>2384</v>
      </c>
      <c r="N39" s="346"/>
      <c r="O39" s="838"/>
      <c r="P39" s="838">
        <v>4</v>
      </c>
      <c r="Q39" s="838"/>
      <c r="R39" s="838">
        <v>4</v>
      </c>
      <c r="S39" s="838">
        <v>8</v>
      </c>
      <c r="T39" s="346" t="s">
        <v>874</v>
      </c>
      <c r="U39" s="346">
        <v>2025</v>
      </c>
      <c r="V39" s="46" t="s">
        <v>1489</v>
      </c>
    </row>
    <row r="40" spans="1:22">
      <c r="A40" s="17" t="str">
        <f t="shared" si="1"/>
        <v>Department of Developmental Services2</v>
      </c>
      <c r="B40" s="17">
        <v>2</v>
      </c>
      <c r="C40" s="346" t="s">
        <v>1983</v>
      </c>
      <c r="D40" s="826" t="s">
        <v>2329</v>
      </c>
      <c r="E40" s="826" t="s">
        <v>2329</v>
      </c>
      <c r="F40" s="346" t="s">
        <v>2333</v>
      </c>
      <c r="G40" s="346" t="s">
        <v>2334</v>
      </c>
      <c r="H40" s="346" t="s">
        <v>2334</v>
      </c>
      <c r="I40" s="616" t="s">
        <v>2335</v>
      </c>
      <c r="J40" s="346"/>
      <c r="K40" s="346" t="s">
        <v>872</v>
      </c>
      <c r="L40" s="346" t="s">
        <v>909</v>
      </c>
      <c r="M40" s="346" t="s">
        <v>2384</v>
      </c>
      <c r="N40" s="346"/>
      <c r="O40" s="838"/>
      <c r="P40" s="838">
        <v>2</v>
      </c>
      <c r="Q40" s="838"/>
      <c r="R40" s="838">
        <v>2</v>
      </c>
      <c r="S40" s="838">
        <v>4</v>
      </c>
      <c r="T40" s="346" t="s">
        <v>874</v>
      </c>
      <c r="U40" s="346">
        <v>2025</v>
      </c>
      <c r="V40" t="s">
        <v>1489</v>
      </c>
    </row>
    <row r="41" spans="1:22">
      <c r="A41" s="17" t="str">
        <f t="shared" si="1"/>
        <v>Department of Developmental Services3</v>
      </c>
      <c r="B41" s="17">
        <v>3</v>
      </c>
      <c r="C41" s="346" t="s">
        <v>1983</v>
      </c>
      <c r="D41" s="826" t="s">
        <v>2329</v>
      </c>
      <c r="E41" s="826" t="s">
        <v>2329</v>
      </c>
      <c r="F41" s="346" t="s">
        <v>2336</v>
      </c>
      <c r="G41" s="826" t="s">
        <v>2337</v>
      </c>
      <c r="H41" s="346" t="s">
        <v>2338</v>
      </c>
      <c r="I41" s="616" t="s">
        <v>2339</v>
      </c>
      <c r="J41" s="346"/>
      <c r="K41" s="346" t="s">
        <v>872</v>
      </c>
      <c r="L41" s="346" t="s">
        <v>909</v>
      </c>
      <c r="M41" s="346" t="s">
        <v>2384</v>
      </c>
      <c r="N41" s="346"/>
      <c r="O41" s="838"/>
      <c r="P41" s="838">
        <v>2</v>
      </c>
      <c r="Q41" s="838"/>
      <c r="R41" s="838">
        <v>2</v>
      </c>
      <c r="S41" s="838">
        <v>4</v>
      </c>
      <c r="T41" s="346" t="s">
        <v>874</v>
      </c>
      <c r="U41" s="346">
        <v>2025</v>
      </c>
      <c r="V41" t="s">
        <v>1489</v>
      </c>
    </row>
    <row r="42" spans="1:22">
      <c r="A42" s="17" t="str">
        <f t="shared" si="1"/>
        <v>Department of Fire Services1</v>
      </c>
      <c r="B42" s="17">
        <v>1</v>
      </c>
      <c r="C42" s="346" t="s">
        <v>2288</v>
      </c>
      <c r="D42" s="826" t="s">
        <v>2289</v>
      </c>
      <c r="E42" s="826" t="s">
        <v>2289</v>
      </c>
      <c r="F42" s="346" t="s">
        <v>2290</v>
      </c>
      <c r="G42" s="346"/>
      <c r="H42" s="617" t="s">
        <v>652</v>
      </c>
      <c r="I42" s="616" t="s">
        <v>2291</v>
      </c>
      <c r="J42" s="346"/>
      <c r="K42" s="346" t="s">
        <v>872</v>
      </c>
      <c r="L42" s="346" t="s">
        <v>909</v>
      </c>
      <c r="M42" s="346" t="s">
        <v>2384</v>
      </c>
      <c r="N42" s="346"/>
      <c r="O42" s="838"/>
      <c r="P42" s="838">
        <v>1</v>
      </c>
      <c r="Q42" s="838"/>
      <c r="R42" s="838">
        <v>1</v>
      </c>
      <c r="S42" s="838">
        <v>2</v>
      </c>
      <c r="T42" s="346" t="s">
        <v>874</v>
      </c>
      <c r="U42" s="346">
        <v>2024</v>
      </c>
      <c r="V42" s="46" t="s">
        <v>1489</v>
      </c>
    </row>
    <row r="43" spans="1:22">
      <c r="A43" s="17" t="str">
        <f t="shared" si="1"/>
        <v>Department of Fire Services2</v>
      </c>
      <c r="B43" s="17">
        <v>2</v>
      </c>
      <c r="C43" s="346" t="s">
        <v>2288</v>
      </c>
      <c r="D43" s="826" t="s">
        <v>2289</v>
      </c>
      <c r="E43" s="826" t="s">
        <v>2289</v>
      </c>
      <c r="F43" s="346" t="s">
        <v>565</v>
      </c>
      <c r="G43" s="346"/>
      <c r="H43" s="617" t="s">
        <v>566</v>
      </c>
      <c r="I43" s="616" t="s">
        <v>2292</v>
      </c>
      <c r="J43" s="346"/>
      <c r="K43" s="346" t="s">
        <v>872</v>
      </c>
      <c r="L43" s="346" t="s">
        <v>909</v>
      </c>
      <c r="M43" s="346" t="s">
        <v>2384</v>
      </c>
      <c r="N43" s="346"/>
      <c r="O43" s="838"/>
      <c r="P43" s="838">
        <v>4</v>
      </c>
      <c r="Q43" s="838"/>
      <c r="R43" s="838">
        <v>4</v>
      </c>
      <c r="S43" s="838">
        <v>4</v>
      </c>
      <c r="T43" s="346" t="s">
        <v>874</v>
      </c>
      <c r="U43" s="346">
        <v>2024</v>
      </c>
      <c r="V43" s="46" t="s">
        <v>1488</v>
      </c>
    </row>
    <row r="44" spans="1:22">
      <c r="A44" s="17" t="str">
        <f t="shared" si="1"/>
        <v>Department of Fish &amp; Game1</v>
      </c>
      <c r="B44" s="17">
        <v>1</v>
      </c>
      <c r="C44" s="346" t="s">
        <v>2243</v>
      </c>
      <c r="D44" s="826" t="s">
        <v>2244</v>
      </c>
      <c r="E44" s="346" t="s">
        <v>2245</v>
      </c>
      <c r="F44" s="346" t="s">
        <v>2246</v>
      </c>
      <c r="G44" s="346"/>
      <c r="H44" s="346" t="s">
        <v>2247</v>
      </c>
      <c r="I44" s="616" t="s">
        <v>2248</v>
      </c>
      <c r="J44" s="346"/>
      <c r="K44" s="346" t="s">
        <v>872</v>
      </c>
      <c r="L44" s="346" t="s">
        <v>909</v>
      </c>
      <c r="M44" s="346" t="s">
        <v>2384</v>
      </c>
      <c r="N44" s="346"/>
      <c r="O44" s="838"/>
      <c r="P44" s="838">
        <v>2</v>
      </c>
      <c r="Q44" s="838"/>
      <c r="R44" s="838">
        <v>2</v>
      </c>
      <c r="S44" s="838">
        <v>4</v>
      </c>
      <c r="T44" s="346" t="s">
        <v>874</v>
      </c>
      <c r="U44" s="346">
        <v>2024</v>
      </c>
      <c r="V44" t="s">
        <v>1489</v>
      </c>
    </row>
    <row r="45" spans="1:22" s="48" customFormat="1">
      <c r="A45" s="17" t="str">
        <f t="shared" si="1"/>
        <v>Department of Fish &amp; Game2</v>
      </c>
      <c r="B45" s="17">
        <v>2</v>
      </c>
      <c r="C45" s="346" t="s">
        <v>1984</v>
      </c>
      <c r="D45" s="826" t="s">
        <v>2244</v>
      </c>
      <c r="E45" s="346" t="s">
        <v>2255</v>
      </c>
      <c r="F45" s="346" t="s">
        <v>568</v>
      </c>
      <c r="G45" s="346"/>
      <c r="H45" s="346" t="s">
        <v>569</v>
      </c>
      <c r="I45" s="616" t="s">
        <v>2256</v>
      </c>
      <c r="J45" s="346"/>
      <c r="K45" s="346" t="s">
        <v>872</v>
      </c>
      <c r="L45" s="346" t="s">
        <v>909</v>
      </c>
      <c r="M45" s="346" t="s">
        <v>2384</v>
      </c>
      <c r="N45" s="346"/>
      <c r="O45" s="838"/>
      <c r="P45" s="838">
        <v>2</v>
      </c>
      <c r="Q45" s="838"/>
      <c r="R45" s="838">
        <v>2</v>
      </c>
      <c r="S45" s="838">
        <v>4</v>
      </c>
      <c r="T45" s="346" t="s">
        <v>874</v>
      </c>
      <c r="U45" s="346">
        <v>2024</v>
      </c>
      <c r="V45" t="s">
        <v>1489</v>
      </c>
    </row>
    <row r="46" spans="1:22">
      <c r="A46" s="17" t="str">
        <f t="shared" si="1"/>
        <v>Department of Public Health1</v>
      </c>
      <c r="B46" s="622">
        <v>1</v>
      </c>
      <c r="C46" s="346" t="s">
        <v>867</v>
      </c>
      <c r="D46" s="826" t="s">
        <v>1410</v>
      </c>
      <c r="E46" s="346" t="s">
        <v>883</v>
      </c>
      <c r="F46" s="346" t="s">
        <v>1411</v>
      </c>
      <c r="G46" s="346" t="s">
        <v>1412</v>
      </c>
      <c r="H46" s="346" t="s">
        <v>884</v>
      </c>
      <c r="I46" s="616" t="s">
        <v>885</v>
      </c>
      <c r="J46" s="346" t="s">
        <v>878</v>
      </c>
      <c r="K46" s="346" t="s">
        <v>872</v>
      </c>
      <c r="L46" s="346" t="s">
        <v>873</v>
      </c>
      <c r="M46" s="346" t="s">
        <v>873</v>
      </c>
      <c r="N46" s="346" t="s">
        <v>1293</v>
      </c>
      <c r="O46" s="838"/>
      <c r="P46" s="838">
        <v>3</v>
      </c>
      <c r="Q46" s="838"/>
      <c r="R46" s="838">
        <v>3</v>
      </c>
      <c r="S46" s="838">
        <v>6</v>
      </c>
      <c r="T46" s="346" t="s">
        <v>874</v>
      </c>
      <c r="U46" s="346">
        <v>2016</v>
      </c>
      <c r="V46" s="46" t="s">
        <v>1489</v>
      </c>
    </row>
    <row r="47" spans="1:22">
      <c r="A47" s="17" t="str">
        <f t="shared" si="1"/>
        <v>Department of State Police1</v>
      </c>
      <c r="B47" s="17">
        <v>1</v>
      </c>
      <c r="C47" s="361" t="s">
        <v>1987</v>
      </c>
      <c r="D47" s="837" t="s">
        <v>2079</v>
      </c>
      <c r="E47" s="361" t="s">
        <v>2363</v>
      </c>
      <c r="F47" s="361" t="s">
        <v>2364</v>
      </c>
      <c r="G47" s="361"/>
      <c r="H47" s="361" t="s">
        <v>2365</v>
      </c>
      <c r="I47" s="616" t="s">
        <v>2366</v>
      </c>
      <c r="J47" s="361"/>
      <c r="K47" s="361" t="s">
        <v>872</v>
      </c>
      <c r="L47" s="361" t="s">
        <v>909</v>
      </c>
      <c r="M47" s="346" t="s">
        <v>2384</v>
      </c>
      <c r="N47" s="361"/>
      <c r="O47" s="361"/>
      <c r="P47" s="361">
        <v>1</v>
      </c>
      <c r="Q47" s="361"/>
      <c r="R47" s="361">
        <v>1</v>
      </c>
      <c r="S47" s="361">
        <v>1</v>
      </c>
      <c r="T47" s="346" t="s">
        <v>874</v>
      </c>
      <c r="U47" s="361">
        <v>2023</v>
      </c>
      <c r="V47" t="s">
        <v>1488</v>
      </c>
    </row>
    <row r="48" spans="1:22">
      <c r="A48" s="17" t="str">
        <f t="shared" si="1"/>
        <v>Department of State Police2</v>
      </c>
      <c r="B48" s="17">
        <v>2</v>
      </c>
      <c r="C48" s="361" t="s">
        <v>1987</v>
      </c>
      <c r="D48" s="837" t="s">
        <v>2079</v>
      </c>
      <c r="E48" s="361" t="s">
        <v>2367</v>
      </c>
      <c r="F48" s="361" t="s">
        <v>2368</v>
      </c>
      <c r="G48" s="361"/>
      <c r="H48" s="361" t="s">
        <v>2369</v>
      </c>
      <c r="I48" s="616" t="s">
        <v>2370</v>
      </c>
      <c r="J48" s="361"/>
      <c r="K48" s="361" t="s">
        <v>872</v>
      </c>
      <c r="L48" s="361" t="s">
        <v>909</v>
      </c>
      <c r="M48" s="346" t="s">
        <v>2384</v>
      </c>
      <c r="N48" s="361"/>
      <c r="O48" s="361"/>
      <c r="P48" s="361">
        <v>1</v>
      </c>
      <c r="Q48" s="361"/>
      <c r="R48" s="361">
        <v>1</v>
      </c>
      <c r="S48" s="361">
        <v>1</v>
      </c>
      <c r="T48" s="346" t="s">
        <v>874</v>
      </c>
      <c r="U48" s="361">
        <v>2023</v>
      </c>
      <c r="V48" t="s">
        <v>1488</v>
      </c>
    </row>
    <row r="49" spans="1:22" s="46" customFormat="1">
      <c r="A49" s="17" t="str">
        <f t="shared" si="1"/>
        <v>Division of Standards1</v>
      </c>
      <c r="B49" s="17">
        <v>1</v>
      </c>
      <c r="C49" s="346" t="s">
        <v>2249</v>
      </c>
      <c r="D49" s="826" t="s">
        <v>2250</v>
      </c>
      <c r="E49" s="346" t="s">
        <v>2251</v>
      </c>
      <c r="F49" s="826" t="s">
        <v>2252</v>
      </c>
      <c r="G49" s="832"/>
      <c r="H49" s="826" t="s">
        <v>2253</v>
      </c>
      <c r="I49" s="616" t="s">
        <v>2254</v>
      </c>
      <c r="J49" s="346"/>
      <c r="K49" s="346" t="s">
        <v>872</v>
      </c>
      <c r="L49" s="346" t="s">
        <v>909</v>
      </c>
      <c r="M49" s="346" t="s">
        <v>2384</v>
      </c>
      <c r="N49" s="346"/>
      <c r="O49" s="838"/>
      <c r="P49" s="838">
        <v>2</v>
      </c>
      <c r="Q49" s="838"/>
      <c r="R49" s="838">
        <v>2</v>
      </c>
      <c r="S49" s="838">
        <v>2</v>
      </c>
      <c r="T49" s="346" t="s">
        <v>874</v>
      </c>
      <c r="U49" s="346">
        <v>2024</v>
      </c>
      <c r="V49" s="46" t="s">
        <v>1488</v>
      </c>
    </row>
    <row r="50" spans="1:22" s="46" customFormat="1">
      <c r="A50" s="17" t="str">
        <f t="shared" si="1"/>
        <v>Fitchburg State University1</v>
      </c>
      <c r="B50" s="622">
        <v>1</v>
      </c>
      <c r="C50" s="346" t="s">
        <v>472</v>
      </c>
      <c r="D50" s="826" t="s">
        <v>114</v>
      </c>
      <c r="E50" s="346" t="s">
        <v>1332</v>
      </c>
      <c r="F50" s="346" t="s">
        <v>583</v>
      </c>
      <c r="G50" s="346"/>
      <c r="H50" s="346" t="s">
        <v>584</v>
      </c>
      <c r="I50" s="616" t="s">
        <v>1333</v>
      </c>
      <c r="J50" s="346"/>
      <c r="K50" s="346" t="s">
        <v>872</v>
      </c>
      <c r="L50" s="346" t="s">
        <v>873</v>
      </c>
      <c r="M50" s="346" t="s">
        <v>873</v>
      </c>
      <c r="N50" s="346" t="s">
        <v>1293</v>
      </c>
      <c r="O50" s="838"/>
      <c r="P50" s="838">
        <v>1</v>
      </c>
      <c r="Q50" s="838"/>
      <c r="R50" s="838">
        <v>1</v>
      </c>
      <c r="S50" s="838">
        <v>2</v>
      </c>
      <c r="T50" s="346" t="s">
        <v>874</v>
      </c>
      <c r="U50" s="346">
        <v>2019</v>
      </c>
      <c r="V50" s="46" t="s">
        <v>1489</v>
      </c>
    </row>
    <row r="51" spans="1:22" s="46" customFormat="1">
      <c r="A51" s="17" t="str">
        <f t="shared" si="1"/>
        <v>Framingham State University1</v>
      </c>
      <c r="B51" s="17">
        <v>1</v>
      </c>
      <c r="C51" s="346" t="s">
        <v>472</v>
      </c>
      <c r="D51" s="826" t="s">
        <v>36</v>
      </c>
      <c r="E51" s="826" t="s">
        <v>36</v>
      </c>
      <c r="F51" s="346" t="s">
        <v>1334</v>
      </c>
      <c r="G51" s="346" t="s">
        <v>1335</v>
      </c>
      <c r="H51" s="346" t="s">
        <v>548</v>
      </c>
      <c r="I51" s="616" t="s">
        <v>1336</v>
      </c>
      <c r="J51" s="346" t="s">
        <v>889</v>
      </c>
      <c r="K51" s="346" t="s">
        <v>872</v>
      </c>
      <c r="L51" s="346" t="s">
        <v>873</v>
      </c>
      <c r="M51" s="346" t="s">
        <v>873</v>
      </c>
      <c r="N51" s="346" t="s">
        <v>1293</v>
      </c>
      <c r="O51" s="838"/>
      <c r="P51" s="838">
        <v>1</v>
      </c>
      <c r="Q51" s="838"/>
      <c r="R51" s="838">
        <v>1</v>
      </c>
      <c r="S51" s="838">
        <v>2</v>
      </c>
      <c r="T51" s="346" t="s">
        <v>874</v>
      </c>
      <c r="U51" s="346">
        <v>2012</v>
      </c>
      <c r="V51" s="46" t="s">
        <v>1489</v>
      </c>
    </row>
    <row r="52" spans="1:22" s="46" customFormat="1">
      <c r="A52" s="17" t="str">
        <f t="shared" si="1"/>
        <v>Framingham State University2</v>
      </c>
      <c r="B52" s="17">
        <v>2</v>
      </c>
      <c r="C52" s="346" t="s">
        <v>472</v>
      </c>
      <c r="D52" s="826" t="s">
        <v>36</v>
      </c>
      <c r="E52" s="826" t="s">
        <v>36</v>
      </c>
      <c r="F52" s="346" t="s">
        <v>589</v>
      </c>
      <c r="G52" s="346" t="s">
        <v>1337</v>
      </c>
      <c r="H52" s="346" t="s">
        <v>548</v>
      </c>
      <c r="I52" s="616" t="s">
        <v>892</v>
      </c>
      <c r="J52" s="346" t="s">
        <v>889</v>
      </c>
      <c r="K52" s="346" t="s">
        <v>872</v>
      </c>
      <c r="L52" s="346" t="s">
        <v>873</v>
      </c>
      <c r="M52" s="346" t="s">
        <v>873</v>
      </c>
      <c r="N52" s="346" t="s">
        <v>1293</v>
      </c>
      <c r="O52" s="838"/>
      <c r="P52" s="838">
        <v>1</v>
      </c>
      <c r="Q52" s="838"/>
      <c r="R52" s="838">
        <v>1</v>
      </c>
      <c r="S52" s="838">
        <v>2</v>
      </c>
      <c r="T52" s="346" t="s">
        <v>874</v>
      </c>
      <c r="U52" s="346">
        <v>2019</v>
      </c>
      <c r="V52" s="46" t="s">
        <v>1489</v>
      </c>
    </row>
    <row r="53" spans="1:22" s="46" customFormat="1">
      <c r="A53" s="17" t="str">
        <f t="shared" si="1"/>
        <v>Framingham State University3</v>
      </c>
      <c r="B53" s="17">
        <v>3</v>
      </c>
      <c r="C53" s="361" t="s">
        <v>472</v>
      </c>
      <c r="D53" s="837" t="s">
        <v>36</v>
      </c>
      <c r="E53" s="361" t="s">
        <v>36</v>
      </c>
      <c r="F53" s="361" t="s">
        <v>2383</v>
      </c>
      <c r="G53" s="361"/>
      <c r="H53" s="361" t="s">
        <v>548</v>
      </c>
      <c r="I53" s="616" t="s">
        <v>1336</v>
      </c>
      <c r="J53" s="361"/>
      <c r="K53" s="361" t="s">
        <v>872</v>
      </c>
      <c r="L53" s="361" t="s">
        <v>873</v>
      </c>
      <c r="M53" s="361" t="s">
        <v>873</v>
      </c>
      <c r="N53" s="361"/>
      <c r="O53" s="361"/>
      <c r="P53" s="361">
        <v>2</v>
      </c>
      <c r="Q53" s="361"/>
      <c r="R53" s="361">
        <v>2</v>
      </c>
      <c r="S53" s="361">
        <v>4</v>
      </c>
      <c r="T53" s="346" t="s">
        <v>874</v>
      </c>
      <c r="U53" s="361">
        <v>2025</v>
      </c>
      <c r="V53" t="s">
        <v>1489</v>
      </c>
    </row>
    <row r="54" spans="1:22" s="46" customFormat="1">
      <c r="A54" s="17" t="str">
        <f t="shared" si="1"/>
        <v>Franklin County Sheriff's Office1</v>
      </c>
      <c r="B54" s="17">
        <v>1</v>
      </c>
      <c r="C54" s="333" t="s">
        <v>1338</v>
      </c>
      <c r="D54" s="329" t="s">
        <v>1339</v>
      </c>
      <c r="E54" s="333" t="s">
        <v>1340</v>
      </c>
      <c r="F54" s="333" t="s">
        <v>1341</v>
      </c>
      <c r="G54" s="333" t="s">
        <v>1342</v>
      </c>
      <c r="H54" s="333" t="s">
        <v>595</v>
      </c>
      <c r="I54" s="619" t="s">
        <v>1343</v>
      </c>
      <c r="J54" s="333" t="s">
        <v>889</v>
      </c>
      <c r="K54" s="333" t="s">
        <v>872</v>
      </c>
      <c r="L54" s="333" t="s">
        <v>873</v>
      </c>
      <c r="M54" s="346" t="s">
        <v>873</v>
      </c>
      <c r="N54" s="333" t="s">
        <v>1293</v>
      </c>
      <c r="O54" s="839"/>
      <c r="P54" s="839">
        <v>2</v>
      </c>
      <c r="Q54" s="839"/>
      <c r="R54" s="838">
        <v>2</v>
      </c>
      <c r="S54" s="839">
        <v>4</v>
      </c>
      <c r="T54" s="346" t="s">
        <v>874</v>
      </c>
      <c r="U54" s="346">
        <v>2018</v>
      </c>
      <c r="V54" t="s">
        <v>1489</v>
      </c>
    </row>
    <row r="55" spans="1:22" s="46" customFormat="1">
      <c r="A55" s="17" t="str">
        <f t="shared" si="1"/>
        <v>Greenfield Community College1</v>
      </c>
      <c r="B55" s="17">
        <v>1</v>
      </c>
      <c r="C55" s="346" t="s">
        <v>867</v>
      </c>
      <c r="D55" s="826" t="s">
        <v>1294</v>
      </c>
      <c r="E55" s="346" t="s">
        <v>893</v>
      </c>
      <c r="F55" s="346" t="s">
        <v>894</v>
      </c>
      <c r="G55" s="346"/>
      <c r="H55" s="346" t="s">
        <v>595</v>
      </c>
      <c r="I55" s="616" t="s">
        <v>895</v>
      </c>
      <c r="J55" s="346" t="s">
        <v>889</v>
      </c>
      <c r="K55" s="346" t="s">
        <v>872</v>
      </c>
      <c r="L55" s="346" t="s">
        <v>873</v>
      </c>
      <c r="M55" s="346" t="s">
        <v>873</v>
      </c>
      <c r="N55" s="346" t="s">
        <v>1293</v>
      </c>
      <c r="O55" s="838"/>
      <c r="P55" s="838"/>
      <c r="Q55" s="838">
        <v>1</v>
      </c>
      <c r="R55" s="838">
        <v>1</v>
      </c>
      <c r="S55" s="838">
        <v>1</v>
      </c>
      <c r="T55" s="346" t="s">
        <v>896</v>
      </c>
      <c r="U55" s="346">
        <v>2020</v>
      </c>
      <c r="V55" t="s">
        <v>1488</v>
      </c>
    </row>
    <row r="56" spans="1:22" s="46" customFormat="1">
      <c r="A56" s="17" t="str">
        <f t="shared" si="1"/>
        <v>Greenfield Community College2</v>
      </c>
      <c r="B56" s="17">
        <v>2</v>
      </c>
      <c r="C56" s="346" t="s">
        <v>867</v>
      </c>
      <c r="D56" s="826" t="s">
        <v>1294</v>
      </c>
      <c r="E56" s="346" t="s">
        <v>893</v>
      </c>
      <c r="F56" s="346" t="s">
        <v>894</v>
      </c>
      <c r="G56" s="346"/>
      <c r="H56" s="346" t="s">
        <v>595</v>
      </c>
      <c r="I56" s="616" t="s">
        <v>895</v>
      </c>
      <c r="J56" s="346" t="s">
        <v>889</v>
      </c>
      <c r="K56" s="346" t="s">
        <v>872</v>
      </c>
      <c r="L56" s="346" t="s">
        <v>873</v>
      </c>
      <c r="M56" s="346" t="s">
        <v>873</v>
      </c>
      <c r="N56" s="346" t="s">
        <v>1293</v>
      </c>
      <c r="O56" s="838"/>
      <c r="P56" s="838">
        <v>1</v>
      </c>
      <c r="Q56" s="838"/>
      <c r="R56" s="838">
        <v>1</v>
      </c>
      <c r="S56" s="838">
        <v>1</v>
      </c>
      <c r="T56" s="346" t="s">
        <v>874</v>
      </c>
      <c r="U56" s="346">
        <v>2015</v>
      </c>
      <c r="V56" t="s">
        <v>1488</v>
      </c>
    </row>
    <row r="57" spans="1:22" s="46" customFormat="1">
      <c r="A57" s="17" t="str">
        <f t="shared" si="1"/>
        <v>Holyoke Community College1</v>
      </c>
      <c r="B57" s="17">
        <v>1</v>
      </c>
      <c r="C57" s="346" t="s">
        <v>472</v>
      </c>
      <c r="D57" s="826" t="s">
        <v>1344</v>
      </c>
      <c r="E57" s="346" t="s">
        <v>2195</v>
      </c>
      <c r="F57" s="346" t="s">
        <v>1345</v>
      </c>
      <c r="G57" s="346" t="s">
        <v>1346</v>
      </c>
      <c r="H57" s="346" t="s">
        <v>777</v>
      </c>
      <c r="I57" s="616" t="s">
        <v>870</v>
      </c>
      <c r="J57" s="346" t="s">
        <v>871</v>
      </c>
      <c r="K57" s="346" t="s">
        <v>872</v>
      </c>
      <c r="L57" s="346" t="s">
        <v>873</v>
      </c>
      <c r="M57" s="346" t="s">
        <v>873</v>
      </c>
      <c r="N57" s="346" t="s">
        <v>1293</v>
      </c>
      <c r="O57" s="838"/>
      <c r="P57" s="838">
        <v>2</v>
      </c>
      <c r="Q57" s="838"/>
      <c r="R57" s="838">
        <v>2</v>
      </c>
      <c r="S57" s="838">
        <v>2</v>
      </c>
      <c r="T57" s="346" t="s">
        <v>874</v>
      </c>
      <c r="U57" s="346">
        <v>2022</v>
      </c>
      <c r="V57" s="46" t="s">
        <v>1488</v>
      </c>
    </row>
    <row r="58" spans="1:22" s="46" customFormat="1">
      <c r="A58" s="17" t="str">
        <f t="shared" si="1"/>
        <v>Holyoke Community College2</v>
      </c>
      <c r="B58" s="17">
        <v>2</v>
      </c>
      <c r="C58" s="346" t="s">
        <v>867</v>
      </c>
      <c r="D58" s="826" t="s">
        <v>1344</v>
      </c>
      <c r="E58" s="346" t="s">
        <v>2196</v>
      </c>
      <c r="F58" s="346" t="s">
        <v>1347</v>
      </c>
      <c r="G58" s="346" t="s">
        <v>2197</v>
      </c>
      <c r="H58" s="346" t="s">
        <v>777</v>
      </c>
      <c r="I58" s="616" t="s">
        <v>870</v>
      </c>
      <c r="J58" s="346" t="s">
        <v>871</v>
      </c>
      <c r="K58" s="346" t="s">
        <v>872</v>
      </c>
      <c r="L58" s="346" t="s">
        <v>873</v>
      </c>
      <c r="M58" s="346" t="s">
        <v>873</v>
      </c>
      <c r="N58" s="346" t="s">
        <v>1293</v>
      </c>
      <c r="O58" s="838"/>
      <c r="P58" s="838">
        <v>1</v>
      </c>
      <c r="Q58" s="838"/>
      <c r="R58" s="838">
        <v>1</v>
      </c>
      <c r="S58" s="838">
        <v>2</v>
      </c>
      <c r="T58" s="346" t="s">
        <v>874</v>
      </c>
      <c r="U58" s="346">
        <v>2016</v>
      </c>
      <c r="V58" s="46" t="s">
        <v>1489</v>
      </c>
    </row>
    <row r="59" spans="1:22" s="46" customFormat="1">
      <c r="A59" s="17" t="str">
        <f t="shared" si="1"/>
        <v>Mass College of Art &amp; Design1</v>
      </c>
      <c r="B59" s="17">
        <v>1</v>
      </c>
      <c r="C59" s="346" t="s">
        <v>472</v>
      </c>
      <c r="D59" s="826" t="s">
        <v>1313</v>
      </c>
      <c r="E59" s="826" t="s">
        <v>1313</v>
      </c>
      <c r="F59" s="346" t="s">
        <v>2193</v>
      </c>
      <c r="G59" s="346" t="s">
        <v>1314</v>
      </c>
      <c r="H59" s="346" t="s">
        <v>494</v>
      </c>
      <c r="I59" s="616" t="s">
        <v>897</v>
      </c>
      <c r="J59" s="346" t="s">
        <v>889</v>
      </c>
      <c r="K59" s="346" t="s">
        <v>872</v>
      </c>
      <c r="L59" s="346" t="s">
        <v>873</v>
      </c>
      <c r="M59" s="346" t="s">
        <v>873</v>
      </c>
      <c r="N59" s="346" t="s">
        <v>1293</v>
      </c>
      <c r="O59" s="838">
        <v>6</v>
      </c>
      <c r="P59" s="838"/>
      <c r="Q59" s="838"/>
      <c r="R59" s="838">
        <v>6</v>
      </c>
      <c r="S59" s="838">
        <v>6</v>
      </c>
      <c r="T59" s="346" t="s">
        <v>898</v>
      </c>
      <c r="U59" s="346">
        <v>2014</v>
      </c>
      <c r="V59" s="46" t="s">
        <v>1488</v>
      </c>
    </row>
    <row r="60" spans="1:22" s="46" customFormat="1">
      <c r="A60" s="17" t="str">
        <f t="shared" si="1"/>
        <v>Mass Convention Center Authority1</v>
      </c>
      <c r="B60" s="17">
        <v>1</v>
      </c>
      <c r="C60" s="346" t="s">
        <v>1348</v>
      </c>
      <c r="D60" s="826" t="s">
        <v>1349</v>
      </c>
      <c r="E60" s="346" t="s">
        <v>1350</v>
      </c>
      <c r="F60" s="826" t="s">
        <v>2198</v>
      </c>
      <c r="G60" s="826" t="s">
        <v>1351</v>
      </c>
      <c r="H60" s="346" t="s">
        <v>494</v>
      </c>
      <c r="I60" s="616" t="s">
        <v>1352</v>
      </c>
      <c r="J60" s="346" t="s">
        <v>889</v>
      </c>
      <c r="K60" s="346" t="s">
        <v>872</v>
      </c>
      <c r="L60" s="346" t="s">
        <v>873</v>
      </c>
      <c r="M60" s="346" t="s">
        <v>873</v>
      </c>
      <c r="N60" s="346"/>
      <c r="O60" s="838"/>
      <c r="P60" s="838">
        <v>1</v>
      </c>
      <c r="Q60" s="838"/>
      <c r="R60" s="838">
        <v>1</v>
      </c>
      <c r="S60" s="838">
        <v>2</v>
      </c>
      <c r="T60" s="346" t="s">
        <v>874</v>
      </c>
      <c r="U60" s="346">
        <v>2016</v>
      </c>
      <c r="V60" s="46" t="s">
        <v>1489</v>
      </c>
    </row>
    <row r="61" spans="1:22" s="46" customFormat="1">
      <c r="A61" s="17" t="str">
        <f t="shared" si="1"/>
        <v>Mass Convention Center Authority2</v>
      </c>
      <c r="B61" s="17">
        <v>2</v>
      </c>
      <c r="C61" s="346" t="s">
        <v>1348</v>
      </c>
      <c r="D61" s="826" t="s">
        <v>1349</v>
      </c>
      <c r="E61" s="346" t="s">
        <v>1350</v>
      </c>
      <c r="F61" s="826" t="s">
        <v>2198</v>
      </c>
      <c r="G61" s="826" t="s">
        <v>1353</v>
      </c>
      <c r="H61" s="346" t="s">
        <v>494</v>
      </c>
      <c r="I61" s="616" t="s">
        <v>1354</v>
      </c>
      <c r="J61" s="346" t="s">
        <v>889</v>
      </c>
      <c r="K61" s="346" t="s">
        <v>872</v>
      </c>
      <c r="L61" s="346" t="s">
        <v>873</v>
      </c>
      <c r="M61" s="346" t="s">
        <v>873</v>
      </c>
      <c r="N61" s="346"/>
      <c r="O61" s="838"/>
      <c r="P61" s="838">
        <v>1</v>
      </c>
      <c r="Q61" s="838"/>
      <c r="R61" s="838">
        <v>1</v>
      </c>
      <c r="S61" s="838">
        <v>2</v>
      </c>
      <c r="T61" s="346" t="s">
        <v>874</v>
      </c>
      <c r="U61" s="346">
        <v>2016</v>
      </c>
      <c r="V61" s="46" t="s">
        <v>1489</v>
      </c>
    </row>
    <row r="62" spans="1:22" s="46" customFormat="1">
      <c r="A62" s="17" t="str">
        <f t="shared" si="1"/>
        <v>Mass. College of Liberal Arts1</v>
      </c>
      <c r="B62" s="17">
        <v>1</v>
      </c>
      <c r="C62" s="346" t="s">
        <v>472</v>
      </c>
      <c r="D62" s="826" t="s">
        <v>148</v>
      </c>
      <c r="E62" s="346" t="s">
        <v>899</v>
      </c>
      <c r="F62" s="346" t="s">
        <v>2199</v>
      </c>
      <c r="G62" s="346" t="s">
        <v>1355</v>
      </c>
      <c r="H62" s="346" t="s">
        <v>597</v>
      </c>
      <c r="I62" s="616" t="s">
        <v>900</v>
      </c>
      <c r="J62" s="346" t="s">
        <v>878</v>
      </c>
      <c r="K62" s="346" t="s">
        <v>872</v>
      </c>
      <c r="L62" s="346" t="s">
        <v>873</v>
      </c>
      <c r="M62" s="346" t="s">
        <v>873</v>
      </c>
      <c r="N62" s="346" t="s">
        <v>1293</v>
      </c>
      <c r="O62" s="838"/>
      <c r="P62" s="838">
        <v>1</v>
      </c>
      <c r="Q62" s="838"/>
      <c r="R62" s="838">
        <v>1</v>
      </c>
      <c r="S62" s="838">
        <v>1</v>
      </c>
      <c r="T62" s="346" t="s">
        <v>874</v>
      </c>
      <c r="U62" s="346">
        <v>2012</v>
      </c>
      <c r="V62" t="s">
        <v>1488</v>
      </c>
    </row>
    <row r="63" spans="1:22" s="46" customFormat="1">
      <c r="A63" s="17" t="str">
        <f t="shared" si="1"/>
        <v>MassBay Comm. College1</v>
      </c>
      <c r="B63" s="17">
        <v>1</v>
      </c>
      <c r="C63" s="346" t="s">
        <v>472</v>
      </c>
      <c r="D63" s="826" t="s">
        <v>1477</v>
      </c>
      <c r="E63" s="346" t="s">
        <v>1477</v>
      </c>
      <c r="F63" s="346" t="s">
        <v>1478</v>
      </c>
      <c r="G63" s="346" t="s">
        <v>2241</v>
      </c>
      <c r="H63" s="346" t="s">
        <v>1480</v>
      </c>
      <c r="I63" s="616" t="s">
        <v>1481</v>
      </c>
      <c r="J63" s="346" t="s">
        <v>871</v>
      </c>
      <c r="K63" s="346" t="s">
        <v>872</v>
      </c>
      <c r="L63" s="346" t="s">
        <v>873</v>
      </c>
      <c r="M63" s="346" t="s">
        <v>873</v>
      </c>
      <c r="N63" s="346"/>
      <c r="O63" s="838"/>
      <c r="P63" s="838">
        <v>1</v>
      </c>
      <c r="Q63" s="838"/>
      <c r="R63" s="838">
        <v>1</v>
      </c>
      <c r="S63" s="838">
        <v>2</v>
      </c>
      <c r="T63" s="346" t="s">
        <v>874</v>
      </c>
      <c r="U63" s="346">
        <v>2022</v>
      </c>
      <c r="V63" s="46" t="s">
        <v>1489</v>
      </c>
    </row>
    <row r="64" spans="1:22" s="46" customFormat="1">
      <c r="A64" s="17" t="str">
        <f t="shared" si="1"/>
        <v>MassBay Comm. College2</v>
      </c>
      <c r="B64" s="17">
        <v>2</v>
      </c>
      <c r="C64" s="346" t="s">
        <v>472</v>
      </c>
      <c r="D64" s="826" t="s">
        <v>1477</v>
      </c>
      <c r="E64" s="346" t="s">
        <v>1477</v>
      </c>
      <c r="F64" s="346" t="s">
        <v>1478</v>
      </c>
      <c r="G64" s="346" t="s">
        <v>2242</v>
      </c>
      <c r="H64" s="346" t="s">
        <v>1480</v>
      </c>
      <c r="I64" s="616" t="s">
        <v>1481</v>
      </c>
      <c r="J64" s="346" t="s">
        <v>871</v>
      </c>
      <c r="K64" s="346" t="s">
        <v>872</v>
      </c>
      <c r="L64" s="346" t="s">
        <v>967</v>
      </c>
      <c r="M64" s="346" t="s">
        <v>967</v>
      </c>
      <c r="N64" s="346"/>
      <c r="O64" s="838"/>
      <c r="P64" s="838">
        <v>1</v>
      </c>
      <c r="Q64" s="838"/>
      <c r="R64" s="838">
        <v>1</v>
      </c>
      <c r="S64" s="838">
        <v>2</v>
      </c>
      <c r="T64" s="346" t="s">
        <v>874</v>
      </c>
      <c r="U64" s="346">
        <v>2022</v>
      </c>
      <c r="V64" s="46" t="s">
        <v>1489</v>
      </c>
    </row>
    <row r="65" spans="1:22" s="46" customFormat="1">
      <c r="A65" s="17" t="str">
        <f t="shared" si="1"/>
        <v>MassBay Comm. College3</v>
      </c>
      <c r="B65" s="17">
        <v>3</v>
      </c>
      <c r="C65" s="346" t="s">
        <v>472</v>
      </c>
      <c r="D65" s="826" t="s">
        <v>1477</v>
      </c>
      <c r="E65" s="346" t="s">
        <v>1477</v>
      </c>
      <c r="F65" s="346" t="s">
        <v>1478</v>
      </c>
      <c r="G65" s="346" t="s">
        <v>1479</v>
      </c>
      <c r="H65" s="346" t="s">
        <v>1480</v>
      </c>
      <c r="I65" s="616" t="s">
        <v>1481</v>
      </c>
      <c r="J65" s="346" t="s">
        <v>871</v>
      </c>
      <c r="K65" s="346" t="s">
        <v>872</v>
      </c>
      <c r="L65" s="346" t="s">
        <v>1379</v>
      </c>
      <c r="M65" s="346" t="s">
        <v>1379</v>
      </c>
      <c r="N65" s="346"/>
      <c r="O65" s="838"/>
      <c r="P65" s="838">
        <v>1</v>
      </c>
      <c r="Q65" s="838"/>
      <c r="R65" s="838">
        <v>1</v>
      </c>
      <c r="S65" s="838">
        <v>2</v>
      </c>
      <c r="T65" s="346" t="s">
        <v>874</v>
      </c>
      <c r="U65" s="346">
        <v>2022</v>
      </c>
      <c r="V65" s="46" t="s">
        <v>1489</v>
      </c>
    </row>
    <row r="66" spans="1:22" s="46" customFormat="1">
      <c r="A66" s="17" t="str">
        <f t="shared" ref="A66:A97" si="2">D66&amp;B66</f>
        <v>MassDEP1</v>
      </c>
      <c r="B66" s="17">
        <v>1</v>
      </c>
      <c r="C66" s="346" t="s">
        <v>901</v>
      </c>
      <c r="D66" s="826" t="s">
        <v>1356</v>
      </c>
      <c r="E66" s="346" t="s">
        <v>1357</v>
      </c>
      <c r="F66" s="346" t="s">
        <v>1358</v>
      </c>
      <c r="G66" s="346"/>
      <c r="H66" s="346" t="s">
        <v>1359</v>
      </c>
      <c r="I66" s="616" t="s">
        <v>1360</v>
      </c>
      <c r="J66" s="346" t="s">
        <v>889</v>
      </c>
      <c r="K66" s="346" t="s">
        <v>872</v>
      </c>
      <c r="L66" s="346" t="s">
        <v>909</v>
      </c>
      <c r="M66" s="346" t="s">
        <v>2384</v>
      </c>
      <c r="N66" s="346"/>
      <c r="O66" s="838"/>
      <c r="P66" s="839">
        <v>4</v>
      </c>
      <c r="Q66" s="838"/>
      <c r="R66" s="838">
        <v>4</v>
      </c>
      <c r="S66" s="838">
        <v>8</v>
      </c>
      <c r="T66" s="346" t="s">
        <v>874</v>
      </c>
      <c r="U66" s="346">
        <v>2022</v>
      </c>
      <c r="V66" s="46" t="s">
        <v>1489</v>
      </c>
    </row>
    <row r="67" spans="1:22" s="46" customFormat="1">
      <c r="A67" s="17" t="str">
        <f t="shared" si="2"/>
        <v>MassDEP2</v>
      </c>
      <c r="B67" s="17">
        <v>2</v>
      </c>
      <c r="C67" s="346" t="s">
        <v>901</v>
      </c>
      <c r="D67" s="826" t="s">
        <v>1356</v>
      </c>
      <c r="E67" s="346" t="s">
        <v>905</v>
      </c>
      <c r="F67" s="346" t="s">
        <v>906</v>
      </c>
      <c r="G67" s="346"/>
      <c r="H67" s="346" t="s">
        <v>907</v>
      </c>
      <c r="I67" s="616" t="s">
        <v>908</v>
      </c>
      <c r="J67" s="346" t="s">
        <v>871</v>
      </c>
      <c r="K67" s="346" t="s">
        <v>872</v>
      </c>
      <c r="L67" s="346" t="s">
        <v>873</v>
      </c>
      <c r="M67" s="346" t="s">
        <v>873</v>
      </c>
      <c r="N67" s="346" t="s">
        <v>1293</v>
      </c>
      <c r="O67" s="838"/>
      <c r="P67" s="838">
        <v>1</v>
      </c>
      <c r="Q67" s="838"/>
      <c r="R67" s="838">
        <v>1</v>
      </c>
      <c r="S67" s="838">
        <v>2</v>
      </c>
      <c r="T67" s="346" t="s">
        <v>874</v>
      </c>
      <c r="U67" s="346">
        <v>2016</v>
      </c>
      <c r="V67" s="46" t="s">
        <v>1489</v>
      </c>
    </row>
    <row r="68" spans="1:22" s="46" customFormat="1">
      <c r="A68" s="17" t="str">
        <f t="shared" si="2"/>
        <v>MassDEP3</v>
      </c>
      <c r="B68" s="17">
        <v>3</v>
      </c>
      <c r="C68" s="346" t="s">
        <v>901</v>
      </c>
      <c r="D68" s="826" t="s">
        <v>1356</v>
      </c>
      <c r="E68" s="346" t="s">
        <v>902</v>
      </c>
      <c r="F68" s="346" t="s">
        <v>903</v>
      </c>
      <c r="G68" s="346"/>
      <c r="H68" s="346" t="s">
        <v>573</v>
      </c>
      <c r="I68" s="616" t="s">
        <v>904</v>
      </c>
      <c r="J68" s="346" t="s">
        <v>878</v>
      </c>
      <c r="K68" s="346" t="s">
        <v>872</v>
      </c>
      <c r="L68" s="346" t="s">
        <v>873</v>
      </c>
      <c r="M68" s="346" t="s">
        <v>873</v>
      </c>
      <c r="N68" s="346" t="s">
        <v>1293</v>
      </c>
      <c r="O68" s="838"/>
      <c r="P68" s="838">
        <v>2</v>
      </c>
      <c r="Q68" s="838"/>
      <c r="R68" s="838">
        <v>2</v>
      </c>
      <c r="S68" s="838">
        <v>4</v>
      </c>
      <c r="T68" s="346" t="s">
        <v>874</v>
      </c>
      <c r="U68" s="346">
        <v>2014</v>
      </c>
      <c r="V68" t="s">
        <v>1489</v>
      </c>
    </row>
    <row r="69" spans="1:22" s="46" customFormat="1">
      <c r="A69" s="17" t="str">
        <f t="shared" si="2"/>
        <v>MassDOT1</v>
      </c>
      <c r="B69" s="17">
        <v>1</v>
      </c>
      <c r="C69" s="346" t="s">
        <v>656</v>
      </c>
      <c r="D69" s="826" t="s">
        <v>1295</v>
      </c>
      <c r="E69" s="346" t="s">
        <v>1296</v>
      </c>
      <c r="F69" s="346" t="s">
        <v>1297</v>
      </c>
      <c r="G69" s="346" t="s">
        <v>2186</v>
      </c>
      <c r="H69" s="346" t="s">
        <v>484</v>
      </c>
      <c r="I69" s="616" t="s">
        <v>877</v>
      </c>
      <c r="J69" s="346"/>
      <c r="K69" s="346" t="s">
        <v>872</v>
      </c>
      <c r="L69" s="346" t="s">
        <v>873</v>
      </c>
      <c r="M69" s="346" t="s">
        <v>873</v>
      </c>
      <c r="N69" s="346" t="s">
        <v>1293</v>
      </c>
      <c r="O69" s="838"/>
      <c r="P69" s="838"/>
      <c r="Q69" s="838">
        <v>2</v>
      </c>
      <c r="R69" s="838">
        <v>2</v>
      </c>
      <c r="S69" s="838">
        <v>4</v>
      </c>
      <c r="T69" s="346" t="s">
        <v>896</v>
      </c>
      <c r="U69" s="346">
        <v>2021</v>
      </c>
      <c r="V69" t="s">
        <v>1489</v>
      </c>
    </row>
    <row r="70" spans="1:22" s="46" customFormat="1">
      <c r="A70" s="17" t="str">
        <f t="shared" si="2"/>
        <v>MassDOT2</v>
      </c>
      <c r="B70" s="17">
        <v>2</v>
      </c>
      <c r="C70" s="346" t="s">
        <v>656</v>
      </c>
      <c r="D70" s="826" t="s">
        <v>1295</v>
      </c>
      <c r="E70" s="346" t="s">
        <v>1296</v>
      </c>
      <c r="F70" s="346" t="s">
        <v>1298</v>
      </c>
      <c r="G70" s="346" t="s">
        <v>2187</v>
      </c>
      <c r="H70" s="346" t="s">
        <v>484</v>
      </c>
      <c r="I70" s="616" t="s">
        <v>2188</v>
      </c>
      <c r="J70" s="346"/>
      <c r="K70" s="346" t="s">
        <v>872</v>
      </c>
      <c r="L70" s="346" t="s">
        <v>873</v>
      </c>
      <c r="M70" s="346" t="s">
        <v>873</v>
      </c>
      <c r="N70" s="346" t="s">
        <v>1293</v>
      </c>
      <c r="O70" s="838"/>
      <c r="P70" s="838"/>
      <c r="Q70" s="838">
        <v>2</v>
      </c>
      <c r="R70" s="838">
        <v>2</v>
      </c>
      <c r="S70" s="838">
        <v>4</v>
      </c>
      <c r="T70" s="346" t="s">
        <v>896</v>
      </c>
      <c r="U70" s="346">
        <v>2021</v>
      </c>
      <c r="V70" t="s">
        <v>1489</v>
      </c>
    </row>
    <row r="71" spans="1:22" s="46" customFormat="1">
      <c r="A71" s="17" t="str">
        <f t="shared" si="2"/>
        <v>MassDOT3</v>
      </c>
      <c r="B71" s="17">
        <v>3</v>
      </c>
      <c r="C71" s="346" t="s">
        <v>656</v>
      </c>
      <c r="D71" s="826" t="s">
        <v>1295</v>
      </c>
      <c r="E71" s="346" t="s">
        <v>1299</v>
      </c>
      <c r="F71" s="346" t="s">
        <v>1300</v>
      </c>
      <c r="G71" s="346" t="s">
        <v>1301</v>
      </c>
      <c r="H71" s="346" t="s">
        <v>595</v>
      </c>
      <c r="I71" s="616" t="s">
        <v>895</v>
      </c>
      <c r="J71" s="346"/>
      <c r="K71" s="346" t="s">
        <v>872</v>
      </c>
      <c r="L71" s="346" t="s">
        <v>873</v>
      </c>
      <c r="M71" s="346" t="s">
        <v>873</v>
      </c>
      <c r="N71" s="346" t="s">
        <v>1293</v>
      </c>
      <c r="O71" s="838"/>
      <c r="P71" s="838"/>
      <c r="Q71" s="838">
        <v>1</v>
      </c>
      <c r="R71" s="838">
        <v>1</v>
      </c>
      <c r="S71" s="838">
        <v>2</v>
      </c>
      <c r="T71" s="346" t="s">
        <v>896</v>
      </c>
      <c r="U71" s="346">
        <v>2022</v>
      </c>
      <c r="V71" t="s">
        <v>1489</v>
      </c>
    </row>
    <row r="72" spans="1:22" s="46" customFormat="1">
      <c r="A72" s="17" t="str">
        <f t="shared" si="2"/>
        <v>MassDOT4</v>
      </c>
      <c r="B72" s="17">
        <v>4</v>
      </c>
      <c r="C72" s="346" t="s">
        <v>656</v>
      </c>
      <c r="D72" s="826" t="s">
        <v>1295</v>
      </c>
      <c r="E72" s="346" t="s">
        <v>1302</v>
      </c>
      <c r="F72" s="346" t="s">
        <v>928</v>
      </c>
      <c r="G72" s="346"/>
      <c r="H72" s="346" t="s">
        <v>929</v>
      </c>
      <c r="I72" s="616" t="s">
        <v>930</v>
      </c>
      <c r="J72" s="346" t="s">
        <v>889</v>
      </c>
      <c r="K72" s="826" t="s">
        <v>872</v>
      </c>
      <c r="L72" s="346" t="s">
        <v>873</v>
      </c>
      <c r="M72" s="346" t="s">
        <v>873</v>
      </c>
      <c r="N72" s="346" t="s">
        <v>1293</v>
      </c>
      <c r="O72" s="838"/>
      <c r="P72" s="838"/>
      <c r="Q72" s="838">
        <v>1</v>
      </c>
      <c r="R72" s="838">
        <v>1</v>
      </c>
      <c r="S72" s="838">
        <v>2</v>
      </c>
      <c r="T72" s="346" t="s">
        <v>896</v>
      </c>
      <c r="U72" s="346">
        <v>2017</v>
      </c>
      <c r="V72" t="s">
        <v>1489</v>
      </c>
    </row>
    <row r="73" spans="1:22" s="46" customFormat="1">
      <c r="A73" s="17" t="str">
        <f t="shared" si="2"/>
        <v>MassDOT5</v>
      </c>
      <c r="B73" s="17">
        <v>5</v>
      </c>
      <c r="C73" s="346" t="s">
        <v>656</v>
      </c>
      <c r="D73" s="826" t="s">
        <v>1295</v>
      </c>
      <c r="E73" s="346" t="s">
        <v>1303</v>
      </c>
      <c r="F73" s="346" t="s">
        <v>931</v>
      </c>
      <c r="G73" s="346"/>
      <c r="H73" s="346" t="s">
        <v>929</v>
      </c>
      <c r="I73" s="616" t="s">
        <v>932</v>
      </c>
      <c r="J73" s="346" t="s">
        <v>889</v>
      </c>
      <c r="K73" s="826" t="s">
        <v>872</v>
      </c>
      <c r="L73" s="346" t="s">
        <v>873</v>
      </c>
      <c r="M73" s="346" t="s">
        <v>873</v>
      </c>
      <c r="N73" s="346" t="s">
        <v>1293</v>
      </c>
      <c r="O73" s="838"/>
      <c r="P73" s="838"/>
      <c r="Q73" s="838">
        <v>1</v>
      </c>
      <c r="R73" s="838">
        <v>1</v>
      </c>
      <c r="S73" s="838">
        <v>2</v>
      </c>
      <c r="T73" s="346" t="s">
        <v>896</v>
      </c>
      <c r="U73" s="346">
        <v>2017</v>
      </c>
      <c r="V73" t="s">
        <v>1489</v>
      </c>
    </row>
    <row r="74" spans="1:22" s="46" customFormat="1">
      <c r="A74" s="17" t="str">
        <f t="shared" si="2"/>
        <v>MassDOT6</v>
      </c>
      <c r="B74" s="17">
        <v>6</v>
      </c>
      <c r="C74" s="333" t="s">
        <v>656</v>
      </c>
      <c r="D74" s="329" t="s">
        <v>1295</v>
      </c>
      <c r="E74" s="333" t="s">
        <v>1304</v>
      </c>
      <c r="F74" s="333" t="s">
        <v>1305</v>
      </c>
      <c r="G74" s="333"/>
      <c r="H74" s="333" t="s">
        <v>1306</v>
      </c>
      <c r="I74" s="619" t="s">
        <v>933</v>
      </c>
      <c r="J74" s="333" t="s">
        <v>878</v>
      </c>
      <c r="K74" s="826" t="s">
        <v>872</v>
      </c>
      <c r="L74" s="333" t="s">
        <v>925</v>
      </c>
      <c r="M74" s="346" t="s">
        <v>873</v>
      </c>
      <c r="N74" s="333" t="s">
        <v>1293</v>
      </c>
      <c r="O74" s="839"/>
      <c r="P74" s="839"/>
      <c r="Q74" s="839">
        <v>1</v>
      </c>
      <c r="R74" s="838">
        <v>1</v>
      </c>
      <c r="S74" s="839">
        <v>2</v>
      </c>
      <c r="T74" s="346" t="s">
        <v>896</v>
      </c>
      <c r="U74" s="346">
        <v>2018</v>
      </c>
      <c r="V74" t="s">
        <v>1489</v>
      </c>
    </row>
    <row r="75" spans="1:22" s="46" customFormat="1">
      <c r="A75" s="17" t="str">
        <f t="shared" si="2"/>
        <v>MassDOT7</v>
      </c>
      <c r="B75" s="17">
        <v>7</v>
      </c>
      <c r="C75" s="333" t="s">
        <v>656</v>
      </c>
      <c r="D75" s="329" t="s">
        <v>1295</v>
      </c>
      <c r="E75" s="333" t="s">
        <v>1307</v>
      </c>
      <c r="F75" s="333" t="s">
        <v>1308</v>
      </c>
      <c r="G75" s="333"/>
      <c r="H75" s="333" t="s">
        <v>1306</v>
      </c>
      <c r="I75" s="619" t="s">
        <v>934</v>
      </c>
      <c r="J75" s="333" t="s">
        <v>878</v>
      </c>
      <c r="K75" s="826" t="s">
        <v>872</v>
      </c>
      <c r="L75" s="333" t="s">
        <v>925</v>
      </c>
      <c r="M75" s="346" t="s">
        <v>873</v>
      </c>
      <c r="N75" s="333" t="s">
        <v>1293</v>
      </c>
      <c r="O75" s="839"/>
      <c r="P75" s="839"/>
      <c r="Q75" s="839">
        <v>1</v>
      </c>
      <c r="R75" s="838">
        <v>1</v>
      </c>
      <c r="S75" s="839">
        <v>2</v>
      </c>
      <c r="T75" s="346" t="s">
        <v>896</v>
      </c>
      <c r="U75" s="346">
        <v>2018</v>
      </c>
      <c r="V75" t="s">
        <v>1489</v>
      </c>
    </row>
    <row r="76" spans="1:22" s="46" customFormat="1">
      <c r="A76" s="17" t="str">
        <f t="shared" si="2"/>
        <v>MassDOT8</v>
      </c>
      <c r="B76" s="17">
        <v>8</v>
      </c>
      <c r="C76" s="346" t="s">
        <v>656</v>
      </c>
      <c r="D76" s="826" t="s">
        <v>1295</v>
      </c>
      <c r="E76" s="346" t="s">
        <v>2189</v>
      </c>
      <c r="F76" s="346" t="s">
        <v>2190</v>
      </c>
      <c r="G76" s="346"/>
      <c r="H76" s="346" t="s">
        <v>658</v>
      </c>
      <c r="I76" s="616" t="s">
        <v>2191</v>
      </c>
      <c r="J76" s="346" t="s">
        <v>889</v>
      </c>
      <c r="K76" s="826" t="s">
        <v>872</v>
      </c>
      <c r="L76" s="346" t="s">
        <v>925</v>
      </c>
      <c r="M76" s="346" t="s">
        <v>873</v>
      </c>
      <c r="N76" s="346" t="s">
        <v>1293</v>
      </c>
      <c r="O76" s="838"/>
      <c r="P76" s="838"/>
      <c r="Q76" s="838">
        <v>1</v>
      </c>
      <c r="R76" s="838">
        <v>1</v>
      </c>
      <c r="S76" s="838">
        <v>2</v>
      </c>
      <c r="T76" s="346" t="s">
        <v>896</v>
      </c>
      <c r="U76" s="346">
        <v>2017</v>
      </c>
      <c r="V76" t="s">
        <v>1489</v>
      </c>
    </row>
    <row r="77" spans="1:22" s="46" customFormat="1">
      <c r="A77" s="17" t="str">
        <f t="shared" si="2"/>
        <v>MassDOT9</v>
      </c>
      <c r="B77" s="17">
        <v>9</v>
      </c>
      <c r="C77" s="346" t="s">
        <v>656</v>
      </c>
      <c r="D77" s="826" t="s">
        <v>1295</v>
      </c>
      <c r="E77" s="346" t="s">
        <v>1309</v>
      </c>
      <c r="F77" s="346" t="s">
        <v>926</v>
      </c>
      <c r="G77" s="346"/>
      <c r="H77" s="346" t="s">
        <v>548</v>
      </c>
      <c r="I77" s="616" t="s">
        <v>892</v>
      </c>
      <c r="J77" s="346" t="s">
        <v>889</v>
      </c>
      <c r="K77" s="826" t="s">
        <v>872</v>
      </c>
      <c r="L77" s="346" t="s">
        <v>925</v>
      </c>
      <c r="M77" s="346" t="s">
        <v>873</v>
      </c>
      <c r="N77" s="346" t="s">
        <v>1293</v>
      </c>
      <c r="O77" s="838"/>
      <c r="P77" s="838"/>
      <c r="Q77" s="838">
        <v>1</v>
      </c>
      <c r="R77" s="838">
        <v>1</v>
      </c>
      <c r="S77" s="838">
        <v>2</v>
      </c>
      <c r="T77" s="346" t="s">
        <v>896</v>
      </c>
      <c r="U77" s="346">
        <v>2017</v>
      </c>
      <c r="V77" t="s">
        <v>1489</v>
      </c>
    </row>
    <row r="78" spans="1:22" s="46" customFormat="1">
      <c r="A78" s="17" t="str">
        <f t="shared" si="2"/>
        <v>MassDOT10</v>
      </c>
      <c r="B78" s="17">
        <v>10</v>
      </c>
      <c r="C78" s="346" t="s">
        <v>656</v>
      </c>
      <c r="D78" s="826" t="s">
        <v>1295</v>
      </c>
      <c r="E78" s="346" t="s">
        <v>1361</v>
      </c>
      <c r="F78" s="346" t="s">
        <v>2200</v>
      </c>
      <c r="G78" s="346"/>
      <c r="H78" s="346" t="s">
        <v>747</v>
      </c>
      <c r="I78" s="616" t="s">
        <v>927</v>
      </c>
      <c r="J78" s="346" t="s">
        <v>889</v>
      </c>
      <c r="K78" s="346" t="s">
        <v>872</v>
      </c>
      <c r="L78" s="346" t="s">
        <v>909</v>
      </c>
      <c r="M78" s="346" t="s">
        <v>2384</v>
      </c>
      <c r="N78" s="346"/>
      <c r="O78" s="838"/>
      <c r="P78" s="838">
        <v>1</v>
      </c>
      <c r="Q78" s="838"/>
      <c r="R78" s="838">
        <v>1</v>
      </c>
      <c r="S78" s="838">
        <v>2</v>
      </c>
      <c r="T78" s="346" t="s">
        <v>874</v>
      </c>
      <c r="U78" s="346">
        <v>2017</v>
      </c>
      <c r="V78" s="46" t="s">
        <v>1489</v>
      </c>
    </row>
    <row r="79" spans="1:22" s="46" customFormat="1">
      <c r="A79" s="17" t="str">
        <f t="shared" si="2"/>
        <v>MassDOT11</v>
      </c>
      <c r="B79" s="17">
        <v>11</v>
      </c>
      <c r="C79" s="346" t="s">
        <v>656</v>
      </c>
      <c r="D79" s="826" t="s">
        <v>1295</v>
      </c>
      <c r="E79" s="346" t="s">
        <v>1361</v>
      </c>
      <c r="F79" s="346" t="s">
        <v>2200</v>
      </c>
      <c r="G79" s="346"/>
      <c r="H79" s="346" t="s">
        <v>747</v>
      </c>
      <c r="I79" s="616" t="s">
        <v>927</v>
      </c>
      <c r="J79" s="346" t="s">
        <v>889</v>
      </c>
      <c r="K79" s="346" t="s">
        <v>872</v>
      </c>
      <c r="L79" s="346" t="s">
        <v>909</v>
      </c>
      <c r="M79" s="346" t="s">
        <v>2384</v>
      </c>
      <c r="N79" s="346"/>
      <c r="O79" s="838"/>
      <c r="P79" s="838">
        <v>1</v>
      </c>
      <c r="Q79" s="838"/>
      <c r="R79" s="838">
        <v>1</v>
      </c>
      <c r="S79" s="838">
        <v>2</v>
      </c>
      <c r="T79" s="346" t="s">
        <v>874</v>
      </c>
      <c r="U79" s="346">
        <v>2017</v>
      </c>
      <c r="V79" s="46" t="s">
        <v>1489</v>
      </c>
    </row>
    <row r="80" spans="1:22" s="46" customFormat="1">
      <c r="A80" s="17" t="str">
        <f t="shared" si="2"/>
        <v>MassDOT12</v>
      </c>
      <c r="B80" s="17">
        <v>12</v>
      </c>
      <c r="C80" s="346" t="s">
        <v>656</v>
      </c>
      <c r="D80" s="826" t="s">
        <v>1295</v>
      </c>
      <c r="E80" s="346" t="s">
        <v>1299</v>
      </c>
      <c r="F80" s="346" t="s">
        <v>1300</v>
      </c>
      <c r="G80" s="346" t="s">
        <v>1301</v>
      </c>
      <c r="H80" s="346" t="s">
        <v>595</v>
      </c>
      <c r="I80" s="616" t="s">
        <v>895</v>
      </c>
      <c r="J80" s="346"/>
      <c r="K80" s="346" t="s">
        <v>872</v>
      </c>
      <c r="L80" s="346" t="s">
        <v>873</v>
      </c>
      <c r="M80" s="346" t="s">
        <v>873</v>
      </c>
      <c r="N80" s="346" t="s">
        <v>1293</v>
      </c>
      <c r="O80" s="838"/>
      <c r="P80" s="838">
        <v>2</v>
      </c>
      <c r="Q80" s="838"/>
      <c r="R80" s="838">
        <v>2</v>
      </c>
      <c r="S80" s="838">
        <v>4</v>
      </c>
      <c r="T80" s="346" t="s">
        <v>874</v>
      </c>
      <c r="U80" s="346">
        <v>2022</v>
      </c>
      <c r="V80" t="s">
        <v>1489</v>
      </c>
    </row>
    <row r="81" spans="1:22" s="46" customFormat="1">
      <c r="A81" s="17" t="str">
        <f t="shared" si="2"/>
        <v>MassDOT13</v>
      </c>
      <c r="B81" s="17">
        <v>13</v>
      </c>
      <c r="C81" s="346" t="s">
        <v>656</v>
      </c>
      <c r="D81" s="826" t="s">
        <v>1295</v>
      </c>
      <c r="E81" s="346" t="s">
        <v>1362</v>
      </c>
      <c r="F81" s="346" t="s">
        <v>1363</v>
      </c>
      <c r="G81" s="346" t="s">
        <v>1364</v>
      </c>
      <c r="H81" s="346" t="s">
        <v>1365</v>
      </c>
      <c r="I81" s="616" t="s">
        <v>1366</v>
      </c>
      <c r="J81" s="346"/>
      <c r="K81" s="346" t="s">
        <v>872</v>
      </c>
      <c r="L81" s="346" t="s">
        <v>873</v>
      </c>
      <c r="M81" s="346" t="s">
        <v>873</v>
      </c>
      <c r="N81" s="346" t="s">
        <v>1293</v>
      </c>
      <c r="O81" s="838"/>
      <c r="P81" s="838">
        <v>2</v>
      </c>
      <c r="Q81" s="838"/>
      <c r="R81" s="838">
        <v>2</v>
      </c>
      <c r="S81" s="838">
        <v>4</v>
      </c>
      <c r="T81" s="346" t="s">
        <v>874</v>
      </c>
      <c r="U81" s="346">
        <v>2021</v>
      </c>
      <c r="V81" t="s">
        <v>1489</v>
      </c>
    </row>
    <row r="82" spans="1:22" s="46" customFormat="1">
      <c r="A82" s="17" t="str">
        <f t="shared" si="2"/>
        <v>MassDOT14</v>
      </c>
      <c r="B82" s="17">
        <v>14</v>
      </c>
      <c r="C82" s="346" t="s">
        <v>656</v>
      </c>
      <c r="D82" s="826" t="s">
        <v>1295</v>
      </c>
      <c r="E82" s="346" t="s">
        <v>910</v>
      </c>
      <c r="F82" s="346" t="s">
        <v>2201</v>
      </c>
      <c r="G82" s="346"/>
      <c r="H82" s="346" t="s">
        <v>911</v>
      </c>
      <c r="I82" s="616" t="s">
        <v>912</v>
      </c>
      <c r="J82" s="346" t="s">
        <v>889</v>
      </c>
      <c r="K82" s="346" t="s">
        <v>872</v>
      </c>
      <c r="L82" s="346" t="s">
        <v>909</v>
      </c>
      <c r="M82" s="346" t="s">
        <v>2384</v>
      </c>
      <c r="N82" s="346"/>
      <c r="O82" s="838"/>
      <c r="P82" s="838">
        <v>1</v>
      </c>
      <c r="Q82" s="838"/>
      <c r="R82" s="838">
        <v>1</v>
      </c>
      <c r="S82" s="838">
        <v>1</v>
      </c>
      <c r="T82" s="346" t="s">
        <v>874</v>
      </c>
      <c r="U82" s="346">
        <v>2012</v>
      </c>
      <c r="V82" t="s">
        <v>1488</v>
      </c>
    </row>
    <row r="83" spans="1:22" s="46" customFormat="1">
      <c r="A83" s="17" t="str">
        <f t="shared" si="2"/>
        <v>MassDOT15</v>
      </c>
      <c r="B83" s="17">
        <v>15</v>
      </c>
      <c r="C83" s="346" t="s">
        <v>656</v>
      </c>
      <c r="D83" s="826" t="s">
        <v>1295</v>
      </c>
      <c r="E83" s="346" t="s">
        <v>910</v>
      </c>
      <c r="F83" s="346" t="s">
        <v>2201</v>
      </c>
      <c r="G83" s="346"/>
      <c r="H83" s="346" t="s">
        <v>911</v>
      </c>
      <c r="I83" s="616" t="s">
        <v>912</v>
      </c>
      <c r="J83" s="346" t="s">
        <v>889</v>
      </c>
      <c r="K83" s="346" t="s">
        <v>872</v>
      </c>
      <c r="L83" s="346" t="s">
        <v>909</v>
      </c>
      <c r="M83" s="346" t="s">
        <v>2384</v>
      </c>
      <c r="N83" s="346"/>
      <c r="O83" s="838"/>
      <c r="P83" s="838">
        <v>1</v>
      </c>
      <c r="Q83" s="838"/>
      <c r="R83" s="838">
        <v>1</v>
      </c>
      <c r="S83" s="838">
        <v>1</v>
      </c>
      <c r="T83" s="346" t="s">
        <v>874</v>
      </c>
      <c r="U83" s="346">
        <v>2012</v>
      </c>
      <c r="V83" t="s">
        <v>1488</v>
      </c>
    </row>
    <row r="84" spans="1:22" s="46" customFormat="1">
      <c r="A84" s="17" t="str">
        <f t="shared" si="2"/>
        <v>MassDOT16</v>
      </c>
      <c r="B84" s="17">
        <v>16</v>
      </c>
      <c r="C84" s="346" t="s">
        <v>656</v>
      </c>
      <c r="D84" s="826" t="s">
        <v>1295</v>
      </c>
      <c r="E84" s="346" t="s">
        <v>1367</v>
      </c>
      <c r="F84" s="346" t="s">
        <v>2202</v>
      </c>
      <c r="G84" s="826" t="s">
        <v>2203</v>
      </c>
      <c r="H84" s="346" t="s">
        <v>621</v>
      </c>
      <c r="I84" s="616" t="s">
        <v>2204</v>
      </c>
      <c r="J84" s="346" t="s">
        <v>889</v>
      </c>
      <c r="K84" s="346" t="s">
        <v>872</v>
      </c>
      <c r="L84" s="346" t="s">
        <v>909</v>
      </c>
      <c r="M84" s="346" t="s">
        <v>2384</v>
      </c>
      <c r="N84" s="346"/>
      <c r="O84" s="838"/>
      <c r="P84" s="838">
        <v>1</v>
      </c>
      <c r="Q84" s="838"/>
      <c r="R84" s="838">
        <v>1</v>
      </c>
      <c r="S84" s="838">
        <v>2</v>
      </c>
      <c r="T84" s="346" t="s">
        <v>874</v>
      </c>
      <c r="U84" s="346">
        <v>2013</v>
      </c>
      <c r="V84" s="46" t="s">
        <v>1489</v>
      </c>
    </row>
    <row r="85" spans="1:22" s="46" customFormat="1">
      <c r="A85" s="17" t="str">
        <f t="shared" si="2"/>
        <v>MassDOT17</v>
      </c>
      <c r="B85" s="17">
        <v>17</v>
      </c>
      <c r="C85" s="346" t="s">
        <v>656</v>
      </c>
      <c r="D85" s="826" t="s">
        <v>1295</v>
      </c>
      <c r="E85" s="346" t="s">
        <v>923</v>
      </c>
      <c r="F85" s="346" t="s">
        <v>1493</v>
      </c>
      <c r="G85" s="346"/>
      <c r="H85" s="346" t="s">
        <v>573</v>
      </c>
      <c r="I85" s="616" t="s">
        <v>924</v>
      </c>
      <c r="J85" s="346" t="s">
        <v>878</v>
      </c>
      <c r="K85" s="346" t="s">
        <v>872</v>
      </c>
      <c r="L85" s="346" t="s">
        <v>873</v>
      </c>
      <c r="M85" s="346" t="s">
        <v>873</v>
      </c>
      <c r="N85" s="346" t="s">
        <v>1293</v>
      </c>
      <c r="O85" s="838"/>
      <c r="P85" s="838">
        <v>4</v>
      </c>
      <c r="Q85" s="838"/>
      <c r="R85" s="838">
        <v>4</v>
      </c>
      <c r="S85" s="838">
        <v>4</v>
      </c>
      <c r="T85" s="346" t="s">
        <v>874</v>
      </c>
      <c r="U85" s="346">
        <v>2021</v>
      </c>
      <c r="V85" s="46" t="s">
        <v>1488</v>
      </c>
    </row>
    <row r="86" spans="1:22" s="46" customFormat="1">
      <c r="A86" s="17" t="str">
        <f t="shared" si="2"/>
        <v>MassDOT18</v>
      </c>
      <c r="B86" s="17">
        <v>18</v>
      </c>
      <c r="C86" s="346" t="s">
        <v>656</v>
      </c>
      <c r="D86" s="826" t="s">
        <v>1295</v>
      </c>
      <c r="E86" s="346" t="s">
        <v>923</v>
      </c>
      <c r="F86" s="346" t="s">
        <v>1493</v>
      </c>
      <c r="G86" s="346"/>
      <c r="H86" s="346" t="s">
        <v>573</v>
      </c>
      <c r="I86" s="616" t="s">
        <v>924</v>
      </c>
      <c r="J86" s="346" t="s">
        <v>878</v>
      </c>
      <c r="K86" s="346" t="s">
        <v>872</v>
      </c>
      <c r="L86" s="346" t="s">
        <v>909</v>
      </c>
      <c r="M86" s="346" t="s">
        <v>2384</v>
      </c>
      <c r="N86" s="346"/>
      <c r="O86" s="838"/>
      <c r="P86" s="838">
        <v>4</v>
      </c>
      <c r="Q86" s="838"/>
      <c r="R86" s="838">
        <v>4</v>
      </c>
      <c r="S86" s="838">
        <v>4</v>
      </c>
      <c r="T86" s="346" t="s">
        <v>874</v>
      </c>
      <c r="U86" s="346">
        <v>2021</v>
      </c>
      <c r="V86" s="46" t="s">
        <v>1488</v>
      </c>
    </row>
    <row r="87" spans="1:22">
      <c r="A87" s="17" t="str">
        <f t="shared" si="2"/>
        <v>MassDOT19</v>
      </c>
      <c r="B87" s="17">
        <v>19</v>
      </c>
      <c r="C87" s="346" t="s">
        <v>656</v>
      </c>
      <c r="D87" s="826" t="s">
        <v>1295</v>
      </c>
      <c r="E87" s="346" t="s">
        <v>916</v>
      </c>
      <c r="F87" s="346" t="s">
        <v>917</v>
      </c>
      <c r="G87" s="346"/>
      <c r="H87" s="346" t="s">
        <v>494</v>
      </c>
      <c r="I87" s="616" t="s">
        <v>918</v>
      </c>
      <c r="J87" s="346" t="s">
        <v>889</v>
      </c>
      <c r="K87" s="346" t="s">
        <v>872</v>
      </c>
      <c r="L87" s="346" t="s">
        <v>909</v>
      </c>
      <c r="M87" s="346" t="s">
        <v>2384</v>
      </c>
      <c r="N87" s="346"/>
      <c r="O87" s="838"/>
      <c r="P87" s="838">
        <v>1</v>
      </c>
      <c r="Q87" s="838"/>
      <c r="R87" s="838">
        <v>1</v>
      </c>
      <c r="S87" s="838">
        <v>1</v>
      </c>
      <c r="T87" s="346" t="s">
        <v>874</v>
      </c>
      <c r="U87" s="346">
        <v>2013</v>
      </c>
      <c r="V87" t="s">
        <v>1488</v>
      </c>
    </row>
    <row r="88" spans="1:22">
      <c r="A88" s="17" t="str">
        <f t="shared" si="2"/>
        <v>MassDOT20</v>
      </c>
      <c r="B88" s="17">
        <v>20</v>
      </c>
      <c r="C88" s="346" t="s">
        <v>656</v>
      </c>
      <c r="D88" s="826" t="s">
        <v>1295</v>
      </c>
      <c r="E88" s="346" t="s">
        <v>916</v>
      </c>
      <c r="F88" s="346" t="s">
        <v>917</v>
      </c>
      <c r="G88" s="346"/>
      <c r="H88" s="346" t="s">
        <v>494</v>
      </c>
      <c r="I88" s="616" t="s">
        <v>918</v>
      </c>
      <c r="J88" s="346" t="s">
        <v>889</v>
      </c>
      <c r="K88" s="346" t="s">
        <v>872</v>
      </c>
      <c r="L88" s="346" t="s">
        <v>909</v>
      </c>
      <c r="M88" s="346" t="s">
        <v>2384</v>
      </c>
      <c r="N88" s="346"/>
      <c r="O88" s="838"/>
      <c r="P88" s="838">
        <v>1</v>
      </c>
      <c r="Q88" s="838"/>
      <c r="R88" s="838">
        <v>1</v>
      </c>
      <c r="S88" s="838">
        <v>1</v>
      </c>
      <c r="T88" s="346" t="s">
        <v>874</v>
      </c>
      <c r="U88" s="346">
        <v>2013</v>
      </c>
      <c r="V88" t="s">
        <v>1488</v>
      </c>
    </row>
    <row r="89" spans="1:22">
      <c r="A89" s="17" t="str">
        <f t="shared" si="2"/>
        <v>MassDOT21</v>
      </c>
      <c r="B89" s="17">
        <v>21</v>
      </c>
      <c r="C89" s="346" t="s">
        <v>656</v>
      </c>
      <c r="D89" s="826" t="s">
        <v>1295</v>
      </c>
      <c r="E89" s="346" t="s">
        <v>916</v>
      </c>
      <c r="F89" s="346" t="s">
        <v>917</v>
      </c>
      <c r="G89" s="346"/>
      <c r="H89" s="346" t="s">
        <v>494</v>
      </c>
      <c r="I89" s="616" t="s">
        <v>918</v>
      </c>
      <c r="J89" s="346" t="s">
        <v>889</v>
      </c>
      <c r="K89" s="346" t="s">
        <v>872</v>
      </c>
      <c r="L89" s="346" t="s">
        <v>909</v>
      </c>
      <c r="M89" s="346" t="s">
        <v>2384</v>
      </c>
      <c r="N89" s="346"/>
      <c r="O89" s="838"/>
      <c r="P89" s="838">
        <v>1</v>
      </c>
      <c r="Q89" s="838"/>
      <c r="R89" s="838">
        <v>1</v>
      </c>
      <c r="S89" s="838">
        <v>1</v>
      </c>
      <c r="T89" s="346" t="s">
        <v>874</v>
      </c>
      <c r="U89" s="346">
        <v>2013</v>
      </c>
      <c r="V89" t="s">
        <v>1488</v>
      </c>
    </row>
    <row r="90" spans="1:22">
      <c r="A90" s="17" t="str">
        <f t="shared" si="2"/>
        <v>MassDOT22</v>
      </c>
      <c r="B90" s="17">
        <v>22</v>
      </c>
      <c r="C90" s="346" t="s">
        <v>656</v>
      </c>
      <c r="D90" s="826" t="s">
        <v>1295</v>
      </c>
      <c r="E90" s="346" t="s">
        <v>916</v>
      </c>
      <c r="F90" s="346" t="s">
        <v>917</v>
      </c>
      <c r="G90" s="346"/>
      <c r="H90" s="346" t="s">
        <v>494</v>
      </c>
      <c r="I90" s="616" t="s">
        <v>918</v>
      </c>
      <c r="J90" s="346" t="s">
        <v>889</v>
      </c>
      <c r="K90" s="346" t="s">
        <v>872</v>
      </c>
      <c r="L90" s="346" t="s">
        <v>909</v>
      </c>
      <c r="M90" s="346" t="s">
        <v>2384</v>
      </c>
      <c r="N90" s="346"/>
      <c r="O90" s="838"/>
      <c r="P90" s="838">
        <v>1</v>
      </c>
      <c r="Q90" s="838"/>
      <c r="R90" s="838">
        <v>1</v>
      </c>
      <c r="S90" s="838">
        <v>1</v>
      </c>
      <c r="T90" s="346" t="s">
        <v>874</v>
      </c>
      <c r="U90" s="346">
        <v>2013</v>
      </c>
      <c r="V90" t="s">
        <v>1488</v>
      </c>
    </row>
    <row r="91" spans="1:22" ht="18" customHeight="1">
      <c r="A91" s="17" t="str">
        <f t="shared" si="2"/>
        <v>MassDOT23</v>
      </c>
      <c r="B91" s="17">
        <v>23</v>
      </c>
      <c r="C91" s="346" t="s">
        <v>656</v>
      </c>
      <c r="D91" s="826" t="s">
        <v>1295</v>
      </c>
      <c r="E91" s="346" t="s">
        <v>916</v>
      </c>
      <c r="F91" s="346" t="s">
        <v>917</v>
      </c>
      <c r="G91" s="346"/>
      <c r="H91" s="346" t="s">
        <v>494</v>
      </c>
      <c r="I91" s="616" t="s">
        <v>918</v>
      </c>
      <c r="J91" s="346" t="s">
        <v>889</v>
      </c>
      <c r="K91" s="346" t="s">
        <v>872</v>
      </c>
      <c r="L91" s="346" t="s">
        <v>909</v>
      </c>
      <c r="M91" s="346" t="s">
        <v>2384</v>
      </c>
      <c r="N91" s="346"/>
      <c r="O91" s="838"/>
      <c r="P91" s="838">
        <v>1</v>
      </c>
      <c r="Q91" s="838"/>
      <c r="R91" s="838">
        <v>1</v>
      </c>
      <c r="S91" s="838">
        <v>1</v>
      </c>
      <c r="T91" s="346" t="s">
        <v>874</v>
      </c>
      <c r="U91" s="346">
        <v>2013</v>
      </c>
      <c r="V91" t="s">
        <v>1488</v>
      </c>
    </row>
    <row r="92" spans="1:22" ht="18" customHeight="1">
      <c r="A92" s="17" t="str">
        <f t="shared" si="2"/>
        <v>MassDOT24</v>
      </c>
      <c r="B92" s="17">
        <v>24</v>
      </c>
      <c r="C92" s="346" t="s">
        <v>656</v>
      </c>
      <c r="D92" s="826" t="s">
        <v>1295</v>
      </c>
      <c r="E92" s="346" t="s">
        <v>919</v>
      </c>
      <c r="F92" s="346" t="s">
        <v>920</v>
      </c>
      <c r="G92" s="346"/>
      <c r="H92" s="346" t="s">
        <v>921</v>
      </c>
      <c r="I92" s="616" t="s">
        <v>922</v>
      </c>
      <c r="J92" s="346" t="s">
        <v>871</v>
      </c>
      <c r="K92" s="346" t="s">
        <v>872</v>
      </c>
      <c r="L92" s="346" t="s">
        <v>909</v>
      </c>
      <c r="M92" s="346" t="s">
        <v>2384</v>
      </c>
      <c r="N92" s="346"/>
      <c r="O92" s="838"/>
      <c r="P92" s="838">
        <v>1</v>
      </c>
      <c r="Q92" s="838"/>
      <c r="R92" s="838">
        <v>1</v>
      </c>
      <c r="S92" s="838">
        <v>1</v>
      </c>
      <c r="T92" s="346" t="s">
        <v>874</v>
      </c>
      <c r="U92" s="346">
        <v>2013</v>
      </c>
      <c r="V92" t="s">
        <v>1488</v>
      </c>
    </row>
    <row r="93" spans="1:22" ht="18" customHeight="1">
      <c r="A93" s="17" t="str">
        <f t="shared" si="2"/>
        <v>MassDOT25</v>
      </c>
      <c r="B93" s="17">
        <v>25</v>
      </c>
      <c r="C93" s="346" t="s">
        <v>656</v>
      </c>
      <c r="D93" s="826" t="s">
        <v>1295</v>
      </c>
      <c r="E93" s="346" t="s">
        <v>919</v>
      </c>
      <c r="F93" s="346" t="s">
        <v>920</v>
      </c>
      <c r="G93" s="346"/>
      <c r="H93" s="346" t="s">
        <v>921</v>
      </c>
      <c r="I93" s="616" t="s">
        <v>922</v>
      </c>
      <c r="J93" s="346" t="s">
        <v>871</v>
      </c>
      <c r="K93" s="346" t="s">
        <v>872</v>
      </c>
      <c r="L93" s="346" t="s">
        <v>909</v>
      </c>
      <c r="M93" s="346" t="s">
        <v>2384</v>
      </c>
      <c r="N93" s="346"/>
      <c r="O93" s="838"/>
      <c r="P93" s="838">
        <v>1</v>
      </c>
      <c r="Q93" s="838"/>
      <c r="R93" s="838">
        <v>1</v>
      </c>
      <c r="S93" s="838">
        <v>1</v>
      </c>
      <c r="T93" s="346" t="s">
        <v>874</v>
      </c>
      <c r="U93" s="346">
        <v>2013</v>
      </c>
      <c r="V93" t="s">
        <v>1488</v>
      </c>
    </row>
    <row r="94" spans="1:22" ht="18" customHeight="1">
      <c r="A94" s="17" t="str">
        <f t="shared" si="2"/>
        <v>MassDOT26</v>
      </c>
      <c r="B94" s="17">
        <v>26</v>
      </c>
      <c r="C94" s="346" t="s">
        <v>656</v>
      </c>
      <c r="D94" s="826" t="s">
        <v>1295</v>
      </c>
      <c r="E94" s="346" t="s">
        <v>913</v>
      </c>
      <c r="F94" s="346" t="s">
        <v>914</v>
      </c>
      <c r="G94" s="346"/>
      <c r="H94" s="346" t="s">
        <v>494</v>
      </c>
      <c r="I94" s="616" t="s">
        <v>915</v>
      </c>
      <c r="J94" s="346" t="s">
        <v>889</v>
      </c>
      <c r="K94" s="346" t="s">
        <v>872</v>
      </c>
      <c r="L94" s="346" t="s">
        <v>909</v>
      </c>
      <c r="M94" s="346" t="s">
        <v>2384</v>
      </c>
      <c r="N94" s="346"/>
      <c r="O94" s="838"/>
      <c r="P94" s="838">
        <v>1</v>
      </c>
      <c r="Q94" s="838"/>
      <c r="R94" s="838">
        <v>1</v>
      </c>
      <c r="S94" s="838">
        <v>2</v>
      </c>
      <c r="T94" s="346" t="s">
        <v>874</v>
      </c>
      <c r="U94" s="346">
        <v>2013</v>
      </c>
      <c r="V94" s="46" t="s">
        <v>1489</v>
      </c>
    </row>
    <row r="95" spans="1:22">
      <c r="A95" s="17" t="str">
        <f t="shared" si="2"/>
        <v>MassDOT27</v>
      </c>
      <c r="B95" s="17">
        <v>27</v>
      </c>
      <c r="C95" s="346" t="s">
        <v>656</v>
      </c>
      <c r="D95" s="826" t="s">
        <v>1295</v>
      </c>
      <c r="E95" s="346" t="s">
        <v>1368</v>
      </c>
      <c r="F95" s="346" t="s">
        <v>2205</v>
      </c>
      <c r="G95" s="346" t="s">
        <v>2206</v>
      </c>
      <c r="H95" s="346" t="s">
        <v>1369</v>
      </c>
      <c r="I95" s="616" t="s">
        <v>1370</v>
      </c>
      <c r="J95" s="346" t="s">
        <v>889</v>
      </c>
      <c r="K95" s="346" t="s">
        <v>872</v>
      </c>
      <c r="L95" s="346" t="s">
        <v>873</v>
      </c>
      <c r="M95" s="346" t="s">
        <v>873</v>
      </c>
      <c r="N95" s="346" t="s">
        <v>1293</v>
      </c>
      <c r="O95" s="838"/>
      <c r="P95" s="838">
        <v>2</v>
      </c>
      <c r="Q95" s="838"/>
      <c r="R95" s="838">
        <v>2</v>
      </c>
      <c r="S95" s="838">
        <v>4</v>
      </c>
      <c r="T95" s="346" t="s">
        <v>874</v>
      </c>
      <c r="U95" s="346">
        <v>2021</v>
      </c>
      <c r="V95" t="s">
        <v>1489</v>
      </c>
    </row>
    <row r="96" spans="1:22">
      <c r="A96" s="17" t="str">
        <f t="shared" si="2"/>
        <v>MassDOT28</v>
      </c>
      <c r="B96" s="17">
        <v>28</v>
      </c>
      <c r="C96" s="346" t="s">
        <v>656</v>
      </c>
      <c r="D96" s="826" t="s">
        <v>1295</v>
      </c>
      <c r="E96" s="346" t="s">
        <v>1371</v>
      </c>
      <c r="F96" s="826" t="s">
        <v>2207</v>
      </c>
      <c r="G96" s="346" t="s">
        <v>2208</v>
      </c>
      <c r="H96" s="346" t="s">
        <v>961</v>
      </c>
      <c r="I96" s="616" t="s">
        <v>1372</v>
      </c>
      <c r="J96" s="346" t="s">
        <v>889</v>
      </c>
      <c r="K96" s="346" t="s">
        <v>872</v>
      </c>
      <c r="L96" s="346" t="s">
        <v>873</v>
      </c>
      <c r="M96" s="346" t="s">
        <v>873</v>
      </c>
      <c r="N96" s="346" t="s">
        <v>1293</v>
      </c>
      <c r="O96" s="838"/>
      <c r="P96" s="838">
        <v>4</v>
      </c>
      <c r="Q96" s="838"/>
      <c r="R96" s="838">
        <v>4</v>
      </c>
      <c r="S96" s="838">
        <v>8</v>
      </c>
      <c r="T96" s="346" t="s">
        <v>874</v>
      </c>
      <c r="U96" s="346">
        <v>2021</v>
      </c>
      <c r="V96" s="46" t="s">
        <v>1489</v>
      </c>
    </row>
    <row r="97" spans="1:22">
      <c r="A97" s="17" t="str">
        <f t="shared" si="2"/>
        <v>MassDOT29</v>
      </c>
      <c r="B97" s="17">
        <v>29</v>
      </c>
      <c r="C97" s="346" t="s">
        <v>656</v>
      </c>
      <c r="D97" s="826" t="s">
        <v>1295</v>
      </c>
      <c r="E97" s="346" t="s">
        <v>1373</v>
      </c>
      <c r="F97" s="346" t="s">
        <v>2209</v>
      </c>
      <c r="G97" s="346" t="s">
        <v>1374</v>
      </c>
      <c r="H97" s="346" t="s">
        <v>2210</v>
      </c>
      <c r="I97" s="616" t="s">
        <v>2211</v>
      </c>
      <c r="J97" s="346"/>
      <c r="K97" s="346" t="s">
        <v>872</v>
      </c>
      <c r="L97" s="346" t="s">
        <v>873</v>
      </c>
      <c r="M97" s="346" t="s">
        <v>873</v>
      </c>
      <c r="N97" s="346"/>
      <c r="O97" s="838"/>
      <c r="P97" s="838">
        <v>5</v>
      </c>
      <c r="Q97" s="838"/>
      <c r="R97" s="838">
        <v>5</v>
      </c>
      <c r="S97" s="838">
        <v>10</v>
      </c>
      <c r="T97" s="346" t="s">
        <v>874</v>
      </c>
      <c r="U97" s="346">
        <v>2021</v>
      </c>
      <c r="V97" s="46" t="s">
        <v>1489</v>
      </c>
    </row>
    <row r="98" spans="1:22">
      <c r="A98" s="17" t="str">
        <f t="shared" ref="A98:A129" si="3">D98&amp;B98</f>
        <v>MassDOT30</v>
      </c>
      <c r="B98" s="17">
        <v>30</v>
      </c>
      <c r="C98" s="346" t="s">
        <v>656</v>
      </c>
      <c r="D98" s="826" t="s">
        <v>1295</v>
      </c>
      <c r="E98" s="346" t="s">
        <v>1471</v>
      </c>
      <c r="F98" s="346" t="s">
        <v>1472</v>
      </c>
      <c r="G98" s="346"/>
      <c r="H98" s="346" t="s">
        <v>1473</v>
      </c>
      <c r="I98" s="616" t="s">
        <v>2240</v>
      </c>
      <c r="J98" s="346"/>
      <c r="K98" s="346" t="s">
        <v>872</v>
      </c>
      <c r="L98" s="346" t="s">
        <v>873</v>
      </c>
      <c r="M98" s="346" t="s">
        <v>873</v>
      </c>
      <c r="N98" s="346"/>
      <c r="O98" s="838"/>
      <c r="P98" s="838"/>
      <c r="Q98" s="838">
        <v>2</v>
      </c>
      <c r="R98" s="838">
        <v>2</v>
      </c>
      <c r="S98" s="838">
        <v>4</v>
      </c>
      <c r="T98" s="346" t="s">
        <v>896</v>
      </c>
      <c r="U98" s="346">
        <v>2022</v>
      </c>
      <c r="V98" t="s">
        <v>1489</v>
      </c>
    </row>
    <row r="99" spans="1:22">
      <c r="A99" s="17" t="str">
        <f t="shared" si="3"/>
        <v>MassDOT31</v>
      </c>
      <c r="B99" s="17">
        <v>31</v>
      </c>
      <c r="C99" s="346" t="s">
        <v>656</v>
      </c>
      <c r="D99" s="826" t="s">
        <v>1295</v>
      </c>
      <c r="E99" s="346" t="s">
        <v>1474</v>
      </c>
      <c r="F99" s="346" t="s">
        <v>1475</v>
      </c>
      <c r="G99" s="346"/>
      <c r="H99" s="346" t="s">
        <v>1476</v>
      </c>
      <c r="I99" s="616" t="s">
        <v>1366</v>
      </c>
      <c r="J99" s="346"/>
      <c r="K99" s="346" t="s">
        <v>872</v>
      </c>
      <c r="L99" s="346" t="s">
        <v>873</v>
      </c>
      <c r="M99" s="346" t="s">
        <v>873</v>
      </c>
      <c r="N99" s="346"/>
      <c r="O99" s="838"/>
      <c r="P99" s="838">
        <v>2</v>
      </c>
      <c r="Q99" s="838"/>
      <c r="R99" s="838">
        <v>2</v>
      </c>
      <c r="S99" s="838">
        <v>4</v>
      </c>
      <c r="T99" s="346" t="s">
        <v>874</v>
      </c>
      <c r="U99" s="346">
        <v>2021</v>
      </c>
      <c r="V99" t="s">
        <v>1489</v>
      </c>
    </row>
    <row r="100" spans="1:22">
      <c r="A100" s="17" t="str">
        <f t="shared" si="3"/>
        <v>MassPort1</v>
      </c>
      <c r="B100" s="17">
        <v>1</v>
      </c>
      <c r="C100" s="346" t="s">
        <v>935</v>
      </c>
      <c r="D100" s="346" t="s">
        <v>1986</v>
      </c>
      <c r="E100" s="827" t="s">
        <v>1310</v>
      </c>
      <c r="F100" s="827" t="s">
        <v>1310</v>
      </c>
      <c r="G100" s="827"/>
      <c r="H100" s="346" t="s">
        <v>494</v>
      </c>
      <c r="I100" s="616" t="s">
        <v>936</v>
      </c>
      <c r="J100" s="346" t="s">
        <v>889</v>
      </c>
      <c r="K100" s="346" t="s">
        <v>872</v>
      </c>
      <c r="L100" s="346" t="s">
        <v>1311</v>
      </c>
      <c r="M100" s="346" t="s">
        <v>967</v>
      </c>
      <c r="N100" s="346" t="s">
        <v>1293</v>
      </c>
      <c r="O100" s="838"/>
      <c r="P100" s="838"/>
      <c r="Q100" s="838">
        <v>2</v>
      </c>
      <c r="R100" s="838">
        <v>2</v>
      </c>
      <c r="S100" s="838">
        <v>2</v>
      </c>
      <c r="T100" s="346" t="s">
        <v>896</v>
      </c>
      <c r="U100" s="346">
        <v>2019</v>
      </c>
      <c r="V100" s="46" t="s">
        <v>1488</v>
      </c>
    </row>
    <row r="101" spans="1:22">
      <c r="A101" s="17" t="str">
        <f t="shared" si="3"/>
        <v>MassPort2</v>
      </c>
      <c r="B101" s="17">
        <v>2</v>
      </c>
      <c r="C101" s="346" t="s">
        <v>935</v>
      </c>
      <c r="D101" s="346" t="s">
        <v>1986</v>
      </c>
      <c r="E101" s="827" t="s">
        <v>1312</v>
      </c>
      <c r="F101" s="827" t="s">
        <v>1312</v>
      </c>
      <c r="G101" s="827"/>
      <c r="H101" s="346" t="s">
        <v>494</v>
      </c>
      <c r="I101" s="616" t="s">
        <v>937</v>
      </c>
      <c r="J101" s="346" t="s">
        <v>889</v>
      </c>
      <c r="K101" s="346" t="s">
        <v>872</v>
      </c>
      <c r="L101" s="346" t="s">
        <v>1311</v>
      </c>
      <c r="M101" s="346" t="s">
        <v>967</v>
      </c>
      <c r="N101" s="346" t="s">
        <v>1293</v>
      </c>
      <c r="O101" s="838"/>
      <c r="P101" s="838"/>
      <c r="Q101" s="838">
        <v>4</v>
      </c>
      <c r="R101" s="838">
        <v>4</v>
      </c>
      <c r="S101" s="838">
        <v>4</v>
      </c>
      <c r="T101" s="346" t="s">
        <v>896</v>
      </c>
      <c r="U101" s="346">
        <v>2019</v>
      </c>
      <c r="V101" s="46" t="s">
        <v>1488</v>
      </c>
    </row>
    <row r="102" spans="1:22">
      <c r="A102" s="17" t="str">
        <f t="shared" si="3"/>
        <v>MassPort3</v>
      </c>
      <c r="B102" s="17">
        <v>3</v>
      </c>
      <c r="C102" s="346" t="s">
        <v>935</v>
      </c>
      <c r="D102" s="346" t="s">
        <v>1986</v>
      </c>
      <c r="E102" s="827" t="s">
        <v>1312</v>
      </c>
      <c r="F102" s="827" t="s">
        <v>1312</v>
      </c>
      <c r="G102" s="827"/>
      <c r="H102" s="346" t="s">
        <v>494</v>
      </c>
      <c r="I102" s="616" t="s">
        <v>892</v>
      </c>
      <c r="J102" s="346" t="s">
        <v>889</v>
      </c>
      <c r="K102" s="346" t="s">
        <v>872</v>
      </c>
      <c r="L102" s="346" t="s">
        <v>1311</v>
      </c>
      <c r="M102" s="346" t="s">
        <v>967</v>
      </c>
      <c r="N102" s="346" t="s">
        <v>1293</v>
      </c>
      <c r="O102" s="838"/>
      <c r="P102" s="838"/>
      <c r="Q102" s="838">
        <v>2</v>
      </c>
      <c r="R102" s="838">
        <v>2</v>
      </c>
      <c r="S102" s="838">
        <v>2</v>
      </c>
      <c r="T102" s="346" t="s">
        <v>896</v>
      </c>
      <c r="U102" s="346">
        <v>2020</v>
      </c>
      <c r="V102" s="46" t="s">
        <v>1488</v>
      </c>
    </row>
    <row r="103" spans="1:22">
      <c r="A103" s="17" t="str">
        <f t="shared" si="3"/>
        <v>MassPort4</v>
      </c>
      <c r="B103" s="17">
        <v>4</v>
      </c>
      <c r="C103" s="346" t="s">
        <v>935</v>
      </c>
      <c r="D103" s="346" t="s">
        <v>1986</v>
      </c>
      <c r="E103" s="828" t="s">
        <v>1375</v>
      </c>
      <c r="F103" s="828" t="s">
        <v>1376</v>
      </c>
      <c r="G103" s="829"/>
      <c r="H103" s="830" t="s">
        <v>494</v>
      </c>
      <c r="I103" s="616" t="s">
        <v>936</v>
      </c>
      <c r="J103" s="346" t="s">
        <v>889</v>
      </c>
      <c r="K103" s="346" t="s">
        <v>872</v>
      </c>
      <c r="L103" s="346" t="s">
        <v>1311</v>
      </c>
      <c r="M103" s="346" t="s">
        <v>967</v>
      </c>
      <c r="N103" s="346" t="s">
        <v>1293</v>
      </c>
      <c r="O103" s="838"/>
      <c r="P103" s="838">
        <v>2</v>
      </c>
      <c r="Q103" s="838"/>
      <c r="R103" s="838">
        <v>2</v>
      </c>
      <c r="S103" s="838">
        <v>4</v>
      </c>
      <c r="T103" s="346" t="s">
        <v>874</v>
      </c>
      <c r="U103" s="346">
        <v>2019</v>
      </c>
      <c r="V103" t="s">
        <v>1489</v>
      </c>
    </row>
    <row r="104" spans="1:22">
      <c r="A104" s="17" t="str">
        <f t="shared" si="3"/>
        <v>MassPort5</v>
      </c>
      <c r="B104" s="17">
        <v>5</v>
      </c>
      <c r="C104" s="346" t="s">
        <v>935</v>
      </c>
      <c r="D104" s="346" t="s">
        <v>1986</v>
      </c>
      <c r="E104" s="827" t="s">
        <v>1310</v>
      </c>
      <c r="F104" s="827" t="s">
        <v>1310</v>
      </c>
      <c r="G104" s="827"/>
      <c r="H104" s="346" t="s">
        <v>494</v>
      </c>
      <c r="I104" s="616" t="s">
        <v>936</v>
      </c>
      <c r="J104" s="346" t="s">
        <v>889</v>
      </c>
      <c r="K104" s="346" t="s">
        <v>872</v>
      </c>
      <c r="L104" s="346" t="s">
        <v>1311</v>
      </c>
      <c r="M104" s="346" t="s">
        <v>967</v>
      </c>
      <c r="N104" s="346" t="s">
        <v>1293</v>
      </c>
      <c r="O104" s="838"/>
      <c r="P104" s="838">
        <v>2</v>
      </c>
      <c r="Q104" s="838"/>
      <c r="R104" s="838">
        <v>2</v>
      </c>
      <c r="S104" s="838">
        <v>2</v>
      </c>
      <c r="T104" s="346" t="s">
        <v>874</v>
      </c>
      <c r="U104" s="346">
        <v>2020</v>
      </c>
      <c r="V104" s="46" t="s">
        <v>1488</v>
      </c>
    </row>
    <row r="105" spans="1:22">
      <c r="A105" s="17" t="str">
        <f t="shared" si="3"/>
        <v>MassPort6</v>
      </c>
      <c r="B105" s="17">
        <v>6</v>
      </c>
      <c r="C105" s="346" t="s">
        <v>935</v>
      </c>
      <c r="D105" s="346" t="s">
        <v>1986</v>
      </c>
      <c r="E105" s="829" t="s">
        <v>1377</v>
      </c>
      <c r="F105" s="829" t="s">
        <v>1377</v>
      </c>
      <c r="G105" s="829"/>
      <c r="H105" s="346" t="s">
        <v>494</v>
      </c>
      <c r="I105" s="616" t="s">
        <v>936</v>
      </c>
      <c r="J105" s="346" t="s">
        <v>889</v>
      </c>
      <c r="K105" s="346" t="s">
        <v>872</v>
      </c>
      <c r="L105" s="346" t="s">
        <v>1378</v>
      </c>
      <c r="M105" s="346" t="s">
        <v>1379</v>
      </c>
      <c r="N105" s="346" t="s">
        <v>1293</v>
      </c>
      <c r="O105" s="838"/>
      <c r="P105" s="838">
        <v>4</v>
      </c>
      <c r="Q105" s="838"/>
      <c r="R105" s="838">
        <v>4</v>
      </c>
      <c r="S105" s="838">
        <v>8</v>
      </c>
      <c r="T105" s="346" t="s">
        <v>874</v>
      </c>
      <c r="U105" s="346">
        <v>2019</v>
      </c>
      <c r="V105" s="46" t="s">
        <v>1489</v>
      </c>
    </row>
    <row r="106" spans="1:22">
      <c r="A106" s="17" t="str">
        <f t="shared" si="3"/>
        <v>MassPort7</v>
      </c>
      <c r="B106" s="17">
        <v>7</v>
      </c>
      <c r="C106" s="346" t="s">
        <v>935</v>
      </c>
      <c r="D106" s="346" t="s">
        <v>1986</v>
      </c>
      <c r="E106" s="829" t="s">
        <v>1380</v>
      </c>
      <c r="F106" s="829" t="s">
        <v>1380</v>
      </c>
      <c r="G106" s="829"/>
      <c r="H106" s="346" t="s">
        <v>494</v>
      </c>
      <c r="I106" s="616" t="s">
        <v>936</v>
      </c>
      <c r="J106" s="346" t="s">
        <v>889</v>
      </c>
      <c r="K106" s="346" t="s">
        <v>872</v>
      </c>
      <c r="L106" s="346" t="s">
        <v>1378</v>
      </c>
      <c r="M106" s="346" t="s">
        <v>1379</v>
      </c>
      <c r="N106" s="346" t="s">
        <v>1293</v>
      </c>
      <c r="O106" s="838"/>
      <c r="P106" s="838">
        <v>14</v>
      </c>
      <c r="Q106" s="838"/>
      <c r="R106" s="838">
        <v>14</v>
      </c>
      <c r="S106" s="838">
        <v>14</v>
      </c>
      <c r="T106" s="346" t="s">
        <v>874</v>
      </c>
      <c r="U106" s="346">
        <v>2018</v>
      </c>
      <c r="V106" s="46" t="s">
        <v>1488</v>
      </c>
    </row>
    <row r="107" spans="1:22">
      <c r="A107" s="17" t="str">
        <f t="shared" si="3"/>
        <v>MassPort8</v>
      </c>
      <c r="B107" s="17">
        <v>8</v>
      </c>
      <c r="C107" s="346" t="s">
        <v>935</v>
      </c>
      <c r="D107" s="346" t="s">
        <v>1986</v>
      </c>
      <c r="E107" s="827" t="s">
        <v>1312</v>
      </c>
      <c r="F107" s="827" t="s">
        <v>1312</v>
      </c>
      <c r="G107" s="827"/>
      <c r="H107" s="346" t="s">
        <v>494</v>
      </c>
      <c r="I107" s="616" t="s">
        <v>892</v>
      </c>
      <c r="J107" s="346" t="s">
        <v>889</v>
      </c>
      <c r="K107" s="346" t="s">
        <v>872</v>
      </c>
      <c r="L107" s="346" t="s">
        <v>1311</v>
      </c>
      <c r="M107" s="346" t="s">
        <v>967</v>
      </c>
      <c r="N107" s="346" t="s">
        <v>1293</v>
      </c>
      <c r="O107" s="838"/>
      <c r="P107" s="838">
        <v>1</v>
      </c>
      <c r="Q107" s="838"/>
      <c r="R107" s="838">
        <v>1</v>
      </c>
      <c r="S107" s="838">
        <v>1</v>
      </c>
      <c r="T107" s="346" t="s">
        <v>874</v>
      </c>
      <c r="U107" s="346">
        <v>2019</v>
      </c>
      <c r="V107" t="s">
        <v>1488</v>
      </c>
    </row>
    <row r="108" spans="1:22">
      <c r="A108" s="17" t="str">
        <f t="shared" si="3"/>
        <v>MassPort9</v>
      </c>
      <c r="B108" s="17">
        <v>9</v>
      </c>
      <c r="C108" s="346" t="s">
        <v>935</v>
      </c>
      <c r="D108" s="346" t="s">
        <v>1986</v>
      </c>
      <c r="E108" s="827" t="s">
        <v>1312</v>
      </c>
      <c r="F108" s="827" t="s">
        <v>1312</v>
      </c>
      <c r="G108" s="827"/>
      <c r="H108" s="346" t="s">
        <v>494</v>
      </c>
      <c r="I108" s="616" t="s">
        <v>936</v>
      </c>
      <c r="J108" s="346" t="s">
        <v>889</v>
      </c>
      <c r="K108" s="346" t="s">
        <v>872</v>
      </c>
      <c r="L108" s="346" t="s">
        <v>1311</v>
      </c>
      <c r="M108" s="346" t="s">
        <v>967</v>
      </c>
      <c r="N108" s="346" t="s">
        <v>1293</v>
      </c>
      <c r="O108" s="838"/>
      <c r="P108" s="838">
        <v>1</v>
      </c>
      <c r="Q108" s="838"/>
      <c r="R108" s="838">
        <v>1</v>
      </c>
      <c r="S108" s="838">
        <v>1</v>
      </c>
      <c r="T108" s="346" t="s">
        <v>874</v>
      </c>
      <c r="U108" s="346">
        <v>2020</v>
      </c>
      <c r="V108" t="s">
        <v>1488</v>
      </c>
    </row>
    <row r="109" spans="1:22">
      <c r="A109" s="17" t="str">
        <f t="shared" si="3"/>
        <v>MassPort10</v>
      </c>
      <c r="B109" s="17">
        <v>10</v>
      </c>
      <c r="C109" s="346" t="s">
        <v>935</v>
      </c>
      <c r="D109" s="346" t="s">
        <v>1986</v>
      </c>
      <c r="E109" s="827" t="s">
        <v>1381</v>
      </c>
      <c r="F109" s="827" t="s">
        <v>1381</v>
      </c>
      <c r="G109" s="827"/>
      <c r="H109" s="346" t="s">
        <v>494</v>
      </c>
      <c r="I109" s="616" t="s">
        <v>936</v>
      </c>
      <c r="J109" s="346" t="s">
        <v>889</v>
      </c>
      <c r="K109" s="346" t="s">
        <v>872</v>
      </c>
      <c r="L109" s="346" t="s">
        <v>873</v>
      </c>
      <c r="M109" s="346" t="s">
        <v>873</v>
      </c>
      <c r="N109" s="346" t="s">
        <v>1293</v>
      </c>
      <c r="O109" s="838"/>
      <c r="P109" s="838">
        <v>5</v>
      </c>
      <c r="Q109" s="838"/>
      <c r="R109" s="838">
        <v>5</v>
      </c>
      <c r="S109" s="838">
        <v>10</v>
      </c>
      <c r="T109" s="346" t="s">
        <v>874</v>
      </c>
      <c r="U109" s="346">
        <v>2019</v>
      </c>
      <c r="V109" s="46" t="s">
        <v>1489</v>
      </c>
    </row>
    <row r="110" spans="1:22">
      <c r="A110" s="17" t="str">
        <f t="shared" si="3"/>
        <v>MassPort11</v>
      </c>
      <c r="B110" s="17">
        <v>11</v>
      </c>
      <c r="C110" s="346" t="s">
        <v>935</v>
      </c>
      <c r="D110" s="346" t="s">
        <v>1986</v>
      </c>
      <c r="E110" s="827" t="s">
        <v>1382</v>
      </c>
      <c r="F110" s="827" t="s">
        <v>1382</v>
      </c>
      <c r="G110" s="827"/>
      <c r="H110" s="346" t="s">
        <v>494</v>
      </c>
      <c r="I110" s="616" t="s">
        <v>936</v>
      </c>
      <c r="J110" s="346" t="s">
        <v>889</v>
      </c>
      <c r="K110" s="346" t="s">
        <v>872</v>
      </c>
      <c r="L110" s="346" t="s">
        <v>873</v>
      </c>
      <c r="M110" s="346" t="s">
        <v>873</v>
      </c>
      <c r="N110" s="346" t="s">
        <v>1293</v>
      </c>
      <c r="O110" s="838"/>
      <c r="P110" s="838">
        <v>1</v>
      </c>
      <c r="Q110" s="838"/>
      <c r="R110" s="838">
        <v>1</v>
      </c>
      <c r="S110" s="838">
        <v>2</v>
      </c>
      <c r="T110" s="346" t="s">
        <v>874</v>
      </c>
      <c r="U110" s="346">
        <v>2019</v>
      </c>
      <c r="V110" s="46" t="s">
        <v>1489</v>
      </c>
    </row>
    <row r="111" spans="1:22">
      <c r="A111" s="17" t="str">
        <f t="shared" si="3"/>
        <v>MassPort12</v>
      </c>
      <c r="B111" s="17">
        <v>12</v>
      </c>
      <c r="C111" s="346" t="s">
        <v>935</v>
      </c>
      <c r="D111" s="346" t="s">
        <v>1986</v>
      </c>
      <c r="E111" s="827" t="s">
        <v>1383</v>
      </c>
      <c r="F111" s="827" t="s">
        <v>1383</v>
      </c>
      <c r="G111" s="827"/>
      <c r="H111" s="346" t="s">
        <v>494</v>
      </c>
      <c r="I111" s="616" t="s">
        <v>936</v>
      </c>
      <c r="J111" s="346" t="s">
        <v>889</v>
      </c>
      <c r="K111" s="346" t="s">
        <v>872</v>
      </c>
      <c r="L111" s="346" t="s">
        <v>873</v>
      </c>
      <c r="M111" s="346" t="s">
        <v>873</v>
      </c>
      <c r="N111" s="346" t="s">
        <v>1293</v>
      </c>
      <c r="O111" s="838"/>
      <c r="P111" s="838">
        <v>4</v>
      </c>
      <c r="Q111" s="838"/>
      <c r="R111" s="838">
        <v>4</v>
      </c>
      <c r="S111" s="838">
        <v>8</v>
      </c>
      <c r="T111" s="346" t="s">
        <v>874</v>
      </c>
      <c r="U111" s="346">
        <v>2019</v>
      </c>
      <c r="V111" s="46" t="s">
        <v>1489</v>
      </c>
    </row>
    <row r="112" spans="1:22">
      <c r="A112" s="17" t="str">
        <f t="shared" si="3"/>
        <v>MassPort13</v>
      </c>
      <c r="B112" s="17">
        <v>13</v>
      </c>
      <c r="C112" s="346" t="s">
        <v>935</v>
      </c>
      <c r="D112" s="346" t="s">
        <v>1986</v>
      </c>
      <c r="E112" s="827" t="s">
        <v>1384</v>
      </c>
      <c r="F112" s="827" t="s">
        <v>1384</v>
      </c>
      <c r="G112" s="827"/>
      <c r="H112" s="346" t="s">
        <v>494</v>
      </c>
      <c r="I112" s="616" t="s">
        <v>936</v>
      </c>
      <c r="J112" s="346" t="s">
        <v>889</v>
      </c>
      <c r="K112" s="346" t="s">
        <v>872</v>
      </c>
      <c r="L112" s="346" t="s">
        <v>873</v>
      </c>
      <c r="M112" s="346" t="s">
        <v>873</v>
      </c>
      <c r="N112" s="346" t="s">
        <v>1293</v>
      </c>
      <c r="O112" s="838"/>
      <c r="P112" s="838">
        <v>1</v>
      </c>
      <c r="Q112" s="838"/>
      <c r="R112" s="838">
        <v>1</v>
      </c>
      <c r="S112" s="838">
        <v>2</v>
      </c>
      <c r="T112" s="346" t="s">
        <v>874</v>
      </c>
      <c r="U112" s="346">
        <v>2020</v>
      </c>
      <c r="V112" s="46" t="s">
        <v>1489</v>
      </c>
    </row>
    <row r="113" spans="1:22">
      <c r="A113" s="17" t="str">
        <f t="shared" si="3"/>
        <v>MassPort14</v>
      </c>
      <c r="B113" s="17">
        <v>14</v>
      </c>
      <c r="C113" s="346" t="s">
        <v>935</v>
      </c>
      <c r="D113" s="346" t="s">
        <v>1986</v>
      </c>
      <c r="E113" s="827" t="s">
        <v>1385</v>
      </c>
      <c r="F113" s="827" t="s">
        <v>1385</v>
      </c>
      <c r="G113" s="827"/>
      <c r="H113" s="346" t="s">
        <v>494</v>
      </c>
      <c r="I113" s="616" t="s">
        <v>936</v>
      </c>
      <c r="J113" s="346" t="s">
        <v>889</v>
      </c>
      <c r="K113" s="346" t="s">
        <v>872</v>
      </c>
      <c r="L113" s="346" t="s">
        <v>873</v>
      </c>
      <c r="M113" s="346" t="s">
        <v>873</v>
      </c>
      <c r="N113" s="346" t="s">
        <v>1293</v>
      </c>
      <c r="O113" s="838"/>
      <c r="P113" s="838">
        <v>7</v>
      </c>
      <c r="Q113" s="838"/>
      <c r="R113" s="838">
        <v>7</v>
      </c>
      <c r="S113" s="838">
        <v>14</v>
      </c>
      <c r="T113" s="346" t="s">
        <v>874</v>
      </c>
      <c r="U113" s="346">
        <v>2020</v>
      </c>
      <c r="V113" s="46" t="s">
        <v>1489</v>
      </c>
    </row>
    <row r="114" spans="1:22">
      <c r="A114" s="17" t="str">
        <f t="shared" si="3"/>
        <v>MassPort15</v>
      </c>
      <c r="B114" s="17">
        <v>15</v>
      </c>
      <c r="C114" s="346" t="s">
        <v>935</v>
      </c>
      <c r="D114" s="346" t="s">
        <v>1986</v>
      </c>
      <c r="E114" s="827" t="s">
        <v>1385</v>
      </c>
      <c r="F114" s="827" t="s">
        <v>1385</v>
      </c>
      <c r="G114" s="827"/>
      <c r="H114" s="346" t="s">
        <v>494</v>
      </c>
      <c r="I114" s="616" t="s">
        <v>936</v>
      </c>
      <c r="J114" s="346" t="s">
        <v>889</v>
      </c>
      <c r="K114" s="346" t="s">
        <v>872</v>
      </c>
      <c r="L114" s="346" t="s">
        <v>873</v>
      </c>
      <c r="M114" s="346" t="s">
        <v>873</v>
      </c>
      <c r="N114" s="346" t="s">
        <v>1293</v>
      </c>
      <c r="O114" s="838"/>
      <c r="P114" s="838">
        <v>2</v>
      </c>
      <c r="Q114" s="838"/>
      <c r="R114" s="838">
        <v>2</v>
      </c>
      <c r="S114" s="838">
        <v>4</v>
      </c>
      <c r="T114" s="346" t="s">
        <v>874</v>
      </c>
      <c r="U114" s="346">
        <v>2020</v>
      </c>
      <c r="V114" t="s">
        <v>1489</v>
      </c>
    </row>
    <row r="115" spans="1:22">
      <c r="A115" s="17" t="str">
        <f t="shared" si="3"/>
        <v>MassPort16</v>
      </c>
      <c r="B115" s="17">
        <v>16</v>
      </c>
      <c r="C115" s="346" t="s">
        <v>935</v>
      </c>
      <c r="D115" s="346" t="s">
        <v>1986</v>
      </c>
      <c r="E115" s="827" t="s">
        <v>1386</v>
      </c>
      <c r="F115" s="827" t="s">
        <v>1386</v>
      </c>
      <c r="G115" s="827"/>
      <c r="H115" s="346" t="s">
        <v>494</v>
      </c>
      <c r="I115" s="616" t="s">
        <v>936</v>
      </c>
      <c r="J115" s="346" t="s">
        <v>889</v>
      </c>
      <c r="K115" s="346" t="s">
        <v>872</v>
      </c>
      <c r="L115" s="346" t="s">
        <v>873</v>
      </c>
      <c r="M115" s="346" t="s">
        <v>873</v>
      </c>
      <c r="N115" s="346" t="s">
        <v>1293</v>
      </c>
      <c r="O115" s="838"/>
      <c r="P115" s="838">
        <v>1</v>
      </c>
      <c r="Q115" s="838"/>
      <c r="R115" s="838">
        <v>1</v>
      </c>
      <c r="S115" s="838">
        <v>2</v>
      </c>
      <c r="T115" s="346" t="s">
        <v>874</v>
      </c>
      <c r="U115" s="346">
        <v>2020</v>
      </c>
      <c r="V115" s="46" t="s">
        <v>1489</v>
      </c>
    </row>
    <row r="116" spans="1:22">
      <c r="A116" s="17" t="str">
        <f t="shared" si="3"/>
        <v>MassPort17</v>
      </c>
      <c r="B116" s="17">
        <v>17</v>
      </c>
      <c r="C116" s="346" t="s">
        <v>935</v>
      </c>
      <c r="D116" s="346" t="s">
        <v>1986</v>
      </c>
      <c r="E116" s="827" t="s">
        <v>1387</v>
      </c>
      <c r="F116" s="827" t="s">
        <v>1387</v>
      </c>
      <c r="G116" s="827"/>
      <c r="H116" s="346" t="s">
        <v>494</v>
      </c>
      <c r="I116" s="616" t="s">
        <v>936</v>
      </c>
      <c r="J116" s="346" t="s">
        <v>889</v>
      </c>
      <c r="K116" s="346" t="s">
        <v>872</v>
      </c>
      <c r="L116" s="346" t="s">
        <v>873</v>
      </c>
      <c r="M116" s="346" t="s">
        <v>873</v>
      </c>
      <c r="N116" s="346" t="s">
        <v>1293</v>
      </c>
      <c r="O116" s="838"/>
      <c r="P116" s="838">
        <v>8</v>
      </c>
      <c r="Q116" s="838"/>
      <c r="R116" s="838">
        <v>8</v>
      </c>
      <c r="S116" s="838">
        <v>16</v>
      </c>
      <c r="T116" s="346" t="s">
        <v>874</v>
      </c>
      <c r="U116" s="346">
        <v>2020</v>
      </c>
      <c r="V116" s="46" t="s">
        <v>1489</v>
      </c>
    </row>
    <row r="117" spans="1:22">
      <c r="A117" s="17" t="str">
        <f t="shared" si="3"/>
        <v>MassPort18</v>
      </c>
      <c r="B117" s="17">
        <v>18</v>
      </c>
      <c r="C117" s="346" t="s">
        <v>935</v>
      </c>
      <c r="D117" s="346" t="s">
        <v>1986</v>
      </c>
      <c r="E117" s="827" t="s">
        <v>1376</v>
      </c>
      <c r="F117" s="346" t="s">
        <v>2212</v>
      </c>
      <c r="G117" s="827" t="s">
        <v>1376</v>
      </c>
      <c r="H117" s="346" t="s">
        <v>662</v>
      </c>
      <c r="I117" s="616" t="s">
        <v>2213</v>
      </c>
      <c r="J117" s="346" t="s">
        <v>889</v>
      </c>
      <c r="K117" s="346" t="s">
        <v>872</v>
      </c>
      <c r="L117" s="346" t="s">
        <v>909</v>
      </c>
      <c r="M117" s="346" t="s">
        <v>2384</v>
      </c>
      <c r="N117" s="346" t="s">
        <v>1293</v>
      </c>
      <c r="O117" s="838"/>
      <c r="P117" s="838">
        <v>1</v>
      </c>
      <c r="Q117" s="838"/>
      <c r="R117" s="838">
        <v>1</v>
      </c>
      <c r="S117" s="838">
        <v>1</v>
      </c>
      <c r="T117" s="346" t="s">
        <v>874</v>
      </c>
      <c r="U117" s="346">
        <v>2019</v>
      </c>
      <c r="V117" t="s">
        <v>1488</v>
      </c>
    </row>
    <row r="118" spans="1:22">
      <c r="A118" s="17" t="str">
        <f t="shared" si="3"/>
        <v>MassPort19</v>
      </c>
      <c r="B118" s="17">
        <v>19</v>
      </c>
      <c r="C118" s="346" t="s">
        <v>935</v>
      </c>
      <c r="D118" s="346" t="s">
        <v>1986</v>
      </c>
      <c r="E118" s="827" t="s">
        <v>1388</v>
      </c>
      <c r="F118" s="827" t="s">
        <v>2214</v>
      </c>
      <c r="G118" s="827"/>
      <c r="H118" s="346" t="s">
        <v>548</v>
      </c>
      <c r="I118" s="616" t="s">
        <v>892</v>
      </c>
      <c r="J118" s="346" t="s">
        <v>889</v>
      </c>
      <c r="K118" s="346" t="s">
        <v>872</v>
      </c>
      <c r="L118" s="346" t="s">
        <v>873</v>
      </c>
      <c r="M118" s="346" t="s">
        <v>873</v>
      </c>
      <c r="N118" s="346" t="s">
        <v>1293</v>
      </c>
      <c r="O118" s="838"/>
      <c r="P118" s="838">
        <v>2</v>
      </c>
      <c r="Q118" s="838"/>
      <c r="R118" s="838">
        <v>2</v>
      </c>
      <c r="S118" s="838">
        <v>4</v>
      </c>
      <c r="T118" s="346" t="s">
        <v>874</v>
      </c>
      <c r="U118" s="346">
        <v>2015</v>
      </c>
      <c r="V118" t="s">
        <v>1489</v>
      </c>
    </row>
    <row r="119" spans="1:22">
      <c r="A119" s="17" t="str">
        <f t="shared" si="3"/>
        <v>MassPort20</v>
      </c>
      <c r="B119" s="17">
        <v>20</v>
      </c>
      <c r="C119" s="346" t="s">
        <v>935</v>
      </c>
      <c r="D119" s="346" t="s">
        <v>1986</v>
      </c>
      <c r="E119" s="827" t="s">
        <v>1389</v>
      </c>
      <c r="F119" s="827" t="s">
        <v>1389</v>
      </c>
      <c r="G119" s="827"/>
      <c r="H119" s="346" t="s">
        <v>494</v>
      </c>
      <c r="I119" s="616" t="s">
        <v>936</v>
      </c>
      <c r="J119" s="346" t="s">
        <v>889</v>
      </c>
      <c r="K119" s="346" t="s">
        <v>872</v>
      </c>
      <c r="L119" s="346" t="s">
        <v>873</v>
      </c>
      <c r="M119" s="346" t="s">
        <v>873</v>
      </c>
      <c r="N119" s="346" t="s">
        <v>1293</v>
      </c>
      <c r="O119" s="838"/>
      <c r="P119" s="838">
        <v>2</v>
      </c>
      <c r="Q119" s="838"/>
      <c r="R119" s="838">
        <v>2</v>
      </c>
      <c r="S119" s="838">
        <v>2</v>
      </c>
      <c r="T119" s="346" t="s">
        <v>874</v>
      </c>
      <c r="U119" s="346">
        <v>2018</v>
      </c>
      <c r="V119" s="46" t="s">
        <v>1488</v>
      </c>
    </row>
    <row r="120" spans="1:22">
      <c r="A120" s="17" t="str">
        <f t="shared" si="3"/>
        <v>MBTA1</v>
      </c>
      <c r="B120" s="622">
        <v>1</v>
      </c>
      <c r="C120" s="346" t="s">
        <v>1390</v>
      </c>
      <c r="D120" s="826" t="s">
        <v>1390</v>
      </c>
      <c r="E120" s="346" t="s">
        <v>1391</v>
      </c>
      <c r="F120" s="826" t="s">
        <v>2215</v>
      </c>
      <c r="G120" s="826" t="s">
        <v>1392</v>
      </c>
      <c r="H120" s="346" t="s">
        <v>956</v>
      </c>
      <c r="I120" s="616" t="s">
        <v>1393</v>
      </c>
      <c r="J120" s="346" t="s">
        <v>889</v>
      </c>
      <c r="K120" s="346" t="s">
        <v>872</v>
      </c>
      <c r="L120" s="346" t="s">
        <v>873</v>
      </c>
      <c r="M120" s="346" t="s">
        <v>873</v>
      </c>
      <c r="N120" s="346" t="s">
        <v>1293</v>
      </c>
      <c r="O120" s="838"/>
      <c r="P120" s="838">
        <v>1</v>
      </c>
      <c r="Q120" s="838"/>
      <c r="R120" s="838">
        <v>1</v>
      </c>
      <c r="S120" s="838">
        <v>1</v>
      </c>
      <c r="T120" s="346" t="s">
        <v>874</v>
      </c>
      <c r="U120" s="346">
        <v>2013</v>
      </c>
      <c r="V120" t="s">
        <v>1488</v>
      </c>
    </row>
    <row r="121" spans="1:22">
      <c r="A121" s="17" t="str">
        <f t="shared" si="3"/>
        <v>MetroWest Regional Transit Authority1</v>
      </c>
      <c r="B121" s="622">
        <v>1</v>
      </c>
      <c r="C121" s="346" t="s">
        <v>1395</v>
      </c>
      <c r="D121" s="826" t="s">
        <v>1396</v>
      </c>
      <c r="E121" s="346" t="s">
        <v>1397</v>
      </c>
      <c r="F121" s="346" t="s">
        <v>1398</v>
      </c>
      <c r="G121" s="346"/>
      <c r="H121" s="346" t="s">
        <v>548</v>
      </c>
      <c r="I121" s="616" t="s">
        <v>1336</v>
      </c>
      <c r="J121" s="346" t="s">
        <v>889</v>
      </c>
      <c r="K121" s="346" t="s">
        <v>872</v>
      </c>
      <c r="L121" s="346" t="s">
        <v>909</v>
      </c>
      <c r="M121" s="346" t="s">
        <v>2384</v>
      </c>
      <c r="N121" s="346" t="s">
        <v>1293</v>
      </c>
      <c r="O121" s="838"/>
      <c r="P121" s="838">
        <v>1</v>
      </c>
      <c r="Q121" s="838"/>
      <c r="R121" s="838">
        <v>1</v>
      </c>
      <c r="S121" s="838">
        <v>2</v>
      </c>
      <c r="T121" s="346" t="s">
        <v>874</v>
      </c>
      <c r="U121" s="346">
        <v>2018</v>
      </c>
      <c r="V121" s="46" t="s">
        <v>1489</v>
      </c>
    </row>
    <row r="122" spans="1:22">
      <c r="A122" s="17" t="str">
        <f t="shared" si="3"/>
        <v>Military Division1</v>
      </c>
      <c r="B122" s="17">
        <v>1</v>
      </c>
      <c r="C122" s="346" t="s">
        <v>2265</v>
      </c>
      <c r="D122" s="826" t="s">
        <v>191</v>
      </c>
      <c r="E122" s="346" t="s">
        <v>2266</v>
      </c>
      <c r="F122" s="346" t="s">
        <v>2267</v>
      </c>
      <c r="G122" s="346"/>
      <c r="H122" s="346" t="s">
        <v>2268</v>
      </c>
      <c r="I122" s="616" t="s">
        <v>2269</v>
      </c>
      <c r="J122" s="346"/>
      <c r="K122" s="346" t="s">
        <v>872</v>
      </c>
      <c r="L122" s="346" t="s">
        <v>909</v>
      </c>
      <c r="M122" s="346" t="s">
        <v>2384</v>
      </c>
      <c r="N122" s="346"/>
      <c r="O122" s="838"/>
      <c r="P122" s="838">
        <v>2</v>
      </c>
      <c r="Q122" s="838"/>
      <c r="R122" s="838">
        <v>2</v>
      </c>
      <c r="S122" s="838">
        <v>4</v>
      </c>
      <c r="T122" s="346" t="s">
        <v>874</v>
      </c>
      <c r="U122" s="346">
        <v>2024</v>
      </c>
      <c r="V122" t="s">
        <v>1489</v>
      </c>
    </row>
    <row r="123" spans="1:22">
      <c r="A123" s="17" t="str">
        <f t="shared" si="3"/>
        <v>Mosquito Control Board1</v>
      </c>
      <c r="B123" s="17">
        <v>1</v>
      </c>
      <c r="C123" s="346" t="s">
        <v>2340</v>
      </c>
      <c r="D123" s="826" t="s">
        <v>2341</v>
      </c>
      <c r="E123" s="826" t="s">
        <v>2342</v>
      </c>
      <c r="F123" s="346" t="s">
        <v>2343</v>
      </c>
      <c r="G123" s="346" t="s">
        <v>2344</v>
      </c>
      <c r="H123" s="346" t="s">
        <v>2345</v>
      </c>
      <c r="I123" s="616" t="s">
        <v>2346</v>
      </c>
      <c r="J123" s="346"/>
      <c r="K123" s="346" t="s">
        <v>872</v>
      </c>
      <c r="L123" s="346" t="s">
        <v>909</v>
      </c>
      <c r="M123" s="346" t="s">
        <v>2384</v>
      </c>
      <c r="N123" s="346"/>
      <c r="O123" s="838"/>
      <c r="P123" s="838">
        <v>3</v>
      </c>
      <c r="Q123" s="838"/>
      <c r="R123" s="838">
        <v>3</v>
      </c>
      <c r="S123" s="838">
        <v>4</v>
      </c>
      <c r="T123" s="346" t="s">
        <v>874</v>
      </c>
      <c r="U123" s="346">
        <v>2024</v>
      </c>
      <c r="V123" t="s">
        <v>2386</v>
      </c>
    </row>
    <row r="124" spans="1:22">
      <c r="A124" s="17" t="str">
        <f t="shared" si="3"/>
        <v>Mosquito Control Board2</v>
      </c>
      <c r="B124" s="17">
        <v>2</v>
      </c>
      <c r="C124" s="346" t="s">
        <v>2340</v>
      </c>
      <c r="D124" s="826" t="s">
        <v>2341</v>
      </c>
      <c r="E124" s="346" t="s">
        <v>2347</v>
      </c>
      <c r="F124" s="346" t="s">
        <v>2348</v>
      </c>
      <c r="G124" s="346" t="s">
        <v>659</v>
      </c>
      <c r="H124" s="617" t="s">
        <v>659</v>
      </c>
      <c r="I124" s="616" t="s">
        <v>2349</v>
      </c>
      <c r="J124" s="346"/>
      <c r="K124" s="346" t="s">
        <v>872</v>
      </c>
      <c r="L124" s="346" t="s">
        <v>909</v>
      </c>
      <c r="M124" s="346" t="s">
        <v>2384</v>
      </c>
      <c r="N124" s="346"/>
      <c r="O124" s="838"/>
      <c r="P124" s="838">
        <v>8</v>
      </c>
      <c r="Q124" s="838"/>
      <c r="R124" s="838">
        <v>8</v>
      </c>
      <c r="S124" s="838">
        <v>8</v>
      </c>
      <c r="T124" s="346" t="s">
        <v>874</v>
      </c>
      <c r="U124" s="346">
        <v>2024</v>
      </c>
      <c r="V124" s="46" t="s">
        <v>1488</v>
      </c>
    </row>
    <row r="125" spans="1:22">
      <c r="A125" s="17" t="str">
        <f t="shared" si="3"/>
        <v>Mt. Wachusett Comm. College1</v>
      </c>
      <c r="B125" s="17">
        <v>1</v>
      </c>
      <c r="C125" s="361" t="s">
        <v>472</v>
      </c>
      <c r="D125" s="837" t="s">
        <v>2377</v>
      </c>
      <c r="E125" s="361" t="s">
        <v>2378</v>
      </c>
      <c r="F125" s="361" t="s">
        <v>674</v>
      </c>
      <c r="G125" s="361"/>
      <c r="H125" s="361" t="s">
        <v>553</v>
      </c>
      <c r="I125" s="616" t="s">
        <v>2379</v>
      </c>
      <c r="J125" s="361"/>
      <c r="K125" s="361" t="s">
        <v>872</v>
      </c>
      <c r="L125" s="361" t="s">
        <v>873</v>
      </c>
      <c r="M125" s="361" t="s">
        <v>873</v>
      </c>
      <c r="N125" s="361"/>
      <c r="O125" s="361"/>
      <c r="P125" s="361">
        <v>3</v>
      </c>
      <c r="Q125" s="361"/>
      <c r="R125" s="361">
        <v>3</v>
      </c>
      <c r="S125" s="361">
        <v>6</v>
      </c>
      <c r="T125" s="346" t="s">
        <v>874</v>
      </c>
      <c r="U125" s="361">
        <v>2020</v>
      </c>
      <c r="V125" s="46" t="s">
        <v>1489</v>
      </c>
    </row>
    <row r="126" spans="1:22">
      <c r="A126" s="17" t="str">
        <f t="shared" si="3"/>
        <v>Municipal Police Training Committee1</v>
      </c>
      <c r="B126" s="17">
        <v>1</v>
      </c>
      <c r="C126" s="346" t="s">
        <v>2357</v>
      </c>
      <c r="D126" s="826" t="s">
        <v>2358</v>
      </c>
      <c r="E126" s="346" t="s">
        <v>2359</v>
      </c>
      <c r="F126" s="346" t="s">
        <v>2360</v>
      </c>
      <c r="G126" s="346"/>
      <c r="H126" s="346" t="s">
        <v>2361</v>
      </c>
      <c r="I126" s="616" t="s">
        <v>2362</v>
      </c>
      <c r="J126" s="346"/>
      <c r="K126" s="346" t="s">
        <v>872</v>
      </c>
      <c r="L126" s="346" t="s">
        <v>909</v>
      </c>
      <c r="M126" s="346" t="s">
        <v>2384</v>
      </c>
      <c r="N126" s="346"/>
      <c r="O126" s="838"/>
      <c r="P126" s="838">
        <v>1</v>
      </c>
      <c r="Q126" s="838"/>
      <c r="R126" s="838">
        <v>1</v>
      </c>
      <c r="S126" s="838">
        <v>2</v>
      </c>
      <c r="T126" s="346" t="s">
        <v>874</v>
      </c>
      <c r="U126" s="346">
        <v>2024</v>
      </c>
      <c r="V126" s="46" t="s">
        <v>1489</v>
      </c>
    </row>
    <row r="127" spans="1:22">
      <c r="A127" s="17" t="str">
        <f t="shared" si="3"/>
        <v>MWRA1</v>
      </c>
      <c r="B127" s="622">
        <v>1</v>
      </c>
      <c r="C127" s="346" t="s">
        <v>781</v>
      </c>
      <c r="D127" s="826" t="s">
        <v>781</v>
      </c>
      <c r="E127" s="346" t="s">
        <v>941</v>
      </c>
      <c r="F127" s="346" t="s">
        <v>942</v>
      </c>
      <c r="G127" s="346"/>
      <c r="H127" s="346" t="s">
        <v>610</v>
      </c>
      <c r="I127" s="616" t="s">
        <v>2216</v>
      </c>
      <c r="J127" s="346" t="s">
        <v>889</v>
      </c>
      <c r="K127" s="346" t="s">
        <v>872</v>
      </c>
      <c r="L127" s="346" t="s">
        <v>909</v>
      </c>
      <c r="M127" s="346" t="s">
        <v>2384</v>
      </c>
      <c r="N127" s="346" t="s">
        <v>1293</v>
      </c>
      <c r="O127" s="838"/>
      <c r="P127" s="838">
        <v>2</v>
      </c>
      <c r="Q127" s="838"/>
      <c r="R127" s="838">
        <v>2</v>
      </c>
      <c r="S127" s="838">
        <v>2</v>
      </c>
      <c r="T127" s="346" t="s">
        <v>874</v>
      </c>
      <c r="U127" s="346">
        <v>2019</v>
      </c>
      <c r="V127" s="46" t="s">
        <v>1488</v>
      </c>
    </row>
    <row r="128" spans="1:22">
      <c r="A128" s="17" t="str">
        <f t="shared" si="3"/>
        <v>MWRA2</v>
      </c>
      <c r="B128" s="622">
        <v>2</v>
      </c>
      <c r="C128" s="346" t="s">
        <v>781</v>
      </c>
      <c r="D128" s="826" t="s">
        <v>781</v>
      </c>
      <c r="E128" s="346" t="s">
        <v>1399</v>
      </c>
      <c r="F128" s="346" t="s">
        <v>1400</v>
      </c>
      <c r="G128" s="346"/>
      <c r="H128" s="346" t="s">
        <v>940</v>
      </c>
      <c r="I128" s="616" t="s">
        <v>1401</v>
      </c>
      <c r="J128" s="346" t="s">
        <v>878</v>
      </c>
      <c r="K128" s="346" t="s">
        <v>872</v>
      </c>
      <c r="L128" s="346" t="s">
        <v>909</v>
      </c>
      <c r="M128" s="346" t="s">
        <v>2384</v>
      </c>
      <c r="N128" s="346" t="s">
        <v>1293</v>
      </c>
      <c r="O128" s="838"/>
      <c r="P128" s="838">
        <v>2</v>
      </c>
      <c r="Q128" s="838"/>
      <c r="R128" s="838">
        <v>2</v>
      </c>
      <c r="S128" s="838">
        <v>2</v>
      </c>
      <c r="T128" s="346" t="s">
        <v>874</v>
      </c>
      <c r="U128" s="346">
        <v>2019</v>
      </c>
      <c r="V128" s="46" t="s">
        <v>1488</v>
      </c>
    </row>
    <row r="129" spans="1:22">
      <c r="A129" s="17" t="str">
        <f t="shared" si="3"/>
        <v>MWRA3</v>
      </c>
      <c r="B129" s="622">
        <v>3</v>
      </c>
      <c r="C129" s="346" t="s">
        <v>781</v>
      </c>
      <c r="D129" s="826" t="s">
        <v>781</v>
      </c>
      <c r="E129" s="346" t="s">
        <v>1402</v>
      </c>
      <c r="F129" s="346" t="s">
        <v>938</v>
      </c>
      <c r="G129" s="346"/>
      <c r="H129" s="346" t="s">
        <v>512</v>
      </c>
      <c r="I129" s="616" t="s">
        <v>939</v>
      </c>
      <c r="J129" s="346" t="s">
        <v>889</v>
      </c>
      <c r="K129" s="346" t="s">
        <v>872</v>
      </c>
      <c r="L129" s="346" t="s">
        <v>909</v>
      </c>
      <c r="M129" s="346" t="s">
        <v>2384</v>
      </c>
      <c r="N129" s="346" t="s">
        <v>1293</v>
      </c>
      <c r="O129" s="838"/>
      <c r="P129" s="838">
        <v>2</v>
      </c>
      <c r="Q129" s="838"/>
      <c r="R129" s="838">
        <v>2</v>
      </c>
      <c r="S129" s="838">
        <v>4</v>
      </c>
      <c r="T129" s="346" t="s">
        <v>874</v>
      </c>
      <c r="U129" s="346">
        <v>2018</v>
      </c>
      <c r="V129" t="s">
        <v>1489</v>
      </c>
    </row>
    <row r="130" spans="1:22">
      <c r="A130" s="17" t="str">
        <f t="shared" ref="A130:A161" si="4">D130&amp;B130</f>
        <v>MWRA4</v>
      </c>
      <c r="B130" s="622">
        <v>4</v>
      </c>
      <c r="C130" s="346" t="s">
        <v>781</v>
      </c>
      <c r="D130" s="826" t="s">
        <v>781</v>
      </c>
      <c r="E130" s="346" t="s">
        <v>1402</v>
      </c>
      <c r="F130" s="346" t="s">
        <v>938</v>
      </c>
      <c r="G130" s="346"/>
      <c r="H130" s="346" t="s">
        <v>512</v>
      </c>
      <c r="I130" s="616" t="s">
        <v>939</v>
      </c>
      <c r="J130" s="346" t="s">
        <v>889</v>
      </c>
      <c r="K130" s="346" t="s">
        <v>872</v>
      </c>
      <c r="L130" s="346" t="s">
        <v>909</v>
      </c>
      <c r="M130" s="346" t="s">
        <v>2384</v>
      </c>
      <c r="N130" s="346" t="s">
        <v>1293</v>
      </c>
      <c r="O130" s="838"/>
      <c r="P130" s="838">
        <v>2</v>
      </c>
      <c r="Q130" s="838"/>
      <c r="R130" s="838">
        <v>2</v>
      </c>
      <c r="S130" s="838">
        <v>2</v>
      </c>
      <c r="T130" s="346" t="s">
        <v>874</v>
      </c>
      <c r="U130" s="346">
        <v>2020</v>
      </c>
      <c r="V130" s="46" t="s">
        <v>1488</v>
      </c>
    </row>
    <row r="131" spans="1:22">
      <c r="A131" s="17" t="str">
        <f t="shared" si="4"/>
        <v>MWRA5</v>
      </c>
      <c r="B131" s="622">
        <v>5</v>
      </c>
      <c r="C131" s="346" t="s">
        <v>781</v>
      </c>
      <c r="D131" s="826" t="s">
        <v>781</v>
      </c>
      <c r="E131" s="346" t="s">
        <v>1403</v>
      </c>
      <c r="F131" s="346" t="s">
        <v>943</v>
      </c>
      <c r="G131" s="346"/>
      <c r="H131" s="346" t="s">
        <v>628</v>
      </c>
      <c r="I131" s="616" t="s">
        <v>2217</v>
      </c>
      <c r="J131" s="346" t="s">
        <v>878</v>
      </c>
      <c r="K131" s="346" t="s">
        <v>872</v>
      </c>
      <c r="L131" s="346" t="s">
        <v>909</v>
      </c>
      <c r="M131" s="346" t="s">
        <v>2384</v>
      </c>
      <c r="N131" s="346" t="s">
        <v>1293</v>
      </c>
      <c r="O131" s="838"/>
      <c r="P131" s="838">
        <v>1</v>
      </c>
      <c r="Q131" s="838"/>
      <c r="R131" s="838">
        <v>1</v>
      </c>
      <c r="S131" s="838">
        <v>1</v>
      </c>
      <c r="T131" s="346" t="s">
        <v>874</v>
      </c>
      <c r="U131" s="346">
        <v>2019</v>
      </c>
      <c r="V131" t="s">
        <v>1488</v>
      </c>
    </row>
    <row r="132" spans="1:22">
      <c r="A132" s="17" t="str">
        <f t="shared" si="4"/>
        <v>MWRA6</v>
      </c>
      <c r="B132" s="622">
        <v>6</v>
      </c>
      <c r="C132" s="346" t="s">
        <v>781</v>
      </c>
      <c r="D132" s="826" t="s">
        <v>781</v>
      </c>
      <c r="E132" s="346" t="s">
        <v>1402</v>
      </c>
      <c r="F132" s="346" t="s">
        <v>938</v>
      </c>
      <c r="G132" s="361"/>
      <c r="H132" s="346" t="s">
        <v>512</v>
      </c>
      <c r="I132" s="616" t="s">
        <v>939</v>
      </c>
      <c r="J132" s="346" t="s">
        <v>889</v>
      </c>
      <c r="K132" s="346" t="s">
        <v>872</v>
      </c>
      <c r="L132" s="361" t="s">
        <v>909</v>
      </c>
      <c r="M132" s="346" t="s">
        <v>2384</v>
      </c>
      <c r="N132" s="361"/>
      <c r="O132" s="361"/>
      <c r="P132" s="361">
        <v>4</v>
      </c>
      <c r="Q132" s="361"/>
      <c r="R132" s="838">
        <v>4</v>
      </c>
      <c r="S132" s="361">
        <v>8</v>
      </c>
      <c r="T132" s="346" t="s">
        <v>874</v>
      </c>
      <c r="U132" s="361">
        <v>2022</v>
      </c>
      <c r="V132" s="46" t="s">
        <v>1489</v>
      </c>
    </row>
    <row r="133" spans="1:22">
      <c r="A133" s="17" t="str">
        <f t="shared" si="4"/>
        <v>North Shore Community College1</v>
      </c>
      <c r="B133" s="17">
        <v>1</v>
      </c>
      <c r="C133" s="346" t="s">
        <v>472</v>
      </c>
      <c r="D133" s="329" t="s">
        <v>2257</v>
      </c>
      <c r="E133" s="346" t="s">
        <v>2258</v>
      </c>
      <c r="F133" s="346" t="s">
        <v>2259</v>
      </c>
      <c r="G133" s="346" t="s">
        <v>2260</v>
      </c>
      <c r="H133" s="346" t="s">
        <v>1940</v>
      </c>
      <c r="I133" s="616" t="s">
        <v>2261</v>
      </c>
      <c r="J133" s="346"/>
      <c r="K133" s="346" t="s">
        <v>872</v>
      </c>
      <c r="L133" s="346" t="s">
        <v>873</v>
      </c>
      <c r="M133" s="346" t="s">
        <v>873</v>
      </c>
      <c r="N133" s="346"/>
      <c r="O133" s="838"/>
      <c r="P133" s="838">
        <v>2</v>
      </c>
      <c r="Q133" s="838"/>
      <c r="R133" s="838">
        <v>2</v>
      </c>
      <c r="S133" s="838">
        <v>4</v>
      </c>
      <c r="T133" s="346" t="s">
        <v>874</v>
      </c>
      <c r="U133" s="346">
        <v>2023</v>
      </c>
      <c r="V133" t="s">
        <v>1489</v>
      </c>
    </row>
    <row r="134" spans="1:22">
      <c r="A134" s="17" t="str">
        <f t="shared" si="4"/>
        <v>North Shore Community College2</v>
      </c>
      <c r="B134" s="17">
        <v>2</v>
      </c>
      <c r="C134" s="346" t="s">
        <v>472</v>
      </c>
      <c r="D134" s="329" t="s">
        <v>2257</v>
      </c>
      <c r="E134" s="346" t="s">
        <v>2262</v>
      </c>
      <c r="F134" s="346" t="s">
        <v>681</v>
      </c>
      <c r="G134" s="346" t="s">
        <v>2263</v>
      </c>
      <c r="H134" s="346" t="s">
        <v>682</v>
      </c>
      <c r="I134" s="616" t="s">
        <v>2264</v>
      </c>
      <c r="J134" s="346"/>
      <c r="K134" s="346" t="s">
        <v>872</v>
      </c>
      <c r="L134" s="346" t="s">
        <v>873</v>
      </c>
      <c r="M134" s="346" t="s">
        <v>873</v>
      </c>
      <c r="N134" s="346"/>
      <c r="O134" s="838"/>
      <c r="P134" s="838">
        <v>2</v>
      </c>
      <c r="Q134" s="838"/>
      <c r="R134" s="838">
        <v>2</v>
      </c>
      <c r="S134" s="838">
        <v>4</v>
      </c>
      <c r="T134" s="346" t="s">
        <v>874</v>
      </c>
      <c r="U134" s="346">
        <v>2023</v>
      </c>
      <c r="V134" t="s">
        <v>1489</v>
      </c>
    </row>
    <row r="135" spans="1:22">
      <c r="A135" s="17" t="str">
        <f t="shared" si="4"/>
        <v>North Shore Community College3</v>
      </c>
      <c r="B135" s="17">
        <v>3</v>
      </c>
      <c r="C135" s="833" t="s">
        <v>472</v>
      </c>
      <c r="D135" s="834" t="s">
        <v>2257</v>
      </c>
      <c r="E135" s="833" t="s">
        <v>2270</v>
      </c>
      <c r="F135" s="833" t="s">
        <v>2271</v>
      </c>
      <c r="G135" s="346"/>
      <c r="H135" s="833" t="s">
        <v>1940</v>
      </c>
      <c r="I135" s="835" t="s">
        <v>2261</v>
      </c>
      <c r="J135" s="833"/>
      <c r="K135" s="833" t="s">
        <v>872</v>
      </c>
      <c r="L135" s="833" t="s">
        <v>873</v>
      </c>
      <c r="M135" s="833" t="s">
        <v>873</v>
      </c>
      <c r="N135" s="833"/>
      <c r="O135" s="840"/>
      <c r="P135" s="840">
        <v>2</v>
      </c>
      <c r="Q135" s="840"/>
      <c r="R135" s="838">
        <v>2</v>
      </c>
      <c r="S135" s="840">
        <v>4</v>
      </c>
      <c r="T135" s="346" t="s">
        <v>874</v>
      </c>
      <c r="U135" s="833">
        <v>2024</v>
      </c>
      <c r="V135" t="s">
        <v>1489</v>
      </c>
    </row>
    <row r="136" spans="1:22">
      <c r="A136" s="17" t="str">
        <f t="shared" si="4"/>
        <v>North Shore Community College4</v>
      </c>
      <c r="B136" s="17">
        <v>4</v>
      </c>
      <c r="C136" s="833" t="s">
        <v>472</v>
      </c>
      <c r="D136" s="834" t="s">
        <v>2257</v>
      </c>
      <c r="E136" s="833" t="s">
        <v>2272</v>
      </c>
      <c r="F136" s="833" t="s">
        <v>681</v>
      </c>
      <c r="G136" s="346"/>
      <c r="H136" s="833" t="s">
        <v>682</v>
      </c>
      <c r="I136" s="835" t="s">
        <v>2264</v>
      </c>
      <c r="J136" s="833"/>
      <c r="K136" s="833" t="s">
        <v>872</v>
      </c>
      <c r="L136" s="833" t="s">
        <v>873</v>
      </c>
      <c r="M136" s="833" t="s">
        <v>873</v>
      </c>
      <c r="N136" s="833"/>
      <c r="O136" s="840"/>
      <c r="P136" s="840">
        <v>2</v>
      </c>
      <c r="Q136" s="840"/>
      <c r="R136" s="838">
        <v>2</v>
      </c>
      <c r="S136" s="840">
        <v>4</v>
      </c>
      <c r="T136" s="346" t="s">
        <v>874</v>
      </c>
      <c r="U136" s="833">
        <v>2024</v>
      </c>
      <c r="V136" t="s">
        <v>1489</v>
      </c>
    </row>
    <row r="137" spans="1:22">
      <c r="A137" s="17" t="str">
        <f t="shared" si="4"/>
        <v>Quinsigamond Community College1</v>
      </c>
      <c r="B137" s="622">
        <v>1</v>
      </c>
      <c r="C137" s="346" t="s">
        <v>472</v>
      </c>
      <c r="D137" s="826" t="s">
        <v>787</v>
      </c>
      <c r="E137" s="346" t="s">
        <v>944</v>
      </c>
      <c r="F137" s="346" t="s">
        <v>2218</v>
      </c>
      <c r="G137" s="826" t="s">
        <v>946</v>
      </c>
      <c r="H137" s="346" t="s">
        <v>573</v>
      </c>
      <c r="I137" s="616" t="s">
        <v>947</v>
      </c>
      <c r="J137" s="346" t="s">
        <v>878</v>
      </c>
      <c r="K137" s="346" t="s">
        <v>872</v>
      </c>
      <c r="L137" s="346" t="s">
        <v>873</v>
      </c>
      <c r="M137" s="346" t="s">
        <v>873</v>
      </c>
      <c r="N137" s="346" t="s">
        <v>1293</v>
      </c>
      <c r="O137" s="838"/>
      <c r="P137" s="838">
        <v>1</v>
      </c>
      <c r="Q137" s="838"/>
      <c r="R137" s="838">
        <v>1</v>
      </c>
      <c r="S137" s="838">
        <v>2</v>
      </c>
      <c r="T137" s="346" t="s">
        <v>874</v>
      </c>
      <c r="U137" s="346">
        <v>2013</v>
      </c>
      <c r="V137" s="46" t="s">
        <v>1489</v>
      </c>
    </row>
    <row r="138" spans="1:22">
      <c r="A138" s="17" t="str">
        <f t="shared" si="4"/>
        <v>Quinsigamond Community College2</v>
      </c>
      <c r="B138" s="622">
        <v>2</v>
      </c>
      <c r="C138" s="346" t="s">
        <v>472</v>
      </c>
      <c r="D138" s="826" t="s">
        <v>787</v>
      </c>
      <c r="E138" s="346" t="s">
        <v>944</v>
      </c>
      <c r="F138" s="346" t="s">
        <v>2218</v>
      </c>
      <c r="G138" s="826" t="s">
        <v>945</v>
      </c>
      <c r="H138" s="346" t="s">
        <v>573</v>
      </c>
      <c r="I138" s="616" t="s">
        <v>904</v>
      </c>
      <c r="J138" s="346" t="s">
        <v>878</v>
      </c>
      <c r="K138" s="346" t="s">
        <v>872</v>
      </c>
      <c r="L138" s="346" t="s">
        <v>873</v>
      </c>
      <c r="M138" s="346" t="s">
        <v>873</v>
      </c>
      <c r="N138" s="346" t="s">
        <v>1293</v>
      </c>
      <c r="O138" s="838"/>
      <c r="P138" s="838">
        <v>1</v>
      </c>
      <c r="Q138" s="838"/>
      <c r="R138" s="838">
        <v>1</v>
      </c>
      <c r="S138" s="838">
        <v>2</v>
      </c>
      <c r="T138" s="346" t="s">
        <v>874</v>
      </c>
      <c r="U138" s="346">
        <v>2014</v>
      </c>
      <c r="V138" s="46" t="s">
        <v>1489</v>
      </c>
    </row>
    <row r="139" spans="1:22">
      <c r="A139" s="17" t="str">
        <f t="shared" si="4"/>
        <v>Roxbury Community College1</v>
      </c>
      <c r="B139" s="622">
        <v>1</v>
      </c>
      <c r="C139" s="346" t="s">
        <v>472</v>
      </c>
      <c r="D139" s="826" t="s">
        <v>1404</v>
      </c>
      <c r="E139" s="346" t="s">
        <v>948</v>
      </c>
      <c r="F139" s="826" t="s">
        <v>686</v>
      </c>
      <c r="G139" s="826" t="s">
        <v>1405</v>
      </c>
      <c r="H139" s="346" t="s">
        <v>494</v>
      </c>
      <c r="I139" s="616" t="s">
        <v>949</v>
      </c>
      <c r="J139" s="346" t="s">
        <v>889</v>
      </c>
      <c r="K139" s="346" t="s">
        <v>872</v>
      </c>
      <c r="L139" s="346" t="s">
        <v>873</v>
      </c>
      <c r="M139" s="346" t="s">
        <v>873</v>
      </c>
      <c r="N139" s="346" t="s">
        <v>1293</v>
      </c>
      <c r="O139" s="838"/>
      <c r="P139" s="838">
        <v>3</v>
      </c>
      <c r="Q139" s="838"/>
      <c r="R139" s="838">
        <v>3</v>
      </c>
      <c r="S139" s="838">
        <v>6</v>
      </c>
      <c r="T139" s="346" t="s">
        <v>874</v>
      </c>
      <c r="U139" s="346">
        <v>2017</v>
      </c>
      <c r="V139" s="46" t="s">
        <v>1489</v>
      </c>
    </row>
    <row r="140" spans="1:22">
      <c r="A140" s="17" t="str">
        <f t="shared" si="4"/>
        <v>Salem State University1</v>
      </c>
      <c r="B140" s="622">
        <v>1</v>
      </c>
      <c r="C140" s="346" t="s">
        <v>472</v>
      </c>
      <c r="D140" s="826" t="s">
        <v>211</v>
      </c>
      <c r="E140" s="346" t="s">
        <v>950</v>
      </c>
      <c r="F140" s="826" t="s">
        <v>1406</v>
      </c>
      <c r="G140" s="826" t="s">
        <v>1407</v>
      </c>
      <c r="H140" s="346" t="s">
        <v>690</v>
      </c>
      <c r="I140" s="616" t="s">
        <v>951</v>
      </c>
      <c r="J140" s="346" t="s">
        <v>878</v>
      </c>
      <c r="K140" s="346" t="s">
        <v>872</v>
      </c>
      <c r="L140" s="346" t="s">
        <v>873</v>
      </c>
      <c r="M140" s="346" t="s">
        <v>873</v>
      </c>
      <c r="N140" s="346" t="s">
        <v>1293</v>
      </c>
      <c r="O140" s="838"/>
      <c r="P140" s="838">
        <v>6</v>
      </c>
      <c r="Q140" s="838"/>
      <c r="R140" s="838">
        <v>6</v>
      </c>
      <c r="S140" s="838">
        <v>12</v>
      </c>
      <c r="T140" s="346" t="s">
        <v>874</v>
      </c>
      <c r="U140" s="346">
        <v>2020</v>
      </c>
      <c r="V140" s="46" t="s">
        <v>1489</v>
      </c>
    </row>
    <row r="141" spans="1:22">
      <c r="A141" s="17" t="str">
        <f t="shared" si="4"/>
        <v>Salem State University2</v>
      </c>
      <c r="B141" s="46">
        <v>2</v>
      </c>
      <c r="C141" s="346" t="s">
        <v>472</v>
      </c>
      <c r="D141" s="826" t="s">
        <v>211</v>
      </c>
      <c r="E141" s="346" t="s">
        <v>950</v>
      </c>
      <c r="F141" s="826" t="s">
        <v>1408</v>
      </c>
      <c r="G141" s="826" t="s">
        <v>1409</v>
      </c>
      <c r="H141" s="346" t="s">
        <v>690</v>
      </c>
      <c r="I141" s="616" t="s">
        <v>951</v>
      </c>
      <c r="J141" s="346" t="s">
        <v>878</v>
      </c>
      <c r="K141" s="346" t="s">
        <v>872</v>
      </c>
      <c r="L141" s="346" t="s">
        <v>873</v>
      </c>
      <c r="M141" s="346" t="s">
        <v>873</v>
      </c>
      <c r="N141" s="346" t="s">
        <v>1293</v>
      </c>
      <c r="O141" s="838"/>
      <c r="P141" s="838">
        <v>2</v>
      </c>
      <c r="Q141" s="838"/>
      <c r="R141" s="838">
        <v>2</v>
      </c>
      <c r="S141" s="838">
        <v>4</v>
      </c>
      <c r="T141" s="346" t="s">
        <v>874</v>
      </c>
      <c r="U141" s="346">
        <v>2015</v>
      </c>
      <c r="V141" t="s">
        <v>1489</v>
      </c>
    </row>
    <row r="142" spans="1:22">
      <c r="A142" s="17" t="str">
        <f t="shared" si="4"/>
        <v>Salem State University3</v>
      </c>
      <c r="B142" s="46">
        <v>3</v>
      </c>
      <c r="C142" s="346" t="s">
        <v>472</v>
      </c>
      <c r="D142" s="826" t="s">
        <v>211</v>
      </c>
      <c r="E142" s="346" t="s">
        <v>950</v>
      </c>
      <c r="F142" s="826" t="s">
        <v>1408</v>
      </c>
      <c r="G142" s="826" t="s">
        <v>1409</v>
      </c>
      <c r="H142" s="346" t="s">
        <v>690</v>
      </c>
      <c r="I142" s="616" t="s">
        <v>951</v>
      </c>
      <c r="J142" s="346" t="s">
        <v>878</v>
      </c>
      <c r="K142" s="346" t="s">
        <v>872</v>
      </c>
      <c r="L142" s="346" t="s">
        <v>873</v>
      </c>
      <c r="M142" s="346" t="s">
        <v>873</v>
      </c>
      <c r="N142" s="346" t="s">
        <v>1293</v>
      </c>
      <c r="O142" s="838"/>
      <c r="P142" s="838">
        <v>1</v>
      </c>
      <c r="Q142" s="838"/>
      <c r="R142" s="838">
        <v>1</v>
      </c>
      <c r="S142" s="838">
        <v>1</v>
      </c>
      <c r="T142" s="346" t="s">
        <v>874</v>
      </c>
      <c r="U142" s="346">
        <v>2016</v>
      </c>
      <c r="V142" t="s">
        <v>1488</v>
      </c>
    </row>
    <row r="143" spans="1:22">
      <c r="A143" s="17" t="str">
        <f t="shared" si="4"/>
        <v>Salem State University4</v>
      </c>
      <c r="B143">
        <v>4</v>
      </c>
      <c r="C143" s="346" t="s">
        <v>472</v>
      </c>
      <c r="D143" s="826" t="s">
        <v>211</v>
      </c>
      <c r="E143" s="346" t="s">
        <v>950</v>
      </c>
      <c r="F143" s="346" t="s">
        <v>692</v>
      </c>
      <c r="G143" s="346" t="s">
        <v>1462</v>
      </c>
      <c r="H143" s="346" t="s">
        <v>690</v>
      </c>
      <c r="I143" s="616" t="s">
        <v>951</v>
      </c>
      <c r="J143" s="346" t="s">
        <v>878</v>
      </c>
      <c r="K143" s="346" t="s">
        <v>872</v>
      </c>
      <c r="L143" s="346" t="s">
        <v>1311</v>
      </c>
      <c r="M143" s="346" t="s">
        <v>967</v>
      </c>
      <c r="N143" s="346" t="s">
        <v>2385</v>
      </c>
      <c r="O143" s="838"/>
      <c r="P143" s="838">
        <v>3</v>
      </c>
      <c r="Q143" s="838"/>
      <c r="R143" s="838">
        <v>3</v>
      </c>
      <c r="S143" s="838">
        <v>6</v>
      </c>
      <c r="T143" s="346" t="s">
        <v>874</v>
      </c>
      <c r="U143" s="346">
        <v>2022</v>
      </c>
      <c r="V143" s="46" t="s">
        <v>1489</v>
      </c>
    </row>
    <row r="144" spans="1:22">
      <c r="A144" s="17" t="str">
        <f t="shared" si="4"/>
        <v>Springfield Tech Comm. College1</v>
      </c>
      <c r="B144" s="46">
        <v>1</v>
      </c>
      <c r="C144" s="346" t="s">
        <v>472</v>
      </c>
      <c r="D144" s="826" t="s">
        <v>1482</v>
      </c>
      <c r="E144" s="346" t="s">
        <v>1483</v>
      </c>
      <c r="F144" s="346" t="s">
        <v>1484</v>
      </c>
      <c r="G144" s="346" t="s">
        <v>1485</v>
      </c>
      <c r="H144" s="346" t="s">
        <v>652</v>
      </c>
      <c r="I144" s="616" t="s">
        <v>1486</v>
      </c>
      <c r="J144" s="346"/>
      <c r="K144" s="346" t="s">
        <v>872</v>
      </c>
      <c r="L144" s="346" t="s">
        <v>873</v>
      </c>
      <c r="M144" s="346" t="s">
        <v>873</v>
      </c>
      <c r="N144" s="346"/>
      <c r="O144" s="838"/>
      <c r="P144" s="838">
        <v>2</v>
      </c>
      <c r="Q144" s="838"/>
      <c r="R144" s="838">
        <v>2</v>
      </c>
      <c r="S144" s="838">
        <v>4</v>
      </c>
      <c r="T144" s="346" t="s">
        <v>874</v>
      </c>
      <c r="U144" s="346">
        <v>2020</v>
      </c>
      <c r="V144" t="s">
        <v>1489</v>
      </c>
    </row>
    <row r="145" spans="1:22">
      <c r="A145" s="17" t="str">
        <f t="shared" si="4"/>
        <v>UMass Amherst1</v>
      </c>
      <c r="B145">
        <v>1</v>
      </c>
      <c r="C145" s="346" t="s">
        <v>700</v>
      </c>
      <c r="D145" s="826" t="s">
        <v>222</v>
      </c>
      <c r="E145" s="346" t="s">
        <v>952</v>
      </c>
      <c r="F145" s="826" t="s">
        <v>698</v>
      </c>
      <c r="G145" s="826" t="s">
        <v>2192</v>
      </c>
      <c r="H145" s="346" t="s">
        <v>699</v>
      </c>
      <c r="I145" s="616" t="s">
        <v>953</v>
      </c>
      <c r="J145" s="346" t="s">
        <v>889</v>
      </c>
      <c r="K145" s="346" t="s">
        <v>872</v>
      </c>
      <c r="L145" s="346" t="s">
        <v>873</v>
      </c>
      <c r="M145" s="346" t="s">
        <v>873</v>
      </c>
      <c r="N145" s="346" t="s">
        <v>1293</v>
      </c>
      <c r="O145" s="838"/>
      <c r="P145" s="838"/>
      <c r="Q145" s="838">
        <v>1</v>
      </c>
      <c r="R145" s="838">
        <v>1</v>
      </c>
      <c r="S145" s="838">
        <v>1</v>
      </c>
      <c r="T145" s="346" t="s">
        <v>896</v>
      </c>
      <c r="U145" s="346">
        <v>2016</v>
      </c>
      <c r="V145" t="s">
        <v>1488</v>
      </c>
    </row>
    <row r="146" spans="1:22">
      <c r="A146" s="17" t="str">
        <f t="shared" si="4"/>
        <v>UMass Amherst2</v>
      </c>
      <c r="B146" s="46">
        <v>2</v>
      </c>
      <c r="C146" s="346" t="s">
        <v>700</v>
      </c>
      <c r="D146" s="826" t="s">
        <v>222</v>
      </c>
      <c r="E146" s="346" t="s">
        <v>952</v>
      </c>
      <c r="F146" s="346" t="s">
        <v>2219</v>
      </c>
      <c r="G146" s="826" t="s">
        <v>1414</v>
      </c>
      <c r="H146" s="346" t="s">
        <v>699</v>
      </c>
      <c r="I146" s="616" t="s">
        <v>953</v>
      </c>
      <c r="J146" s="346" t="s">
        <v>889</v>
      </c>
      <c r="K146" s="346" t="s">
        <v>872</v>
      </c>
      <c r="L146" s="346" t="s">
        <v>873</v>
      </c>
      <c r="M146" s="346" t="s">
        <v>873</v>
      </c>
      <c r="N146" s="346" t="s">
        <v>1293</v>
      </c>
      <c r="O146" s="838"/>
      <c r="P146" s="838">
        <v>2</v>
      </c>
      <c r="Q146" s="838"/>
      <c r="R146" s="838">
        <v>2</v>
      </c>
      <c r="S146" s="838">
        <v>4</v>
      </c>
      <c r="T146" s="346" t="s">
        <v>874</v>
      </c>
      <c r="U146" s="346">
        <v>2014</v>
      </c>
      <c r="V146" t="s">
        <v>1489</v>
      </c>
    </row>
    <row r="147" spans="1:22">
      <c r="A147" s="17" t="str">
        <f t="shared" si="4"/>
        <v>UMass Amherst3</v>
      </c>
      <c r="B147" s="46">
        <v>3</v>
      </c>
      <c r="C147" s="346" t="s">
        <v>700</v>
      </c>
      <c r="D147" s="826" t="s">
        <v>222</v>
      </c>
      <c r="E147" s="346" t="s">
        <v>952</v>
      </c>
      <c r="F147" s="346" t="s">
        <v>2220</v>
      </c>
      <c r="G147" s="346" t="s">
        <v>2221</v>
      </c>
      <c r="H147" s="346" t="s">
        <v>699</v>
      </c>
      <c r="I147" s="616" t="s">
        <v>953</v>
      </c>
      <c r="J147" s="346" t="s">
        <v>889</v>
      </c>
      <c r="K147" s="346" t="s">
        <v>872</v>
      </c>
      <c r="L147" s="346" t="s">
        <v>873</v>
      </c>
      <c r="M147" s="346" t="s">
        <v>873</v>
      </c>
      <c r="N147" s="346" t="s">
        <v>1293</v>
      </c>
      <c r="O147" s="838"/>
      <c r="P147" s="838">
        <v>1</v>
      </c>
      <c r="Q147" s="838"/>
      <c r="R147" s="838">
        <v>1</v>
      </c>
      <c r="S147" s="838">
        <v>2</v>
      </c>
      <c r="T147" s="346" t="s">
        <v>874</v>
      </c>
      <c r="U147" s="346">
        <v>2019</v>
      </c>
      <c r="V147" s="46" t="s">
        <v>1489</v>
      </c>
    </row>
    <row r="148" spans="1:22">
      <c r="A148" s="17" t="str">
        <f t="shared" si="4"/>
        <v>UMass Amherst4</v>
      </c>
      <c r="B148">
        <v>4</v>
      </c>
      <c r="C148" s="346" t="s">
        <v>700</v>
      </c>
      <c r="D148" s="826" t="s">
        <v>222</v>
      </c>
      <c r="E148" s="346" t="s">
        <v>952</v>
      </c>
      <c r="F148" s="826" t="s">
        <v>1415</v>
      </c>
      <c r="G148" s="826" t="s">
        <v>2222</v>
      </c>
      <c r="H148" s="346" t="s">
        <v>699</v>
      </c>
      <c r="I148" s="616" t="s">
        <v>953</v>
      </c>
      <c r="J148" s="346" t="s">
        <v>889</v>
      </c>
      <c r="K148" s="346" t="s">
        <v>872</v>
      </c>
      <c r="L148" s="346" t="s">
        <v>873</v>
      </c>
      <c r="M148" s="346" t="s">
        <v>873</v>
      </c>
      <c r="N148" s="346" t="s">
        <v>1293</v>
      </c>
      <c r="O148" s="838"/>
      <c r="P148" s="838">
        <v>2</v>
      </c>
      <c r="Q148" s="838"/>
      <c r="R148" s="838">
        <v>2</v>
      </c>
      <c r="S148" s="838">
        <v>4</v>
      </c>
      <c r="T148" s="346" t="s">
        <v>874</v>
      </c>
      <c r="U148" s="346">
        <v>2014</v>
      </c>
      <c r="V148" t="s">
        <v>1489</v>
      </c>
    </row>
    <row r="149" spans="1:22">
      <c r="A149" s="17" t="str">
        <f t="shared" si="4"/>
        <v>UMass Amherst5</v>
      </c>
      <c r="B149" s="46">
        <v>5</v>
      </c>
      <c r="C149" s="346" t="s">
        <v>700</v>
      </c>
      <c r="D149" s="826" t="s">
        <v>222</v>
      </c>
      <c r="E149" s="346" t="s">
        <v>952</v>
      </c>
      <c r="F149" s="346" t="s">
        <v>954</v>
      </c>
      <c r="G149" s="346" t="s">
        <v>2223</v>
      </c>
      <c r="H149" s="346" t="s">
        <v>699</v>
      </c>
      <c r="I149" s="616" t="s">
        <v>953</v>
      </c>
      <c r="J149" s="346" t="s">
        <v>889</v>
      </c>
      <c r="K149" s="346" t="s">
        <v>872</v>
      </c>
      <c r="L149" s="346" t="s">
        <v>873</v>
      </c>
      <c r="M149" s="346" t="s">
        <v>873</v>
      </c>
      <c r="N149" s="346" t="s">
        <v>1293</v>
      </c>
      <c r="O149" s="838"/>
      <c r="P149" s="838">
        <v>1</v>
      </c>
      <c r="Q149" s="838"/>
      <c r="R149" s="838">
        <v>1</v>
      </c>
      <c r="S149" s="838">
        <v>2</v>
      </c>
      <c r="T149" s="346" t="s">
        <v>874</v>
      </c>
      <c r="U149" s="346">
        <v>2015</v>
      </c>
      <c r="V149" s="46" t="s">
        <v>1489</v>
      </c>
    </row>
    <row r="150" spans="1:22" ht="29">
      <c r="A150" s="17" t="str">
        <f t="shared" si="4"/>
        <v>UMass Amherst6</v>
      </c>
      <c r="B150" s="46">
        <v>6</v>
      </c>
      <c r="C150" s="346" t="s">
        <v>700</v>
      </c>
      <c r="D150" s="826" t="s">
        <v>222</v>
      </c>
      <c r="E150" s="346" t="s">
        <v>952</v>
      </c>
      <c r="F150" s="826" t="s">
        <v>2224</v>
      </c>
      <c r="G150" s="826" t="s">
        <v>2225</v>
      </c>
      <c r="H150" s="346" t="s">
        <v>699</v>
      </c>
      <c r="I150" s="616" t="s">
        <v>953</v>
      </c>
      <c r="J150" s="346" t="s">
        <v>889</v>
      </c>
      <c r="K150" s="346" t="s">
        <v>872</v>
      </c>
      <c r="L150" s="346" t="s">
        <v>873</v>
      </c>
      <c r="M150" s="346" t="s">
        <v>873</v>
      </c>
      <c r="N150" s="346" t="s">
        <v>1293</v>
      </c>
      <c r="O150" s="838"/>
      <c r="P150" s="838">
        <v>2</v>
      </c>
      <c r="Q150" s="838"/>
      <c r="R150" s="838">
        <v>2</v>
      </c>
      <c r="S150" s="838">
        <v>4</v>
      </c>
      <c r="T150" s="346" t="s">
        <v>874</v>
      </c>
      <c r="U150" s="346">
        <v>2016</v>
      </c>
      <c r="V150" t="s">
        <v>1489</v>
      </c>
    </row>
    <row r="151" spans="1:22">
      <c r="A151" s="17" t="str">
        <f t="shared" si="4"/>
        <v>UMass Amherst7</v>
      </c>
      <c r="B151">
        <v>7</v>
      </c>
      <c r="C151" s="346" t="s">
        <v>700</v>
      </c>
      <c r="D151" s="826" t="s">
        <v>222</v>
      </c>
      <c r="E151" s="346" t="s">
        <v>952</v>
      </c>
      <c r="F151" s="826" t="s">
        <v>1415</v>
      </c>
      <c r="G151" s="826" t="s">
        <v>2226</v>
      </c>
      <c r="H151" s="346" t="s">
        <v>699</v>
      </c>
      <c r="I151" s="616" t="s">
        <v>953</v>
      </c>
      <c r="J151" s="346" t="s">
        <v>889</v>
      </c>
      <c r="K151" s="346" t="s">
        <v>872</v>
      </c>
      <c r="L151" s="346" t="s">
        <v>873</v>
      </c>
      <c r="M151" s="346" t="s">
        <v>873</v>
      </c>
      <c r="N151" s="346" t="s">
        <v>1293</v>
      </c>
      <c r="O151" s="838"/>
      <c r="P151" s="838">
        <v>2</v>
      </c>
      <c r="Q151" s="838"/>
      <c r="R151" s="838">
        <v>2</v>
      </c>
      <c r="S151" s="838">
        <v>4</v>
      </c>
      <c r="T151" s="346" t="s">
        <v>874</v>
      </c>
      <c r="U151" s="346">
        <v>2017</v>
      </c>
      <c r="V151" t="s">
        <v>1489</v>
      </c>
    </row>
    <row r="152" spans="1:22">
      <c r="A152" s="17" t="str">
        <f t="shared" si="4"/>
        <v>UMass Amherst8</v>
      </c>
      <c r="B152" s="46">
        <v>8</v>
      </c>
      <c r="C152" s="346" t="s">
        <v>700</v>
      </c>
      <c r="D152" s="826" t="s">
        <v>222</v>
      </c>
      <c r="E152" s="346" t="s">
        <v>952</v>
      </c>
      <c r="F152" s="346" t="s">
        <v>1416</v>
      </c>
      <c r="G152" s="346" t="s">
        <v>1417</v>
      </c>
      <c r="H152" s="346" t="s">
        <v>699</v>
      </c>
      <c r="I152" s="616" t="s">
        <v>953</v>
      </c>
      <c r="J152" s="346" t="s">
        <v>889</v>
      </c>
      <c r="K152" s="346" t="s">
        <v>872</v>
      </c>
      <c r="L152" s="346" t="s">
        <v>873</v>
      </c>
      <c r="M152" s="346" t="s">
        <v>873</v>
      </c>
      <c r="N152" s="346" t="s">
        <v>1293</v>
      </c>
      <c r="O152" s="838"/>
      <c r="P152" s="838">
        <v>1</v>
      </c>
      <c r="Q152" s="838"/>
      <c r="R152" s="838">
        <v>1</v>
      </c>
      <c r="S152" s="838">
        <v>2</v>
      </c>
      <c r="T152" s="346" t="s">
        <v>874</v>
      </c>
      <c r="U152" s="346">
        <v>2018</v>
      </c>
      <c r="V152" s="46" t="s">
        <v>1489</v>
      </c>
    </row>
    <row r="153" spans="1:22">
      <c r="A153" s="17" t="str">
        <f t="shared" si="4"/>
        <v>UMass Amherst9</v>
      </c>
      <c r="B153" s="46">
        <v>9</v>
      </c>
      <c r="C153" s="346" t="s">
        <v>700</v>
      </c>
      <c r="D153" s="826" t="s">
        <v>222</v>
      </c>
      <c r="E153" s="346" t="s">
        <v>952</v>
      </c>
      <c r="F153" s="346" t="s">
        <v>1463</v>
      </c>
      <c r="G153" s="346"/>
      <c r="H153" s="346" t="s">
        <v>805</v>
      </c>
      <c r="I153" s="616" t="s">
        <v>1464</v>
      </c>
      <c r="J153" s="346" t="s">
        <v>889</v>
      </c>
      <c r="K153" s="346" t="s">
        <v>872</v>
      </c>
      <c r="L153" s="346" t="s">
        <v>873</v>
      </c>
      <c r="M153" s="346" t="s">
        <v>873</v>
      </c>
      <c r="N153" s="346" t="s">
        <v>1293</v>
      </c>
      <c r="O153" s="838"/>
      <c r="P153" s="838">
        <v>1</v>
      </c>
      <c r="Q153" s="838"/>
      <c r="R153" s="838">
        <v>1</v>
      </c>
      <c r="S153" s="838">
        <v>2</v>
      </c>
      <c r="T153" s="346" t="s">
        <v>874</v>
      </c>
      <c r="U153" s="346">
        <v>2019</v>
      </c>
      <c r="V153" s="46" t="s">
        <v>1489</v>
      </c>
    </row>
    <row r="154" spans="1:22">
      <c r="A154" s="17" t="str">
        <f t="shared" si="4"/>
        <v>UMass Amherst10</v>
      </c>
      <c r="B154">
        <v>10</v>
      </c>
      <c r="C154" s="346" t="s">
        <v>700</v>
      </c>
      <c r="D154" s="826" t="s">
        <v>222</v>
      </c>
      <c r="E154" s="346" t="s">
        <v>952</v>
      </c>
      <c r="F154" s="346" t="s">
        <v>1418</v>
      </c>
      <c r="G154" s="346" t="s">
        <v>1419</v>
      </c>
      <c r="H154" s="346" t="s">
        <v>699</v>
      </c>
      <c r="I154" s="616" t="s">
        <v>2227</v>
      </c>
      <c r="J154" s="346" t="s">
        <v>889</v>
      </c>
      <c r="K154" s="346" t="s">
        <v>872</v>
      </c>
      <c r="L154" s="346" t="s">
        <v>873</v>
      </c>
      <c r="M154" s="346" t="s">
        <v>873</v>
      </c>
      <c r="N154" s="346" t="s">
        <v>1293</v>
      </c>
      <c r="O154" s="838"/>
      <c r="P154" s="838">
        <v>1</v>
      </c>
      <c r="Q154" s="838"/>
      <c r="R154" s="838">
        <v>1</v>
      </c>
      <c r="S154" s="838">
        <v>2</v>
      </c>
      <c r="T154" s="346" t="s">
        <v>874</v>
      </c>
      <c r="U154" s="346">
        <v>2019</v>
      </c>
      <c r="V154" s="46" t="s">
        <v>1489</v>
      </c>
    </row>
    <row r="155" spans="1:22">
      <c r="A155" s="17" t="str">
        <f t="shared" si="4"/>
        <v>UMass Amherst11</v>
      </c>
      <c r="B155" s="46">
        <v>11</v>
      </c>
      <c r="C155" s="346" t="s">
        <v>700</v>
      </c>
      <c r="D155" s="826" t="s">
        <v>222</v>
      </c>
      <c r="E155" s="346" t="s">
        <v>952</v>
      </c>
      <c r="F155" s="346" t="s">
        <v>1447</v>
      </c>
      <c r="G155" s="346" t="s">
        <v>2237</v>
      </c>
      <c r="H155" s="346" t="s">
        <v>699</v>
      </c>
      <c r="I155" s="616" t="s">
        <v>953</v>
      </c>
      <c r="J155" s="346" t="s">
        <v>889</v>
      </c>
      <c r="K155" s="346" t="s">
        <v>872</v>
      </c>
      <c r="L155" s="346" t="s">
        <v>873</v>
      </c>
      <c r="M155" s="346" t="s">
        <v>873</v>
      </c>
      <c r="N155" s="346" t="s">
        <v>1293</v>
      </c>
      <c r="O155" s="838"/>
      <c r="P155" s="838">
        <v>4</v>
      </c>
      <c r="Q155" s="838"/>
      <c r="R155" s="838">
        <v>4</v>
      </c>
      <c r="S155" s="838">
        <v>8</v>
      </c>
      <c r="T155" s="346" t="s">
        <v>874</v>
      </c>
      <c r="U155" s="346">
        <v>2020</v>
      </c>
      <c r="V155" s="46" t="s">
        <v>1489</v>
      </c>
    </row>
    <row r="156" spans="1:22">
      <c r="A156" s="17" t="str">
        <f t="shared" si="4"/>
        <v>UMass Amherst12</v>
      </c>
      <c r="B156" s="46">
        <v>12</v>
      </c>
      <c r="C156" s="346" t="s">
        <v>700</v>
      </c>
      <c r="D156" s="826" t="s">
        <v>222</v>
      </c>
      <c r="E156" s="346" t="s">
        <v>952</v>
      </c>
      <c r="F156" s="826" t="s">
        <v>1463</v>
      </c>
      <c r="G156" s="832"/>
      <c r="H156" s="826" t="s">
        <v>805</v>
      </c>
      <c r="I156" s="616" t="s">
        <v>1464</v>
      </c>
      <c r="J156" s="346"/>
      <c r="K156" s="346" t="s">
        <v>872</v>
      </c>
      <c r="L156" s="346" t="s">
        <v>873</v>
      </c>
      <c r="M156" s="346" t="s">
        <v>873</v>
      </c>
      <c r="N156" s="346"/>
      <c r="O156" s="838"/>
      <c r="P156" s="838">
        <v>1</v>
      </c>
      <c r="Q156" s="838"/>
      <c r="R156" s="838">
        <v>1</v>
      </c>
      <c r="S156" s="838">
        <v>2</v>
      </c>
      <c r="T156" s="346" t="s">
        <v>874</v>
      </c>
      <c r="U156" s="346">
        <v>2016</v>
      </c>
      <c r="V156" s="46" t="s">
        <v>1489</v>
      </c>
    </row>
    <row r="157" spans="1:22">
      <c r="A157" s="17" t="str">
        <f t="shared" si="4"/>
        <v>UMass Amherst13</v>
      </c>
      <c r="B157">
        <v>13</v>
      </c>
      <c r="C157" s="346" t="s">
        <v>700</v>
      </c>
      <c r="D157" s="826" t="s">
        <v>222</v>
      </c>
      <c r="E157" s="346" t="s">
        <v>952</v>
      </c>
      <c r="F157" s="346" t="s">
        <v>1465</v>
      </c>
      <c r="G157" s="346"/>
      <c r="H157" s="617" t="s">
        <v>956</v>
      </c>
      <c r="I157" s="616" t="s">
        <v>1466</v>
      </c>
      <c r="J157" s="346"/>
      <c r="K157" s="346" t="s">
        <v>872</v>
      </c>
      <c r="L157" s="346" t="s">
        <v>873</v>
      </c>
      <c r="M157" s="346" t="s">
        <v>873</v>
      </c>
      <c r="N157" s="346"/>
      <c r="O157" s="838"/>
      <c r="P157" s="838">
        <v>1</v>
      </c>
      <c r="Q157" s="838"/>
      <c r="R157" s="838">
        <v>1</v>
      </c>
      <c r="S157" s="838">
        <v>2</v>
      </c>
      <c r="T157" s="346" t="s">
        <v>874</v>
      </c>
      <c r="U157" s="346">
        <v>2022</v>
      </c>
      <c r="V157" s="46" t="s">
        <v>1489</v>
      </c>
    </row>
    <row r="158" spans="1:22">
      <c r="A158" s="17" t="str">
        <f t="shared" si="4"/>
        <v>UMass Amherst14</v>
      </c>
      <c r="B158" s="46">
        <v>14</v>
      </c>
      <c r="C158" s="346" t="s">
        <v>700</v>
      </c>
      <c r="D158" s="826" t="s">
        <v>222</v>
      </c>
      <c r="E158" s="346" t="s">
        <v>952</v>
      </c>
      <c r="F158" s="346" t="s">
        <v>2238</v>
      </c>
      <c r="G158" s="826" t="s">
        <v>2239</v>
      </c>
      <c r="H158" s="617" t="s">
        <v>699</v>
      </c>
      <c r="I158" s="616" t="s">
        <v>953</v>
      </c>
      <c r="J158" s="346"/>
      <c r="K158" s="346" t="s">
        <v>872</v>
      </c>
      <c r="L158" s="346" t="s">
        <v>873</v>
      </c>
      <c r="M158" s="346" t="s">
        <v>873</v>
      </c>
      <c r="N158" s="346"/>
      <c r="O158" s="838"/>
      <c r="P158" s="838">
        <v>2</v>
      </c>
      <c r="Q158" s="838"/>
      <c r="R158" s="838">
        <v>2</v>
      </c>
      <c r="S158" s="838">
        <v>4</v>
      </c>
      <c r="T158" s="346" t="s">
        <v>874</v>
      </c>
      <c r="U158" s="346">
        <v>2021</v>
      </c>
      <c r="V158" t="s">
        <v>1489</v>
      </c>
    </row>
    <row r="159" spans="1:22">
      <c r="A159" s="17" t="str">
        <f t="shared" si="4"/>
        <v>UMass Amherst15</v>
      </c>
      <c r="B159" s="46">
        <v>15</v>
      </c>
      <c r="C159" s="346" t="s">
        <v>700</v>
      </c>
      <c r="D159" s="826" t="s">
        <v>222</v>
      </c>
      <c r="E159" s="346" t="s">
        <v>952</v>
      </c>
      <c r="F159" s="346" t="s">
        <v>1467</v>
      </c>
      <c r="G159" s="346" t="s">
        <v>1468</v>
      </c>
      <c r="H159" s="617" t="s">
        <v>699</v>
      </c>
      <c r="I159" s="616" t="s">
        <v>953</v>
      </c>
      <c r="J159" s="346"/>
      <c r="K159" s="346" t="s">
        <v>872</v>
      </c>
      <c r="L159" s="346" t="s">
        <v>873</v>
      </c>
      <c r="M159" s="346" t="s">
        <v>873</v>
      </c>
      <c r="N159" s="346"/>
      <c r="O159" s="838"/>
      <c r="P159" s="838">
        <v>1</v>
      </c>
      <c r="Q159" s="838"/>
      <c r="R159" s="838">
        <v>1</v>
      </c>
      <c r="S159" s="838">
        <v>2</v>
      </c>
      <c r="T159" s="346" t="s">
        <v>874</v>
      </c>
      <c r="U159" s="346">
        <v>2023</v>
      </c>
      <c r="V159" s="46" t="s">
        <v>1489</v>
      </c>
    </row>
    <row r="160" spans="1:22">
      <c r="A160" s="17" t="str">
        <f t="shared" si="4"/>
        <v>UMass Amherst16</v>
      </c>
      <c r="B160">
        <v>16</v>
      </c>
      <c r="C160" s="333" t="s">
        <v>700</v>
      </c>
      <c r="D160" s="329" t="s">
        <v>222</v>
      </c>
      <c r="E160" s="333" t="s">
        <v>952</v>
      </c>
      <c r="F160" s="333" t="s">
        <v>698</v>
      </c>
      <c r="G160" s="329" t="s">
        <v>2273</v>
      </c>
      <c r="H160" s="836" t="s">
        <v>699</v>
      </c>
      <c r="I160" s="619" t="s">
        <v>953</v>
      </c>
      <c r="J160" s="333"/>
      <c r="K160" s="333" t="s">
        <v>872</v>
      </c>
      <c r="L160" s="333" t="s">
        <v>873</v>
      </c>
      <c r="M160" s="333" t="s">
        <v>873</v>
      </c>
      <c r="N160" s="333"/>
      <c r="O160" s="839"/>
      <c r="P160" s="839">
        <v>1</v>
      </c>
      <c r="Q160" s="839"/>
      <c r="R160" s="838">
        <v>1</v>
      </c>
      <c r="S160" s="839">
        <v>2</v>
      </c>
      <c r="T160" s="346" t="s">
        <v>874</v>
      </c>
      <c r="U160" s="333">
        <v>2019</v>
      </c>
      <c r="V160" s="46" t="s">
        <v>1489</v>
      </c>
    </row>
    <row r="161" spans="1:22">
      <c r="A161" s="17" t="str">
        <f t="shared" si="4"/>
        <v>UMass Amherst17</v>
      </c>
      <c r="B161" s="46">
        <v>17</v>
      </c>
      <c r="C161" s="333" t="s">
        <v>700</v>
      </c>
      <c r="D161" s="329" t="s">
        <v>222</v>
      </c>
      <c r="E161" s="333" t="s">
        <v>952</v>
      </c>
      <c r="F161" s="333" t="s">
        <v>2274</v>
      </c>
      <c r="G161" s="333" t="s">
        <v>2275</v>
      </c>
      <c r="H161" s="333" t="s">
        <v>956</v>
      </c>
      <c r="I161" s="619" t="s">
        <v>1466</v>
      </c>
      <c r="J161" s="333"/>
      <c r="K161" s="333" t="s">
        <v>872</v>
      </c>
      <c r="L161" s="333" t="s">
        <v>873</v>
      </c>
      <c r="M161" s="333" t="s">
        <v>873</v>
      </c>
      <c r="N161" s="333"/>
      <c r="O161" s="839"/>
      <c r="P161" s="839">
        <v>1</v>
      </c>
      <c r="Q161" s="839"/>
      <c r="R161" s="838">
        <v>1</v>
      </c>
      <c r="S161" s="839">
        <v>2</v>
      </c>
      <c r="T161" s="346" t="s">
        <v>874</v>
      </c>
      <c r="U161" s="333">
        <v>2022</v>
      </c>
      <c r="V161" s="46" t="s">
        <v>1489</v>
      </c>
    </row>
    <row r="162" spans="1:22">
      <c r="A162" s="17" t="str">
        <f t="shared" ref="A162:A193" si="5">D162&amp;B162</f>
        <v>UMass Amherst18</v>
      </c>
      <c r="B162" s="46">
        <v>18</v>
      </c>
      <c r="C162" s="333" t="s">
        <v>700</v>
      </c>
      <c r="D162" s="329" t="s">
        <v>222</v>
      </c>
      <c r="E162" s="333" t="s">
        <v>952</v>
      </c>
      <c r="F162" s="333" t="s">
        <v>2274</v>
      </c>
      <c r="G162" s="333" t="s">
        <v>2276</v>
      </c>
      <c r="H162" s="333" t="s">
        <v>956</v>
      </c>
      <c r="I162" s="619" t="s">
        <v>1466</v>
      </c>
      <c r="J162" s="333"/>
      <c r="K162" s="333" t="s">
        <v>872</v>
      </c>
      <c r="L162" s="333" t="s">
        <v>873</v>
      </c>
      <c r="M162" s="333" t="s">
        <v>873</v>
      </c>
      <c r="N162" s="333"/>
      <c r="O162" s="839"/>
      <c r="P162" s="839">
        <v>1</v>
      </c>
      <c r="Q162" s="839"/>
      <c r="R162" s="838">
        <v>1</v>
      </c>
      <c r="S162" s="839">
        <v>2</v>
      </c>
      <c r="T162" s="346" t="s">
        <v>874</v>
      </c>
      <c r="U162" s="333">
        <v>2022</v>
      </c>
      <c r="V162" s="46" t="s">
        <v>1489</v>
      </c>
    </row>
    <row r="163" spans="1:22">
      <c r="A163" s="17" t="str">
        <f t="shared" si="5"/>
        <v>UMass Amherst19</v>
      </c>
      <c r="B163">
        <v>19</v>
      </c>
      <c r="C163" s="333" t="s">
        <v>700</v>
      </c>
      <c r="D163" s="329" t="s">
        <v>222</v>
      </c>
      <c r="E163" s="333" t="s">
        <v>952</v>
      </c>
      <c r="F163" s="333" t="s">
        <v>2277</v>
      </c>
      <c r="G163" s="333" t="s">
        <v>2278</v>
      </c>
      <c r="H163" s="333" t="s">
        <v>956</v>
      </c>
      <c r="I163" s="619" t="s">
        <v>1466</v>
      </c>
      <c r="J163" s="333"/>
      <c r="K163" s="333" t="s">
        <v>872</v>
      </c>
      <c r="L163" s="333" t="s">
        <v>873</v>
      </c>
      <c r="M163" s="333" t="s">
        <v>873</v>
      </c>
      <c r="N163" s="333"/>
      <c r="O163" s="839"/>
      <c r="P163" s="839">
        <v>1</v>
      </c>
      <c r="Q163" s="839"/>
      <c r="R163" s="838">
        <v>1</v>
      </c>
      <c r="S163" s="839">
        <v>2</v>
      </c>
      <c r="T163" s="346" t="s">
        <v>874</v>
      </c>
      <c r="U163" s="333">
        <v>2022</v>
      </c>
      <c r="V163" s="46" t="s">
        <v>1489</v>
      </c>
    </row>
    <row r="164" spans="1:22">
      <c r="A164" s="17" t="str">
        <f t="shared" si="5"/>
        <v>UMass Amherst20</v>
      </c>
      <c r="B164" s="46">
        <v>20</v>
      </c>
      <c r="C164" s="333" t="s">
        <v>700</v>
      </c>
      <c r="D164" s="329" t="s">
        <v>222</v>
      </c>
      <c r="E164" s="333" t="s">
        <v>952</v>
      </c>
      <c r="F164" s="333" t="s">
        <v>1447</v>
      </c>
      <c r="G164" s="333" t="s">
        <v>2279</v>
      </c>
      <c r="H164" s="333" t="s">
        <v>699</v>
      </c>
      <c r="I164" s="619" t="s">
        <v>953</v>
      </c>
      <c r="J164" s="333"/>
      <c r="K164" s="333" t="s">
        <v>872</v>
      </c>
      <c r="L164" s="333" t="s">
        <v>873</v>
      </c>
      <c r="M164" s="333" t="s">
        <v>873</v>
      </c>
      <c r="N164" s="333"/>
      <c r="O164" s="839"/>
      <c r="P164" s="839">
        <v>1</v>
      </c>
      <c r="Q164" s="839"/>
      <c r="R164" s="838">
        <v>1</v>
      </c>
      <c r="S164" s="839">
        <v>2</v>
      </c>
      <c r="T164" s="346" t="s">
        <v>874</v>
      </c>
      <c r="U164" s="333">
        <v>2021</v>
      </c>
      <c r="V164" s="46" t="s">
        <v>1489</v>
      </c>
    </row>
    <row r="165" spans="1:22">
      <c r="A165" s="17" t="str">
        <f t="shared" si="5"/>
        <v>UMass Amherst21</v>
      </c>
      <c r="B165" s="46">
        <v>21</v>
      </c>
      <c r="C165" s="333" t="s">
        <v>700</v>
      </c>
      <c r="D165" s="329" t="s">
        <v>222</v>
      </c>
      <c r="E165" s="333" t="s">
        <v>952</v>
      </c>
      <c r="F165" s="333" t="s">
        <v>1447</v>
      </c>
      <c r="G165" s="333" t="s">
        <v>2280</v>
      </c>
      <c r="H165" s="333" t="s">
        <v>699</v>
      </c>
      <c r="I165" s="619" t="s">
        <v>953</v>
      </c>
      <c r="J165" s="333"/>
      <c r="K165" s="333" t="s">
        <v>872</v>
      </c>
      <c r="L165" s="333" t="s">
        <v>873</v>
      </c>
      <c r="M165" s="333" t="s">
        <v>873</v>
      </c>
      <c r="N165" s="333"/>
      <c r="O165" s="839"/>
      <c r="P165" s="839">
        <v>1</v>
      </c>
      <c r="Q165" s="839"/>
      <c r="R165" s="838">
        <v>1</v>
      </c>
      <c r="S165" s="839">
        <v>2</v>
      </c>
      <c r="T165" s="346" t="s">
        <v>874</v>
      </c>
      <c r="U165" s="333">
        <v>2021</v>
      </c>
      <c r="V165" s="46" t="s">
        <v>1489</v>
      </c>
    </row>
    <row r="166" spans="1:22">
      <c r="A166" s="17" t="str">
        <f t="shared" si="5"/>
        <v>UMass Amherst22</v>
      </c>
      <c r="B166">
        <v>22</v>
      </c>
      <c r="C166" s="333" t="s">
        <v>700</v>
      </c>
      <c r="D166" s="329" t="s">
        <v>222</v>
      </c>
      <c r="E166" s="333" t="s">
        <v>952</v>
      </c>
      <c r="F166" s="333" t="s">
        <v>1447</v>
      </c>
      <c r="G166" s="333" t="s">
        <v>2281</v>
      </c>
      <c r="H166" s="333" t="s">
        <v>699</v>
      </c>
      <c r="I166" s="619" t="s">
        <v>953</v>
      </c>
      <c r="J166" s="333"/>
      <c r="K166" s="333" t="s">
        <v>872</v>
      </c>
      <c r="L166" s="333" t="s">
        <v>873</v>
      </c>
      <c r="M166" s="333" t="s">
        <v>873</v>
      </c>
      <c r="N166" s="333"/>
      <c r="O166" s="839"/>
      <c r="P166" s="839">
        <v>1</v>
      </c>
      <c r="Q166" s="839"/>
      <c r="R166" s="838">
        <v>1</v>
      </c>
      <c r="S166" s="839">
        <v>2</v>
      </c>
      <c r="T166" s="346" t="s">
        <v>874</v>
      </c>
      <c r="U166" s="333">
        <v>2021</v>
      </c>
      <c r="V166" s="46" t="s">
        <v>1489</v>
      </c>
    </row>
    <row r="167" spans="1:22">
      <c r="A167" s="17" t="str">
        <f t="shared" si="5"/>
        <v>UMass Amherst23</v>
      </c>
      <c r="B167" s="46">
        <v>23</v>
      </c>
      <c r="C167" s="333" t="s">
        <v>700</v>
      </c>
      <c r="D167" s="329" t="s">
        <v>222</v>
      </c>
      <c r="E167" s="333" t="s">
        <v>952</v>
      </c>
      <c r="F167" s="333" t="s">
        <v>1413</v>
      </c>
      <c r="G167" s="333" t="s">
        <v>2282</v>
      </c>
      <c r="H167" s="333" t="s">
        <v>699</v>
      </c>
      <c r="I167" s="619" t="s">
        <v>953</v>
      </c>
      <c r="J167" s="333"/>
      <c r="K167" s="333" t="s">
        <v>872</v>
      </c>
      <c r="L167" s="333" t="s">
        <v>873</v>
      </c>
      <c r="M167" s="333" t="s">
        <v>873</v>
      </c>
      <c r="N167" s="333"/>
      <c r="O167" s="839"/>
      <c r="P167" s="839">
        <v>1</v>
      </c>
      <c r="Q167" s="839"/>
      <c r="R167" s="838">
        <v>1</v>
      </c>
      <c r="S167" s="839">
        <v>2</v>
      </c>
      <c r="T167" s="346" t="s">
        <v>874</v>
      </c>
      <c r="U167" s="333">
        <v>2014</v>
      </c>
      <c r="V167" s="46" t="s">
        <v>1489</v>
      </c>
    </row>
    <row r="168" spans="1:22">
      <c r="A168" s="17" t="str">
        <f t="shared" si="5"/>
        <v>UMass Amherst24</v>
      </c>
      <c r="B168" s="46">
        <v>24</v>
      </c>
      <c r="C168" s="333" t="s">
        <v>700</v>
      </c>
      <c r="D168" s="329" t="s">
        <v>222</v>
      </c>
      <c r="E168" s="333" t="s">
        <v>952</v>
      </c>
      <c r="F168" s="333" t="s">
        <v>1415</v>
      </c>
      <c r="G168" s="333" t="s">
        <v>2283</v>
      </c>
      <c r="H168" s="333" t="s">
        <v>699</v>
      </c>
      <c r="I168" s="619" t="s">
        <v>953</v>
      </c>
      <c r="J168" s="333"/>
      <c r="K168" s="333" t="s">
        <v>872</v>
      </c>
      <c r="L168" s="333" t="s">
        <v>873</v>
      </c>
      <c r="M168" s="333" t="s">
        <v>873</v>
      </c>
      <c r="N168" s="333"/>
      <c r="O168" s="839"/>
      <c r="P168" s="839">
        <v>1</v>
      </c>
      <c r="Q168" s="839"/>
      <c r="R168" s="838">
        <v>1</v>
      </c>
      <c r="S168" s="839">
        <v>2</v>
      </c>
      <c r="T168" s="346" t="s">
        <v>874</v>
      </c>
      <c r="U168" s="333">
        <v>2014</v>
      </c>
      <c r="V168" s="46" t="s">
        <v>1489</v>
      </c>
    </row>
    <row r="169" spans="1:22">
      <c r="A169" s="17" t="str">
        <f t="shared" si="5"/>
        <v>UMass Amherst25</v>
      </c>
      <c r="B169">
        <v>25</v>
      </c>
      <c r="C169" s="333" t="s">
        <v>700</v>
      </c>
      <c r="D169" s="329" t="s">
        <v>222</v>
      </c>
      <c r="E169" s="333" t="s">
        <v>952</v>
      </c>
      <c r="F169" s="333" t="s">
        <v>1415</v>
      </c>
      <c r="G169" s="333" t="s">
        <v>2284</v>
      </c>
      <c r="H169" s="333" t="s">
        <v>699</v>
      </c>
      <c r="I169" s="619" t="s">
        <v>953</v>
      </c>
      <c r="J169" s="333"/>
      <c r="K169" s="333" t="s">
        <v>872</v>
      </c>
      <c r="L169" s="333" t="s">
        <v>873</v>
      </c>
      <c r="M169" s="333" t="s">
        <v>873</v>
      </c>
      <c r="N169" s="333"/>
      <c r="O169" s="839"/>
      <c r="P169" s="839">
        <v>1</v>
      </c>
      <c r="Q169" s="839"/>
      <c r="R169" s="838">
        <v>1</v>
      </c>
      <c r="S169" s="839">
        <v>2</v>
      </c>
      <c r="T169" s="346" t="s">
        <v>874</v>
      </c>
      <c r="U169" s="333">
        <v>2016</v>
      </c>
      <c r="V169" s="46" t="s">
        <v>1489</v>
      </c>
    </row>
    <row r="170" spans="1:22">
      <c r="A170" s="17" t="str">
        <f t="shared" si="5"/>
        <v>UMass Amherst26</v>
      </c>
      <c r="B170" s="46">
        <v>26</v>
      </c>
      <c r="C170" s="333" t="s">
        <v>700</v>
      </c>
      <c r="D170" s="329" t="s">
        <v>222</v>
      </c>
      <c r="E170" s="333" t="s">
        <v>952</v>
      </c>
      <c r="F170" s="333" t="s">
        <v>2285</v>
      </c>
      <c r="G170" s="329" t="s">
        <v>2286</v>
      </c>
      <c r="H170" s="333" t="s">
        <v>699</v>
      </c>
      <c r="I170" s="619" t="s">
        <v>953</v>
      </c>
      <c r="J170" s="333"/>
      <c r="K170" s="333" t="s">
        <v>872</v>
      </c>
      <c r="L170" s="333" t="s">
        <v>873</v>
      </c>
      <c r="M170" s="333" t="s">
        <v>873</v>
      </c>
      <c r="N170" s="333"/>
      <c r="O170" s="839"/>
      <c r="P170" s="839">
        <v>1</v>
      </c>
      <c r="Q170" s="839"/>
      <c r="R170" s="838">
        <v>1</v>
      </c>
      <c r="S170" s="839">
        <v>2</v>
      </c>
      <c r="T170" s="346" t="s">
        <v>874</v>
      </c>
      <c r="U170" s="333">
        <v>2023</v>
      </c>
      <c r="V170" s="46" t="s">
        <v>1489</v>
      </c>
    </row>
    <row r="171" spans="1:22">
      <c r="A171" s="17" t="str">
        <f t="shared" si="5"/>
        <v>UMass Amherst27</v>
      </c>
      <c r="B171" s="46">
        <v>27</v>
      </c>
      <c r="C171" s="333" t="s">
        <v>700</v>
      </c>
      <c r="D171" s="329" t="s">
        <v>222</v>
      </c>
      <c r="E171" s="333" t="s">
        <v>952</v>
      </c>
      <c r="F171" s="333" t="s">
        <v>2238</v>
      </c>
      <c r="G171" s="329" t="s">
        <v>2287</v>
      </c>
      <c r="H171" s="333" t="s">
        <v>699</v>
      </c>
      <c r="I171" s="619" t="s">
        <v>953</v>
      </c>
      <c r="J171" s="333"/>
      <c r="K171" s="333" t="s">
        <v>872</v>
      </c>
      <c r="L171" s="333" t="s">
        <v>873</v>
      </c>
      <c r="M171" s="333" t="s">
        <v>873</v>
      </c>
      <c r="N171" s="333"/>
      <c r="O171" s="839"/>
      <c r="P171" s="839">
        <v>1</v>
      </c>
      <c r="Q171" s="839"/>
      <c r="R171" s="838">
        <v>1</v>
      </c>
      <c r="S171" s="839">
        <v>2</v>
      </c>
      <c r="T171" s="346" t="s">
        <v>874</v>
      </c>
      <c r="U171" s="333">
        <v>2021</v>
      </c>
      <c r="V171" s="46" t="s">
        <v>1489</v>
      </c>
    </row>
    <row r="172" spans="1:22">
      <c r="A172" s="17" t="str">
        <f t="shared" si="5"/>
        <v>UMass Amherst28</v>
      </c>
      <c r="B172">
        <v>28</v>
      </c>
      <c r="C172" s="333" t="s">
        <v>700</v>
      </c>
      <c r="D172" s="329" t="s">
        <v>222</v>
      </c>
      <c r="E172" s="333" t="s">
        <v>952</v>
      </c>
      <c r="F172" s="333" t="s">
        <v>1467</v>
      </c>
      <c r="G172" s="333" t="s">
        <v>1468</v>
      </c>
      <c r="H172" s="333" t="s">
        <v>699</v>
      </c>
      <c r="I172" s="619" t="s">
        <v>953</v>
      </c>
      <c r="J172" s="333"/>
      <c r="K172" s="333" t="s">
        <v>872</v>
      </c>
      <c r="L172" s="333" t="s">
        <v>873</v>
      </c>
      <c r="M172" s="333" t="s">
        <v>873</v>
      </c>
      <c r="N172" s="333"/>
      <c r="O172" s="839"/>
      <c r="P172" s="839">
        <v>1</v>
      </c>
      <c r="Q172" s="839"/>
      <c r="R172" s="838">
        <v>1</v>
      </c>
      <c r="S172" s="839">
        <v>2</v>
      </c>
      <c r="T172" s="346" t="s">
        <v>874</v>
      </c>
      <c r="U172" s="333">
        <v>2023</v>
      </c>
      <c r="V172" s="46" t="s">
        <v>1489</v>
      </c>
    </row>
    <row r="173" spans="1:22">
      <c r="A173" s="17" t="str">
        <f t="shared" si="5"/>
        <v>UMass Boston1</v>
      </c>
      <c r="B173">
        <v>1</v>
      </c>
      <c r="C173" s="346" t="s">
        <v>700</v>
      </c>
      <c r="D173" s="826" t="s">
        <v>227</v>
      </c>
      <c r="E173" s="346" t="s">
        <v>1420</v>
      </c>
      <c r="F173" s="346" t="s">
        <v>2228</v>
      </c>
      <c r="G173" s="346" t="s">
        <v>1421</v>
      </c>
      <c r="H173" s="346" t="s">
        <v>494</v>
      </c>
      <c r="I173" s="616" t="s">
        <v>2229</v>
      </c>
      <c r="J173" s="346" t="s">
        <v>889</v>
      </c>
      <c r="K173" s="346" t="s">
        <v>872</v>
      </c>
      <c r="L173" s="346" t="s">
        <v>873</v>
      </c>
      <c r="M173" s="346" t="s">
        <v>873</v>
      </c>
      <c r="N173" s="346" t="s">
        <v>1293</v>
      </c>
      <c r="O173" s="838"/>
      <c r="P173" s="838">
        <v>11</v>
      </c>
      <c r="Q173" s="838"/>
      <c r="R173" s="838">
        <v>11</v>
      </c>
      <c r="S173" s="838">
        <v>11</v>
      </c>
      <c r="T173" s="346" t="s">
        <v>874</v>
      </c>
      <c r="U173" s="346">
        <v>2021</v>
      </c>
      <c r="V173" s="46" t="s">
        <v>1488</v>
      </c>
    </row>
    <row r="174" spans="1:22">
      <c r="A174" s="17" t="str">
        <f t="shared" si="5"/>
        <v>UMass Chan Medical School1</v>
      </c>
      <c r="B174">
        <v>1</v>
      </c>
      <c r="C174" s="346" t="s">
        <v>700</v>
      </c>
      <c r="D174" s="826" t="s">
        <v>1443</v>
      </c>
      <c r="E174" s="346" t="s">
        <v>1444</v>
      </c>
      <c r="F174" s="346" t="s">
        <v>964</v>
      </c>
      <c r="G174" s="346"/>
      <c r="H174" s="346" t="s">
        <v>573</v>
      </c>
      <c r="I174" s="616" t="s">
        <v>965</v>
      </c>
      <c r="J174" s="346" t="s">
        <v>878</v>
      </c>
      <c r="K174" s="346" t="s">
        <v>872</v>
      </c>
      <c r="L174" s="346" t="s">
        <v>873</v>
      </c>
      <c r="M174" s="346" t="s">
        <v>873</v>
      </c>
      <c r="N174" s="346" t="s">
        <v>1293</v>
      </c>
      <c r="O174" s="838"/>
      <c r="P174" s="838">
        <v>18</v>
      </c>
      <c r="Q174" s="838"/>
      <c r="R174" s="838">
        <v>18</v>
      </c>
      <c r="S174" s="838">
        <v>36</v>
      </c>
      <c r="T174" s="346" t="s">
        <v>874</v>
      </c>
      <c r="U174" s="346">
        <v>2021</v>
      </c>
      <c r="V174" s="46" t="s">
        <v>1489</v>
      </c>
    </row>
    <row r="175" spans="1:22">
      <c r="A175" s="17" t="str">
        <f t="shared" si="5"/>
        <v>UMass Chan Medical School2</v>
      </c>
      <c r="B175">
        <v>2</v>
      </c>
      <c r="C175" s="346" t="s">
        <v>700</v>
      </c>
      <c r="D175" s="826" t="s">
        <v>1443</v>
      </c>
      <c r="E175" s="346" t="s">
        <v>1444</v>
      </c>
      <c r="F175" s="346" t="s">
        <v>1421</v>
      </c>
      <c r="G175" s="346"/>
      <c r="H175" s="346" t="s">
        <v>573</v>
      </c>
      <c r="I175" s="616" t="s">
        <v>965</v>
      </c>
      <c r="J175" s="346" t="s">
        <v>878</v>
      </c>
      <c r="K175" s="346" t="s">
        <v>872</v>
      </c>
      <c r="L175" s="346" t="s">
        <v>1379</v>
      </c>
      <c r="M175" s="346" t="s">
        <v>1379</v>
      </c>
      <c r="N175" s="346" t="s">
        <v>1293</v>
      </c>
      <c r="O175" s="838"/>
      <c r="P175" s="838">
        <v>16</v>
      </c>
      <c r="Q175" s="838"/>
      <c r="R175" s="838">
        <v>16</v>
      </c>
      <c r="S175" s="838">
        <v>32</v>
      </c>
      <c r="T175" s="346" t="s">
        <v>874</v>
      </c>
      <c r="U175" s="346">
        <v>2022</v>
      </c>
      <c r="V175" s="46" t="s">
        <v>1489</v>
      </c>
    </row>
    <row r="176" spans="1:22">
      <c r="A176" s="17" t="str">
        <f t="shared" si="5"/>
        <v>UMass Chan Medical School3</v>
      </c>
      <c r="B176">
        <v>3</v>
      </c>
      <c r="C176" s="346" t="s">
        <v>700</v>
      </c>
      <c r="D176" s="826" t="s">
        <v>1443</v>
      </c>
      <c r="E176" s="346" t="s">
        <v>1444</v>
      </c>
      <c r="F176" s="346" t="s">
        <v>966</v>
      </c>
      <c r="G176" s="346"/>
      <c r="H176" s="346" t="s">
        <v>573</v>
      </c>
      <c r="I176" s="616" t="s">
        <v>965</v>
      </c>
      <c r="J176" s="346" t="s">
        <v>878</v>
      </c>
      <c r="K176" s="346" t="s">
        <v>872</v>
      </c>
      <c r="L176" s="346" t="s">
        <v>967</v>
      </c>
      <c r="M176" s="346" t="s">
        <v>967</v>
      </c>
      <c r="N176" s="346" t="s">
        <v>1293</v>
      </c>
      <c r="O176" s="838"/>
      <c r="P176" s="838">
        <v>4</v>
      </c>
      <c r="Q176" s="838"/>
      <c r="R176" s="838">
        <v>4</v>
      </c>
      <c r="S176" s="838">
        <v>8</v>
      </c>
      <c r="T176" s="346" t="s">
        <v>874</v>
      </c>
      <c r="U176" s="346">
        <v>2021</v>
      </c>
      <c r="V176" s="46" t="s">
        <v>1489</v>
      </c>
    </row>
    <row r="177" spans="1:22">
      <c r="A177" s="17" t="str">
        <f t="shared" si="5"/>
        <v>UMass Chan Medical School4</v>
      </c>
      <c r="B177">
        <v>4</v>
      </c>
      <c r="C177" s="346" t="s">
        <v>472</v>
      </c>
      <c r="D177" s="826" t="s">
        <v>1443</v>
      </c>
      <c r="E177" s="346" t="s">
        <v>2293</v>
      </c>
      <c r="F177" s="346" t="s">
        <v>2294</v>
      </c>
      <c r="G177" s="346" t="s">
        <v>2295</v>
      </c>
      <c r="H177" s="346" t="s">
        <v>573</v>
      </c>
      <c r="I177" s="616" t="s">
        <v>965</v>
      </c>
      <c r="J177" s="346" t="s">
        <v>878</v>
      </c>
      <c r="K177" s="346" t="s">
        <v>872</v>
      </c>
      <c r="L177" s="346" t="s">
        <v>909</v>
      </c>
      <c r="M177" s="346" t="s">
        <v>2384</v>
      </c>
      <c r="N177" s="346"/>
      <c r="O177" s="838"/>
      <c r="P177" s="838">
        <v>8</v>
      </c>
      <c r="Q177" s="838"/>
      <c r="R177" s="838">
        <v>8</v>
      </c>
      <c r="S177" s="838">
        <v>16</v>
      </c>
      <c r="T177" s="346" t="s">
        <v>874</v>
      </c>
      <c r="U177" s="346">
        <v>2024</v>
      </c>
      <c r="V177" t="s">
        <v>1489</v>
      </c>
    </row>
    <row r="178" spans="1:22">
      <c r="A178" s="17" t="str">
        <f t="shared" si="5"/>
        <v>UMass Dartmouth1</v>
      </c>
      <c r="B178">
        <v>1</v>
      </c>
      <c r="C178" s="346" t="s">
        <v>700</v>
      </c>
      <c r="D178" s="826" t="s">
        <v>229</v>
      </c>
      <c r="E178" s="346" t="s">
        <v>957</v>
      </c>
      <c r="F178" s="831" t="s">
        <v>709</v>
      </c>
      <c r="G178" s="346" t="s">
        <v>958</v>
      </c>
      <c r="H178" s="346" t="s">
        <v>710</v>
      </c>
      <c r="I178" s="616" t="s">
        <v>959</v>
      </c>
      <c r="J178" s="346" t="s">
        <v>889</v>
      </c>
      <c r="K178" s="346" t="s">
        <v>872</v>
      </c>
      <c r="L178" s="346" t="s">
        <v>873</v>
      </c>
      <c r="M178" s="346" t="s">
        <v>873</v>
      </c>
      <c r="N178" s="346" t="s">
        <v>1293</v>
      </c>
      <c r="O178" s="838"/>
      <c r="P178" s="838">
        <v>1</v>
      </c>
      <c r="Q178" s="838"/>
      <c r="R178" s="838">
        <v>1</v>
      </c>
      <c r="S178" s="838">
        <v>2</v>
      </c>
      <c r="T178" s="346" t="s">
        <v>874</v>
      </c>
      <c r="U178" s="346">
        <v>2016</v>
      </c>
      <c r="V178" s="46" t="s">
        <v>1489</v>
      </c>
    </row>
    <row r="179" spans="1:22">
      <c r="A179" s="17" t="str">
        <f t="shared" si="5"/>
        <v>UMass Dartmouth2</v>
      </c>
      <c r="B179" s="46">
        <v>2</v>
      </c>
      <c r="C179" s="346" t="s">
        <v>700</v>
      </c>
      <c r="D179" s="826" t="s">
        <v>229</v>
      </c>
      <c r="E179" s="346" t="s">
        <v>957</v>
      </c>
      <c r="F179" s="831" t="s">
        <v>2230</v>
      </c>
      <c r="G179" s="826" t="s">
        <v>960</v>
      </c>
      <c r="H179" s="346" t="s">
        <v>961</v>
      </c>
      <c r="I179" s="616" t="s">
        <v>2231</v>
      </c>
      <c r="J179" s="346" t="s">
        <v>889</v>
      </c>
      <c r="K179" s="346" t="s">
        <v>872</v>
      </c>
      <c r="L179" s="346" t="s">
        <v>873</v>
      </c>
      <c r="M179" s="346" t="s">
        <v>873</v>
      </c>
      <c r="N179" s="346" t="s">
        <v>1293</v>
      </c>
      <c r="O179" s="838"/>
      <c r="P179" s="838">
        <v>3</v>
      </c>
      <c r="Q179" s="838"/>
      <c r="R179" s="838">
        <v>3</v>
      </c>
      <c r="S179" s="838">
        <v>5</v>
      </c>
      <c r="T179" s="346" t="s">
        <v>874</v>
      </c>
      <c r="U179" s="346">
        <v>2017</v>
      </c>
      <c r="V179" s="46" t="s">
        <v>2386</v>
      </c>
    </row>
    <row r="180" spans="1:22">
      <c r="A180" s="17" t="str">
        <f t="shared" si="5"/>
        <v>UMass Lowell1</v>
      </c>
      <c r="B180">
        <v>1</v>
      </c>
      <c r="C180" s="346" t="s">
        <v>700</v>
      </c>
      <c r="D180" s="826" t="s">
        <v>234</v>
      </c>
      <c r="E180" s="346" t="s">
        <v>962</v>
      </c>
      <c r="F180" s="346" t="s">
        <v>2232</v>
      </c>
      <c r="G180" s="346" t="s">
        <v>1422</v>
      </c>
      <c r="H180" s="346" t="s">
        <v>723</v>
      </c>
      <c r="I180" s="616" t="s">
        <v>963</v>
      </c>
      <c r="J180" s="346" t="s">
        <v>878</v>
      </c>
      <c r="K180" s="346" t="s">
        <v>872</v>
      </c>
      <c r="L180" s="346" t="s">
        <v>873</v>
      </c>
      <c r="M180" s="346" t="s">
        <v>873</v>
      </c>
      <c r="N180" s="346" t="s">
        <v>1293</v>
      </c>
      <c r="O180" s="838"/>
      <c r="P180" s="838">
        <v>1</v>
      </c>
      <c r="Q180" s="838"/>
      <c r="R180" s="838">
        <v>1</v>
      </c>
      <c r="S180" s="838">
        <v>2</v>
      </c>
      <c r="T180" s="346" t="s">
        <v>874</v>
      </c>
      <c r="U180" s="346">
        <v>2020</v>
      </c>
      <c r="V180" s="46" t="s">
        <v>1489</v>
      </c>
    </row>
    <row r="181" spans="1:22">
      <c r="A181" s="17" t="str">
        <f t="shared" si="5"/>
        <v>UMass Lowell2</v>
      </c>
      <c r="B181" s="46">
        <v>2</v>
      </c>
      <c r="C181" s="346" t="s">
        <v>700</v>
      </c>
      <c r="D181" s="826" t="s">
        <v>234</v>
      </c>
      <c r="E181" s="346" t="s">
        <v>962</v>
      </c>
      <c r="F181" s="346" t="s">
        <v>2232</v>
      </c>
      <c r="G181" s="346" t="s">
        <v>1423</v>
      </c>
      <c r="H181" s="346" t="s">
        <v>723</v>
      </c>
      <c r="I181" s="616" t="s">
        <v>963</v>
      </c>
      <c r="J181" s="346" t="s">
        <v>878</v>
      </c>
      <c r="K181" s="346" t="s">
        <v>872</v>
      </c>
      <c r="L181" s="346" t="s">
        <v>873</v>
      </c>
      <c r="M181" s="346" t="s">
        <v>873</v>
      </c>
      <c r="N181" s="346" t="s">
        <v>1293</v>
      </c>
      <c r="O181" s="838"/>
      <c r="P181" s="838">
        <v>1</v>
      </c>
      <c r="Q181" s="838"/>
      <c r="R181" s="838">
        <v>1</v>
      </c>
      <c r="S181" s="838">
        <v>2</v>
      </c>
      <c r="T181" s="346" t="s">
        <v>874</v>
      </c>
      <c r="U181" s="346">
        <v>2020</v>
      </c>
      <c r="V181" s="46" t="s">
        <v>1489</v>
      </c>
    </row>
    <row r="182" spans="1:22">
      <c r="A182" s="17" t="str">
        <f t="shared" si="5"/>
        <v>UMass Lowell3</v>
      </c>
      <c r="B182">
        <v>3</v>
      </c>
      <c r="C182" s="346" t="s">
        <v>700</v>
      </c>
      <c r="D182" s="826" t="s">
        <v>234</v>
      </c>
      <c r="E182" s="346" t="s">
        <v>962</v>
      </c>
      <c r="F182" s="346" t="s">
        <v>1424</v>
      </c>
      <c r="G182" s="346" t="s">
        <v>2233</v>
      </c>
      <c r="H182" s="346" t="s">
        <v>723</v>
      </c>
      <c r="I182" s="616" t="s">
        <v>963</v>
      </c>
      <c r="J182" s="346" t="s">
        <v>878</v>
      </c>
      <c r="K182" s="346" t="s">
        <v>872</v>
      </c>
      <c r="L182" s="346" t="s">
        <v>873</v>
      </c>
      <c r="M182" s="346" t="s">
        <v>873</v>
      </c>
      <c r="N182" s="346" t="s">
        <v>1293</v>
      </c>
      <c r="O182" s="838"/>
      <c r="P182" s="838">
        <v>1</v>
      </c>
      <c r="Q182" s="838"/>
      <c r="R182" s="838">
        <v>1</v>
      </c>
      <c r="S182" s="838">
        <v>2</v>
      </c>
      <c r="T182" s="346" t="s">
        <v>874</v>
      </c>
      <c r="U182" s="346">
        <v>2017</v>
      </c>
      <c r="V182" s="46" t="s">
        <v>1489</v>
      </c>
    </row>
    <row r="183" spans="1:22">
      <c r="A183" s="17" t="str">
        <f t="shared" si="5"/>
        <v>UMass Lowell4</v>
      </c>
      <c r="B183" s="46">
        <v>4</v>
      </c>
      <c r="C183" s="346" t="s">
        <v>700</v>
      </c>
      <c r="D183" s="826" t="s">
        <v>234</v>
      </c>
      <c r="E183" s="346" t="s">
        <v>962</v>
      </c>
      <c r="F183" s="346" t="s">
        <v>1425</v>
      </c>
      <c r="G183" s="346" t="s">
        <v>1426</v>
      </c>
      <c r="H183" s="346" t="s">
        <v>723</v>
      </c>
      <c r="I183" s="616" t="s">
        <v>963</v>
      </c>
      <c r="J183" s="346" t="s">
        <v>878</v>
      </c>
      <c r="K183" s="346" t="s">
        <v>872</v>
      </c>
      <c r="L183" s="346" t="s">
        <v>873</v>
      </c>
      <c r="M183" s="346" t="s">
        <v>873</v>
      </c>
      <c r="N183" s="346" t="s">
        <v>1293</v>
      </c>
      <c r="O183" s="838"/>
      <c r="P183" s="838">
        <v>1</v>
      </c>
      <c r="Q183" s="838"/>
      <c r="R183" s="838">
        <v>1</v>
      </c>
      <c r="S183" s="838">
        <v>2</v>
      </c>
      <c r="T183" s="346" t="s">
        <v>874</v>
      </c>
      <c r="U183" s="346">
        <v>2020</v>
      </c>
      <c r="V183" s="46" t="s">
        <v>1489</v>
      </c>
    </row>
    <row r="184" spans="1:22">
      <c r="A184" s="17" t="str">
        <f t="shared" si="5"/>
        <v>UMass Lowell5</v>
      </c>
      <c r="B184">
        <v>5</v>
      </c>
      <c r="C184" s="346" t="s">
        <v>700</v>
      </c>
      <c r="D184" s="826" t="s">
        <v>234</v>
      </c>
      <c r="E184" s="346" t="s">
        <v>962</v>
      </c>
      <c r="F184" s="346" t="s">
        <v>1427</v>
      </c>
      <c r="G184" s="346" t="s">
        <v>1428</v>
      </c>
      <c r="H184" s="346" t="s">
        <v>723</v>
      </c>
      <c r="I184" s="616" t="s">
        <v>963</v>
      </c>
      <c r="J184" s="346" t="s">
        <v>878</v>
      </c>
      <c r="K184" s="346" t="s">
        <v>872</v>
      </c>
      <c r="L184" s="346" t="s">
        <v>873</v>
      </c>
      <c r="M184" s="346" t="s">
        <v>873</v>
      </c>
      <c r="N184" s="346" t="s">
        <v>1293</v>
      </c>
      <c r="O184" s="838"/>
      <c r="P184" s="838">
        <v>1</v>
      </c>
      <c r="Q184" s="838"/>
      <c r="R184" s="838">
        <v>1</v>
      </c>
      <c r="S184" s="838">
        <v>2</v>
      </c>
      <c r="T184" s="346" t="s">
        <v>874</v>
      </c>
      <c r="U184" s="346">
        <v>2016</v>
      </c>
      <c r="V184" s="46" t="s">
        <v>1489</v>
      </c>
    </row>
    <row r="185" spans="1:22">
      <c r="A185" s="17" t="str">
        <f t="shared" si="5"/>
        <v>UMass Lowell6</v>
      </c>
      <c r="B185" s="46">
        <v>6</v>
      </c>
      <c r="C185" s="346" t="s">
        <v>700</v>
      </c>
      <c r="D185" s="826" t="s">
        <v>234</v>
      </c>
      <c r="E185" s="346" t="s">
        <v>962</v>
      </c>
      <c r="F185" s="346" t="s">
        <v>1427</v>
      </c>
      <c r="G185" s="346" t="s">
        <v>1429</v>
      </c>
      <c r="H185" s="346" t="s">
        <v>723</v>
      </c>
      <c r="I185" s="616" t="s">
        <v>963</v>
      </c>
      <c r="J185" s="346" t="s">
        <v>878</v>
      </c>
      <c r="K185" s="346" t="s">
        <v>872</v>
      </c>
      <c r="L185" s="346" t="s">
        <v>873</v>
      </c>
      <c r="M185" s="346" t="s">
        <v>873</v>
      </c>
      <c r="N185" s="346" t="s">
        <v>1293</v>
      </c>
      <c r="O185" s="838"/>
      <c r="P185" s="838">
        <v>1</v>
      </c>
      <c r="Q185" s="838"/>
      <c r="R185" s="838">
        <v>1</v>
      </c>
      <c r="S185" s="838">
        <v>2</v>
      </c>
      <c r="T185" s="346" t="s">
        <v>874</v>
      </c>
      <c r="U185" s="346">
        <v>2015</v>
      </c>
      <c r="V185" s="46" t="s">
        <v>1489</v>
      </c>
    </row>
    <row r="186" spans="1:22">
      <c r="A186" s="17" t="str">
        <f t="shared" si="5"/>
        <v>UMass Lowell7</v>
      </c>
      <c r="B186">
        <v>7</v>
      </c>
      <c r="C186" s="346" t="s">
        <v>700</v>
      </c>
      <c r="D186" s="826" t="s">
        <v>234</v>
      </c>
      <c r="E186" s="346" t="s">
        <v>962</v>
      </c>
      <c r="F186" s="346" t="s">
        <v>1430</v>
      </c>
      <c r="G186" s="826" t="s">
        <v>2234</v>
      </c>
      <c r="H186" s="346" t="s">
        <v>723</v>
      </c>
      <c r="I186" s="616" t="s">
        <v>963</v>
      </c>
      <c r="J186" s="346" t="s">
        <v>878</v>
      </c>
      <c r="K186" s="346" t="s">
        <v>872</v>
      </c>
      <c r="L186" s="346" t="s">
        <v>873</v>
      </c>
      <c r="M186" s="346" t="s">
        <v>873</v>
      </c>
      <c r="N186" s="346" t="s">
        <v>1293</v>
      </c>
      <c r="O186" s="838"/>
      <c r="P186" s="838">
        <v>1</v>
      </c>
      <c r="Q186" s="838"/>
      <c r="R186" s="838">
        <v>1</v>
      </c>
      <c r="S186" s="838">
        <v>2</v>
      </c>
      <c r="T186" s="346" t="s">
        <v>874</v>
      </c>
      <c r="U186" s="346">
        <v>2016</v>
      </c>
      <c r="V186" s="46" t="s">
        <v>1489</v>
      </c>
    </row>
    <row r="187" spans="1:22">
      <c r="A187" s="17" t="str">
        <f t="shared" si="5"/>
        <v>UMass Lowell8</v>
      </c>
      <c r="B187" s="46">
        <v>8</v>
      </c>
      <c r="C187" s="346" t="s">
        <v>700</v>
      </c>
      <c r="D187" s="826" t="s">
        <v>234</v>
      </c>
      <c r="E187" s="346" t="s">
        <v>962</v>
      </c>
      <c r="F187" s="826" t="s">
        <v>1431</v>
      </c>
      <c r="G187" s="826"/>
      <c r="H187" s="346" t="s">
        <v>723</v>
      </c>
      <c r="I187" s="616" t="s">
        <v>963</v>
      </c>
      <c r="J187" s="346" t="s">
        <v>878</v>
      </c>
      <c r="K187" s="346" t="s">
        <v>872</v>
      </c>
      <c r="L187" s="346" t="s">
        <v>873</v>
      </c>
      <c r="M187" s="346" t="s">
        <v>873</v>
      </c>
      <c r="N187" s="346" t="s">
        <v>1293</v>
      </c>
      <c r="O187" s="838"/>
      <c r="P187" s="838">
        <v>1</v>
      </c>
      <c r="Q187" s="838"/>
      <c r="R187" s="838">
        <v>1</v>
      </c>
      <c r="S187" s="838">
        <v>2</v>
      </c>
      <c r="T187" s="346" t="s">
        <v>874</v>
      </c>
      <c r="U187" s="346">
        <v>2015</v>
      </c>
      <c r="V187" s="46" t="s">
        <v>1489</v>
      </c>
    </row>
    <row r="188" spans="1:22">
      <c r="A188" s="17" t="str">
        <f t="shared" si="5"/>
        <v>UMass Lowell9</v>
      </c>
      <c r="B188">
        <v>9</v>
      </c>
      <c r="C188" s="346" t="s">
        <v>700</v>
      </c>
      <c r="D188" s="826" t="s">
        <v>234</v>
      </c>
      <c r="E188" s="346" t="s">
        <v>962</v>
      </c>
      <c r="F188" s="826" t="s">
        <v>1432</v>
      </c>
      <c r="G188" s="826" t="s">
        <v>1433</v>
      </c>
      <c r="H188" s="346" t="s">
        <v>723</v>
      </c>
      <c r="I188" s="616" t="s">
        <v>963</v>
      </c>
      <c r="J188" s="346" t="s">
        <v>878</v>
      </c>
      <c r="K188" s="346" t="s">
        <v>872</v>
      </c>
      <c r="L188" s="346" t="s">
        <v>873</v>
      </c>
      <c r="M188" s="346" t="s">
        <v>873</v>
      </c>
      <c r="N188" s="346" t="s">
        <v>1293</v>
      </c>
      <c r="O188" s="838"/>
      <c r="P188" s="838">
        <v>1</v>
      </c>
      <c r="Q188" s="838"/>
      <c r="R188" s="838">
        <v>1</v>
      </c>
      <c r="S188" s="838">
        <v>2</v>
      </c>
      <c r="T188" s="346" t="s">
        <v>874</v>
      </c>
      <c r="U188" s="346">
        <v>2020</v>
      </c>
      <c r="V188" s="46" t="s">
        <v>1489</v>
      </c>
    </row>
    <row r="189" spans="1:22">
      <c r="A189" s="17" t="str">
        <f t="shared" si="5"/>
        <v>UMass Lowell10</v>
      </c>
      <c r="B189" s="46">
        <v>10</v>
      </c>
      <c r="C189" s="346" t="s">
        <v>700</v>
      </c>
      <c r="D189" s="826" t="s">
        <v>234</v>
      </c>
      <c r="E189" s="346" t="s">
        <v>962</v>
      </c>
      <c r="F189" s="346" t="s">
        <v>1434</v>
      </c>
      <c r="G189" s="346" t="s">
        <v>1435</v>
      </c>
      <c r="H189" s="346" t="s">
        <v>723</v>
      </c>
      <c r="I189" s="616" t="s">
        <v>963</v>
      </c>
      <c r="J189" s="346" t="s">
        <v>878</v>
      </c>
      <c r="K189" s="346" t="s">
        <v>872</v>
      </c>
      <c r="L189" s="346" t="s">
        <v>873</v>
      </c>
      <c r="M189" s="346" t="s">
        <v>873</v>
      </c>
      <c r="N189" s="346" t="s">
        <v>1293</v>
      </c>
      <c r="O189" s="838"/>
      <c r="P189" s="838">
        <v>1</v>
      </c>
      <c r="Q189" s="838"/>
      <c r="R189" s="838">
        <v>1</v>
      </c>
      <c r="S189" s="838">
        <v>2</v>
      </c>
      <c r="T189" s="346" t="s">
        <v>874</v>
      </c>
      <c r="U189" s="346">
        <v>2015</v>
      </c>
      <c r="V189" s="46" t="s">
        <v>1489</v>
      </c>
    </row>
    <row r="190" spans="1:22">
      <c r="A190" s="17" t="str">
        <f t="shared" si="5"/>
        <v>UMass Lowell11</v>
      </c>
      <c r="B190">
        <v>11</v>
      </c>
      <c r="C190" s="346" t="s">
        <v>700</v>
      </c>
      <c r="D190" s="826" t="s">
        <v>234</v>
      </c>
      <c r="E190" s="346" t="s">
        <v>962</v>
      </c>
      <c r="F190" s="346" t="s">
        <v>1436</v>
      </c>
      <c r="G190" s="346" t="s">
        <v>1437</v>
      </c>
      <c r="H190" s="346" t="s">
        <v>723</v>
      </c>
      <c r="I190" s="616" t="s">
        <v>963</v>
      </c>
      <c r="J190" s="346" t="s">
        <v>878</v>
      </c>
      <c r="K190" s="346" t="s">
        <v>872</v>
      </c>
      <c r="L190" s="346" t="s">
        <v>873</v>
      </c>
      <c r="M190" s="346" t="s">
        <v>873</v>
      </c>
      <c r="N190" s="346" t="s">
        <v>1293</v>
      </c>
      <c r="O190" s="838"/>
      <c r="P190" s="838">
        <v>1</v>
      </c>
      <c r="Q190" s="838"/>
      <c r="R190" s="838">
        <v>1</v>
      </c>
      <c r="S190" s="838">
        <v>2</v>
      </c>
      <c r="T190" s="346" t="s">
        <v>874</v>
      </c>
      <c r="U190" s="346">
        <v>2020</v>
      </c>
      <c r="V190" s="46" t="s">
        <v>1489</v>
      </c>
    </row>
    <row r="191" spans="1:22">
      <c r="A191" s="17" t="str">
        <f t="shared" si="5"/>
        <v>UMass Lowell12</v>
      </c>
      <c r="B191" s="46">
        <v>12</v>
      </c>
      <c r="C191" s="346" t="s">
        <v>700</v>
      </c>
      <c r="D191" s="826" t="s">
        <v>234</v>
      </c>
      <c r="E191" s="346" t="s">
        <v>962</v>
      </c>
      <c r="F191" s="346" t="s">
        <v>1436</v>
      </c>
      <c r="G191" s="346" t="s">
        <v>1438</v>
      </c>
      <c r="H191" s="346" t="s">
        <v>723</v>
      </c>
      <c r="I191" s="616" t="s">
        <v>963</v>
      </c>
      <c r="J191" s="346" t="s">
        <v>878</v>
      </c>
      <c r="K191" s="346" t="s">
        <v>872</v>
      </c>
      <c r="L191" s="346" t="s">
        <v>873</v>
      </c>
      <c r="M191" s="346" t="s">
        <v>873</v>
      </c>
      <c r="N191" s="346" t="s">
        <v>1293</v>
      </c>
      <c r="O191" s="838"/>
      <c r="P191" s="838">
        <v>1</v>
      </c>
      <c r="Q191" s="838"/>
      <c r="R191" s="838">
        <v>1</v>
      </c>
      <c r="S191" s="838">
        <v>2</v>
      </c>
      <c r="T191" s="346" t="s">
        <v>874</v>
      </c>
      <c r="U191" s="346">
        <v>2020</v>
      </c>
      <c r="V191" s="46" t="s">
        <v>1489</v>
      </c>
    </row>
    <row r="192" spans="1:22">
      <c r="A192" s="17" t="str">
        <f t="shared" si="5"/>
        <v>UMass Lowell13</v>
      </c>
      <c r="B192">
        <v>13</v>
      </c>
      <c r="C192" s="346" t="s">
        <v>700</v>
      </c>
      <c r="D192" s="826" t="s">
        <v>234</v>
      </c>
      <c r="E192" s="346" t="s">
        <v>962</v>
      </c>
      <c r="F192" s="826" t="s">
        <v>1439</v>
      </c>
      <c r="G192" s="826" t="s">
        <v>1440</v>
      </c>
      <c r="H192" s="346" t="s">
        <v>723</v>
      </c>
      <c r="I192" s="616" t="s">
        <v>963</v>
      </c>
      <c r="J192" s="346" t="s">
        <v>878</v>
      </c>
      <c r="K192" s="346" t="s">
        <v>872</v>
      </c>
      <c r="L192" s="346" t="s">
        <v>873</v>
      </c>
      <c r="M192" s="346" t="s">
        <v>873</v>
      </c>
      <c r="N192" s="346" t="s">
        <v>1293</v>
      </c>
      <c r="O192" s="838"/>
      <c r="P192" s="838">
        <v>1</v>
      </c>
      <c r="Q192" s="838"/>
      <c r="R192" s="838">
        <v>1</v>
      </c>
      <c r="S192" s="838">
        <v>2</v>
      </c>
      <c r="T192" s="346" t="s">
        <v>874</v>
      </c>
      <c r="U192" s="346">
        <v>2015</v>
      </c>
      <c r="V192" s="46" t="s">
        <v>1489</v>
      </c>
    </row>
    <row r="193" spans="1:22">
      <c r="A193" s="17" t="str">
        <f t="shared" si="5"/>
        <v>UMass Lowell14</v>
      </c>
      <c r="B193" s="46">
        <v>14</v>
      </c>
      <c r="C193" s="346" t="s">
        <v>700</v>
      </c>
      <c r="D193" s="826" t="s">
        <v>234</v>
      </c>
      <c r="E193" s="346" t="s">
        <v>962</v>
      </c>
      <c r="F193" s="826" t="s">
        <v>2235</v>
      </c>
      <c r="G193" s="826" t="s">
        <v>1441</v>
      </c>
      <c r="H193" s="346" t="s">
        <v>723</v>
      </c>
      <c r="I193" s="616" t="s">
        <v>963</v>
      </c>
      <c r="J193" s="346" t="s">
        <v>878</v>
      </c>
      <c r="K193" s="346" t="s">
        <v>872</v>
      </c>
      <c r="L193" s="346" t="s">
        <v>873</v>
      </c>
      <c r="M193" s="346" t="s">
        <v>873</v>
      </c>
      <c r="N193" s="346" t="s">
        <v>1293</v>
      </c>
      <c r="O193" s="838"/>
      <c r="P193" s="838">
        <v>1</v>
      </c>
      <c r="Q193" s="838"/>
      <c r="R193" s="838">
        <v>1</v>
      </c>
      <c r="S193" s="838">
        <v>2</v>
      </c>
      <c r="T193" s="346" t="s">
        <v>874</v>
      </c>
      <c r="U193" s="346">
        <v>2020</v>
      </c>
      <c r="V193" s="46" t="s">
        <v>1489</v>
      </c>
    </row>
    <row r="194" spans="1:22">
      <c r="A194" s="17" t="str">
        <f t="shared" ref="A194:A199" si="6">D194&amp;B194</f>
        <v>UMass Lowell15</v>
      </c>
      <c r="B194">
        <v>15</v>
      </c>
      <c r="C194" s="346" t="s">
        <v>700</v>
      </c>
      <c r="D194" s="826" t="s">
        <v>234</v>
      </c>
      <c r="E194" s="346" t="s">
        <v>962</v>
      </c>
      <c r="F194" s="826" t="s">
        <v>1436</v>
      </c>
      <c r="G194" s="826" t="s">
        <v>1442</v>
      </c>
      <c r="H194" s="346" t="s">
        <v>723</v>
      </c>
      <c r="I194" s="616" t="s">
        <v>963</v>
      </c>
      <c r="J194" s="346" t="s">
        <v>878</v>
      </c>
      <c r="K194" s="346" t="s">
        <v>872</v>
      </c>
      <c r="L194" s="346" t="s">
        <v>873</v>
      </c>
      <c r="M194" s="346" t="s">
        <v>873</v>
      </c>
      <c r="N194" s="346"/>
      <c r="O194" s="838"/>
      <c r="P194" s="838">
        <v>5</v>
      </c>
      <c r="Q194" s="838"/>
      <c r="R194" s="838">
        <v>5</v>
      </c>
      <c r="S194" s="838">
        <v>10</v>
      </c>
      <c r="T194" s="346" t="s">
        <v>874</v>
      </c>
      <c r="U194" s="346">
        <v>2022</v>
      </c>
      <c r="V194" s="46" t="s">
        <v>1489</v>
      </c>
    </row>
    <row r="195" spans="1:22">
      <c r="A195" s="17" t="str">
        <f t="shared" si="6"/>
        <v>Westfield State University1</v>
      </c>
      <c r="B195" s="46">
        <v>1</v>
      </c>
      <c r="C195" s="361" t="s">
        <v>472</v>
      </c>
      <c r="D195" s="837" t="s">
        <v>244</v>
      </c>
      <c r="E195" s="361" t="s">
        <v>244</v>
      </c>
      <c r="F195" s="361" t="s">
        <v>2380</v>
      </c>
      <c r="G195" s="361"/>
      <c r="H195" s="361" t="s">
        <v>735</v>
      </c>
      <c r="I195" s="616" t="s">
        <v>2332</v>
      </c>
      <c r="J195" s="361"/>
      <c r="K195" s="361" t="s">
        <v>872</v>
      </c>
      <c r="L195" s="361" t="s">
        <v>909</v>
      </c>
      <c r="M195" s="361" t="s">
        <v>2384</v>
      </c>
      <c r="N195" s="361"/>
      <c r="O195" s="361"/>
      <c r="P195" s="361">
        <v>2</v>
      </c>
      <c r="Q195" s="361"/>
      <c r="R195" s="361">
        <v>2</v>
      </c>
      <c r="S195" s="361">
        <v>4</v>
      </c>
      <c r="T195" s="346" t="s">
        <v>874</v>
      </c>
      <c r="U195" s="361">
        <v>2024</v>
      </c>
      <c r="V195" t="s">
        <v>1489</v>
      </c>
    </row>
    <row r="196" spans="1:22">
      <c r="A196" s="17" t="str">
        <f t="shared" si="6"/>
        <v>Worcester State University1</v>
      </c>
      <c r="B196">
        <v>1</v>
      </c>
      <c r="C196" s="346" t="s">
        <v>472</v>
      </c>
      <c r="D196" s="826" t="s">
        <v>249</v>
      </c>
      <c r="E196" s="346" t="s">
        <v>968</v>
      </c>
      <c r="F196" s="346" t="s">
        <v>969</v>
      </c>
      <c r="G196" s="346" t="s">
        <v>2236</v>
      </c>
      <c r="H196" s="346" t="s">
        <v>573</v>
      </c>
      <c r="I196" s="616" t="s">
        <v>970</v>
      </c>
      <c r="J196" s="346" t="s">
        <v>878</v>
      </c>
      <c r="K196" s="346" t="s">
        <v>872</v>
      </c>
      <c r="L196" s="346" t="s">
        <v>873</v>
      </c>
      <c r="M196" s="346" t="s">
        <v>873</v>
      </c>
      <c r="N196" s="346" t="s">
        <v>1293</v>
      </c>
      <c r="O196" s="838"/>
      <c r="P196" s="838">
        <v>1</v>
      </c>
      <c r="Q196" s="838"/>
      <c r="R196" s="838">
        <v>1</v>
      </c>
      <c r="S196" s="838">
        <v>2</v>
      </c>
      <c r="T196" s="346" t="s">
        <v>874</v>
      </c>
      <c r="U196" s="346">
        <v>2015</v>
      </c>
      <c r="V196" s="46" t="s">
        <v>1489</v>
      </c>
    </row>
    <row r="197" spans="1:22">
      <c r="A197" s="17" t="str">
        <f t="shared" si="6"/>
        <v>Worcester State University2</v>
      </c>
      <c r="B197">
        <v>2</v>
      </c>
      <c r="C197" s="346" t="s">
        <v>472</v>
      </c>
      <c r="D197" s="826" t="s">
        <v>249</v>
      </c>
      <c r="E197" s="346" t="s">
        <v>968</v>
      </c>
      <c r="F197" s="346" t="s">
        <v>969</v>
      </c>
      <c r="G197" s="346" t="s">
        <v>1445</v>
      </c>
      <c r="H197" s="346" t="s">
        <v>573</v>
      </c>
      <c r="I197" s="616" t="s">
        <v>970</v>
      </c>
      <c r="J197" s="346" t="s">
        <v>878</v>
      </c>
      <c r="K197" s="346" t="s">
        <v>872</v>
      </c>
      <c r="L197" s="346" t="s">
        <v>873</v>
      </c>
      <c r="M197" s="346" t="s">
        <v>873</v>
      </c>
      <c r="N197" s="346" t="s">
        <v>1293</v>
      </c>
      <c r="O197" s="838"/>
      <c r="P197" s="838">
        <v>2</v>
      </c>
      <c r="Q197" s="838"/>
      <c r="R197" s="838">
        <v>2</v>
      </c>
      <c r="S197" s="838">
        <v>4</v>
      </c>
      <c r="T197" s="346" t="s">
        <v>874</v>
      </c>
      <c r="U197" s="346">
        <v>2020</v>
      </c>
      <c r="V197" t="s">
        <v>1489</v>
      </c>
    </row>
    <row r="198" spans="1:22">
      <c r="A198" s="17" t="str">
        <f t="shared" si="6"/>
        <v>Worcester State University3</v>
      </c>
      <c r="B198">
        <v>3</v>
      </c>
      <c r="C198" s="346" t="s">
        <v>472</v>
      </c>
      <c r="D198" s="826" t="s">
        <v>249</v>
      </c>
      <c r="E198" s="346" t="s">
        <v>968</v>
      </c>
      <c r="F198" s="346" t="s">
        <v>969</v>
      </c>
      <c r="G198" s="346" t="s">
        <v>1446</v>
      </c>
      <c r="H198" s="346" t="s">
        <v>573</v>
      </c>
      <c r="I198" s="616" t="s">
        <v>970</v>
      </c>
      <c r="J198" s="346" t="s">
        <v>878</v>
      </c>
      <c r="K198" s="346" t="s">
        <v>872</v>
      </c>
      <c r="L198" s="346" t="s">
        <v>873</v>
      </c>
      <c r="M198" s="346" t="s">
        <v>873</v>
      </c>
      <c r="N198" s="346" t="s">
        <v>1293</v>
      </c>
      <c r="O198" s="838"/>
      <c r="P198" s="838">
        <v>1</v>
      </c>
      <c r="Q198" s="838"/>
      <c r="R198" s="838">
        <v>1</v>
      </c>
      <c r="S198" s="838">
        <v>2</v>
      </c>
      <c r="T198" s="346" t="s">
        <v>874</v>
      </c>
      <c r="U198" s="346">
        <v>2018</v>
      </c>
      <c r="V198" s="46" t="s">
        <v>1489</v>
      </c>
    </row>
    <row r="199" spans="1:22">
      <c r="A199" s="17" t="str">
        <f t="shared" si="6"/>
        <v>Worcester State University4</v>
      </c>
      <c r="B199">
        <v>4</v>
      </c>
      <c r="C199" s="346" t="s">
        <v>472</v>
      </c>
      <c r="D199" s="826" t="s">
        <v>249</v>
      </c>
      <c r="E199" s="346" t="s">
        <v>968</v>
      </c>
      <c r="F199" s="346" t="s">
        <v>969</v>
      </c>
      <c r="G199" s="346" t="s">
        <v>1448</v>
      </c>
      <c r="H199" s="346" t="s">
        <v>573</v>
      </c>
      <c r="I199" s="616" t="s">
        <v>970</v>
      </c>
      <c r="J199" s="346" t="s">
        <v>878</v>
      </c>
      <c r="K199" s="346" t="s">
        <v>872</v>
      </c>
      <c r="L199" s="346" t="s">
        <v>873</v>
      </c>
      <c r="M199" s="346" t="s">
        <v>873</v>
      </c>
      <c r="N199" s="346" t="s">
        <v>1293</v>
      </c>
      <c r="O199" s="838"/>
      <c r="P199" s="838">
        <v>4</v>
      </c>
      <c r="Q199" s="838"/>
      <c r="R199" s="838">
        <v>4</v>
      </c>
      <c r="S199" s="838">
        <v>8</v>
      </c>
      <c r="T199" s="346" t="s">
        <v>874</v>
      </c>
      <c r="U199" s="346">
        <v>2021</v>
      </c>
      <c r="V199" s="46" t="s">
        <v>1489</v>
      </c>
    </row>
  </sheetData>
  <autoFilter ref="A1:V199" xr:uid="{00000000-0001-0000-1200-000000000000}"/>
  <sortState xmlns:xlrd2="http://schemas.microsoft.com/office/spreadsheetml/2017/richdata2" ref="A2:V199">
    <sortCondition ref="D2:D199"/>
  </sortState>
  <dataConsolidate/>
  <phoneticPr fontId="79"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R79"/>
  <sheetViews>
    <sheetView showGridLines="0" topLeftCell="A42" zoomScale="70" zoomScaleNormal="70" workbookViewId="0">
      <selection activeCell="B47" sqref="B47:L47"/>
    </sheetView>
  </sheetViews>
  <sheetFormatPr defaultColWidth="0" defaultRowHeight="15.5"/>
  <cols>
    <col min="1" max="1" width="1.453125" style="6" customWidth="1"/>
    <col min="2" max="2" width="10.453125" style="6" customWidth="1"/>
    <col min="3" max="3" width="65.1796875" style="6" customWidth="1"/>
    <col min="4" max="4" width="3" style="6" customWidth="1"/>
    <col min="5" max="5" width="27" style="6" customWidth="1"/>
    <col min="6" max="6" width="20.453125" style="172" customWidth="1"/>
    <col min="7" max="7" width="17.81640625" style="8" customWidth="1"/>
    <col min="8" max="8" width="23.1796875" style="6" customWidth="1"/>
    <col min="9" max="9" width="13.453125" style="6" customWidth="1"/>
    <col min="10" max="10" width="18" style="189" customWidth="1"/>
    <col min="11" max="11" width="20.81640625" style="189" customWidth="1"/>
    <col min="12" max="12" width="20.81640625" style="6" customWidth="1"/>
    <col min="13" max="13" width="9.1796875" style="6" customWidth="1"/>
    <col min="14" max="14" width="9.1796875" style="6" hidden="1" customWidth="1"/>
    <col min="15" max="16384" width="9.1796875" style="6" hidden="1"/>
  </cols>
  <sheetData>
    <row r="1" spans="2:18" hidden="1">
      <c r="B1" s="1212" t="s">
        <v>23</v>
      </c>
      <c r="C1" s="1212"/>
      <c r="D1" s="1212"/>
      <c r="E1" s="1212"/>
      <c r="F1" s="1212"/>
      <c r="G1" s="1212"/>
      <c r="H1" s="1212"/>
      <c r="I1" s="1212"/>
      <c r="J1" s="1212"/>
      <c r="K1" s="1212"/>
      <c r="L1" s="1212"/>
      <c r="M1" s="530"/>
      <c r="N1" s="530"/>
      <c r="O1" s="530"/>
      <c r="P1" s="530"/>
      <c r="Q1" s="530"/>
      <c r="R1" s="530"/>
    </row>
    <row r="2" spans="2:18" ht="15.75" customHeight="1">
      <c r="B2" s="1077" t="s">
        <v>389</v>
      </c>
      <c r="C2" s="1213" t="s">
        <v>390</v>
      </c>
      <c r="D2" s="1214"/>
      <c r="E2" s="1214"/>
      <c r="F2" s="1214"/>
      <c r="G2" s="1214"/>
      <c r="H2" s="1214"/>
      <c r="I2" s="1214"/>
      <c r="J2" s="1214"/>
      <c r="K2" s="1214"/>
      <c r="L2" s="1214"/>
      <c r="M2" s="15"/>
      <c r="N2" s="15"/>
      <c r="O2" s="15"/>
      <c r="P2" s="15"/>
      <c r="Q2" s="15"/>
      <c r="R2" s="15"/>
    </row>
    <row r="3" spans="2:18">
      <c r="B3" s="1077"/>
      <c r="C3" s="1213"/>
      <c r="D3" s="1214"/>
      <c r="E3" s="1214"/>
      <c r="F3" s="1214"/>
      <c r="G3" s="1214"/>
      <c r="H3" s="1214"/>
      <c r="I3" s="1214"/>
      <c r="J3" s="1214"/>
      <c r="K3" s="1214"/>
      <c r="L3" s="1214"/>
      <c r="M3" s="15"/>
      <c r="N3" s="15"/>
      <c r="O3" s="15"/>
      <c r="P3" s="15"/>
      <c r="Q3" s="15"/>
      <c r="R3" s="15"/>
    </row>
    <row r="4" spans="2:18" ht="15.75" customHeight="1">
      <c r="B4" s="1077"/>
      <c r="C4" s="1215" t="s">
        <v>391</v>
      </c>
      <c r="D4" s="1216"/>
      <c r="E4" s="1216"/>
      <c r="F4" s="1216"/>
      <c r="G4" s="1216"/>
      <c r="H4" s="1216"/>
      <c r="I4" s="1216"/>
      <c r="J4" s="1216"/>
      <c r="K4" s="1216"/>
      <c r="L4" s="1216"/>
      <c r="M4" s="15"/>
      <c r="N4" s="15"/>
      <c r="O4" s="15"/>
      <c r="P4" s="15"/>
      <c r="Q4" s="15"/>
      <c r="R4" s="15"/>
    </row>
    <row r="5" spans="2:18" ht="15.75" customHeight="1">
      <c r="B5" s="1077"/>
      <c r="C5" s="1061" t="s">
        <v>392</v>
      </c>
      <c r="D5" s="1062"/>
      <c r="E5" s="1062"/>
      <c r="F5" s="1062"/>
      <c r="G5" s="1062"/>
      <c r="H5" s="1062"/>
      <c r="I5" s="1062"/>
      <c r="J5" s="1062"/>
      <c r="K5" s="1062"/>
      <c r="L5" s="1062"/>
      <c r="M5" s="15"/>
      <c r="N5" s="15"/>
      <c r="O5" s="15"/>
      <c r="P5" s="15"/>
      <c r="Q5" s="15"/>
      <c r="R5" s="15"/>
    </row>
    <row r="6" spans="2:18" ht="18.75" customHeight="1">
      <c r="B6" s="530"/>
      <c r="C6" s="530"/>
      <c r="D6" s="530"/>
      <c r="E6" s="530"/>
      <c r="F6" s="540"/>
      <c r="G6" s="531"/>
      <c r="H6" s="530"/>
      <c r="I6" s="530"/>
      <c r="L6" s="530"/>
      <c r="M6" s="530"/>
      <c r="N6" s="530"/>
      <c r="O6" s="530"/>
      <c r="P6" s="530"/>
      <c r="Q6" s="530"/>
      <c r="R6" s="530"/>
    </row>
    <row r="7" spans="2:18" s="68" customFormat="1" ht="15" hidden="1" customHeight="1">
      <c r="B7" s="532"/>
      <c r="C7" s="532"/>
      <c r="D7" s="970" t="s">
        <v>27</v>
      </c>
      <c r="E7" s="970"/>
      <c r="F7" s="1199"/>
      <c r="G7" s="1197" t="str">
        <f>'Contact Information '!J9</f>
        <v>Please select your answer from the dropdown</v>
      </c>
      <c r="H7" s="1198"/>
      <c r="I7" s="585"/>
      <c r="J7" s="255"/>
      <c r="K7" s="255"/>
      <c r="L7" s="532"/>
      <c r="M7" s="532"/>
      <c r="N7" s="532"/>
      <c r="O7" s="532"/>
      <c r="P7" s="532"/>
      <c r="Q7" s="532"/>
      <c r="R7" s="532"/>
    </row>
    <row r="8" spans="2:18" ht="26.25" hidden="1" customHeight="1">
      <c r="B8" s="530"/>
      <c r="C8" s="530"/>
      <c r="D8" s="530"/>
      <c r="E8" s="530"/>
      <c r="F8" s="540"/>
      <c r="G8" s="530"/>
      <c r="H8" s="530"/>
      <c r="I8" s="530"/>
      <c r="L8" s="530"/>
      <c r="M8" s="530"/>
      <c r="N8" s="530"/>
      <c r="O8" s="530"/>
      <c r="P8" s="530"/>
      <c r="Q8" s="530"/>
      <c r="R8" s="530"/>
    </row>
    <row r="9" spans="2:18" ht="21">
      <c r="B9" s="1211" t="s">
        <v>393</v>
      </c>
      <c r="C9" s="1211"/>
      <c r="D9" s="1211"/>
      <c r="E9" s="1211"/>
      <c r="F9" s="1211"/>
      <c r="G9" s="1211"/>
      <c r="H9" s="1211"/>
      <c r="I9" s="1211"/>
      <c r="J9" s="1211"/>
      <c r="K9" s="1211"/>
      <c r="L9" s="1211"/>
      <c r="M9" s="530"/>
      <c r="N9" s="530"/>
      <c r="O9" s="530"/>
      <c r="P9" s="530"/>
      <c r="Q9" s="530"/>
      <c r="R9" s="530"/>
    </row>
    <row r="10" spans="2:18" ht="15.75" customHeight="1">
      <c r="B10" s="1200" t="s">
        <v>394</v>
      </c>
      <c r="C10" s="1218" t="s">
        <v>395</v>
      </c>
      <c r="D10" s="1218"/>
      <c r="E10" s="1218"/>
      <c r="F10" s="1218"/>
      <c r="G10" s="1218"/>
      <c r="H10" s="1218"/>
      <c r="I10" s="1218"/>
      <c r="J10" s="1218"/>
      <c r="K10" s="1218"/>
      <c r="L10" s="1218"/>
      <c r="M10" s="530"/>
      <c r="N10" s="530"/>
      <c r="O10" s="530"/>
      <c r="P10" s="530"/>
      <c r="Q10" s="530"/>
      <c r="R10" s="530"/>
    </row>
    <row r="11" spans="2:18" ht="17.25" customHeight="1" thickBot="1">
      <c r="B11" s="1200"/>
      <c r="C11" s="1218"/>
      <c r="D11" s="1218"/>
      <c r="E11" s="1218"/>
      <c r="F11" s="1218"/>
      <c r="G11" s="1218"/>
      <c r="H11" s="1218"/>
      <c r="I11" s="1218"/>
      <c r="J11" s="1218"/>
      <c r="K11" s="1218"/>
      <c r="L11" s="1218"/>
      <c r="M11" s="530"/>
      <c r="N11" s="530"/>
      <c r="O11" s="530"/>
      <c r="P11" s="530"/>
      <c r="Q11" s="530"/>
      <c r="R11" s="530"/>
    </row>
    <row r="12" spans="2:18" ht="17.25" customHeight="1">
      <c r="B12" s="1201" t="s">
        <v>396</v>
      </c>
      <c r="C12" s="1218" t="s">
        <v>397</v>
      </c>
      <c r="D12" s="1218"/>
      <c r="E12" s="1218"/>
      <c r="F12" s="1218"/>
      <c r="G12" s="1218"/>
      <c r="H12" s="1218"/>
      <c r="I12" s="1218"/>
      <c r="J12" s="1218"/>
      <c r="K12" s="1218"/>
      <c r="L12" s="1218"/>
      <c r="M12" s="530"/>
      <c r="N12" s="530"/>
      <c r="O12" s="530"/>
      <c r="P12" s="530"/>
      <c r="Q12" s="530"/>
      <c r="R12" s="530"/>
    </row>
    <row r="13" spans="2:18" ht="17.25" customHeight="1" thickBot="1">
      <c r="B13" s="1200"/>
      <c r="C13" s="1218"/>
      <c r="D13" s="1218"/>
      <c r="E13" s="1218"/>
      <c r="F13" s="1218"/>
      <c r="G13" s="1218"/>
      <c r="H13" s="1218"/>
      <c r="I13" s="1218"/>
      <c r="J13" s="1218"/>
      <c r="K13" s="1218"/>
      <c r="L13" s="1218"/>
      <c r="M13" s="530"/>
      <c r="N13" s="530"/>
      <c r="O13" s="530"/>
      <c r="P13" s="530"/>
      <c r="Q13" s="530"/>
      <c r="R13" s="530"/>
    </row>
    <row r="14" spans="2:18" ht="15.75" customHeight="1">
      <c r="B14" s="1201" t="s">
        <v>301</v>
      </c>
      <c r="C14" s="1218" t="s">
        <v>398</v>
      </c>
      <c r="D14" s="1218"/>
      <c r="E14" s="1218"/>
      <c r="F14" s="1218"/>
      <c r="G14" s="1218"/>
      <c r="H14" s="1218"/>
      <c r="I14" s="1218"/>
      <c r="J14" s="1218"/>
      <c r="K14" s="1218"/>
      <c r="L14" s="1218"/>
      <c r="M14" s="530"/>
      <c r="N14" s="530"/>
      <c r="O14" s="530"/>
      <c r="P14" s="530"/>
      <c r="Q14" s="530"/>
      <c r="R14" s="530"/>
    </row>
    <row r="15" spans="2:18" ht="17.25" customHeight="1">
      <c r="B15" s="1200"/>
      <c r="C15" s="1218"/>
      <c r="D15" s="1218"/>
      <c r="E15" s="1218"/>
      <c r="F15" s="1218"/>
      <c r="G15" s="1218"/>
      <c r="H15" s="1218"/>
      <c r="I15" s="1218"/>
      <c r="J15" s="1218"/>
      <c r="K15" s="1218"/>
      <c r="L15" s="1218"/>
      <c r="M15" s="530"/>
      <c r="N15" s="530"/>
      <c r="O15" s="530"/>
      <c r="P15" s="530"/>
      <c r="Q15" s="530"/>
      <c r="R15" s="530"/>
    </row>
    <row r="16" spans="2:18" ht="19.5" customHeight="1">
      <c r="B16" s="530"/>
      <c r="C16" s="530"/>
      <c r="D16" s="530"/>
      <c r="E16" s="530"/>
      <c r="F16" s="540"/>
      <c r="G16" s="531"/>
      <c r="H16" s="530"/>
      <c r="I16" s="530"/>
      <c r="L16" s="530"/>
      <c r="M16" s="530"/>
      <c r="N16" s="530"/>
      <c r="O16" s="530"/>
      <c r="P16" s="530"/>
      <c r="Q16" s="530"/>
      <c r="R16" s="530"/>
    </row>
    <row r="17" spans="1:12" ht="18.5">
      <c r="A17" s="530"/>
      <c r="B17" s="1149" t="s">
        <v>399</v>
      </c>
      <c r="C17" s="1149"/>
      <c r="D17" s="1149"/>
      <c r="E17" s="1149"/>
      <c r="F17" s="1149"/>
      <c r="G17" s="1149"/>
      <c r="H17" s="1149"/>
      <c r="I17" s="1149"/>
      <c r="J17" s="1149"/>
      <c r="K17" s="1149"/>
      <c r="L17" s="1149"/>
    </row>
    <row r="18" spans="1:12" ht="18.5">
      <c r="A18" s="530"/>
      <c r="B18" s="1149" t="s">
        <v>400</v>
      </c>
      <c r="C18" s="1149"/>
      <c r="D18" s="1149"/>
      <c r="E18" s="1149"/>
      <c r="F18" s="1149"/>
      <c r="G18" s="1149"/>
      <c r="H18" s="1149"/>
      <c r="I18" s="1149"/>
      <c r="J18" s="1149"/>
      <c r="K18" s="1149"/>
      <c r="L18" s="1149"/>
    </row>
    <row r="19" spans="1:12" ht="15.75" customHeight="1">
      <c r="A19" s="530"/>
      <c r="B19" s="1194" t="s">
        <v>401</v>
      </c>
      <c r="C19" s="1194"/>
      <c r="D19" s="1194"/>
      <c r="E19" s="1194"/>
      <c r="F19" s="1194"/>
      <c r="G19" s="1194"/>
      <c r="H19" s="1194"/>
      <c r="I19" s="1194"/>
      <c r="J19" s="1194"/>
      <c r="K19" s="1194"/>
      <c r="L19" s="1194"/>
    </row>
    <row r="20" spans="1:12" ht="15.75" customHeight="1">
      <c r="A20" s="530"/>
      <c r="B20" s="1217" t="s">
        <v>402</v>
      </c>
      <c r="C20" s="1217"/>
      <c r="D20" s="1217"/>
      <c r="E20" s="1217"/>
      <c r="F20" s="1217"/>
      <c r="G20" s="1217"/>
      <c r="H20" s="1217"/>
      <c r="I20" s="1217"/>
      <c r="J20" s="1217"/>
      <c r="K20" s="1217"/>
      <c r="L20" s="1217"/>
    </row>
    <row r="21" spans="1:12" ht="16" thickBot="1">
      <c r="A21" s="530"/>
      <c r="B21" s="1158" t="s">
        <v>403</v>
      </c>
      <c r="C21" s="1158"/>
      <c r="D21" s="1158"/>
      <c r="E21" s="1158"/>
      <c r="F21" s="1158"/>
      <c r="G21" s="1158"/>
      <c r="H21" s="1158"/>
      <c r="I21" s="1158"/>
      <c r="J21" s="1158"/>
      <c r="K21" s="1158"/>
      <c r="L21" s="1158"/>
    </row>
    <row r="22" spans="1:12" ht="19.5" customHeight="1" thickBot="1">
      <c r="A22" s="530"/>
      <c r="B22" s="314"/>
      <c r="C22" s="1202" t="s">
        <v>404</v>
      </c>
      <c r="D22" s="1202"/>
      <c r="E22" s="581" t="s">
        <v>405</v>
      </c>
      <c r="F22" s="175" t="s">
        <v>406</v>
      </c>
      <c r="G22" s="581" t="s">
        <v>407</v>
      </c>
      <c r="H22" s="583" t="s">
        <v>408</v>
      </c>
      <c r="I22" s="1219" t="s">
        <v>409</v>
      </c>
      <c r="J22" s="1219"/>
      <c r="K22" s="1219"/>
      <c r="L22" s="1219"/>
    </row>
    <row r="23" spans="1:12" s="7" customFormat="1" ht="16" thickBot="1">
      <c r="A23" s="530"/>
      <c r="B23" s="167">
        <v>1</v>
      </c>
      <c r="C23" s="1203" t="str">
        <f>IFERROR(VLOOKUP($G$7&amp;$B23,'Renewable &amp; Onsite Gen Sites'!$A:AA,5,FALSE)," ")</f>
        <v xml:space="preserve"> </v>
      </c>
      <c r="D23" s="1204"/>
      <c r="E23" s="163" t="str">
        <f>IFERROR(VLOOKUP($G$7&amp;$B23,'Renewable &amp; Onsite Gen Sites'!$A:AA,8,FALSE)," ")</f>
        <v xml:space="preserve"> </v>
      </c>
      <c r="F23" s="173" t="str">
        <f>IFERROR(VLOOKUP($G$7&amp;$B23,'Renewable &amp; Onsite Gen Sites'!$A:AA,13,FALSE)," ")</f>
        <v xml:space="preserve"> </v>
      </c>
      <c r="G23" s="163" t="str">
        <f>IFERROR(VLOOKUP($G$7&amp;$B23,'Renewable &amp; Onsite Gen Sites'!$A:AA,3,FALSE)," ")</f>
        <v xml:space="preserve"> </v>
      </c>
      <c r="H23" s="163" t="str">
        <f>IFERROR(VLOOKUP($G$7&amp;$B23,'Renewable &amp; Onsite Gen Sites'!$A:AA,15,FALSE)," ")</f>
        <v xml:space="preserve"> </v>
      </c>
      <c r="I23" s="1190"/>
      <c r="J23" s="1191"/>
      <c r="K23" s="1191"/>
      <c r="L23" s="1191"/>
    </row>
    <row r="24" spans="1:12" s="7" customFormat="1" ht="16" thickBot="1">
      <c r="A24" s="530"/>
      <c r="B24" s="168">
        <v>2</v>
      </c>
      <c r="C24" s="1195" t="str">
        <f>IFERROR(VLOOKUP($G$7&amp;$B24,'Renewable &amp; Onsite Gen Sites'!$A:AA,5,FALSE)," ")</f>
        <v xml:space="preserve"> </v>
      </c>
      <c r="D24" s="1196"/>
      <c r="E24" s="166" t="str">
        <f>IFERROR(VLOOKUP($G$7&amp;$B24,'Renewable &amp; Onsite Gen Sites'!$A:AA,8,FALSE)," ")</f>
        <v xml:space="preserve"> </v>
      </c>
      <c r="F24" s="174" t="str">
        <f>IFERROR(VLOOKUP($G$7&amp;$B24,'Renewable &amp; Onsite Gen Sites'!$A:AA,13,FALSE)," ")</f>
        <v xml:space="preserve"> </v>
      </c>
      <c r="G24" s="166" t="str">
        <f>IFERROR(VLOOKUP($G$7&amp;$B24,'Renewable &amp; Onsite Gen Sites'!$A:AA,3,FALSE)," ")</f>
        <v xml:space="preserve"> </v>
      </c>
      <c r="H24" s="166" t="str">
        <f>IFERROR(VLOOKUP($G$7&amp;$B24,'Renewable &amp; Onsite Gen Sites'!$A:AA,15,FALSE)," ")</f>
        <v xml:space="preserve"> </v>
      </c>
      <c r="I24" s="1190"/>
      <c r="J24" s="1191" t="str">
        <f>IFERROR(VLOOKUP($G$7&amp;$B24,'Renewable &amp; Onsite Gen Sites'!$A:AA,20,FALSE)," ")</f>
        <v xml:space="preserve"> </v>
      </c>
      <c r="K24" s="1191"/>
      <c r="L24" s="1191"/>
    </row>
    <row r="25" spans="1:12" s="7" customFormat="1" ht="16" thickBot="1">
      <c r="A25" s="530"/>
      <c r="B25" s="168">
        <v>3</v>
      </c>
      <c r="C25" s="1195" t="str">
        <f>IFERROR(VLOOKUP($G$7&amp;$B25,'Renewable &amp; Onsite Gen Sites'!$A:AA,5,FALSE)," ")</f>
        <v xml:space="preserve"> </v>
      </c>
      <c r="D25" s="1196"/>
      <c r="E25" s="166" t="str">
        <f>IFERROR(VLOOKUP($G$7&amp;$B25,'Renewable &amp; Onsite Gen Sites'!$A:AA,8,FALSE)," ")</f>
        <v xml:space="preserve"> </v>
      </c>
      <c r="F25" s="174" t="str">
        <f>IFERROR(VLOOKUP($G$7&amp;$B25,'Renewable &amp; Onsite Gen Sites'!$A:AA,13,FALSE)," ")</f>
        <v xml:space="preserve"> </v>
      </c>
      <c r="G25" s="166" t="str">
        <f>IFERROR(VLOOKUP($G$7&amp;$B25,'Renewable &amp; Onsite Gen Sites'!$A:AA,3,FALSE)," ")</f>
        <v xml:space="preserve"> </v>
      </c>
      <c r="H25" s="166" t="str">
        <f>IFERROR(VLOOKUP($G$7&amp;$B25,'Renewable &amp; Onsite Gen Sites'!$A:AA,15,FALSE)," ")</f>
        <v xml:space="preserve"> </v>
      </c>
      <c r="I25" s="1190"/>
      <c r="J25" s="1191" t="str">
        <f>IFERROR(VLOOKUP($G$7&amp;$B25,'Renewable &amp; Onsite Gen Sites'!$A:AA,20,FALSE)," ")</f>
        <v xml:space="preserve"> </v>
      </c>
      <c r="K25" s="1191"/>
      <c r="L25" s="1191"/>
    </row>
    <row r="26" spans="1:12" s="7" customFormat="1" ht="16" thickBot="1">
      <c r="A26" s="530"/>
      <c r="B26" s="168">
        <v>4</v>
      </c>
      <c r="C26" s="1195" t="str">
        <f>IFERROR(VLOOKUP($G$7&amp;$B26,'Renewable &amp; Onsite Gen Sites'!$A:AA,5,FALSE)," ")</f>
        <v xml:space="preserve"> </v>
      </c>
      <c r="D26" s="1196"/>
      <c r="E26" s="166" t="str">
        <f>IFERROR(VLOOKUP($G$7&amp;$B26,'Renewable &amp; Onsite Gen Sites'!$A:AA,8,FALSE)," ")</f>
        <v xml:space="preserve"> </v>
      </c>
      <c r="F26" s="174" t="str">
        <f>IFERROR(VLOOKUP($G$7&amp;$B26,'Renewable &amp; Onsite Gen Sites'!$A:AA,13,FALSE)," ")</f>
        <v xml:space="preserve"> </v>
      </c>
      <c r="G26" s="166" t="str">
        <f>IFERROR(VLOOKUP($G$7&amp;$B26,'Renewable &amp; Onsite Gen Sites'!$A:AA,3,FALSE)," ")</f>
        <v xml:space="preserve"> </v>
      </c>
      <c r="H26" s="166" t="str">
        <f>IFERROR(VLOOKUP($G$7&amp;$B26,'Renewable &amp; Onsite Gen Sites'!$A:AA,15,FALSE)," ")</f>
        <v xml:space="preserve"> </v>
      </c>
      <c r="I26" s="1190"/>
      <c r="J26" s="1191"/>
      <c r="K26" s="1191"/>
      <c r="L26" s="1191"/>
    </row>
    <row r="27" spans="1:12" s="190" customFormat="1" ht="16" thickBot="1">
      <c r="A27" s="541"/>
      <c r="B27" s="167">
        <v>5</v>
      </c>
      <c r="C27" s="1195" t="str">
        <f>IFERROR(VLOOKUP($G$7&amp;$B27,'Renewable &amp; Onsite Gen Sites'!$A:AA,5,FALSE)," ")</f>
        <v xml:space="preserve"> </v>
      </c>
      <c r="D27" s="1196"/>
      <c r="E27" s="163" t="str">
        <f>IFERROR(VLOOKUP($G$7&amp;$B27,'Renewable &amp; Onsite Gen Sites'!$A:AA,8,FALSE)," ")</f>
        <v xml:space="preserve"> </v>
      </c>
      <c r="F27" s="174" t="str">
        <f>IFERROR(VLOOKUP($G$7&amp;$B27,'Renewable &amp; Onsite Gen Sites'!$A:AA,13,FALSE)," ")</f>
        <v xml:space="preserve"> </v>
      </c>
      <c r="G27" s="163" t="str">
        <f>IFERROR(VLOOKUP($G$7&amp;$B27,'Renewable &amp; Onsite Gen Sites'!$A:AA,3,FALSE)," ")</f>
        <v xml:space="preserve"> </v>
      </c>
      <c r="H27" s="163" t="str">
        <f>IFERROR(VLOOKUP($G$7&amp;$B27,'Renewable &amp; Onsite Gen Sites'!$A:AA,15,FALSE)," ")</f>
        <v xml:space="preserve"> </v>
      </c>
      <c r="I27" s="1190"/>
      <c r="J27" s="1191" t="str">
        <f>IFERROR(VLOOKUP($G$7&amp;$B27,'Renewable &amp; Onsite Gen Sites'!$A:AA,20,FALSE)," ")</f>
        <v xml:space="preserve"> </v>
      </c>
      <c r="K27" s="1191"/>
      <c r="L27" s="1191"/>
    </row>
    <row r="28" spans="1:12" s="91" customFormat="1" ht="16" thickBot="1">
      <c r="A28" s="542"/>
      <c r="B28" s="168">
        <v>6</v>
      </c>
      <c r="C28" s="1195" t="str">
        <f>IFERROR(VLOOKUP($G$7&amp;$B28,'Renewable &amp; Onsite Gen Sites'!$A:AA,5,FALSE)," ")</f>
        <v xml:space="preserve"> </v>
      </c>
      <c r="D28" s="1196"/>
      <c r="E28" s="166" t="str">
        <f>IFERROR(VLOOKUP($G$7&amp;$B28,'Renewable &amp; Onsite Gen Sites'!$A:AA,8,FALSE)," ")</f>
        <v xml:space="preserve"> </v>
      </c>
      <c r="F28" s="174" t="str">
        <f>IFERROR(VLOOKUP($G$7&amp;$B28,'Renewable &amp; Onsite Gen Sites'!$A:AA,13,FALSE)," ")</f>
        <v xml:space="preserve"> </v>
      </c>
      <c r="G28" s="166" t="str">
        <f>IFERROR(VLOOKUP($G$7&amp;$B28,'Renewable &amp; Onsite Gen Sites'!$A:AA,3,FALSE)," ")</f>
        <v xml:space="preserve"> </v>
      </c>
      <c r="H28" s="166" t="str">
        <f>IFERROR(VLOOKUP($G$7&amp;$B28,'Renewable &amp; Onsite Gen Sites'!$A:AA,15,FALSE)," ")</f>
        <v xml:space="preserve"> </v>
      </c>
      <c r="I28" s="1190"/>
      <c r="J28" s="1191" t="str">
        <f>IFERROR(VLOOKUP($G$7&amp;$B28,'Renewable &amp; Onsite Gen Sites'!$A:AA,20,FALSE)," ")</f>
        <v xml:space="preserve"> </v>
      </c>
      <c r="K28" s="1191"/>
      <c r="L28" s="1191"/>
    </row>
    <row r="29" spans="1:12" s="91" customFormat="1" ht="16" thickBot="1">
      <c r="A29" s="542"/>
      <c r="B29" s="168">
        <v>7</v>
      </c>
      <c r="C29" s="1195" t="str">
        <f>IFERROR(VLOOKUP($G$7&amp;$B29,'Renewable &amp; Onsite Gen Sites'!$A:AA,5,FALSE)," ")</f>
        <v xml:space="preserve"> </v>
      </c>
      <c r="D29" s="1196"/>
      <c r="E29" s="166" t="str">
        <f>IFERROR(VLOOKUP($G$7&amp;$B29,'Renewable &amp; Onsite Gen Sites'!$A:AA,8,FALSE)," ")</f>
        <v xml:space="preserve"> </v>
      </c>
      <c r="F29" s="174" t="str">
        <f>IFERROR(VLOOKUP($G$7&amp;$B29,'Renewable &amp; Onsite Gen Sites'!$A:AA,13,FALSE)," ")</f>
        <v xml:space="preserve"> </v>
      </c>
      <c r="G29" s="166" t="str">
        <f>IFERROR(VLOOKUP($G$7&amp;$B29,'Renewable &amp; Onsite Gen Sites'!$A:AA,3,FALSE)," ")</f>
        <v xml:space="preserve"> </v>
      </c>
      <c r="H29" s="166" t="str">
        <f>IFERROR(VLOOKUP($G$7&amp;$B29,'Renewable &amp; Onsite Gen Sites'!$A:AA,15,FALSE)," ")</f>
        <v xml:space="preserve"> </v>
      </c>
      <c r="I29" s="1190"/>
      <c r="J29" s="1191" t="str">
        <f>IFERROR(VLOOKUP($G$7&amp;$B29,'Renewable &amp; Onsite Gen Sites'!$A:AA,20,FALSE)," ")</f>
        <v xml:space="preserve"> </v>
      </c>
      <c r="K29" s="1191"/>
      <c r="L29" s="1191"/>
    </row>
    <row r="30" spans="1:12" s="91" customFormat="1" ht="16" thickBot="1">
      <c r="A30" s="542"/>
      <c r="B30" s="168">
        <v>8</v>
      </c>
      <c r="C30" s="1195" t="str">
        <f>IFERROR(VLOOKUP($G$7&amp;$B30,'Renewable &amp; Onsite Gen Sites'!$A:AA,5,FALSE)," ")</f>
        <v xml:space="preserve"> </v>
      </c>
      <c r="D30" s="1196"/>
      <c r="E30" s="166" t="str">
        <f>IFERROR(VLOOKUP($G$7&amp;$B30,'Renewable &amp; Onsite Gen Sites'!$A:AA,8,FALSE)," ")</f>
        <v xml:space="preserve"> </v>
      </c>
      <c r="F30" s="174" t="str">
        <f>IFERROR(VLOOKUP($G$7&amp;$B30,'Renewable &amp; Onsite Gen Sites'!$A:AA,13,FALSE)," ")</f>
        <v xml:space="preserve"> </v>
      </c>
      <c r="G30" s="166" t="str">
        <f>IFERROR(VLOOKUP($G$7&amp;$B30,'Renewable &amp; Onsite Gen Sites'!$A:AA,3,FALSE)," ")</f>
        <v xml:space="preserve"> </v>
      </c>
      <c r="H30" s="166" t="str">
        <f>IFERROR(VLOOKUP($G$7&amp;$B30,'Renewable &amp; Onsite Gen Sites'!$A:AA,15,FALSE)," ")</f>
        <v xml:space="preserve"> </v>
      </c>
      <c r="I30" s="1190"/>
      <c r="J30" s="1191" t="str">
        <f>IFERROR(VLOOKUP($G$7&amp;$B30,'Renewable &amp; Onsite Gen Sites'!$A:AA,20,FALSE)," ")</f>
        <v xml:space="preserve"> </v>
      </c>
      <c r="K30" s="1191"/>
      <c r="L30" s="1191"/>
    </row>
    <row r="31" spans="1:12" s="91" customFormat="1" ht="16" thickBot="1">
      <c r="A31" s="542"/>
      <c r="B31" s="168">
        <v>9</v>
      </c>
      <c r="C31" s="1195" t="str">
        <f>IFERROR(VLOOKUP($G$7&amp;$B31,'Renewable &amp; Onsite Gen Sites'!$A:AA,5,FALSE)," ")</f>
        <v xml:space="preserve"> </v>
      </c>
      <c r="D31" s="1196"/>
      <c r="E31" s="166" t="str">
        <f>IFERROR(VLOOKUP($G$7&amp;$B31,'Renewable &amp; Onsite Gen Sites'!$A:AA,8,FALSE)," ")</f>
        <v xml:space="preserve"> </v>
      </c>
      <c r="F31" s="174" t="str">
        <f>IFERROR(VLOOKUP($G$7&amp;$B31,'Renewable &amp; Onsite Gen Sites'!$A:AA,13,FALSE)," ")</f>
        <v xml:space="preserve"> </v>
      </c>
      <c r="G31" s="166" t="str">
        <f>IFERROR(VLOOKUP($G$7&amp;$B31,'Renewable &amp; Onsite Gen Sites'!$A:AA,3,FALSE)," ")</f>
        <v xml:space="preserve"> </v>
      </c>
      <c r="H31" s="166" t="str">
        <f>IFERROR(VLOOKUP($G$7&amp;$B31,'Renewable &amp; Onsite Gen Sites'!$A:AA,15,FALSE)," ")</f>
        <v xml:space="preserve"> </v>
      </c>
      <c r="I31" s="1190"/>
      <c r="J31" s="1191" t="str">
        <f>IFERROR(VLOOKUP($G$7&amp;$B31,'Renewable &amp; Onsite Gen Sites'!$A:AA,20,FALSE)," ")</f>
        <v xml:space="preserve"> </v>
      </c>
      <c r="K31" s="1191"/>
      <c r="L31" s="1191"/>
    </row>
    <row r="32" spans="1:12" s="91" customFormat="1" ht="16" thickBot="1">
      <c r="A32" s="542"/>
      <c r="B32" s="168">
        <v>10</v>
      </c>
      <c r="C32" s="1195" t="str">
        <f>IFERROR(VLOOKUP($G$7&amp;$B32,'Renewable &amp; Onsite Gen Sites'!$A:AA,5,FALSE)," ")</f>
        <v xml:space="preserve"> </v>
      </c>
      <c r="D32" s="1196"/>
      <c r="E32" s="166" t="str">
        <f>IFERROR(VLOOKUP($G$7&amp;$B32,'Renewable &amp; Onsite Gen Sites'!$A:AA,8,FALSE)," ")</f>
        <v xml:space="preserve"> </v>
      </c>
      <c r="F32" s="174" t="str">
        <f>IFERROR(VLOOKUP($G$7&amp;$B32,'Renewable &amp; Onsite Gen Sites'!$A:AA,13,FALSE)," ")</f>
        <v xml:space="preserve"> </v>
      </c>
      <c r="G32" s="166" t="str">
        <f>IFERROR(VLOOKUP($G$7&amp;$B32,'Renewable &amp; Onsite Gen Sites'!$A:AA,3,FALSE)," ")</f>
        <v xml:space="preserve"> </v>
      </c>
      <c r="H32" s="166" t="str">
        <f>IFERROR(VLOOKUP($G$7&amp;$B32,'Renewable &amp; Onsite Gen Sites'!$A:AA,15,FALSE)," ")</f>
        <v xml:space="preserve"> </v>
      </c>
      <c r="I32" s="1190"/>
      <c r="J32" s="1191" t="str">
        <f>IFERROR(VLOOKUP($G$7&amp;$B32,'Renewable &amp; Onsite Gen Sites'!$A:AA,20,FALSE)," ")</f>
        <v xml:space="preserve"> </v>
      </c>
      <c r="K32" s="1191"/>
      <c r="L32" s="1191"/>
    </row>
    <row r="33" spans="2:12" s="91" customFormat="1" ht="16" thickBot="1">
      <c r="B33" s="168">
        <v>11</v>
      </c>
      <c r="C33" s="1195" t="str">
        <f>IFERROR(VLOOKUP($G$7&amp;$B33,'Renewable &amp; Onsite Gen Sites'!$A:AA,5,FALSE)," ")</f>
        <v xml:space="preserve"> </v>
      </c>
      <c r="D33" s="1196"/>
      <c r="E33" s="166" t="str">
        <f>IFERROR(VLOOKUP($G$7&amp;$B33,'Renewable &amp; Onsite Gen Sites'!$A:AA,8,FALSE)," ")</f>
        <v xml:space="preserve"> </v>
      </c>
      <c r="F33" s="174" t="str">
        <f>IFERROR(VLOOKUP($G$7&amp;$B33,'Renewable &amp; Onsite Gen Sites'!$A:AA,13,FALSE)," ")</f>
        <v xml:space="preserve"> </v>
      </c>
      <c r="G33" s="166" t="str">
        <f>IFERROR(VLOOKUP($G$7&amp;$B33,'Renewable &amp; Onsite Gen Sites'!$A:AA,3,FALSE)," ")</f>
        <v xml:space="preserve"> </v>
      </c>
      <c r="H33" s="166" t="str">
        <f>IFERROR(VLOOKUP($G$7&amp;$B33,'Renewable &amp; Onsite Gen Sites'!$A:AA,15,FALSE)," ")</f>
        <v xml:space="preserve"> </v>
      </c>
      <c r="I33" s="1190"/>
      <c r="J33" s="1191" t="str">
        <f>IFERROR(VLOOKUP($G$7&amp;$B33,'Renewable &amp; Onsite Gen Sites'!$A:AA,20,FALSE)," ")</f>
        <v xml:space="preserve"> </v>
      </c>
      <c r="K33" s="1191"/>
      <c r="L33" s="1191"/>
    </row>
    <row r="34" spans="2:12" s="91" customFormat="1" ht="16" thickBot="1">
      <c r="B34" s="168">
        <v>12</v>
      </c>
      <c r="C34" s="1195" t="str">
        <f>IFERROR(VLOOKUP($G$7&amp;$B34,'Renewable &amp; Onsite Gen Sites'!$A:AA,5,FALSE)," ")</f>
        <v xml:space="preserve"> </v>
      </c>
      <c r="D34" s="1196"/>
      <c r="E34" s="166" t="str">
        <f>IFERROR(VLOOKUP($G$7&amp;$B34,'Renewable &amp; Onsite Gen Sites'!$A:AA,8,FALSE)," ")</f>
        <v xml:space="preserve"> </v>
      </c>
      <c r="F34" s="174" t="str">
        <f>IFERROR(VLOOKUP($G$7&amp;$B34,'Renewable &amp; Onsite Gen Sites'!$A:AA,13,FALSE)," ")</f>
        <v xml:space="preserve"> </v>
      </c>
      <c r="G34" s="166" t="str">
        <f>IFERROR(VLOOKUP($G$7&amp;$B34,'Renewable &amp; Onsite Gen Sites'!$A:AA,3,FALSE)," ")</f>
        <v xml:space="preserve"> </v>
      </c>
      <c r="H34" s="166" t="str">
        <f>IFERROR(VLOOKUP($G$7&amp;$B34,'Renewable &amp; Onsite Gen Sites'!$A:AA,15,FALSE)," ")</f>
        <v xml:space="preserve"> </v>
      </c>
      <c r="I34" s="1190"/>
      <c r="J34" s="1191" t="str">
        <f>IFERROR(VLOOKUP($G$7&amp;$B34,'Renewable &amp; Onsite Gen Sites'!$A:AA,20,FALSE)," ")</f>
        <v xml:space="preserve"> </v>
      </c>
      <c r="K34" s="1191"/>
      <c r="L34" s="1191"/>
    </row>
    <row r="35" spans="2:12" s="91" customFormat="1" ht="16" thickBot="1">
      <c r="B35" s="168">
        <v>13</v>
      </c>
      <c r="C35" s="1195" t="str">
        <f>IFERROR(VLOOKUP($G$7&amp;$B35,'Renewable &amp; Onsite Gen Sites'!$A:AA,5,FALSE)," ")</f>
        <v xml:space="preserve"> </v>
      </c>
      <c r="D35" s="1196"/>
      <c r="E35" s="166" t="str">
        <f>IFERROR(VLOOKUP($G$7&amp;$B35,'Renewable &amp; Onsite Gen Sites'!$A:AA,8,FALSE)," ")</f>
        <v xml:space="preserve"> </v>
      </c>
      <c r="F35" s="174" t="str">
        <f>IFERROR(VLOOKUP($G$7&amp;$B35,'Renewable &amp; Onsite Gen Sites'!$A:AA,13,FALSE)," ")</f>
        <v xml:space="preserve"> </v>
      </c>
      <c r="G35" s="166" t="str">
        <f>IFERROR(VLOOKUP($G$7&amp;$B35,'Renewable &amp; Onsite Gen Sites'!$A:AA,3,FALSE)," ")</f>
        <v xml:space="preserve"> </v>
      </c>
      <c r="H35" s="166" t="str">
        <f>IFERROR(VLOOKUP($G$7&amp;$B35,'Renewable &amp; Onsite Gen Sites'!$A:AA,15,FALSE)," ")</f>
        <v xml:space="preserve"> </v>
      </c>
      <c r="I35" s="1190"/>
      <c r="J35" s="1191" t="str">
        <f>IFERROR(VLOOKUP($G$7&amp;$B35,'Renewable &amp; Onsite Gen Sites'!$A:AA,20,FALSE)," ")</f>
        <v xml:space="preserve"> </v>
      </c>
      <c r="K35" s="1191"/>
      <c r="L35" s="1191"/>
    </row>
    <row r="36" spans="2:12" s="91" customFormat="1" ht="16" thickBot="1">
      <c r="B36" s="168">
        <v>14</v>
      </c>
      <c r="C36" s="1195" t="str">
        <f>IFERROR(VLOOKUP($G$7&amp;$B36,'Renewable &amp; Onsite Gen Sites'!$A:AA,5,FALSE)," ")</f>
        <v xml:space="preserve"> </v>
      </c>
      <c r="D36" s="1196"/>
      <c r="E36" s="166" t="str">
        <f>IFERROR(VLOOKUP($G$7&amp;$B36,'Renewable &amp; Onsite Gen Sites'!$A:AA,8,FALSE)," ")</f>
        <v xml:space="preserve"> </v>
      </c>
      <c r="F36" s="174" t="str">
        <f>IFERROR(VLOOKUP($G$7&amp;$B36,'Renewable &amp; Onsite Gen Sites'!$A:AA,13,FALSE)," ")</f>
        <v xml:space="preserve"> </v>
      </c>
      <c r="G36" s="166" t="str">
        <f>IFERROR(VLOOKUP($G$7&amp;$B36,'Renewable &amp; Onsite Gen Sites'!$A:AA,3,FALSE)," ")</f>
        <v xml:space="preserve"> </v>
      </c>
      <c r="H36" s="166" t="str">
        <f>IFERROR(VLOOKUP($G$7&amp;$B36,'Renewable &amp; Onsite Gen Sites'!$A:AA,15,FALSE)," ")</f>
        <v xml:space="preserve"> </v>
      </c>
      <c r="I36" s="1190"/>
      <c r="J36" s="1191" t="str">
        <f>IFERROR(VLOOKUP($G$7&amp;$B36,'Renewable &amp; Onsite Gen Sites'!$A:AA,20,FALSE)," ")</f>
        <v xml:space="preserve"> </v>
      </c>
      <c r="K36" s="1191"/>
      <c r="L36" s="1191"/>
    </row>
    <row r="37" spans="2:12" s="91" customFormat="1" ht="16" thickBot="1">
      <c r="B37" s="168">
        <v>15</v>
      </c>
      <c r="C37" s="1195" t="str">
        <f>IFERROR(VLOOKUP($G$7&amp;$B37,'Renewable &amp; Onsite Gen Sites'!$A:AA,5,FALSE)," ")</f>
        <v xml:space="preserve"> </v>
      </c>
      <c r="D37" s="1196"/>
      <c r="E37" s="166" t="str">
        <f>IFERROR(VLOOKUP($G$7&amp;$B37,'Renewable &amp; Onsite Gen Sites'!$A:AA,8,FALSE)," ")</f>
        <v xml:space="preserve"> </v>
      </c>
      <c r="F37" s="174" t="str">
        <f>IFERROR(VLOOKUP($G$7&amp;$B37,'Renewable &amp; Onsite Gen Sites'!$A:AA,13,FALSE)," ")</f>
        <v xml:space="preserve"> </v>
      </c>
      <c r="G37" s="166" t="str">
        <f>IFERROR(VLOOKUP($G$7&amp;$B37,'Renewable &amp; Onsite Gen Sites'!$A:AA,3,FALSE)," ")</f>
        <v xml:space="preserve"> </v>
      </c>
      <c r="H37" s="166" t="str">
        <f>IFERROR(VLOOKUP($G$7&amp;$B37,'Renewable &amp; Onsite Gen Sites'!$A:AA,15,FALSE)," ")</f>
        <v xml:space="preserve"> </v>
      </c>
      <c r="I37" s="1190"/>
      <c r="J37" s="1191" t="str">
        <f>IFERROR(VLOOKUP($G$7&amp;$B37,'Renewable &amp; Onsite Gen Sites'!$A:AA,20,FALSE)," ")</f>
        <v xml:space="preserve"> </v>
      </c>
      <c r="K37" s="1191"/>
      <c r="L37" s="1191"/>
    </row>
    <row r="38" spans="2:12" s="91" customFormat="1" ht="16" thickBot="1">
      <c r="B38" s="169">
        <v>16</v>
      </c>
      <c r="C38" s="1195" t="str">
        <f>IFERROR(VLOOKUP($G$7&amp;$B38,'Renewable &amp; Onsite Gen Sites'!$A:AA,5,FALSE)," ")</f>
        <v xml:space="preserve"> </v>
      </c>
      <c r="D38" s="1196"/>
      <c r="E38" s="187" t="str">
        <f>IFERROR(VLOOKUP($G$7&amp;$B38,'Renewable &amp; Onsite Gen Sites'!$A:AA,8,FALSE)," ")</f>
        <v xml:space="preserve"> </v>
      </c>
      <c r="F38" s="188" t="str">
        <f>IFERROR(VLOOKUP($G$7&amp;$B38,'Renewable &amp; Onsite Gen Sites'!$A:AA,13,FALSE)," ")</f>
        <v xml:space="preserve"> </v>
      </c>
      <c r="G38" s="187" t="str">
        <f>IFERROR(VLOOKUP($G$7&amp;$B38,'Renewable &amp; Onsite Gen Sites'!$A:AA,3,FALSE)," ")</f>
        <v xml:space="preserve"> </v>
      </c>
      <c r="H38" s="187" t="str">
        <f>IFERROR(VLOOKUP($G$7&amp;$B38,'Renewable &amp; Onsite Gen Sites'!$A:AA,15,FALSE)," ")</f>
        <v xml:space="preserve"> </v>
      </c>
      <c r="I38" s="1190"/>
      <c r="J38" s="1191" t="str">
        <f>IFERROR(VLOOKUP($G$7&amp;$B38,'Renewable &amp; Onsite Gen Sites'!$A:AA,20,FALSE)," ")</f>
        <v xml:space="preserve"> </v>
      </c>
      <c r="K38" s="1191"/>
      <c r="L38" s="1191"/>
    </row>
    <row r="39" spans="2:12" s="91" customFormat="1" ht="18.75" customHeight="1" thickBot="1">
      <c r="B39" s="1205" t="s">
        <v>410</v>
      </c>
      <c r="C39" s="1205"/>
      <c r="D39" s="1205"/>
      <c r="E39" s="1205"/>
      <c r="F39" s="1205"/>
      <c r="G39" s="1205"/>
      <c r="H39" s="1205"/>
      <c r="I39" s="1205"/>
      <c r="J39" s="1205"/>
      <c r="K39" s="1205"/>
      <c r="L39" s="1205"/>
    </row>
    <row r="40" spans="2:12" ht="16" thickBot="1">
      <c r="B40" s="204"/>
      <c r="C40" s="1188" t="s">
        <v>411</v>
      </c>
      <c r="D40" s="1188"/>
      <c r="E40" s="205"/>
      <c r="F40" s="206"/>
      <c r="G40" s="207" t="s">
        <v>314</v>
      </c>
      <c r="H40" s="205" t="str">
        <f>IFERROR(VLOOKUP($G$7&amp;$B40,'Renewable &amp; Onsite Gen Sites'!$A:AA,15,FALSE)," ")</f>
        <v xml:space="preserve"> </v>
      </c>
      <c r="I40" s="313"/>
      <c r="J40" s="1206"/>
      <c r="K40" s="1206"/>
      <c r="L40" s="1207"/>
    </row>
    <row r="41" spans="2:12" s="90" customFormat="1" ht="16" thickBot="1">
      <c r="B41" s="208"/>
      <c r="C41" s="1188" t="s">
        <v>411</v>
      </c>
      <c r="D41" s="1188"/>
      <c r="E41" s="205"/>
      <c r="F41" s="210"/>
      <c r="G41" s="582" t="s">
        <v>314</v>
      </c>
      <c r="H41" s="209" t="str">
        <f>IFERROR(VLOOKUP($G$7&amp;$B41,'Renewable &amp; Onsite Gen Sites'!$A:AA,15,FALSE)," ")</f>
        <v xml:space="preserve"> </v>
      </c>
      <c r="I41" s="589"/>
      <c r="J41" s="1187"/>
      <c r="K41" s="1187"/>
      <c r="L41" s="1160"/>
    </row>
    <row r="42" spans="2:12" ht="16" thickBot="1">
      <c r="B42" s="208"/>
      <c r="C42" s="1188" t="s">
        <v>411</v>
      </c>
      <c r="D42" s="1188"/>
      <c r="E42" s="209" t="str">
        <f>IFERROR(VLOOKUP($G$7&amp;$B42,'Renewable &amp; Onsite Gen Sites'!$A:AA,8,FALSE)," ")</f>
        <v xml:space="preserve"> </v>
      </c>
      <c r="F42" s="210" t="str">
        <f>IFERROR(VLOOKUP($G$7&amp;$B42,'Renewable &amp; Onsite Gen Sites'!$A:AA,13,FALSE)," ")</f>
        <v xml:space="preserve"> </v>
      </c>
      <c r="G42" s="582" t="s">
        <v>314</v>
      </c>
      <c r="H42" s="209" t="str">
        <f>IFERROR(VLOOKUP($G$7&amp;$B42,'Renewable &amp; Onsite Gen Sites'!$A:AA,15,FALSE)," ")</f>
        <v xml:space="preserve"> </v>
      </c>
      <c r="I42" s="589"/>
      <c r="J42" s="1187"/>
      <c r="K42" s="1187"/>
      <c r="L42" s="1160"/>
    </row>
    <row r="43" spans="2:12" ht="16" thickBot="1">
      <c r="B43" s="208"/>
      <c r="C43" s="1188" t="s">
        <v>411</v>
      </c>
      <c r="D43" s="1188"/>
      <c r="E43" s="209" t="str">
        <f>IFERROR(VLOOKUP($G$7&amp;$B43,'Renewable &amp; Onsite Gen Sites'!$A:AA,8,FALSE)," ")</f>
        <v xml:space="preserve"> </v>
      </c>
      <c r="F43" s="210" t="str">
        <f>IFERROR(VLOOKUP($G$7&amp;$B43,'Renewable &amp; Onsite Gen Sites'!$A:AA,13,FALSE)," ")</f>
        <v xml:space="preserve"> </v>
      </c>
      <c r="G43" s="582" t="s">
        <v>314</v>
      </c>
      <c r="H43" s="209" t="str">
        <f>IFERROR(VLOOKUP($G$7&amp;$B43,'Renewable &amp; Onsite Gen Sites'!$A:AA,15,FALSE)," ")</f>
        <v xml:space="preserve"> </v>
      </c>
      <c r="I43" s="589"/>
      <c r="J43" s="1187"/>
      <c r="K43" s="1187"/>
      <c r="L43" s="1160"/>
    </row>
    <row r="44" spans="2:12" ht="25.5" customHeight="1">
      <c r="B44" s="530"/>
      <c r="C44" s="543"/>
      <c r="D44" s="543"/>
      <c r="E44" s="543"/>
      <c r="F44" s="544"/>
      <c r="G44" s="545"/>
      <c r="H44" s="543"/>
      <c r="I44" s="543"/>
      <c r="L44" s="530"/>
    </row>
    <row r="45" spans="2:12" ht="18.75" customHeight="1">
      <c r="B45" s="1168" t="s">
        <v>412</v>
      </c>
      <c r="C45" s="1168"/>
      <c r="D45" s="1168"/>
      <c r="E45" s="1168"/>
      <c r="F45" s="1168"/>
      <c r="G45" s="1168"/>
      <c r="H45" s="1168"/>
      <c r="I45" s="1168"/>
      <c r="J45" s="1168"/>
      <c r="K45" s="1168"/>
      <c r="L45" s="1168"/>
    </row>
    <row r="46" spans="2:12" s="304" customFormat="1" ht="18.75" customHeight="1">
      <c r="B46" s="1168" t="s">
        <v>413</v>
      </c>
      <c r="C46" s="1168"/>
      <c r="D46" s="1168"/>
      <c r="E46" s="1168"/>
      <c r="F46" s="1168"/>
      <c r="G46" s="1168"/>
      <c r="H46" s="1168"/>
      <c r="I46" s="1168"/>
      <c r="J46" s="1168"/>
      <c r="K46" s="1168"/>
      <c r="L46" s="1168"/>
    </row>
    <row r="47" spans="2:12">
      <c r="B47" s="1194" t="s">
        <v>414</v>
      </c>
      <c r="C47" s="1194"/>
      <c r="D47" s="1194"/>
      <c r="E47" s="1194"/>
      <c r="F47" s="1194"/>
      <c r="G47" s="1194"/>
      <c r="H47" s="1194"/>
      <c r="I47" s="1194"/>
      <c r="J47" s="1194"/>
      <c r="K47" s="1194"/>
      <c r="L47" s="1194"/>
    </row>
    <row r="48" spans="2:12" s="90" customFormat="1" ht="18.75" customHeight="1" thickBot="1">
      <c r="B48" s="1193" t="s">
        <v>415</v>
      </c>
      <c r="C48" s="1193"/>
      <c r="D48" s="1193"/>
      <c r="E48" s="1193"/>
      <c r="F48" s="1193"/>
      <c r="G48" s="1193"/>
      <c r="H48" s="1193"/>
      <c r="I48" s="1193"/>
      <c r="J48" s="1193"/>
      <c r="K48" s="1193"/>
      <c r="L48" s="1193"/>
    </row>
    <row r="49" spans="2:13" ht="16" thickBot="1">
      <c r="B49" s="581"/>
      <c r="C49" s="1192" t="s">
        <v>404</v>
      </c>
      <c r="D49" s="1192"/>
      <c r="E49" s="581" t="s">
        <v>405</v>
      </c>
      <c r="F49" s="175" t="s">
        <v>416</v>
      </c>
      <c r="G49" s="588" t="s">
        <v>417</v>
      </c>
      <c r="H49" s="581" t="s">
        <v>407</v>
      </c>
      <c r="I49" s="1220" t="s">
        <v>409</v>
      </c>
      <c r="J49" s="1220"/>
      <c r="K49" s="1220"/>
      <c r="L49" s="1220"/>
      <c r="M49" s="530"/>
    </row>
    <row r="50" spans="2:13" ht="16" thickBot="1">
      <c r="B50" s="163">
        <v>1</v>
      </c>
      <c r="C50" s="1223" t="str">
        <f>IFERROR(VLOOKUP($G$7&amp;$B50,'Renewable Thermal Sites'!A:G,7,FALSE)," ")</f>
        <v xml:space="preserve"> </v>
      </c>
      <c r="D50" s="1204"/>
      <c r="E50" s="164" t="str">
        <f>IFERROR(VLOOKUP($G$7&amp;$B50,'Renewable Thermal Sites'!A:H,8,FALSE)," ")</f>
        <v xml:space="preserve"> </v>
      </c>
      <c r="F50" s="173" t="str">
        <f>IFERROR(VLOOKUP($G$7&amp;$B50,'Renewable Thermal Sites'!A:I,9,FALSE)," ")</f>
        <v xml:space="preserve"> </v>
      </c>
      <c r="G50" s="163" t="str">
        <f>IFERROR(VLOOKUP($G$7&amp;$B50,'Renewable Thermal Sites'!A:J,10,FALSE)," ")</f>
        <v xml:space="preserve"> </v>
      </c>
      <c r="H50" s="163" t="str">
        <f>IFERROR(VLOOKUP($G$7&amp;$B50,'Renewable Thermal Sites'!A:I,3,FALSE)," ")</f>
        <v xml:space="preserve"> </v>
      </c>
      <c r="I50" s="1190"/>
      <c r="J50" s="1191"/>
      <c r="K50" s="1191"/>
      <c r="L50" s="1191"/>
      <c r="M50" s="530"/>
    </row>
    <row r="51" spans="2:13" ht="16" thickBot="1">
      <c r="B51" s="166">
        <v>2</v>
      </c>
      <c r="C51" s="1223" t="str">
        <f>IFERROR(VLOOKUP($G$7&amp;$B51,'Renewable Thermal Sites'!A:G,7,FALSE)," ")</f>
        <v xml:space="preserve"> </v>
      </c>
      <c r="D51" s="1204"/>
      <c r="E51" s="165" t="str">
        <f>IFERROR(VLOOKUP($G$7&amp;$B51,'Renewable Thermal Sites'!A:H,8,FALSE)," ")</f>
        <v xml:space="preserve"> </v>
      </c>
      <c r="F51" s="174" t="str">
        <f>IFERROR(VLOOKUP($G$7&amp;$B51,'Renewable Thermal Sites'!A:I,9,FALSE)," ")</f>
        <v xml:space="preserve"> </v>
      </c>
      <c r="G51" s="166" t="str">
        <f>IFERROR(VLOOKUP($G$7&amp;$B51,'Renewable Thermal Sites'!A:J,10,FALSE)," ")</f>
        <v xml:space="preserve"> </v>
      </c>
      <c r="H51" s="166" t="str">
        <f>IFERROR(VLOOKUP($G$7&amp;$B51,'Renewable Thermal Sites'!A:I,3,FALSE)," ")</f>
        <v xml:space="preserve"> </v>
      </c>
      <c r="I51" s="1190"/>
      <c r="J51" s="1191"/>
      <c r="K51" s="1191"/>
      <c r="L51" s="1191"/>
      <c r="M51" s="530"/>
    </row>
    <row r="52" spans="2:13" ht="16" thickBot="1">
      <c r="B52" s="166">
        <v>3</v>
      </c>
      <c r="C52" s="1224" t="str">
        <f>IFERROR(VLOOKUP($G$7&amp;$B52,'Renewable Thermal Sites'!A:F,6,FALSE)," ")</f>
        <v xml:space="preserve"> </v>
      </c>
      <c r="D52" s="1196"/>
      <c r="E52" s="165" t="str">
        <f>IFERROR(VLOOKUP($G$7&amp;$B52,'Renewable Thermal Sites'!A:H,8,FALSE)," ")</f>
        <v xml:space="preserve"> </v>
      </c>
      <c r="F52" s="174" t="str">
        <f>IFERROR(VLOOKUP($G$7&amp;$B52,'Renewable Thermal Sites'!A:I,9,FALSE)," ")</f>
        <v xml:space="preserve"> </v>
      </c>
      <c r="G52" s="166" t="str">
        <f>IFERROR(VLOOKUP($G$7&amp;$B52,'Renewable Thermal Sites'!A:J,10,FALSE)," ")</f>
        <v xml:space="preserve"> </v>
      </c>
      <c r="H52" s="166" t="str">
        <f>IFERROR(VLOOKUP($G$7&amp;$B52,'Renewable Thermal Sites'!A:I,3,FALSE)," ")</f>
        <v xml:space="preserve"> </v>
      </c>
      <c r="I52" s="1190"/>
      <c r="J52" s="1191"/>
      <c r="K52" s="1191"/>
      <c r="L52" s="1191"/>
      <c r="M52" s="530"/>
    </row>
    <row r="53" spans="2:13" ht="16" thickBot="1">
      <c r="B53" s="166">
        <v>4</v>
      </c>
      <c r="C53" s="1224" t="str">
        <f>IFERROR(VLOOKUP($G$7&amp;$B53,'Renewable Thermal Sites'!A:F,6,FALSE)," ")</f>
        <v xml:space="preserve"> </v>
      </c>
      <c r="D53" s="1196"/>
      <c r="E53" s="165" t="str">
        <f>IFERROR(VLOOKUP($G$7&amp;$B53,'Renewable Thermal Sites'!A:H,8,FALSE)," ")</f>
        <v xml:space="preserve"> </v>
      </c>
      <c r="F53" s="174" t="str">
        <f>IFERROR(VLOOKUP($G$7&amp;$B53,'Renewable Thermal Sites'!A:I,9,FALSE)," ")</f>
        <v xml:space="preserve"> </v>
      </c>
      <c r="G53" s="166" t="str">
        <f>IFERROR(VLOOKUP($G$7&amp;$B53,'Renewable Thermal Sites'!A:J,10,FALSE)," ")</f>
        <v xml:space="preserve"> </v>
      </c>
      <c r="H53" s="166" t="str">
        <f>IFERROR(VLOOKUP($G$7&amp;$B53,'Renewable Thermal Sites'!A:I,3,FALSE)," ")</f>
        <v xml:space="preserve"> </v>
      </c>
      <c r="I53" s="1190"/>
      <c r="J53" s="1191"/>
      <c r="K53" s="1191"/>
      <c r="L53" s="1191"/>
      <c r="M53" s="530"/>
    </row>
    <row r="54" spans="2:13" ht="16" thickBot="1">
      <c r="B54" s="166">
        <v>5</v>
      </c>
      <c r="C54" s="1224" t="str">
        <f>IFERROR(VLOOKUP($G$7&amp;$B54,'Renewable Thermal Sites'!A:F,6,FALSE)," ")</f>
        <v xml:space="preserve"> </v>
      </c>
      <c r="D54" s="1196"/>
      <c r="E54" s="165" t="str">
        <f>IFERROR(VLOOKUP($G$7&amp;$B54,'Renewable Thermal Sites'!A:H,8,FALSE)," ")</f>
        <v xml:space="preserve"> </v>
      </c>
      <c r="F54" s="174" t="str">
        <f>IFERROR(VLOOKUP($G$7&amp;$B54,'Renewable Thermal Sites'!A:I,9,FALSE)," ")</f>
        <v xml:space="preserve"> </v>
      </c>
      <c r="G54" s="166" t="str">
        <f>IFERROR(VLOOKUP($G$7&amp;$B54,'Renewable Thermal Sites'!A:J,10,FALSE)," ")</f>
        <v xml:space="preserve"> </v>
      </c>
      <c r="H54" s="166" t="str">
        <f>IFERROR(VLOOKUP($G$7&amp;$B54,'Renewable Thermal Sites'!A:I,3,FALSE)," ")</f>
        <v xml:space="preserve"> </v>
      </c>
      <c r="I54" s="1190"/>
      <c r="J54" s="1191"/>
      <c r="K54" s="1191"/>
      <c r="L54" s="1191"/>
      <c r="M54" s="530"/>
    </row>
    <row r="55" spans="2:13" ht="19.5" customHeight="1" thickBot="1">
      <c r="B55" s="1189" t="s">
        <v>418</v>
      </c>
      <c r="C55" s="1189"/>
      <c r="D55" s="1189"/>
      <c r="E55" s="1189"/>
      <c r="F55" s="1189"/>
      <c r="G55" s="1189"/>
      <c r="H55" s="1189"/>
      <c r="I55" s="1189"/>
      <c r="J55" s="1189"/>
      <c r="K55" s="1189"/>
      <c r="L55" s="1189"/>
      <c r="M55" s="530"/>
    </row>
    <row r="56" spans="2:13" ht="16" thickBot="1">
      <c r="B56" s="211">
        <v>6</v>
      </c>
      <c r="C56" s="1188" t="s">
        <v>411</v>
      </c>
      <c r="D56" s="1188"/>
      <c r="E56" s="212"/>
      <c r="F56" s="213"/>
      <c r="G56" s="582" t="s">
        <v>363</v>
      </c>
      <c r="H56" s="582" t="s">
        <v>314</v>
      </c>
      <c r="I56" s="1159"/>
      <c r="J56" s="1187"/>
      <c r="K56" s="1187"/>
      <c r="L56" s="1187"/>
      <c r="M56" s="530"/>
    </row>
    <row r="57" spans="2:13" ht="16" thickBot="1">
      <c r="B57" s="211">
        <v>7</v>
      </c>
      <c r="C57" s="1188" t="s">
        <v>411</v>
      </c>
      <c r="D57" s="1188"/>
      <c r="E57" s="212"/>
      <c r="F57" s="213"/>
      <c r="G57" s="582" t="s">
        <v>363</v>
      </c>
      <c r="H57" s="582" t="s">
        <v>314</v>
      </c>
      <c r="I57" s="1159"/>
      <c r="J57" s="1187"/>
      <c r="K57" s="1187"/>
      <c r="L57" s="1187"/>
      <c r="M57" s="530"/>
    </row>
    <row r="58" spans="2:13" ht="16" thickBot="1">
      <c r="B58" s="211">
        <v>8</v>
      </c>
      <c r="C58" s="1188" t="s">
        <v>411</v>
      </c>
      <c r="D58" s="1188"/>
      <c r="E58" s="212"/>
      <c r="F58" s="213"/>
      <c r="G58" s="582" t="s">
        <v>363</v>
      </c>
      <c r="H58" s="582" t="s">
        <v>314</v>
      </c>
      <c r="I58" s="1159"/>
      <c r="J58" s="1187"/>
      <c r="K58" s="1187"/>
      <c r="L58" s="1187"/>
      <c r="M58" s="530"/>
    </row>
    <row r="59" spans="2:13" ht="16" thickBot="1">
      <c r="B59" s="211">
        <v>9</v>
      </c>
      <c r="C59" s="1188" t="s">
        <v>411</v>
      </c>
      <c r="D59" s="1188"/>
      <c r="E59" s="212"/>
      <c r="F59" s="213"/>
      <c r="G59" s="582" t="s">
        <v>363</v>
      </c>
      <c r="H59" s="582" t="s">
        <v>314</v>
      </c>
      <c r="I59" s="1159"/>
      <c r="J59" s="1187"/>
      <c r="K59" s="1187"/>
      <c r="L59" s="1187"/>
      <c r="M59" s="530"/>
    </row>
    <row r="60" spans="2:13" ht="17.25" customHeight="1" thickBot="1">
      <c r="B60" s="211">
        <v>10</v>
      </c>
      <c r="C60" s="1221" t="s">
        <v>411</v>
      </c>
      <c r="D60" s="1222"/>
      <c r="E60" s="160"/>
      <c r="F60" s="176"/>
      <c r="G60" s="161" t="s">
        <v>363</v>
      </c>
      <c r="H60" s="162" t="s">
        <v>314</v>
      </c>
      <c r="I60" s="1159"/>
      <c r="J60" s="1187"/>
      <c r="K60" s="1187"/>
      <c r="L60" s="1187"/>
      <c r="M60" s="530"/>
    </row>
    <row r="61" spans="2:13">
      <c r="B61" s="530"/>
      <c r="C61" s="530"/>
      <c r="D61" s="530"/>
      <c r="E61" s="530"/>
      <c r="F61" s="540"/>
      <c r="G61" s="531"/>
      <c r="H61" s="530"/>
      <c r="I61" s="530"/>
      <c r="L61" s="530"/>
      <c r="M61" s="530"/>
    </row>
    <row r="62" spans="2:13" ht="8.15" customHeight="1">
      <c r="B62" s="530"/>
      <c r="C62" s="530"/>
      <c r="D62" s="530"/>
      <c r="E62" s="530"/>
      <c r="F62" s="540"/>
      <c r="G62" s="530"/>
      <c r="H62" s="530"/>
      <c r="I62" s="530"/>
      <c r="L62" s="530"/>
      <c r="M62" s="530"/>
    </row>
    <row r="63" spans="2:13" ht="18.75" customHeight="1">
      <c r="B63" s="1168" t="s">
        <v>419</v>
      </c>
      <c r="C63" s="1168"/>
      <c r="D63" s="1168"/>
      <c r="E63" s="1168"/>
      <c r="F63" s="1168"/>
      <c r="G63" s="1168"/>
      <c r="H63" s="1168"/>
      <c r="I63" s="1168"/>
      <c r="J63" s="1168"/>
      <c r="K63" s="1168"/>
      <c r="L63" s="1168"/>
      <c r="M63" s="530"/>
    </row>
    <row r="64" spans="2:13" ht="18.75" customHeight="1">
      <c r="B64" s="1168" t="s">
        <v>420</v>
      </c>
      <c r="C64" s="1168"/>
      <c r="D64" s="1168"/>
      <c r="E64" s="1168"/>
      <c r="F64" s="1168"/>
      <c r="G64" s="1168"/>
      <c r="H64" s="1168"/>
      <c r="I64" s="1168"/>
      <c r="J64" s="1168"/>
      <c r="K64" s="1168"/>
      <c r="L64" s="1168"/>
      <c r="M64" s="530"/>
    </row>
    <row r="65" spans="2:13">
      <c r="B65" s="1194" t="s">
        <v>421</v>
      </c>
      <c r="C65" s="1194"/>
      <c r="D65" s="1194"/>
      <c r="E65" s="1194"/>
      <c r="F65" s="1194"/>
      <c r="G65" s="1194"/>
      <c r="H65" s="1194"/>
      <c r="I65" s="1194"/>
      <c r="J65" s="1194"/>
      <c r="K65" s="1194"/>
      <c r="L65" s="1194"/>
      <c r="M65" s="530"/>
    </row>
    <row r="66" spans="2:13">
      <c r="B66" s="1193" t="s">
        <v>415</v>
      </c>
      <c r="C66" s="1193"/>
      <c r="D66" s="1193"/>
      <c r="E66" s="1193"/>
      <c r="F66" s="1193"/>
      <c r="G66" s="1193"/>
      <c r="H66" s="1193"/>
      <c r="I66" s="1193"/>
      <c r="J66" s="1193"/>
      <c r="K66" s="1193"/>
      <c r="L66" s="1193"/>
      <c r="M66" s="530"/>
    </row>
    <row r="67" spans="2:13" ht="48" customHeight="1" thickBot="1">
      <c r="B67" s="581"/>
      <c r="C67" s="1192" t="s">
        <v>404</v>
      </c>
      <c r="D67" s="1192"/>
      <c r="E67" s="175" t="s">
        <v>422</v>
      </c>
      <c r="F67" s="305" t="s">
        <v>423</v>
      </c>
      <c r="G67" s="588" t="s">
        <v>424</v>
      </c>
      <c r="H67" s="588" t="s">
        <v>408</v>
      </c>
      <c r="I67" s="588" t="s">
        <v>425</v>
      </c>
      <c r="J67" s="606" t="s">
        <v>426</v>
      </c>
      <c r="K67" s="607" t="s">
        <v>427</v>
      </c>
      <c r="L67" s="583" t="s">
        <v>409</v>
      </c>
      <c r="M67" s="189"/>
    </row>
    <row r="68" spans="2:13" ht="16" thickBot="1">
      <c r="B68" s="403">
        <v>1</v>
      </c>
      <c r="C68" s="1209" t="str">
        <f>IFERROR(VLOOKUP($G$7&amp;$B68,'Energy Storage Source'!A:J,2,FALSE)," ")</f>
        <v xml:space="preserve"> </v>
      </c>
      <c r="D68" s="1210"/>
      <c r="E68" s="404" t="str">
        <f>IFERROR(VLOOKUP($G$7&amp;$B68,'Energy Storage Source'!A:J,3,FALSE)," ")</f>
        <v xml:space="preserve"> </v>
      </c>
      <c r="F68" s="404" t="str">
        <f>IFERROR(VLOOKUP($G$7&amp;$B68,'Energy Storage Source'!A:J,4,FALSE)," ")</f>
        <v xml:space="preserve"> </v>
      </c>
      <c r="G68" s="405" t="str">
        <f>IFERROR(VLOOKUP($G$7&amp;$B68,'Energy Storage Source'!A:J,5,FALSE)," ")</f>
        <v xml:space="preserve"> </v>
      </c>
      <c r="H68" s="405" t="str">
        <f>IFERROR(VLOOKUP($G$7&amp;$B68,'Energy Storage Source'!A:J,6,FALSE)," ")</f>
        <v xml:space="preserve"> </v>
      </c>
      <c r="I68" s="406" t="str">
        <f>IFERROR(VLOOKUP($G$7&amp;$B68,'Energy Storage Source'!A:J,7,FALSE)," ")</f>
        <v xml:space="preserve"> </v>
      </c>
      <c r="J68" s="406" t="str">
        <f>IFERROR(VLOOKUP($G$7&amp;$B68,'Energy Storage Source'!A:J,8,FALSE)," ")</f>
        <v xml:space="preserve"> </v>
      </c>
      <c r="K68" s="667"/>
      <c r="L68" s="528"/>
      <c r="M68" s="189"/>
    </row>
    <row r="69" spans="2:13" ht="16" thickBot="1">
      <c r="B69" s="403">
        <v>2</v>
      </c>
      <c r="C69" s="1209" t="str">
        <f>IFERROR(VLOOKUP($G$7&amp;$B69,'Energy Storage Source'!A:J,2,FALSE)," ")</f>
        <v xml:space="preserve"> </v>
      </c>
      <c r="D69" s="1210"/>
      <c r="E69" s="404" t="str">
        <f>IFERROR(VLOOKUP($G$7&amp;$B69,'Energy Storage Source'!A:J,3,FALSE)," ")</f>
        <v xml:space="preserve"> </v>
      </c>
      <c r="F69" s="404" t="str">
        <f>IFERROR(VLOOKUP($G$7&amp;$B69,'Energy Storage Source'!A:J,4,FALSE)," ")</f>
        <v xml:space="preserve"> </v>
      </c>
      <c r="G69" s="405" t="str">
        <f>IFERROR(VLOOKUP($G$7&amp;$B69,'Energy Storage Source'!A:J,5,FALSE)," ")</f>
        <v xml:space="preserve"> </v>
      </c>
      <c r="H69" s="405" t="str">
        <f>IFERROR(VLOOKUP($G$7&amp;$B69,'Energy Storage Source'!A:J,6,FALSE)," ")</f>
        <v xml:space="preserve"> </v>
      </c>
      <c r="I69" s="406" t="str">
        <f>IFERROR(VLOOKUP($G$7&amp;$B69,'Energy Storage Source'!A:J,7,FALSE)," ")</f>
        <v xml:space="preserve"> </v>
      </c>
      <c r="J69" s="406" t="str">
        <f>IFERROR(VLOOKUP($G$7&amp;$B69,'Energy Storage Source'!A:J,8,FALSE)," ")</f>
        <v xml:space="preserve"> </v>
      </c>
      <c r="K69" s="667"/>
      <c r="L69" s="528"/>
      <c r="M69" s="189"/>
    </row>
    <row r="70" spans="2:13" ht="16" thickBot="1">
      <c r="B70" s="403">
        <v>3</v>
      </c>
      <c r="C70" s="1209" t="str">
        <f>IFERROR(VLOOKUP($G$7&amp;$B70,'Energy Storage Source'!A:J,2,FALSE)," ")</f>
        <v xml:space="preserve"> </v>
      </c>
      <c r="D70" s="1210"/>
      <c r="E70" s="404" t="str">
        <f>IFERROR(VLOOKUP($G$7&amp;$B70,'Energy Storage Source'!A:J,3,FALSE)," ")</f>
        <v xml:space="preserve"> </v>
      </c>
      <c r="F70" s="404" t="str">
        <f>IFERROR(VLOOKUP($G$7&amp;$B70,'Energy Storage Source'!A:J,4,FALSE)," ")</f>
        <v xml:space="preserve"> </v>
      </c>
      <c r="G70" s="405" t="str">
        <f>IFERROR(VLOOKUP($G$7&amp;$B70,'Energy Storage Source'!A:J,5,FALSE)," ")</f>
        <v xml:space="preserve"> </v>
      </c>
      <c r="H70" s="405" t="str">
        <f>IFERROR(VLOOKUP($G$7&amp;$B70,'Energy Storage Source'!A:J,6,FALSE)," ")</f>
        <v xml:space="preserve"> </v>
      </c>
      <c r="I70" s="406" t="str">
        <f>IFERROR(VLOOKUP($G$7&amp;$B70,'Energy Storage Source'!A:J,7,FALSE)," ")</f>
        <v xml:space="preserve"> </v>
      </c>
      <c r="J70" s="406" t="str">
        <f>IFERROR(VLOOKUP($G$7&amp;$B70,'Energy Storage Source'!A:J,8,FALSE)," ")</f>
        <v xml:space="preserve"> </v>
      </c>
      <c r="K70" s="667"/>
      <c r="L70" s="528"/>
      <c r="M70" s="189"/>
    </row>
    <row r="71" spans="2:13" ht="16" thickBot="1">
      <c r="B71" s="403">
        <v>4</v>
      </c>
      <c r="C71" s="1209" t="str">
        <f>IFERROR(VLOOKUP($G$7&amp;$B71,'Energy Storage Source'!A:J,2,FALSE)," ")</f>
        <v xml:space="preserve"> </v>
      </c>
      <c r="D71" s="1210"/>
      <c r="E71" s="404" t="str">
        <f>IFERROR(VLOOKUP($G$7&amp;$B71,'Energy Storage Source'!A:J,3,FALSE)," ")</f>
        <v xml:space="preserve"> </v>
      </c>
      <c r="F71" s="404" t="str">
        <f>IFERROR(VLOOKUP($G$7&amp;$B71,'Energy Storage Source'!A:J,4,FALSE)," ")</f>
        <v xml:space="preserve"> </v>
      </c>
      <c r="G71" s="405" t="str">
        <f>IFERROR(VLOOKUP($G$7&amp;$B71,'Energy Storage Source'!A:J,5,FALSE)," ")</f>
        <v xml:space="preserve"> </v>
      </c>
      <c r="H71" s="405" t="str">
        <f>IFERROR(VLOOKUP($G$7&amp;$B71,'Energy Storage Source'!A:J,6,FALSE)," ")</f>
        <v xml:space="preserve"> </v>
      </c>
      <c r="I71" s="406" t="str">
        <f>IFERROR(VLOOKUP($G$7&amp;$B71,'Energy Storage Source'!A:J,7,FALSE)," ")</f>
        <v xml:space="preserve"> </v>
      </c>
      <c r="J71" s="406" t="str">
        <f>IFERROR(VLOOKUP($G$7&amp;$B71,'Energy Storage Source'!A:J,8,FALSE)," ")</f>
        <v xml:space="preserve"> </v>
      </c>
      <c r="K71" s="667"/>
      <c r="L71" s="528"/>
      <c r="M71" s="189"/>
    </row>
    <row r="72" spans="2:13" ht="16" thickBot="1">
      <c r="B72" s="403">
        <v>5</v>
      </c>
      <c r="C72" s="1209" t="str">
        <f>IFERROR(VLOOKUP($G$7&amp;$B72,'Energy Storage Source'!A:J,2,FALSE)," ")</f>
        <v xml:space="preserve"> </v>
      </c>
      <c r="D72" s="1210"/>
      <c r="E72" s="404" t="str">
        <f>IFERROR(VLOOKUP($G$7&amp;$B72,'Energy Storage Source'!A:J,3,FALSE)," ")</f>
        <v xml:space="preserve"> </v>
      </c>
      <c r="F72" s="404" t="str">
        <f>IFERROR(VLOOKUP($G$7&amp;$B72,'Energy Storage Source'!A:J,4,FALSE)," ")</f>
        <v xml:space="preserve"> </v>
      </c>
      <c r="G72" s="405" t="str">
        <f>IFERROR(VLOOKUP($G$7&amp;$B72,'Energy Storage Source'!A:J,5,FALSE)," ")</f>
        <v xml:space="preserve"> </v>
      </c>
      <c r="H72" s="405" t="str">
        <f>IFERROR(VLOOKUP($G$7&amp;$B72,'Energy Storage Source'!A:J,6,FALSE)," ")</f>
        <v xml:space="preserve"> </v>
      </c>
      <c r="I72" s="406" t="str">
        <f>IFERROR(VLOOKUP($G$7&amp;$B72,'Energy Storage Source'!A:J,7,FALSE)," ")</f>
        <v xml:space="preserve"> </v>
      </c>
      <c r="J72" s="406" t="str">
        <f>IFERROR(VLOOKUP($G$7&amp;$B72,'Energy Storage Source'!A:J,8,FALSE)," ")</f>
        <v xml:space="preserve"> </v>
      </c>
      <c r="K72" s="667"/>
      <c r="L72" s="528"/>
      <c r="M72" s="189"/>
    </row>
    <row r="73" spans="2:13" ht="16" thickBot="1">
      <c r="B73" s="1208" t="s">
        <v>428</v>
      </c>
      <c r="C73" s="1208"/>
      <c r="D73" s="1208"/>
      <c r="E73" s="1208"/>
      <c r="F73" s="1208"/>
      <c r="G73" s="1208"/>
      <c r="H73" s="1208"/>
      <c r="I73" s="1208"/>
      <c r="J73" s="1189"/>
      <c r="K73" s="1189"/>
      <c r="L73" s="1208"/>
      <c r="M73" s="530"/>
    </row>
    <row r="74" spans="2:13" ht="16" thickBot="1">
      <c r="B74" s="211"/>
      <c r="C74" s="1188" t="s">
        <v>411</v>
      </c>
      <c r="D74" s="1188"/>
      <c r="E74" s="212" t="s">
        <v>338</v>
      </c>
      <c r="F74" s="213"/>
      <c r="G74" s="582"/>
      <c r="H74" s="582" t="s">
        <v>429</v>
      </c>
      <c r="I74" s="582"/>
      <c r="J74" s="590" t="s">
        <v>258</v>
      </c>
      <c r="K74" s="590"/>
      <c r="L74" s="214"/>
      <c r="M74" s="530"/>
    </row>
    <row r="75" spans="2:13" ht="16" thickBot="1">
      <c r="B75" s="211"/>
      <c r="C75" s="1188" t="s">
        <v>411</v>
      </c>
      <c r="D75" s="1188"/>
      <c r="E75" s="212" t="s">
        <v>338</v>
      </c>
      <c r="F75" s="213"/>
      <c r="G75" s="582"/>
      <c r="H75" s="582" t="s">
        <v>429</v>
      </c>
      <c r="I75" s="582"/>
      <c r="J75" s="590" t="s">
        <v>258</v>
      </c>
      <c r="K75" s="590"/>
      <c r="L75" s="214"/>
      <c r="M75" s="530"/>
    </row>
    <row r="76" spans="2:13" ht="16" thickBot="1">
      <c r="B76" s="211"/>
      <c r="C76" s="1188" t="s">
        <v>411</v>
      </c>
      <c r="D76" s="1188"/>
      <c r="E76" s="212" t="s">
        <v>338</v>
      </c>
      <c r="F76" s="213"/>
      <c r="G76" s="582"/>
      <c r="H76" s="582" t="s">
        <v>429</v>
      </c>
      <c r="I76" s="582"/>
      <c r="J76" s="590" t="s">
        <v>258</v>
      </c>
      <c r="K76" s="590"/>
      <c r="L76" s="214"/>
      <c r="M76" s="530"/>
    </row>
    <row r="77" spans="2:13" ht="16" thickBot="1">
      <c r="B77" s="211"/>
      <c r="C77" s="1188" t="s">
        <v>411</v>
      </c>
      <c r="D77" s="1188"/>
      <c r="E77" s="212" t="s">
        <v>338</v>
      </c>
      <c r="F77" s="213"/>
      <c r="G77" s="582"/>
      <c r="H77" s="582" t="s">
        <v>429</v>
      </c>
      <c r="I77" s="582"/>
      <c r="J77" s="590" t="s">
        <v>258</v>
      </c>
      <c r="K77" s="590"/>
      <c r="L77" s="214"/>
      <c r="M77" s="530"/>
    </row>
    <row r="78" spans="2:13">
      <c r="B78" s="530"/>
      <c r="C78" s="530"/>
      <c r="D78" s="530"/>
      <c r="E78" s="530"/>
      <c r="F78" s="540"/>
      <c r="G78" s="531"/>
      <c r="H78" s="530"/>
      <c r="I78" s="530"/>
      <c r="L78" s="530"/>
      <c r="M78" s="530"/>
    </row>
    <row r="79" spans="2:13">
      <c r="B79" s="530"/>
      <c r="C79" s="530"/>
      <c r="D79" s="530"/>
      <c r="E79" s="530"/>
      <c r="F79" s="540"/>
      <c r="G79" s="531"/>
      <c r="H79" s="530"/>
      <c r="I79" s="530"/>
      <c r="L79" s="530"/>
      <c r="M79" s="530"/>
    </row>
  </sheetData>
  <sheetProtection selectLockedCells="1"/>
  <mergeCells count="104">
    <mergeCell ref="I29:L29"/>
    <mergeCell ref="I30:L30"/>
    <mergeCell ref="I31:L31"/>
    <mergeCell ref="I32:L32"/>
    <mergeCell ref="I33:L33"/>
    <mergeCell ref="I34:L34"/>
    <mergeCell ref="I35:L35"/>
    <mergeCell ref="I36:L36"/>
    <mergeCell ref="I37:L37"/>
    <mergeCell ref="I60:L60"/>
    <mergeCell ref="C49:D49"/>
    <mergeCell ref="B45:L45"/>
    <mergeCell ref="B46:L46"/>
    <mergeCell ref="B47:L47"/>
    <mergeCell ref="B48:L48"/>
    <mergeCell ref="C43:D43"/>
    <mergeCell ref="C33:D33"/>
    <mergeCell ref="C34:D34"/>
    <mergeCell ref="C35:D35"/>
    <mergeCell ref="C36:D36"/>
    <mergeCell ref="C38:D38"/>
    <mergeCell ref="C37:D37"/>
    <mergeCell ref="C40:D40"/>
    <mergeCell ref="C41:D41"/>
    <mergeCell ref="I49:L49"/>
    <mergeCell ref="I38:L38"/>
    <mergeCell ref="C59:D59"/>
    <mergeCell ref="C60:D60"/>
    <mergeCell ref="C50:D50"/>
    <mergeCell ref="C51:D51"/>
    <mergeCell ref="C52:D52"/>
    <mergeCell ref="C53:D53"/>
    <mergeCell ref="C54:D54"/>
    <mergeCell ref="B9:L9"/>
    <mergeCell ref="B1:L1"/>
    <mergeCell ref="C2:L3"/>
    <mergeCell ref="C4:L4"/>
    <mergeCell ref="C5:L5"/>
    <mergeCell ref="J41:L41"/>
    <mergeCell ref="J42:L42"/>
    <mergeCell ref="J43:L43"/>
    <mergeCell ref="B17:L17"/>
    <mergeCell ref="B18:L18"/>
    <mergeCell ref="B19:L19"/>
    <mergeCell ref="B20:L20"/>
    <mergeCell ref="B21:L21"/>
    <mergeCell ref="B14:B15"/>
    <mergeCell ref="C14:L15"/>
    <mergeCell ref="C10:L11"/>
    <mergeCell ref="C12:L13"/>
    <mergeCell ref="I22:L22"/>
    <mergeCell ref="I23:L23"/>
    <mergeCell ref="I24:L24"/>
    <mergeCell ref="I25:L25"/>
    <mergeCell ref="I26:L26"/>
    <mergeCell ref="I27:L27"/>
    <mergeCell ref="I28:L28"/>
    <mergeCell ref="C74:D74"/>
    <mergeCell ref="C75:D75"/>
    <mergeCell ref="C76:D76"/>
    <mergeCell ref="C77:D77"/>
    <mergeCell ref="B73:L73"/>
    <mergeCell ref="C68:D68"/>
    <mergeCell ref="C69:D69"/>
    <mergeCell ref="C70:D70"/>
    <mergeCell ref="C71:D71"/>
    <mergeCell ref="C72:D72"/>
    <mergeCell ref="C67:D67"/>
    <mergeCell ref="B66:L66"/>
    <mergeCell ref="B65:L65"/>
    <mergeCell ref="B63:L63"/>
    <mergeCell ref="B64:L64"/>
    <mergeCell ref="C31:D31"/>
    <mergeCell ref="C32:D32"/>
    <mergeCell ref="B2:B5"/>
    <mergeCell ref="G7:H7"/>
    <mergeCell ref="D7:F7"/>
    <mergeCell ref="B10:B11"/>
    <mergeCell ref="B12:B13"/>
    <mergeCell ref="C29:D29"/>
    <mergeCell ref="C30:D30"/>
    <mergeCell ref="C22:D22"/>
    <mergeCell ref="C23:D23"/>
    <mergeCell ref="C26:D26"/>
    <mergeCell ref="C27:D27"/>
    <mergeCell ref="C28:D28"/>
    <mergeCell ref="C24:D24"/>
    <mergeCell ref="C25:D25"/>
    <mergeCell ref="C42:D42"/>
    <mergeCell ref="B39:L39"/>
    <mergeCell ref="J40:L40"/>
    <mergeCell ref="I59:L59"/>
    <mergeCell ref="C56:D56"/>
    <mergeCell ref="C57:D57"/>
    <mergeCell ref="C58:D58"/>
    <mergeCell ref="B55:L55"/>
    <mergeCell ref="I50:L50"/>
    <mergeCell ref="I51:L51"/>
    <mergeCell ref="I52:L52"/>
    <mergeCell ref="I53:L53"/>
    <mergeCell ref="I54:L54"/>
    <mergeCell ref="I56:L56"/>
    <mergeCell ref="I57:L57"/>
    <mergeCell ref="I58:L58"/>
  </mergeCells>
  <conditionalFormatting sqref="C23">
    <cfRule type="expression" dxfId="25" priority="97">
      <formula>#REF!="in progress"</formula>
    </cfRule>
  </conditionalFormatting>
  <conditionalFormatting sqref="C24:C38">
    <cfRule type="expression" dxfId="24" priority="6">
      <formula>J24="in progress"</formula>
    </cfRule>
  </conditionalFormatting>
  <conditionalFormatting sqref="D23:D38">
    <cfRule type="expression" dxfId="23" priority="93">
      <formula>L23="in progress"</formula>
    </cfRule>
  </conditionalFormatting>
  <conditionalFormatting sqref="E24:E38">
    <cfRule type="expression" dxfId="22" priority="4">
      <formula>J24="in progress"</formula>
    </cfRule>
  </conditionalFormatting>
  <conditionalFormatting sqref="E23:H23">
    <cfRule type="expression" dxfId="21" priority="94">
      <formula>#REF!="in progress"</formula>
    </cfRule>
  </conditionalFormatting>
  <conditionalFormatting sqref="F24:F38">
    <cfRule type="expression" dxfId="20" priority="3">
      <formula>J24="in progress"</formula>
    </cfRule>
  </conditionalFormatting>
  <conditionalFormatting sqref="G24:G38">
    <cfRule type="expression" dxfId="19" priority="2">
      <formula>J24="in progress"</formula>
    </cfRule>
  </conditionalFormatting>
  <conditionalFormatting sqref="H24:H38">
    <cfRule type="expression" dxfId="18" priority="1">
      <formula>J24="in progress"</formula>
    </cfRule>
  </conditionalFormatting>
  <pageMargins left="0.7" right="0.7" top="0.75" bottom="0.75" header="0.3" footer="0.3"/>
  <pageSetup scale="45" fitToHeight="0" orientation="landscape" r:id="rId1"/>
  <ignoredErrors>
    <ignoredError sqref="E42:H43 H40 H41"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B00-000000000000}">
          <x14:formula1>
            <xm:f>Source!$O$2:$O$6</xm:f>
          </x14:formula1>
          <xm:sqref>G56:G60</xm:sqref>
        </x14:dataValidation>
        <x14:dataValidation type="list" allowBlank="1" showInputMessage="1" showErrorMessage="1" xr:uid="{00000000-0002-0000-0B00-000001000000}">
          <x14:formula1>
            <xm:f>Source!$D$1:$D$7</xm:f>
          </x14:formula1>
          <xm:sqref>G50:G54</xm:sqref>
        </x14:dataValidation>
        <x14:dataValidation type="list" allowBlank="1" showInputMessage="1" showErrorMessage="1" xr:uid="{00000000-0002-0000-0B00-000002000000}">
          <x14:formula1>
            <xm:f>Source!$B$1:$B$7</xm:f>
          </x14:formula1>
          <xm:sqref>H56:H60</xm:sqref>
        </x14:dataValidation>
        <x14:dataValidation type="list" allowBlank="1" showInputMessage="1" showErrorMessage="1" xr:uid="{00000000-0002-0000-0B00-000003000000}">
          <x14:formula1>
            <xm:f>Source!$A$1:$A$9</xm:f>
          </x14:formula1>
          <xm:sqref>G40:G43</xm:sqref>
        </x14:dataValidation>
        <x14:dataValidation type="list" allowBlank="1" showInputMessage="1" showErrorMessage="1" xr:uid="{00000000-0002-0000-0B00-000004000000}">
          <x14:formula1>
            <xm:f>Source!$AG$1:$AG$5</xm:f>
          </x14:formula1>
          <xm:sqref>E74:E77</xm:sqref>
        </x14:dataValidation>
        <x14:dataValidation type="list" allowBlank="1" showInputMessage="1" showErrorMessage="1" xr:uid="{00000000-0002-0000-0B00-000005000000}">
          <x14:formula1>
            <xm:f>Source!$AI$1:$AI$4</xm:f>
          </x14:formula1>
          <xm:sqref>H74:H77</xm:sqref>
        </x14:dataValidation>
        <x14:dataValidation type="list" allowBlank="1" showInputMessage="1" showErrorMessage="1" xr:uid="{C430A965-504C-514B-B380-73EE16520620}">
          <x14:formula1>
            <xm:f>Source!$AZ$1:$AZ$6</xm:f>
          </x14:formula1>
          <xm:sqref>J74:J77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Q46"/>
  <sheetViews>
    <sheetView showGridLines="0" zoomScale="70" zoomScaleNormal="70" workbookViewId="0">
      <selection activeCell="K3" sqref="K3"/>
    </sheetView>
  </sheetViews>
  <sheetFormatPr defaultColWidth="0" defaultRowHeight="15.5" zeroHeight="1"/>
  <cols>
    <col min="1" max="1" width="3.453125" style="196" customWidth="1"/>
    <col min="2" max="2" width="22.26953125" style="196" customWidth="1"/>
    <col min="3" max="3" width="13" style="196" bestFit="1" customWidth="1"/>
    <col min="4" max="4" width="74.1796875" style="196" customWidth="1"/>
    <col min="5" max="5" width="16.453125" style="196" customWidth="1"/>
    <col min="6" max="6" width="20.453125" style="196" customWidth="1"/>
    <col min="7" max="7" width="20" style="196" customWidth="1"/>
    <col min="8" max="8" width="20.26953125" style="196" customWidth="1"/>
    <col min="9" max="10" width="16.1796875" style="196" customWidth="1"/>
    <col min="11" max="11" width="9.453125" style="196" customWidth="1"/>
    <col min="12" max="17" width="0" style="196" hidden="1" customWidth="1"/>
    <col min="18" max="16384" width="9.1796875" style="196" hidden="1"/>
  </cols>
  <sheetData>
    <row r="1" spans="1:17" s="6" customFormat="1" ht="16" thickBot="1">
      <c r="A1" s="530"/>
      <c r="B1" s="1060" t="s">
        <v>23</v>
      </c>
      <c r="C1" s="1060"/>
      <c r="D1" s="1060"/>
      <c r="E1" s="1060"/>
      <c r="F1" s="1060"/>
      <c r="G1" s="1060"/>
      <c r="H1" s="1060"/>
      <c r="I1" s="1060"/>
      <c r="J1" s="907"/>
      <c r="K1" s="530"/>
      <c r="L1" s="530"/>
      <c r="M1" s="530"/>
      <c r="N1" s="530"/>
      <c r="O1" s="530"/>
      <c r="P1" s="530"/>
      <c r="Q1" s="530"/>
    </row>
    <row r="2" spans="1:17" s="6" customFormat="1" ht="15.75" customHeight="1">
      <c r="A2" s="530"/>
      <c r="B2" s="1229" t="s">
        <v>21</v>
      </c>
      <c r="C2" s="1225" t="s">
        <v>2588</v>
      </c>
      <c r="D2" s="1226"/>
      <c r="E2" s="1226"/>
      <c r="F2" s="1226"/>
      <c r="G2" s="1226"/>
      <c r="H2" s="1226"/>
      <c r="I2" s="1226"/>
      <c r="J2" s="1226"/>
      <c r="K2" s="15"/>
      <c r="L2" s="15"/>
      <c r="M2" s="15"/>
      <c r="N2" s="15"/>
      <c r="O2" s="15"/>
      <c r="P2" s="15"/>
      <c r="Q2" s="15"/>
    </row>
    <row r="3" spans="1:17" s="6" customFormat="1" ht="24" customHeight="1">
      <c r="A3" s="530"/>
      <c r="B3" s="1229"/>
      <c r="C3" s="1225"/>
      <c r="D3" s="1226"/>
      <c r="E3" s="1226"/>
      <c r="F3" s="1226"/>
      <c r="G3" s="1226"/>
      <c r="H3" s="1226"/>
      <c r="I3" s="1226"/>
      <c r="J3" s="1226"/>
      <c r="K3" s="15"/>
      <c r="L3" s="15"/>
      <c r="M3" s="15"/>
      <c r="N3" s="15"/>
      <c r="O3" s="15"/>
      <c r="P3" s="15"/>
      <c r="Q3" s="15"/>
    </row>
    <row r="4" spans="1:17" s="6" customFormat="1">
      <c r="A4" s="530"/>
      <c r="B4" s="530"/>
      <c r="C4" s="530"/>
      <c r="D4" s="530"/>
      <c r="E4" s="530"/>
      <c r="F4" s="530"/>
      <c r="G4" s="530"/>
      <c r="H4" s="530"/>
      <c r="I4" s="530"/>
      <c r="J4" s="530"/>
      <c r="K4" s="530"/>
      <c r="L4" s="530"/>
      <c r="M4" s="530"/>
      <c r="N4" s="530"/>
      <c r="O4" s="530"/>
      <c r="P4" s="530"/>
      <c r="Q4" s="530"/>
    </row>
    <row r="5" spans="1:17" s="6" customFormat="1" ht="21.5" thickBot="1">
      <c r="A5" s="530"/>
      <c r="B5" s="1148" t="s">
        <v>971</v>
      </c>
      <c r="C5" s="1148"/>
      <c r="D5" s="1148"/>
      <c r="E5" s="1148"/>
      <c r="F5" s="1148"/>
      <c r="G5" s="1148"/>
      <c r="H5" s="1148"/>
      <c r="I5" s="1148"/>
      <c r="J5" s="905"/>
      <c r="K5" s="530"/>
      <c r="L5" s="530"/>
      <c r="M5" s="530"/>
      <c r="N5" s="530"/>
      <c r="O5" s="530"/>
      <c r="P5" s="530"/>
      <c r="Q5" s="530"/>
    </row>
    <row r="6" spans="1:17" s="5" customFormat="1" ht="12" customHeight="1">
      <c r="B6" s="1071" t="s">
        <v>972</v>
      </c>
      <c r="C6" s="1071" t="s">
        <v>405</v>
      </c>
      <c r="D6" s="1072" t="s">
        <v>973</v>
      </c>
      <c r="E6" s="1072" t="s">
        <v>974</v>
      </c>
      <c r="F6" s="1233" t="s">
        <v>975</v>
      </c>
      <c r="G6" s="1233" t="s">
        <v>976</v>
      </c>
      <c r="H6" s="1233" t="s">
        <v>977</v>
      </c>
      <c r="I6" s="1072" t="s">
        <v>978</v>
      </c>
      <c r="J6" s="1072" t="s">
        <v>2585</v>
      </c>
    </row>
    <row r="7" spans="1:17" s="5" customFormat="1" ht="13.5" customHeight="1">
      <c r="B7" s="1071"/>
      <c r="C7" s="1071"/>
      <c r="D7" s="1072"/>
      <c r="E7" s="1072"/>
      <c r="F7" s="1072"/>
      <c r="G7" s="1072"/>
      <c r="H7" s="1072"/>
      <c r="I7" s="1072"/>
      <c r="J7" s="1072"/>
    </row>
    <row r="8" spans="1:17" s="5" customFormat="1" ht="15" customHeight="1">
      <c r="B8" s="1071"/>
      <c r="C8" s="1071"/>
      <c r="D8" s="1072"/>
      <c r="E8" s="1072"/>
      <c r="F8" s="1072"/>
      <c r="G8" s="1072"/>
      <c r="H8" s="1072"/>
      <c r="I8" s="1072"/>
      <c r="J8" s="1072"/>
    </row>
    <row r="9" spans="1:17" s="5" customFormat="1" ht="12" customHeight="1" thickBot="1">
      <c r="B9" s="1232"/>
      <c r="C9" s="1232"/>
      <c r="D9" s="1230"/>
      <c r="E9" s="1230"/>
      <c r="F9" s="1230"/>
      <c r="G9" s="1230"/>
      <c r="H9" s="1230"/>
      <c r="I9" s="1230"/>
      <c r="J9" s="1072"/>
    </row>
    <row r="10" spans="1:17" s="6" customFormat="1" ht="15.75" customHeight="1" thickBot="1">
      <c r="A10" s="530"/>
      <c r="B10" s="1231" t="s">
        <v>1816</v>
      </c>
      <c r="C10" s="1231"/>
      <c r="D10" s="1231"/>
      <c r="E10" s="1231"/>
      <c r="F10" s="1231"/>
      <c r="G10" s="1231"/>
      <c r="H10" s="1231"/>
      <c r="I10" s="1231"/>
      <c r="J10" s="909"/>
      <c r="K10" s="530"/>
      <c r="L10" s="530"/>
      <c r="M10" s="530"/>
      <c r="N10" s="530"/>
      <c r="O10" s="530"/>
      <c r="P10" s="530"/>
      <c r="Q10" s="530"/>
    </row>
    <row r="11" spans="1:17" s="18" customFormat="1" ht="15.75" customHeight="1" thickBot="1">
      <c r="B11" s="230"/>
      <c r="C11" s="231"/>
      <c r="D11" s="231"/>
      <c r="E11" s="232">
        <v>0</v>
      </c>
      <c r="F11" s="233"/>
      <c r="G11" s="233"/>
      <c r="H11" s="233"/>
      <c r="I11" s="234">
        <v>0</v>
      </c>
      <c r="J11" s="910"/>
    </row>
    <row r="12" spans="1:17" s="18" customFormat="1" ht="15.75" customHeight="1" thickBot="1">
      <c r="B12" s="230"/>
      <c r="C12" s="231"/>
      <c r="D12" s="231"/>
      <c r="E12" s="232">
        <v>0</v>
      </c>
      <c r="F12" s="233"/>
      <c r="G12" s="233"/>
      <c r="H12" s="233"/>
      <c r="I12" s="234">
        <v>0</v>
      </c>
      <c r="J12" s="910"/>
    </row>
    <row r="13" spans="1:17" s="18" customFormat="1" ht="15.75" customHeight="1" thickBot="1">
      <c r="B13" s="230"/>
      <c r="C13" s="231"/>
      <c r="D13" s="231"/>
      <c r="E13" s="232">
        <v>0</v>
      </c>
      <c r="F13" s="233"/>
      <c r="G13" s="233"/>
      <c r="H13" s="233"/>
      <c r="I13" s="234">
        <v>0</v>
      </c>
      <c r="J13" s="910"/>
    </row>
    <row r="14" spans="1:17" s="18" customFormat="1" ht="15.75" customHeight="1" thickBot="1">
      <c r="B14" s="230"/>
      <c r="C14" s="231"/>
      <c r="D14" s="231"/>
      <c r="E14" s="232">
        <v>0</v>
      </c>
      <c r="F14" s="233"/>
      <c r="G14" s="233"/>
      <c r="H14" s="233"/>
      <c r="I14" s="234">
        <v>0</v>
      </c>
      <c r="J14" s="910"/>
    </row>
    <row r="15" spans="1:17" s="18" customFormat="1" ht="15.75" customHeight="1" thickBot="1">
      <c r="B15" s="230"/>
      <c r="C15" s="231"/>
      <c r="D15" s="231"/>
      <c r="E15" s="232">
        <v>0</v>
      </c>
      <c r="F15" s="233"/>
      <c r="G15" s="233"/>
      <c r="H15" s="233"/>
      <c r="I15" s="234">
        <v>0</v>
      </c>
      <c r="J15" s="910"/>
    </row>
    <row r="16" spans="1:17" s="18" customFormat="1" ht="15.75" customHeight="1" thickBot="1">
      <c r="B16" s="230"/>
      <c r="C16" s="231"/>
      <c r="D16" s="231"/>
      <c r="E16" s="232">
        <v>0</v>
      </c>
      <c r="F16" s="233"/>
      <c r="G16" s="233"/>
      <c r="H16" s="233"/>
      <c r="I16" s="234">
        <v>0</v>
      </c>
      <c r="J16" s="910"/>
    </row>
    <row r="17" spans="2:15" s="18" customFormat="1" ht="15.75" customHeight="1" thickBot="1">
      <c r="B17" s="230"/>
      <c r="C17" s="231"/>
      <c r="D17" s="231"/>
      <c r="E17" s="232">
        <v>0</v>
      </c>
      <c r="F17" s="233"/>
      <c r="G17" s="233"/>
      <c r="H17" s="233"/>
      <c r="I17" s="234">
        <v>0</v>
      </c>
      <c r="J17" s="910"/>
    </row>
    <row r="18" spans="2:15" s="18" customFormat="1" ht="15.75" customHeight="1" thickBot="1">
      <c r="B18" s="230"/>
      <c r="C18" s="231"/>
      <c r="D18" s="231"/>
      <c r="E18" s="232">
        <v>0</v>
      </c>
      <c r="F18" s="233"/>
      <c r="G18" s="233"/>
      <c r="H18" s="233"/>
      <c r="I18" s="234">
        <v>0</v>
      </c>
      <c r="J18" s="910"/>
    </row>
    <row r="19" spans="2:15" s="18" customFormat="1" ht="15.75" customHeight="1" thickBot="1">
      <c r="B19" s="230"/>
      <c r="C19" s="231"/>
      <c r="D19" s="231"/>
      <c r="E19" s="232">
        <v>0</v>
      </c>
      <c r="F19" s="233"/>
      <c r="G19" s="233"/>
      <c r="H19" s="233"/>
      <c r="I19" s="234">
        <v>0</v>
      </c>
      <c r="J19" s="910"/>
    </row>
    <row r="20" spans="2:15" s="18" customFormat="1" ht="15.75" customHeight="1" thickBot="1">
      <c r="B20" s="230"/>
      <c r="C20" s="231"/>
      <c r="D20" s="231"/>
      <c r="E20" s="232">
        <v>0</v>
      </c>
      <c r="F20" s="233"/>
      <c r="G20" s="233"/>
      <c r="H20" s="233"/>
      <c r="I20" s="234">
        <v>0</v>
      </c>
      <c r="J20" s="910"/>
    </row>
    <row r="21" spans="2:15" s="18" customFormat="1" ht="15.75" customHeight="1" thickBot="1">
      <c r="B21" s="230"/>
      <c r="C21" s="231"/>
      <c r="D21" s="231"/>
      <c r="E21" s="232">
        <v>0</v>
      </c>
      <c r="F21" s="233"/>
      <c r="G21" s="233"/>
      <c r="H21" s="233"/>
      <c r="I21" s="234">
        <v>0</v>
      </c>
      <c r="J21" s="910"/>
    </row>
    <row r="22" spans="2:15" s="18" customFormat="1" ht="15.75" customHeight="1" thickBot="1">
      <c r="B22" s="230"/>
      <c r="C22" s="231"/>
      <c r="D22" s="231"/>
      <c r="E22" s="232">
        <v>0</v>
      </c>
      <c r="F22" s="233"/>
      <c r="G22" s="233"/>
      <c r="H22" s="233"/>
      <c r="I22" s="234">
        <v>0</v>
      </c>
      <c r="J22" s="910"/>
    </row>
    <row r="23" spans="2:15" s="18" customFormat="1" ht="15.75" customHeight="1" thickBot="1">
      <c r="B23" s="230"/>
      <c r="C23" s="231"/>
      <c r="D23" s="231"/>
      <c r="E23" s="232">
        <v>0</v>
      </c>
      <c r="F23" s="233"/>
      <c r="G23" s="233"/>
      <c r="H23" s="233"/>
      <c r="I23" s="234">
        <v>0</v>
      </c>
      <c r="J23" s="910"/>
    </row>
    <row r="24" spans="2:15" s="18" customFormat="1" ht="15.75" customHeight="1" thickBot="1">
      <c r="B24" s="230"/>
      <c r="C24" s="231"/>
      <c r="D24" s="231"/>
      <c r="E24" s="232">
        <v>0</v>
      </c>
      <c r="F24" s="233"/>
      <c r="G24" s="233"/>
      <c r="H24" s="233"/>
      <c r="I24" s="234">
        <v>0</v>
      </c>
      <c r="J24" s="910"/>
    </row>
    <row r="25" spans="2:15" s="18" customFormat="1" ht="15.75" customHeight="1" thickBot="1">
      <c r="B25" s="230"/>
      <c r="C25" s="231"/>
      <c r="D25" s="231"/>
      <c r="E25" s="232">
        <v>0</v>
      </c>
      <c r="F25" s="233"/>
      <c r="G25" s="233"/>
      <c r="H25" s="233"/>
      <c r="I25" s="234">
        <v>0</v>
      </c>
      <c r="J25" s="910"/>
    </row>
    <row r="26" spans="2:15" s="18" customFormat="1" ht="15.75" customHeight="1" thickBot="1">
      <c r="B26" s="230"/>
      <c r="C26" s="231"/>
      <c r="D26" s="231"/>
      <c r="E26" s="232">
        <v>0</v>
      </c>
      <c r="F26" s="233"/>
      <c r="G26" s="233"/>
      <c r="H26" s="233"/>
      <c r="I26" s="234">
        <v>0</v>
      </c>
      <c r="J26" s="910"/>
    </row>
    <row r="27" spans="2:15" s="18" customFormat="1" ht="15.75" customHeight="1" thickBot="1">
      <c r="B27" s="230"/>
      <c r="C27" s="231"/>
      <c r="D27" s="231"/>
      <c r="E27" s="232">
        <v>0</v>
      </c>
      <c r="F27" s="233"/>
      <c r="G27" s="233"/>
      <c r="H27" s="233"/>
      <c r="I27" s="234">
        <v>0</v>
      </c>
      <c r="J27" s="910"/>
      <c r="K27" s="229"/>
    </row>
    <row r="28" spans="2:15" s="18" customFormat="1" ht="15.75" customHeight="1" thickBot="1">
      <c r="B28" s="230"/>
      <c r="C28" s="231"/>
      <c r="D28" s="231"/>
      <c r="E28" s="232">
        <v>0</v>
      </c>
      <c r="F28" s="233"/>
      <c r="G28" s="233"/>
      <c r="H28" s="233"/>
      <c r="I28" s="234">
        <v>0</v>
      </c>
      <c r="J28" s="910"/>
      <c r="K28" s="229"/>
    </row>
    <row r="29" spans="2:15" s="18" customFormat="1" ht="15.75" customHeight="1" thickBot="1">
      <c r="B29" s="230"/>
      <c r="C29" s="231"/>
      <c r="D29" s="231"/>
      <c r="E29" s="232">
        <v>0</v>
      </c>
      <c r="F29" s="233"/>
      <c r="G29" s="233"/>
      <c r="H29" s="233"/>
      <c r="I29" s="234">
        <v>0</v>
      </c>
      <c r="J29" s="910"/>
      <c r="K29" s="229"/>
    </row>
    <row r="30" spans="2:15" s="18" customFormat="1" ht="15.75" customHeight="1" thickBot="1">
      <c r="B30" s="230"/>
      <c r="C30" s="231"/>
      <c r="D30" s="231"/>
      <c r="E30" s="232"/>
      <c r="F30" s="233"/>
      <c r="G30" s="233"/>
      <c r="H30" s="233"/>
      <c r="I30" s="234"/>
      <c r="J30" s="910"/>
      <c r="K30" s="229"/>
    </row>
    <row r="31" spans="2:15" s="229" customFormat="1" ht="13.5" customHeight="1">
      <c r="E31" s="235"/>
      <c r="F31" s="236"/>
      <c r="G31" s="236"/>
      <c r="H31" s="236"/>
      <c r="I31" s="235"/>
      <c r="J31" s="235"/>
    </row>
    <row r="32" spans="2:15" s="18" customFormat="1" ht="15.75" customHeight="1" thickBot="1">
      <c r="B32" s="1227" t="s">
        <v>979</v>
      </c>
      <c r="C32" s="1227"/>
      <c r="D32" s="1227"/>
      <c r="E32" s="1227"/>
      <c r="F32" s="1227"/>
      <c r="G32" s="1227"/>
      <c r="H32" s="1227"/>
      <c r="I32" s="1227"/>
      <c r="J32" s="908"/>
      <c r="K32" s="237"/>
      <c r="L32" s="238"/>
      <c r="M32" s="238"/>
      <c r="N32" s="238"/>
      <c r="O32" s="239"/>
    </row>
    <row r="33" spans="2:15" s="18" customFormat="1" ht="15.75" customHeight="1">
      <c r="B33" s="1228"/>
      <c r="C33" s="1228"/>
      <c r="D33" s="1228"/>
      <c r="E33" s="1228"/>
      <c r="F33" s="1228"/>
      <c r="G33" s="1228"/>
      <c r="H33" s="1228"/>
      <c r="I33" s="1228"/>
      <c r="J33" s="906"/>
      <c r="K33" s="240"/>
      <c r="L33" s="241"/>
      <c r="M33" s="241"/>
      <c r="N33" s="241"/>
      <c r="O33" s="242"/>
    </row>
    <row r="34" spans="2:15" s="18" customFormat="1" ht="15.75" customHeight="1">
      <c r="B34" s="1228"/>
      <c r="C34" s="1228"/>
      <c r="D34" s="1228"/>
      <c r="E34" s="1228"/>
      <c r="F34" s="1228"/>
      <c r="G34" s="1228"/>
      <c r="H34" s="1228"/>
      <c r="I34" s="1228"/>
      <c r="J34" s="906"/>
      <c r="K34" s="240"/>
      <c r="L34" s="243"/>
      <c r="M34" s="243"/>
      <c r="N34" s="243"/>
      <c r="O34" s="244"/>
    </row>
    <row r="35" spans="2:15" s="18" customFormat="1" ht="15.75" customHeight="1">
      <c r="B35" s="1228"/>
      <c r="C35" s="1228"/>
      <c r="D35" s="1228"/>
      <c r="E35" s="1228"/>
      <c r="F35" s="1228"/>
      <c r="G35" s="1228"/>
      <c r="H35" s="1228"/>
      <c r="I35" s="1228"/>
      <c r="J35" s="906"/>
      <c r="K35" s="240"/>
      <c r="L35" s="243"/>
      <c r="M35" s="243"/>
      <c r="N35" s="243"/>
      <c r="O35" s="244"/>
    </row>
    <row r="36" spans="2:15" s="18" customFormat="1" ht="15.75" customHeight="1">
      <c r="B36" s="1228"/>
      <c r="C36" s="1228"/>
      <c r="D36" s="1228"/>
      <c r="E36" s="1228"/>
      <c r="F36" s="1228"/>
      <c r="G36" s="1228"/>
      <c r="H36" s="1228"/>
      <c r="I36" s="1228"/>
      <c r="J36" s="906"/>
      <c r="K36" s="240"/>
      <c r="L36" s="243"/>
      <c r="M36" s="243"/>
      <c r="N36" s="243"/>
      <c r="O36" s="244"/>
    </row>
    <row r="37" spans="2:15" s="229" customFormat="1">
      <c r="B37" s="240"/>
      <c r="C37" s="240"/>
      <c r="D37" s="240"/>
      <c r="E37" s="240"/>
      <c r="F37" s="240"/>
      <c r="G37" s="240"/>
      <c r="H37" s="240"/>
      <c r="I37" s="240"/>
      <c r="J37" s="240"/>
      <c r="K37" s="240"/>
      <c r="L37" s="240"/>
      <c r="M37" s="240"/>
      <c r="N37" s="240"/>
      <c r="O37" s="240"/>
    </row>
    <row r="38" spans="2:15" s="229" customFormat="1" ht="12" customHeight="1"/>
    <row r="39" spans="2:15" ht="0.75" customHeight="1">
      <c r="B39" s="529"/>
      <c r="C39" s="529"/>
      <c r="D39" s="529"/>
      <c r="E39" s="529"/>
      <c r="F39" s="529"/>
      <c r="G39" s="529"/>
      <c r="H39" s="529"/>
      <c r="I39" s="529"/>
      <c r="J39" s="529"/>
      <c r="K39" s="529"/>
      <c r="L39" s="529"/>
      <c r="M39" s="529"/>
      <c r="N39" s="529"/>
      <c r="O39" s="529"/>
    </row>
    <row r="40" spans="2:15" ht="15.75" customHeight="1">
      <c r="B40" s="529"/>
      <c r="C40" s="529"/>
      <c r="D40" s="529"/>
      <c r="E40" s="529"/>
      <c r="F40" s="529"/>
      <c r="G40" s="529"/>
      <c r="H40" s="529"/>
      <c r="I40" s="529"/>
      <c r="J40" s="529"/>
      <c r="K40" s="529"/>
      <c r="L40" s="529"/>
      <c r="M40" s="529"/>
      <c r="N40" s="529"/>
      <c r="O40" s="529"/>
    </row>
    <row r="41" spans="2:15" ht="15.75" customHeight="1">
      <c r="B41" s="529"/>
      <c r="C41" s="529"/>
      <c r="D41" s="529"/>
      <c r="E41" s="529"/>
      <c r="F41" s="529"/>
      <c r="G41" s="529"/>
      <c r="H41" s="529"/>
      <c r="I41" s="529"/>
      <c r="J41" s="529"/>
      <c r="K41" s="529"/>
      <c r="L41" s="529"/>
      <c r="M41" s="529"/>
      <c r="N41" s="529"/>
      <c r="O41" s="529"/>
    </row>
    <row r="42" spans="2:15" ht="15.75" customHeight="1">
      <c r="B42" s="529"/>
      <c r="C42" s="529"/>
      <c r="D42" s="529"/>
      <c r="E42" s="529"/>
      <c r="F42" s="529"/>
      <c r="G42" s="529"/>
      <c r="H42" s="529"/>
      <c r="I42" s="529"/>
      <c r="J42" s="529"/>
      <c r="K42" s="529"/>
      <c r="L42" s="529"/>
      <c r="M42" s="529"/>
      <c r="N42" s="529"/>
      <c r="O42" s="529"/>
    </row>
    <row r="43" spans="2:15">
      <c r="B43" s="529"/>
      <c r="C43" s="529"/>
      <c r="D43" s="529"/>
      <c r="E43" s="529"/>
      <c r="F43" s="529"/>
      <c r="G43" s="529"/>
      <c r="H43" s="529"/>
      <c r="I43" s="529"/>
      <c r="J43" s="529"/>
      <c r="K43" s="529"/>
      <c r="L43" s="529"/>
      <c r="M43" s="529"/>
      <c r="N43" s="529"/>
      <c r="O43" s="529"/>
    </row>
    <row r="44" spans="2:15">
      <c r="B44" s="529"/>
      <c r="C44" s="529"/>
      <c r="D44" s="529"/>
      <c r="E44" s="529"/>
      <c r="F44" s="529"/>
      <c r="G44" s="529"/>
      <c r="H44" s="529"/>
      <c r="I44" s="529"/>
      <c r="J44" s="529"/>
      <c r="K44" s="529"/>
      <c r="L44" s="529"/>
      <c r="M44" s="529"/>
      <c r="N44" s="529"/>
      <c r="O44" s="529"/>
    </row>
    <row r="45" spans="2:15">
      <c r="B45" s="529"/>
      <c r="C45" s="529"/>
      <c r="D45" s="529"/>
      <c r="E45" s="529"/>
      <c r="F45" s="529"/>
      <c r="G45" s="529"/>
      <c r="H45" s="529"/>
      <c r="I45" s="529"/>
      <c r="J45" s="529"/>
      <c r="K45" s="529"/>
      <c r="L45" s="529"/>
      <c r="M45" s="529"/>
      <c r="N45" s="529"/>
      <c r="O45" s="529"/>
    </row>
    <row r="46" spans="2:15">
      <c r="B46" s="529"/>
      <c r="C46" s="529"/>
      <c r="D46" s="529"/>
      <c r="E46" s="529"/>
      <c r="F46" s="529"/>
      <c r="G46" s="529"/>
      <c r="H46" s="529"/>
      <c r="I46" s="529"/>
      <c r="J46" s="529"/>
      <c r="K46" s="529"/>
      <c r="L46" s="529"/>
      <c r="M46" s="529"/>
      <c r="N46" s="529"/>
      <c r="O46" s="529"/>
    </row>
  </sheetData>
  <sheetProtection selectLockedCells="1"/>
  <mergeCells count="16">
    <mergeCell ref="J6:J9"/>
    <mergeCell ref="C2:J3"/>
    <mergeCell ref="B1:I1"/>
    <mergeCell ref="B32:I32"/>
    <mergeCell ref="B33:I36"/>
    <mergeCell ref="B2:B3"/>
    <mergeCell ref="I6:I9"/>
    <mergeCell ref="B5:I5"/>
    <mergeCell ref="B10:I10"/>
    <mergeCell ref="E6:E9"/>
    <mergeCell ref="B6:B9"/>
    <mergeCell ref="C6:C9"/>
    <mergeCell ref="D6:D9"/>
    <mergeCell ref="F6:F9"/>
    <mergeCell ref="G6:G9"/>
    <mergeCell ref="H6:H9"/>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338"/>
  <sheetViews>
    <sheetView topLeftCell="A321" zoomScale="75" workbookViewId="0">
      <selection activeCell="F342" sqref="F342"/>
    </sheetView>
  </sheetViews>
  <sheetFormatPr defaultColWidth="8.81640625" defaultRowHeight="14.5"/>
  <cols>
    <col min="1" max="1" width="31" bestFit="1" customWidth="1"/>
    <col min="2" max="2" width="9.7265625" bestFit="1" customWidth="1"/>
    <col min="3" max="3" width="14.7265625" customWidth="1"/>
    <col min="4" max="4" width="36.453125" customWidth="1"/>
    <col min="5" max="5" width="19" style="64" bestFit="1" customWidth="1"/>
    <col min="6" max="6" width="18.1796875" style="525" customWidth="1"/>
    <col min="7" max="7" width="12.7265625" customWidth="1"/>
    <col min="11" max="11" width="15.26953125" bestFit="1" customWidth="1"/>
  </cols>
  <sheetData>
    <row r="1" spans="1:8">
      <c r="A1" s="419" t="s">
        <v>980</v>
      </c>
      <c r="B1" s="420" t="s">
        <v>981</v>
      </c>
      <c r="C1" s="420" t="s">
        <v>982</v>
      </c>
      <c r="D1" s="420" t="s">
        <v>433</v>
      </c>
      <c r="E1" s="421" t="s">
        <v>983</v>
      </c>
      <c r="F1" s="422" t="s">
        <v>984</v>
      </c>
      <c r="G1" s="420" t="s">
        <v>434</v>
      </c>
    </row>
    <row r="2" spans="1:8" s="280" customFormat="1">
      <c r="A2" s="283" t="str">
        <f t="shared" ref="A2:A80" si="0">D2&amp;G2</f>
        <v>Bridgewater State University2013</v>
      </c>
      <c r="B2" s="423">
        <v>2013</v>
      </c>
      <c r="C2" s="290" t="s">
        <v>472</v>
      </c>
      <c r="D2" s="290" t="s">
        <v>61</v>
      </c>
      <c r="E2" s="424">
        <v>3824448</v>
      </c>
      <c r="F2" s="520">
        <v>451713</v>
      </c>
      <c r="G2" s="423">
        <v>2013</v>
      </c>
      <c r="H2" s="280" t="str">
        <f>VLOOKUP(D2,Source!F:F,1,FALSE)</f>
        <v>Bridgewater State University</v>
      </c>
    </row>
    <row r="3" spans="1:8" s="280" customFormat="1">
      <c r="A3" s="283" t="str">
        <f t="shared" si="0"/>
        <v>Bridgewater State University2014</v>
      </c>
      <c r="B3" s="423">
        <v>2014</v>
      </c>
      <c r="C3" s="290" t="s">
        <v>472</v>
      </c>
      <c r="D3" s="290" t="s">
        <v>61</v>
      </c>
      <c r="E3" s="424">
        <v>32893340</v>
      </c>
      <c r="F3" s="520">
        <v>550109</v>
      </c>
      <c r="G3" s="423">
        <v>2014</v>
      </c>
      <c r="H3" s="280" t="str">
        <f>VLOOKUP(D3,Source!F:F,1,FALSE)</f>
        <v>Bridgewater State University</v>
      </c>
    </row>
    <row r="4" spans="1:8" s="280" customFormat="1">
      <c r="A4" s="283" t="str">
        <f t="shared" si="0"/>
        <v>Bridgewater State University2015</v>
      </c>
      <c r="B4" s="423">
        <v>2015</v>
      </c>
      <c r="C4" s="290" t="s">
        <v>472</v>
      </c>
      <c r="D4" s="290" t="s">
        <v>61</v>
      </c>
      <c r="E4" s="424">
        <v>29569820</v>
      </c>
      <c r="F4" s="520">
        <v>489407</v>
      </c>
      <c r="G4" s="423">
        <v>2015</v>
      </c>
      <c r="H4" s="280" t="str">
        <f>VLOOKUP(D4,Source!F:F,1,FALSE)</f>
        <v>Bridgewater State University</v>
      </c>
    </row>
    <row r="5" spans="1:8" s="280" customFormat="1">
      <c r="A5" s="283" t="str">
        <f t="shared" si="0"/>
        <v>Bridgewater State University2016</v>
      </c>
      <c r="B5" s="423">
        <v>2016</v>
      </c>
      <c r="C5" s="290" t="s">
        <v>472</v>
      </c>
      <c r="D5" s="290" t="s">
        <v>61</v>
      </c>
      <c r="E5" s="424">
        <v>26859254.030000001</v>
      </c>
      <c r="F5" s="520">
        <v>495001.42</v>
      </c>
      <c r="G5" s="423">
        <v>2016</v>
      </c>
      <c r="H5" s="280" t="str">
        <f>VLOOKUP(D5,Source!F:F,1,FALSE)</f>
        <v>Bridgewater State University</v>
      </c>
    </row>
    <row r="6" spans="1:8" s="280" customFormat="1">
      <c r="A6" s="283" t="str">
        <f t="shared" si="0"/>
        <v>Bridgewater State University2017</v>
      </c>
      <c r="B6" s="423">
        <v>2017</v>
      </c>
      <c r="C6" s="290" t="s">
        <v>472</v>
      </c>
      <c r="D6" s="290" t="s">
        <v>61</v>
      </c>
      <c r="E6" s="424">
        <v>31196085.190000001</v>
      </c>
      <c r="F6" s="520">
        <v>537727.76</v>
      </c>
      <c r="G6" s="423">
        <v>2017</v>
      </c>
      <c r="H6" s="280" t="str">
        <f>VLOOKUP(D6,Source!F:F,1,FALSE)</f>
        <v>Bridgewater State University</v>
      </c>
    </row>
    <row r="7" spans="1:8" s="280" customFormat="1">
      <c r="A7" s="283" t="str">
        <f t="shared" si="0"/>
        <v>Bridgewater State University2018</v>
      </c>
      <c r="B7" s="423">
        <v>2018</v>
      </c>
      <c r="C7" s="290" t="s">
        <v>472</v>
      </c>
      <c r="D7" s="290" t="s">
        <v>61</v>
      </c>
      <c r="E7" s="424">
        <v>33115512</v>
      </c>
      <c r="F7" s="520">
        <v>622299.75</v>
      </c>
      <c r="G7" s="423">
        <v>2018</v>
      </c>
      <c r="H7" s="280" t="str">
        <f>VLOOKUP(D7,Source!F:F,1,FALSE)</f>
        <v>Bridgewater State University</v>
      </c>
    </row>
    <row r="8" spans="1:8" s="280" customFormat="1">
      <c r="A8" s="283" t="str">
        <f t="shared" ref="A8:A12" si="1">D8&amp;G8</f>
        <v>Bridgewater State University2019</v>
      </c>
      <c r="B8" s="423">
        <v>2019</v>
      </c>
      <c r="C8" s="290" t="s">
        <v>472</v>
      </c>
      <c r="D8" s="290" t="s">
        <v>61</v>
      </c>
      <c r="E8" s="424">
        <v>28146950.649999999</v>
      </c>
      <c r="F8" s="520">
        <v>536928</v>
      </c>
      <c r="G8" s="423">
        <v>2019</v>
      </c>
      <c r="H8" s="280" t="str">
        <f>VLOOKUP(D8,Source!F:F,1,FALSE)</f>
        <v>Bridgewater State University</v>
      </c>
    </row>
    <row r="9" spans="1:8" s="280" customFormat="1">
      <c r="A9" s="283" t="str">
        <f t="shared" si="1"/>
        <v>Bridgewater State University2020</v>
      </c>
      <c r="B9" s="423">
        <v>2020</v>
      </c>
      <c r="C9" s="290" t="s">
        <v>472</v>
      </c>
      <c r="D9" s="290" t="s">
        <v>61</v>
      </c>
      <c r="E9" s="424">
        <v>4154200</v>
      </c>
      <c r="F9" s="520">
        <v>585907.51</v>
      </c>
      <c r="G9" s="423">
        <v>2020</v>
      </c>
      <c r="H9" s="280" t="str">
        <f>VLOOKUP(D9,Source!F:F,1,FALSE)</f>
        <v>Bridgewater State University</v>
      </c>
    </row>
    <row r="10" spans="1:8" s="280" customFormat="1">
      <c r="A10" s="283" t="str">
        <f t="shared" si="1"/>
        <v>Bridgewater State University2021</v>
      </c>
      <c r="B10" s="423">
        <v>2021</v>
      </c>
      <c r="C10" s="290" t="s">
        <v>472</v>
      </c>
      <c r="D10" s="290" t="s">
        <v>61</v>
      </c>
      <c r="E10" s="424">
        <v>2171100</v>
      </c>
      <c r="F10" s="520">
        <v>313384.84999999998</v>
      </c>
      <c r="G10" s="423">
        <v>2021</v>
      </c>
      <c r="H10" s="280" t="str">
        <f>VLOOKUP(D10,Source!F:F,1,FALSE)</f>
        <v>Bridgewater State University</v>
      </c>
    </row>
    <row r="11" spans="1:8" s="280" customFormat="1">
      <c r="A11" s="283" t="str">
        <f t="shared" si="1"/>
        <v>Bridgewater State University2022</v>
      </c>
      <c r="B11" s="423">
        <v>2022</v>
      </c>
      <c r="C11" s="290" t="s">
        <v>472</v>
      </c>
      <c r="D11" s="290" t="s">
        <v>61</v>
      </c>
      <c r="E11" s="424" t="s">
        <v>985</v>
      </c>
      <c r="F11" s="520">
        <v>520999.33</v>
      </c>
      <c r="G11" s="423">
        <v>2022</v>
      </c>
      <c r="H11" s="280" t="str">
        <f>VLOOKUP(D11,Source!F:F,1,FALSE)</f>
        <v>Bridgewater State University</v>
      </c>
    </row>
    <row r="12" spans="1:8" s="280" customFormat="1">
      <c r="A12" s="283" t="str">
        <f t="shared" si="1"/>
        <v>Bridgewater State University2023</v>
      </c>
      <c r="B12" s="423">
        <v>2023</v>
      </c>
      <c r="C12" s="290" t="s">
        <v>472</v>
      </c>
      <c r="D12" s="290" t="s">
        <v>61</v>
      </c>
      <c r="E12" s="841">
        <v>4071100</v>
      </c>
      <c r="F12" s="842">
        <v>680376</v>
      </c>
      <c r="G12" s="423">
        <v>2023</v>
      </c>
      <c r="H12" s="280" t="str">
        <f>VLOOKUP(D12,Source!F:F,1,FALSE)</f>
        <v>Bridgewater State University</v>
      </c>
    </row>
    <row r="13" spans="1:8" s="280" customFormat="1">
      <c r="A13" s="283" t="str">
        <f t="shared" si="0"/>
        <v>Bristol Comm. College2013</v>
      </c>
      <c r="B13" s="423">
        <v>2013</v>
      </c>
      <c r="C13" s="290" t="s">
        <v>472</v>
      </c>
      <c r="D13" s="290" t="s">
        <v>28</v>
      </c>
      <c r="E13" s="424">
        <v>2994244</v>
      </c>
      <c r="F13" s="520">
        <v>9154.75</v>
      </c>
      <c r="G13" s="423">
        <v>2013</v>
      </c>
      <c r="H13" s="280" t="str">
        <f>VLOOKUP(D13,Source!F:F,1,FALSE)</f>
        <v>Bristol Comm. College</v>
      </c>
    </row>
    <row r="14" spans="1:8" s="280" customFormat="1">
      <c r="A14" s="283" t="str">
        <f t="shared" si="0"/>
        <v>Bristol Comm. College2014</v>
      </c>
      <c r="B14" s="423">
        <v>2014</v>
      </c>
      <c r="C14" s="290" t="s">
        <v>472</v>
      </c>
      <c r="D14" s="290" t="s">
        <v>28</v>
      </c>
      <c r="E14" s="424">
        <v>2831928</v>
      </c>
      <c r="F14" s="520">
        <v>9494.65</v>
      </c>
      <c r="G14" s="423">
        <v>2014</v>
      </c>
      <c r="H14" s="280" t="str">
        <f>VLOOKUP(D14,Source!F:F,1,FALSE)</f>
        <v>Bristol Comm. College</v>
      </c>
    </row>
    <row r="15" spans="1:8" s="280" customFormat="1">
      <c r="A15" s="283" t="str">
        <f t="shared" si="0"/>
        <v>Bristol Comm. College2015</v>
      </c>
      <c r="B15" s="423">
        <v>2015</v>
      </c>
      <c r="C15" s="290" t="s">
        <v>472</v>
      </c>
      <c r="D15" s="290" t="s">
        <v>28</v>
      </c>
      <c r="E15" s="424">
        <v>2809488</v>
      </c>
      <c r="F15" s="520">
        <v>10667</v>
      </c>
      <c r="G15" s="423">
        <v>2015</v>
      </c>
      <c r="H15" s="280" t="str">
        <f>VLOOKUP(D15,Source!F:F,1,FALSE)</f>
        <v>Bristol Comm. College</v>
      </c>
    </row>
    <row r="16" spans="1:8" s="280" customFormat="1">
      <c r="A16" s="283" t="str">
        <f t="shared" si="0"/>
        <v>Bristol Comm. College2016</v>
      </c>
      <c r="B16" s="423">
        <v>2016</v>
      </c>
      <c r="C16" s="290" t="s">
        <v>472</v>
      </c>
      <c r="D16" s="290" t="s">
        <v>28</v>
      </c>
      <c r="E16" s="424">
        <v>3173000</v>
      </c>
      <c r="F16" s="520">
        <v>11342</v>
      </c>
      <c r="G16" s="423">
        <v>2016</v>
      </c>
      <c r="H16" s="280" t="str">
        <f>VLOOKUP(D16,Source!F:F,1,FALSE)</f>
        <v>Bristol Comm. College</v>
      </c>
    </row>
    <row r="17" spans="1:11" s="280" customFormat="1">
      <c r="A17" s="283" t="str">
        <f t="shared" si="0"/>
        <v>Bristol Comm. College2017</v>
      </c>
      <c r="B17" s="423">
        <v>2017</v>
      </c>
      <c r="C17" s="290" t="s">
        <v>472</v>
      </c>
      <c r="D17" s="290" t="s">
        <v>28</v>
      </c>
      <c r="E17" s="424">
        <v>2699719</v>
      </c>
      <c r="F17" s="520">
        <v>12606.35</v>
      </c>
      <c r="G17" s="423">
        <v>2017</v>
      </c>
      <c r="H17" s="280" t="str">
        <f>VLOOKUP(D17,Source!F:F,1,FALSE)</f>
        <v>Bristol Comm. College</v>
      </c>
    </row>
    <row r="18" spans="1:11" s="280" customFormat="1">
      <c r="A18" s="283" t="str">
        <f t="shared" si="0"/>
        <v>Bristol Comm. College2018</v>
      </c>
      <c r="B18" s="423">
        <v>2018</v>
      </c>
      <c r="C18" s="290" t="s">
        <v>472</v>
      </c>
      <c r="D18" s="290" t="s">
        <v>28</v>
      </c>
      <c r="E18" s="424">
        <v>2986223</v>
      </c>
      <c r="F18" s="520">
        <v>11726.56</v>
      </c>
      <c r="G18" s="423">
        <v>2018</v>
      </c>
      <c r="H18" s="280" t="str">
        <f>VLOOKUP(D18,Source!F:F,1,FALSE)</f>
        <v>Bristol Comm. College</v>
      </c>
    </row>
    <row r="19" spans="1:11" s="280" customFormat="1">
      <c r="A19" s="283" t="str">
        <f t="shared" ref="A19" si="2">D19&amp;G19</f>
        <v>Bristol Comm. College2019</v>
      </c>
      <c r="B19" s="423">
        <v>2019</v>
      </c>
      <c r="C19" s="290" t="s">
        <v>472</v>
      </c>
      <c r="D19" s="290" t="s">
        <v>28</v>
      </c>
      <c r="E19" s="424">
        <v>5154078</v>
      </c>
      <c r="F19" s="520">
        <v>18342</v>
      </c>
      <c r="G19" s="423">
        <v>2019</v>
      </c>
      <c r="H19" s="280" t="str">
        <f>VLOOKUP(D19,Source!F:F,1,FALSE)</f>
        <v>Bristol Comm. College</v>
      </c>
    </row>
    <row r="20" spans="1:11" s="280" customFormat="1">
      <c r="A20" s="283" t="str">
        <f t="shared" ref="A20:A21" si="3">D20&amp;G20</f>
        <v>Bristol Comm. College2020</v>
      </c>
      <c r="B20" s="423">
        <v>2020</v>
      </c>
      <c r="C20" s="290" t="s">
        <v>472</v>
      </c>
      <c r="D20" s="290" t="s">
        <v>28</v>
      </c>
      <c r="E20" s="424" t="s">
        <v>985</v>
      </c>
      <c r="F20" s="520" t="s">
        <v>985</v>
      </c>
      <c r="G20" s="423">
        <v>2020</v>
      </c>
      <c r="H20" s="280" t="str">
        <f>VLOOKUP(D20,Source!F:F,1,FALSE)</f>
        <v>Bristol Comm. College</v>
      </c>
    </row>
    <row r="21" spans="1:11" s="280" customFormat="1">
      <c r="A21" s="283" t="str">
        <f t="shared" si="3"/>
        <v>Bristol Comm. College2021</v>
      </c>
      <c r="B21" s="423">
        <v>2021</v>
      </c>
      <c r="C21" s="290" t="s">
        <v>472</v>
      </c>
      <c r="D21" s="290" t="s">
        <v>28</v>
      </c>
      <c r="E21" s="424" t="s">
        <v>985</v>
      </c>
      <c r="F21" s="520" t="s">
        <v>985</v>
      </c>
      <c r="G21" s="423">
        <v>2021</v>
      </c>
      <c r="H21" s="280" t="str">
        <f>VLOOKUP(D21,Source!F:F,1,FALSE)</f>
        <v>Bristol Comm. College</v>
      </c>
    </row>
    <row r="22" spans="1:11" s="280" customFormat="1">
      <c r="A22" s="283" t="str">
        <f>D22&amp;G22</f>
        <v>Bristol Comm. College2022</v>
      </c>
      <c r="B22" s="423">
        <v>2022</v>
      </c>
      <c r="C22" s="290" t="s">
        <v>472</v>
      </c>
      <c r="D22" s="290" t="s">
        <v>28</v>
      </c>
      <c r="E22" s="424" t="s">
        <v>985</v>
      </c>
      <c r="F22" s="520" t="s">
        <v>985</v>
      </c>
      <c r="G22" s="423">
        <v>2022</v>
      </c>
      <c r="H22" s="280" t="str">
        <f>VLOOKUP(D22,Source!F:F,1,FALSE)</f>
        <v>Bristol Comm. College</v>
      </c>
    </row>
    <row r="23" spans="1:11" s="280" customFormat="1">
      <c r="A23" s="283" t="str">
        <f>D23&amp;G23</f>
        <v>Bristol Comm. College2023</v>
      </c>
      <c r="B23" s="423">
        <v>2023</v>
      </c>
      <c r="C23" s="290" t="s">
        <v>472</v>
      </c>
      <c r="D23" s="290" t="s">
        <v>28</v>
      </c>
      <c r="E23" s="424" t="s">
        <v>985</v>
      </c>
      <c r="F23" s="520" t="s">
        <v>985</v>
      </c>
      <c r="G23" s="423">
        <v>2023</v>
      </c>
      <c r="H23" s="280" t="str">
        <f>VLOOKUP(D23,Source!F:F,1,FALSE)</f>
        <v>Bristol Comm. College</v>
      </c>
    </row>
    <row r="24" spans="1:11">
      <c r="A24" s="59" t="str">
        <f t="shared" si="0"/>
        <v>Bunker Hill Comm. College2016</v>
      </c>
      <c r="B24" s="425">
        <v>2016</v>
      </c>
      <c r="C24" s="426" t="s">
        <v>472</v>
      </c>
      <c r="D24" s="426" t="s">
        <v>76</v>
      </c>
      <c r="E24" s="427">
        <v>1687015</v>
      </c>
      <c r="F24" s="521">
        <v>252208</v>
      </c>
      <c r="G24" s="425">
        <v>2016</v>
      </c>
      <c r="H24" s="280" t="str">
        <f>VLOOKUP(D24,Source!F:F,1,FALSE)</f>
        <v>Bunker Hill Comm. College</v>
      </c>
    </row>
    <row r="25" spans="1:11">
      <c r="A25" s="59" t="str">
        <f t="shared" si="0"/>
        <v>Bunker Hill Comm. College2017</v>
      </c>
      <c r="B25" s="425">
        <v>2017</v>
      </c>
      <c r="C25" s="426" t="s">
        <v>472</v>
      </c>
      <c r="D25" s="426" t="s">
        <v>76</v>
      </c>
      <c r="E25" s="427">
        <v>1409910</v>
      </c>
      <c r="F25" s="521">
        <v>210781</v>
      </c>
      <c r="G25" s="425">
        <v>2017</v>
      </c>
      <c r="H25" s="280" t="str">
        <f>VLOOKUP(D25,Source!F:F,1,FALSE)</f>
        <v>Bunker Hill Comm. College</v>
      </c>
      <c r="K25" s="63"/>
    </row>
    <row r="26" spans="1:11">
      <c r="A26" s="59" t="str">
        <f t="shared" ref="A26:A27" si="4">D26&amp;G26</f>
        <v>Bunker Hill Comm. College2018</v>
      </c>
      <c r="B26" s="425">
        <v>2018</v>
      </c>
      <c r="C26" s="426" t="s">
        <v>472</v>
      </c>
      <c r="D26" s="426" t="s">
        <v>76</v>
      </c>
      <c r="E26" s="427" t="s">
        <v>985</v>
      </c>
      <c r="F26" s="521" t="s">
        <v>985</v>
      </c>
      <c r="G26" s="425">
        <v>2018</v>
      </c>
      <c r="H26" s="280" t="str">
        <f>VLOOKUP(D26,Source!F:F,1,FALSE)</f>
        <v>Bunker Hill Comm. College</v>
      </c>
      <c r="K26" s="63"/>
    </row>
    <row r="27" spans="1:11">
      <c r="A27" s="59" t="str">
        <f t="shared" si="4"/>
        <v>Bunker Hill Comm. College2019</v>
      </c>
      <c r="B27" s="425">
        <v>2019</v>
      </c>
      <c r="C27" s="426" t="s">
        <v>472</v>
      </c>
      <c r="D27" s="426" t="s">
        <v>76</v>
      </c>
      <c r="E27" s="427" t="s">
        <v>985</v>
      </c>
      <c r="F27" s="521" t="s">
        <v>985</v>
      </c>
      <c r="G27" s="425">
        <v>2019</v>
      </c>
      <c r="H27" s="280" t="str">
        <f>VLOOKUP(D27,Source!F:F,1,FALSE)</f>
        <v>Bunker Hill Comm. College</v>
      </c>
      <c r="K27" s="63"/>
    </row>
    <row r="28" spans="1:11">
      <c r="A28" s="59" t="str">
        <f t="shared" ref="A28:A29" si="5">D28&amp;G28</f>
        <v>Bunker Hill Comm. College2020</v>
      </c>
      <c r="B28" s="425">
        <v>2020</v>
      </c>
      <c r="C28" s="426" t="s">
        <v>472</v>
      </c>
      <c r="D28" s="426" t="s">
        <v>76</v>
      </c>
      <c r="E28" s="424" t="s">
        <v>985</v>
      </c>
      <c r="F28" s="520" t="s">
        <v>985</v>
      </c>
      <c r="G28" s="425">
        <v>2020</v>
      </c>
      <c r="H28" s="280" t="str">
        <f>VLOOKUP(D28,Source!F:F,1,FALSE)</f>
        <v>Bunker Hill Comm. College</v>
      </c>
      <c r="K28" s="63"/>
    </row>
    <row r="29" spans="1:11">
      <c r="A29" s="59" t="str">
        <f t="shared" si="5"/>
        <v>Bunker Hill Comm. College2021</v>
      </c>
      <c r="B29" s="425">
        <v>2021</v>
      </c>
      <c r="C29" s="426" t="s">
        <v>472</v>
      </c>
      <c r="D29" s="426" t="s">
        <v>76</v>
      </c>
      <c r="E29" s="424" t="s">
        <v>985</v>
      </c>
      <c r="F29" s="520" t="s">
        <v>985</v>
      </c>
      <c r="G29" s="425">
        <v>2021</v>
      </c>
      <c r="H29" s="280" t="str">
        <f>VLOOKUP(D29,Source!F:F,1,FALSE)</f>
        <v>Bunker Hill Comm. College</v>
      </c>
      <c r="K29" s="63"/>
    </row>
    <row r="30" spans="1:11">
      <c r="A30" s="59" t="str">
        <f t="shared" ref="A30:A31" si="6">D30&amp;G30</f>
        <v>Bunker Hill Comm. College2022</v>
      </c>
      <c r="B30" s="425">
        <v>2022</v>
      </c>
      <c r="C30" s="426" t="s">
        <v>472</v>
      </c>
      <c r="D30" s="426" t="s">
        <v>76</v>
      </c>
      <c r="E30" s="424" t="s">
        <v>985</v>
      </c>
      <c r="F30" s="520" t="s">
        <v>985</v>
      </c>
      <c r="G30" s="425">
        <v>2022</v>
      </c>
      <c r="H30" s="280" t="str">
        <f>VLOOKUP(D30,Source!F:F,1,FALSE)</f>
        <v>Bunker Hill Comm. College</v>
      </c>
      <c r="K30" s="63"/>
    </row>
    <row r="31" spans="1:11">
      <c r="A31" s="59" t="str">
        <f t="shared" si="6"/>
        <v>Bunker Hill Comm. College2023</v>
      </c>
      <c r="B31" s="425">
        <v>2023</v>
      </c>
      <c r="C31" s="426" t="s">
        <v>472</v>
      </c>
      <c r="D31" s="426" t="s">
        <v>76</v>
      </c>
      <c r="E31" s="424" t="s">
        <v>985</v>
      </c>
      <c r="F31" s="520" t="s">
        <v>985</v>
      </c>
      <c r="G31" s="425">
        <v>2023</v>
      </c>
      <c r="H31" s="280" t="str">
        <f>VLOOKUP(D31,Source!F:F,1,FALSE)</f>
        <v>Bunker Hill Comm. College</v>
      </c>
      <c r="K31" s="63"/>
    </row>
    <row r="32" spans="1:11">
      <c r="A32" s="59" t="str">
        <f t="shared" si="0"/>
        <v>Cape Cod Comm. College2013</v>
      </c>
      <c r="B32" s="425">
        <v>2013</v>
      </c>
      <c r="C32" s="426" t="s">
        <v>472</v>
      </c>
      <c r="D32" s="426" t="s">
        <v>82</v>
      </c>
      <c r="E32" s="427">
        <v>1641000</v>
      </c>
      <c r="F32" s="521">
        <v>6015.95</v>
      </c>
      <c r="G32" s="425">
        <v>2013</v>
      </c>
      <c r="H32" s="280" t="str">
        <f>VLOOKUP(D32,Source!F:F,1,FALSE)</f>
        <v>Cape Cod Comm. College</v>
      </c>
    </row>
    <row r="33" spans="1:8">
      <c r="A33" s="59" t="str">
        <f t="shared" si="0"/>
        <v>Cape Cod Comm. College2014</v>
      </c>
      <c r="B33" s="425">
        <v>2014</v>
      </c>
      <c r="C33" s="426" t="s">
        <v>472</v>
      </c>
      <c r="D33" s="426" t="s">
        <v>82</v>
      </c>
      <c r="E33" s="427">
        <v>1577000</v>
      </c>
      <c r="F33" s="521">
        <v>5530.65</v>
      </c>
      <c r="G33" s="425">
        <v>2014</v>
      </c>
      <c r="H33" s="280" t="str">
        <f>VLOOKUP(D33,Source!F:F,1,FALSE)</f>
        <v>Cape Cod Comm. College</v>
      </c>
    </row>
    <row r="34" spans="1:8">
      <c r="A34" s="59" t="str">
        <f t="shared" si="0"/>
        <v>Cape Cod Comm. College2015</v>
      </c>
      <c r="B34" s="425">
        <v>2015</v>
      </c>
      <c r="C34" s="426" t="s">
        <v>472</v>
      </c>
      <c r="D34" s="426" t="s">
        <v>82</v>
      </c>
      <c r="E34" s="427">
        <v>1638000</v>
      </c>
      <c r="F34" s="521">
        <v>6284.1</v>
      </c>
      <c r="G34" s="425">
        <v>2015</v>
      </c>
      <c r="H34" s="280" t="str">
        <f>VLOOKUP(D34,Source!F:F,1,FALSE)</f>
        <v>Cape Cod Comm. College</v>
      </c>
    </row>
    <row r="35" spans="1:8">
      <c r="A35" s="59" t="str">
        <f t="shared" si="0"/>
        <v>Cape Cod Comm. College2016</v>
      </c>
      <c r="B35" s="425">
        <v>2016</v>
      </c>
      <c r="C35" s="426" t="s">
        <v>472</v>
      </c>
      <c r="D35" s="426" t="s">
        <v>82</v>
      </c>
      <c r="E35" s="427">
        <v>1652000</v>
      </c>
      <c r="F35" s="521">
        <v>6089.4</v>
      </c>
      <c r="G35" s="425">
        <v>2016</v>
      </c>
      <c r="H35" s="280" t="str">
        <f>VLOOKUP(D35,Source!F:F,1,FALSE)</f>
        <v>Cape Cod Comm. College</v>
      </c>
    </row>
    <row r="36" spans="1:8">
      <c r="A36" s="59" t="str">
        <f t="shared" si="0"/>
        <v>Cape Cod Comm. College2017</v>
      </c>
      <c r="B36" s="425">
        <v>2017</v>
      </c>
      <c r="C36" s="426" t="s">
        <v>472</v>
      </c>
      <c r="D36" s="426" t="s">
        <v>82</v>
      </c>
      <c r="E36" s="427">
        <v>1146000</v>
      </c>
      <c r="F36" s="522">
        <v>4090</v>
      </c>
      <c r="G36" s="425">
        <v>2017</v>
      </c>
      <c r="H36" s="280" t="str">
        <f>VLOOKUP(D36,Source!F:F,1,FALSE)</f>
        <v>Cape Cod Comm. College</v>
      </c>
    </row>
    <row r="37" spans="1:8">
      <c r="A37" s="59" t="str">
        <f t="shared" ref="A37:A38" si="7">D37&amp;G37</f>
        <v>Cape Cod Comm. College2018</v>
      </c>
      <c r="B37" s="425">
        <v>2018</v>
      </c>
      <c r="C37" s="426" t="s">
        <v>472</v>
      </c>
      <c r="D37" s="426" t="s">
        <v>82</v>
      </c>
      <c r="E37" s="427" t="s">
        <v>985</v>
      </c>
      <c r="F37" s="521" t="s">
        <v>985</v>
      </c>
      <c r="G37" s="425">
        <v>2018</v>
      </c>
      <c r="H37" s="280" t="str">
        <f>VLOOKUP(D37,Source!F:F,1,FALSE)</f>
        <v>Cape Cod Comm. College</v>
      </c>
    </row>
    <row r="38" spans="1:8">
      <c r="A38" s="59" t="str">
        <f t="shared" si="7"/>
        <v>Cape Cod Comm. College2019</v>
      </c>
      <c r="B38" s="425">
        <v>2019</v>
      </c>
      <c r="C38" s="426" t="s">
        <v>472</v>
      </c>
      <c r="D38" s="426" t="s">
        <v>82</v>
      </c>
      <c r="E38" s="427">
        <v>2034000</v>
      </c>
      <c r="F38" s="522">
        <v>7848</v>
      </c>
      <c r="G38" s="425">
        <v>2019</v>
      </c>
      <c r="H38" s="280" t="str">
        <f>VLOOKUP(D38,Source!F:F,1,FALSE)</f>
        <v>Cape Cod Comm. College</v>
      </c>
    </row>
    <row r="39" spans="1:8">
      <c r="A39" s="59" t="str">
        <f t="shared" ref="A39:A40" si="8">D39&amp;G39</f>
        <v>Cape Cod Comm. College2020</v>
      </c>
      <c r="B39" s="425">
        <v>2020</v>
      </c>
      <c r="C39" s="426" t="s">
        <v>472</v>
      </c>
      <c r="D39" s="426" t="s">
        <v>82</v>
      </c>
      <c r="E39" s="424" t="s">
        <v>985</v>
      </c>
      <c r="F39" s="520" t="s">
        <v>985</v>
      </c>
      <c r="G39" s="425">
        <v>2020</v>
      </c>
      <c r="H39" s="280" t="str">
        <f>VLOOKUP(D39,Source!F:F,1,FALSE)</f>
        <v>Cape Cod Comm. College</v>
      </c>
    </row>
    <row r="40" spans="1:8">
      <c r="A40" s="59" t="str">
        <f t="shared" si="8"/>
        <v>Cape Cod Comm. College2021</v>
      </c>
      <c r="B40" s="425">
        <v>2021</v>
      </c>
      <c r="C40" s="426" t="s">
        <v>472</v>
      </c>
      <c r="D40" s="426" t="s">
        <v>82</v>
      </c>
      <c r="E40" s="424" t="s">
        <v>985</v>
      </c>
      <c r="F40" s="520" t="s">
        <v>985</v>
      </c>
      <c r="G40" s="425">
        <v>2021</v>
      </c>
      <c r="H40" s="280" t="str">
        <f>VLOOKUP(D40,Source!F:F,1,FALSE)</f>
        <v>Cape Cod Comm. College</v>
      </c>
    </row>
    <row r="41" spans="1:8">
      <c r="A41" s="59" t="str">
        <f t="shared" ref="A41:A42" si="9">D41&amp;G41</f>
        <v>Cape Cod Comm. College2022</v>
      </c>
      <c r="B41" s="425">
        <v>2022</v>
      </c>
      <c r="C41" s="426" t="s">
        <v>472</v>
      </c>
      <c r="D41" s="426" t="s">
        <v>82</v>
      </c>
      <c r="E41" s="424" t="s">
        <v>985</v>
      </c>
      <c r="F41" s="520" t="s">
        <v>985</v>
      </c>
      <c r="G41" s="425">
        <v>2022</v>
      </c>
      <c r="H41" s="280" t="str">
        <f>VLOOKUP(D41,Source!F:F,1,FALSE)</f>
        <v>Cape Cod Comm. College</v>
      </c>
    </row>
    <row r="42" spans="1:8">
      <c r="A42" s="59" t="str">
        <f t="shared" si="9"/>
        <v>Cape Cod Comm. College2023</v>
      </c>
      <c r="B42" s="425">
        <v>2023</v>
      </c>
      <c r="C42" s="426" t="s">
        <v>472</v>
      </c>
      <c r="D42" s="426" t="s">
        <v>82</v>
      </c>
      <c r="E42" s="841">
        <v>1736000</v>
      </c>
      <c r="F42" s="842">
        <v>6421</v>
      </c>
      <c r="G42" s="425">
        <v>2023</v>
      </c>
      <c r="H42" s="280" t="str">
        <f>VLOOKUP(D42,Source!F:F,1,FALSE)</f>
        <v>Cape Cod Comm. College</v>
      </c>
    </row>
    <row r="43" spans="1:8" s="280" customFormat="1">
      <c r="A43" s="283" t="str">
        <f t="shared" si="0"/>
        <v>Dept. of Correction2016</v>
      </c>
      <c r="B43" s="423">
        <v>2016</v>
      </c>
      <c r="C43" s="290" t="s">
        <v>529</v>
      </c>
      <c r="D43" s="290" t="s">
        <v>97</v>
      </c>
      <c r="E43" s="424">
        <v>7725439.1689999998</v>
      </c>
      <c r="F43" s="520">
        <v>0</v>
      </c>
      <c r="G43" s="423">
        <v>2016</v>
      </c>
      <c r="H43" s="280" t="str">
        <f>VLOOKUP(D43,Source!F:F,1,FALSE)</f>
        <v>Dept. of Correction</v>
      </c>
    </row>
    <row r="44" spans="1:8" s="280" customFormat="1">
      <c r="A44" s="283" t="str">
        <f t="shared" si="0"/>
        <v>Dept. of Correction2018</v>
      </c>
      <c r="B44" s="423">
        <v>2018</v>
      </c>
      <c r="C44" s="290" t="s">
        <v>529</v>
      </c>
      <c r="D44" s="290" t="s">
        <v>97</v>
      </c>
      <c r="E44" s="424">
        <v>8094838</v>
      </c>
      <c r="F44" s="520">
        <v>0</v>
      </c>
      <c r="G44" s="423">
        <v>2018</v>
      </c>
      <c r="H44" s="280" t="str">
        <f>VLOOKUP(D44,Source!F:F,1,FALSE)</f>
        <v>Dept. of Correction</v>
      </c>
    </row>
    <row r="45" spans="1:8" s="280" customFormat="1">
      <c r="A45" s="283" t="str">
        <f t="shared" ref="A45" si="10">D45&amp;G45</f>
        <v>Dept. of Correction2019</v>
      </c>
      <c r="B45" s="423">
        <v>2019</v>
      </c>
      <c r="C45" s="290" t="s">
        <v>529</v>
      </c>
      <c r="D45" s="290" t="s">
        <v>97</v>
      </c>
      <c r="E45" s="424">
        <v>107338489</v>
      </c>
      <c r="F45" s="520">
        <v>0</v>
      </c>
      <c r="G45" s="423">
        <v>2019</v>
      </c>
      <c r="H45" s="280" t="str">
        <f>VLOOKUP(D45,Source!F:F,1,FALSE)</f>
        <v>Dept. of Correction</v>
      </c>
    </row>
    <row r="46" spans="1:8" s="280" customFormat="1">
      <c r="A46" s="283" t="str">
        <f t="shared" ref="A46:A47" si="11">D46&amp;G46</f>
        <v>Dept. of Correction2020</v>
      </c>
      <c r="B46" s="423">
        <v>2020</v>
      </c>
      <c r="C46" s="290" t="s">
        <v>529</v>
      </c>
      <c r="D46" s="290" t="s">
        <v>97</v>
      </c>
      <c r="E46" s="424">
        <v>42658137</v>
      </c>
      <c r="F46" s="520" t="s">
        <v>51</v>
      </c>
      <c r="G46" s="425">
        <v>2020</v>
      </c>
      <c r="H46" s="280" t="str">
        <f>VLOOKUP(D46,Source!F:F,1,FALSE)</f>
        <v>Dept. of Correction</v>
      </c>
    </row>
    <row r="47" spans="1:8" s="280" customFormat="1">
      <c r="A47" s="283" t="str">
        <f t="shared" si="11"/>
        <v>Dept. of Correction2021</v>
      </c>
      <c r="B47" s="423">
        <v>2021</v>
      </c>
      <c r="C47" s="290" t="s">
        <v>529</v>
      </c>
      <c r="D47" s="290" t="s">
        <v>97</v>
      </c>
      <c r="E47" s="424" t="s">
        <v>985</v>
      </c>
      <c r="F47" s="520" t="s">
        <v>985</v>
      </c>
      <c r="G47" s="425">
        <v>2021</v>
      </c>
      <c r="H47" s="280" t="str">
        <f>VLOOKUP(D47,Source!F:F,1,FALSE)</f>
        <v>Dept. of Correction</v>
      </c>
    </row>
    <row r="48" spans="1:8" s="280" customFormat="1">
      <c r="A48" s="283" t="str">
        <f>D48&amp;G48</f>
        <v>Dept. of Correction2022</v>
      </c>
      <c r="B48" s="423">
        <v>2022</v>
      </c>
      <c r="C48" s="290" t="s">
        <v>529</v>
      </c>
      <c r="D48" s="290" t="s">
        <v>97</v>
      </c>
      <c r="E48" s="424" t="s">
        <v>985</v>
      </c>
      <c r="F48" s="520" t="s">
        <v>985</v>
      </c>
      <c r="G48" s="425">
        <v>2022</v>
      </c>
      <c r="H48" s="280" t="str">
        <f>VLOOKUP(D48,Source!F:F,1,FALSE)</f>
        <v>Dept. of Correction</v>
      </c>
    </row>
    <row r="49" spans="1:8" s="280" customFormat="1">
      <c r="A49" s="283" t="str">
        <f>D49&amp;G49</f>
        <v>Dept. of Correction2023</v>
      </c>
      <c r="B49" s="423">
        <v>2023</v>
      </c>
      <c r="C49" s="290" t="s">
        <v>529</v>
      </c>
      <c r="D49" s="290" t="s">
        <v>97</v>
      </c>
      <c r="E49" s="841">
        <v>2317070825</v>
      </c>
      <c r="F49" s="843">
        <v>0</v>
      </c>
      <c r="G49" s="425">
        <v>2023</v>
      </c>
      <c r="H49" s="280" t="str">
        <f>VLOOKUP(D49,Source!F:F,1,FALSE)</f>
        <v>Dept. of Correction</v>
      </c>
    </row>
    <row r="50" spans="1:8">
      <c r="A50" s="59" t="str">
        <f t="shared" si="0"/>
        <v>Dept. of Fire Services2013</v>
      </c>
      <c r="B50" s="425">
        <v>2013</v>
      </c>
      <c r="C50" s="426" t="s">
        <v>529</v>
      </c>
      <c r="D50" s="426" t="s">
        <v>106</v>
      </c>
      <c r="E50" s="427">
        <v>768000</v>
      </c>
      <c r="F50" s="521">
        <v>5921</v>
      </c>
      <c r="G50" s="425">
        <v>2013</v>
      </c>
      <c r="H50" s="280" t="str">
        <f>VLOOKUP(D50,Source!F:F,1,FALSE)</f>
        <v>Dept. of Fire Services</v>
      </c>
    </row>
    <row r="51" spans="1:8">
      <c r="A51" s="59" t="str">
        <f t="shared" si="0"/>
        <v>Dept. of Fire Services2014</v>
      </c>
      <c r="B51" s="425">
        <v>2014</v>
      </c>
      <c r="C51" s="426" t="s">
        <v>529</v>
      </c>
      <c r="D51" s="426" t="s">
        <v>106</v>
      </c>
      <c r="E51" s="427">
        <v>976000</v>
      </c>
      <c r="F51" s="521">
        <v>7279</v>
      </c>
      <c r="G51" s="425">
        <v>2014</v>
      </c>
      <c r="H51" s="280" t="str">
        <f>VLOOKUP(D51,Source!F:F,1,FALSE)</f>
        <v>Dept. of Fire Services</v>
      </c>
    </row>
    <row r="52" spans="1:8">
      <c r="A52" s="59" t="str">
        <f t="shared" si="0"/>
        <v>Dept. of Fire Services2015</v>
      </c>
      <c r="B52" s="425">
        <v>2015</v>
      </c>
      <c r="C52" s="426" t="s">
        <v>529</v>
      </c>
      <c r="D52" s="426" t="s">
        <v>106</v>
      </c>
      <c r="E52" s="427">
        <v>293000</v>
      </c>
      <c r="F52" s="521">
        <v>3443</v>
      </c>
      <c r="G52" s="425">
        <v>2015</v>
      </c>
      <c r="H52" s="280" t="str">
        <f>VLOOKUP(D52,Source!F:F,1,FALSE)</f>
        <v>Dept. of Fire Services</v>
      </c>
    </row>
    <row r="53" spans="1:8">
      <c r="A53" s="59" t="str">
        <f t="shared" si="0"/>
        <v>Dept. of Fire Services2016</v>
      </c>
      <c r="B53" s="425">
        <v>2016</v>
      </c>
      <c r="C53" s="426" t="s">
        <v>529</v>
      </c>
      <c r="D53" s="426" t="s">
        <v>106</v>
      </c>
      <c r="E53" s="427">
        <v>456000</v>
      </c>
      <c r="F53" s="521">
        <v>0</v>
      </c>
      <c r="G53" s="425">
        <v>2016</v>
      </c>
      <c r="H53" s="280" t="str">
        <f>VLOOKUP(D53,Source!F:F,1,FALSE)</f>
        <v>Dept. of Fire Services</v>
      </c>
    </row>
    <row r="54" spans="1:8">
      <c r="A54" s="59" t="str">
        <f t="shared" ref="A54:A56" si="12">D54&amp;G54</f>
        <v>Dept. of Fire Services2017</v>
      </c>
      <c r="B54" s="425">
        <v>2017</v>
      </c>
      <c r="C54" s="426" t="s">
        <v>529</v>
      </c>
      <c r="D54" s="426" t="s">
        <v>106</v>
      </c>
      <c r="E54" s="427" t="s">
        <v>985</v>
      </c>
      <c r="F54" s="521" t="s">
        <v>985</v>
      </c>
      <c r="G54" s="425">
        <v>2017</v>
      </c>
      <c r="H54" s="280" t="str">
        <f>VLOOKUP(D54,Source!F:F,1,FALSE)</f>
        <v>Dept. of Fire Services</v>
      </c>
    </row>
    <row r="55" spans="1:8">
      <c r="A55" s="59" t="str">
        <f t="shared" si="12"/>
        <v>Dept. of Fire Services2018</v>
      </c>
      <c r="B55" s="425">
        <v>2018</v>
      </c>
      <c r="C55" s="426" t="s">
        <v>529</v>
      </c>
      <c r="D55" s="426" t="s">
        <v>106</v>
      </c>
      <c r="E55" s="427" t="s">
        <v>985</v>
      </c>
      <c r="F55" s="521" t="s">
        <v>985</v>
      </c>
      <c r="G55" s="425">
        <v>2018</v>
      </c>
      <c r="H55" s="280" t="str">
        <f>VLOOKUP(D55,Source!F:F,1,FALSE)</f>
        <v>Dept. of Fire Services</v>
      </c>
    </row>
    <row r="56" spans="1:8">
      <c r="A56" s="59" t="str">
        <f t="shared" si="12"/>
        <v>Dept. of Fire Services2019</v>
      </c>
      <c r="B56" s="425">
        <v>2019</v>
      </c>
      <c r="C56" s="426" t="s">
        <v>529</v>
      </c>
      <c r="D56" s="426" t="s">
        <v>106</v>
      </c>
      <c r="E56" s="427" t="s">
        <v>985</v>
      </c>
      <c r="F56" s="521" t="s">
        <v>985</v>
      </c>
      <c r="G56" s="425">
        <v>2019</v>
      </c>
      <c r="H56" s="280" t="str">
        <f>VLOOKUP(D56,Source!F:F,1,FALSE)</f>
        <v>Dept. of Fire Services</v>
      </c>
    </row>
    <row r="57" spans="1:8">
      <c r="A57" s="59" t="str">
        <f t="shared" ref="A57:A58" si="13">D57&amp;G57</f>
        <v>Dept. of Fire Services2020</v>
      </c>
      <c r="B57" s="425">
        <v>2020</v>
      </c>
      <c r="C57" s="426" t="s">
        <v>529</v>
      </c>
      <c r="D57" s="426" t="s">
        <v>106</v>
      </c>
      <c r="E57" s="424" t="s">
        <v>985</v>
      </c>
      <c r="F57" s="520" t="s">
        <v>985</v>
      </c>
      <c r="G57" s="425">
        <v>2020</v>
      </c>
      <c r="H57" s="280" t="str">
        <f>VLOOKUP(D57,Source!F:F,1,FALSE)</f>
        <v>Dept. of Fire Services</v>
      </c>
    </row>
    <row r="58" spans="1:8">
      <c r="A58" s="59" t="str">
        <f t="shared" si="13"/>
        <v>Dept. of Fire Services2021</v>
      </c>
      <c r="B58" s="425">
        <v>2021</v>
      </c>
      <c r="C58" s="426" t="s">
        <v>529</v>
      </c>
      <c r="D58" s="426" t="s">
        <v>106</v>
      </c>
      <c r="E58" s="424" t="s">
        <v>985</v>
      </c>
      <c r="F58" s="520" t="s">
        <v>985</v>
      </c>
      <c r="G58" s="425">
        <v>2021</v>
      </c>
      <c r="H58" s="280" t="str">
        <f>VLOOKUP(D58,Source!F:F,1,FALSE)</f>
        <v>Dept. of Fire Services</v>
      </c>
    </row>
    <row r="59" spans="1:8">
      <c r="A59" s="59" t="str">
        <f t="shared" ref="A59:A63" si="14">D59&amp;G59</f>
        <v>Dept. of Fire Services2022</v>
      </c>
      <c r="B59" s="425">
        <v>2022</v>
      </c>
      <c r="C59" s="426" t="s">
        <v>529</v>
      </c>
      <c r="D59" s="426" t="s">
        <v>106</v>
      </c>
      <c r="E59" s="424" t="s">
        <v>985</v>
      </c>
      <c r="F59" s="520" t="s">
        <v>985</v>
      </c>
      <c r="G59" s="425">
        <v>2022</v>
      </c>
      <c r="H59" s="280" t="str">
        <f>VLOOKUP(D59,Source!F:F,1,FALSE)</f>
        <v>Dept. of Fire Services</v>
      </c>
    </row>
    <row r="60" spans="1:8">
      <c r="A60" s="59" t="str">
        <f t="shared" si="14"/>
        <v>Dept. of Fire Services2023</v>
      </c>
      <c r="B60" s="425">
        <v>2023</v>
      </c>
      <c r="C60" s="426" t="s">
        <v>529</v>
      </c>
      <c r="D60" s="426" t="s">
        <v>106</v>
      </c>
      <c r="E60" s="424" t="s">
        <v>985</v>
      </c>
      <c r="F60" s="520" t="s">
        <v>985</v>
      </c>
      <c r="G60" s="425">
        <v>2023</v>
      </c>
      <c r="H60" s="280" t="str">
        <f>VLOOKUP(D60,Source!F:F,1,FALSE)</f>
        <v>Dept. of Fire Services</v>
      </c>
    </row>
    <row r="61" spans="1:8">
      <c r="A61" s="59" t="str">
        <f t="shared" si="14"/>
        <v>Dept. of State Police2021</v>
      </c>
      <c r="B61" s="425">
        <v>2021</v>
      </c>
      <c r="C61" s="426" t="s">
        <v>529</v>
      </c>
      <c r="D61" s="426" t="s">
        <v>110</v>
      </c>
      <c r="E61" s="424" t="s">
        <v>985</v>
      </c>
      <c r="F61" s="520" t="s">
        <v>985</v>
      </c>
      <c r="G61" s="425">
        <v>2021</v>
      </c>
      <c r="H61" s="280" t="s">
        <v>110</v>
      </c>
    </row>
    <row r="62" spans="1:8">
      <c r="A62" s="59" t="str">
        <f t="shared" si="14"/>
        <v>Dept. of State Police2022</v>
      </c>
      <c r="B62" s="425">
        <v>2022</v>
      </c>
      <c r="C62" s="426" t="s">
        <v>529</v>
      </c>
      <c r="D62" s="426" t="s">
        <v>110</v>
      </c>
      <c r="E62" s="424" t="s">
        <v>985</v>
      </c>
      <c r="F62" s="520" t="s">
        <v>985</v>
      </c>
      <c r="G62" s="425">
        <v>2022</v>
      </c>
      <c r="H62" s="280" t="s">
        <v>110</v>
      </c>
    </row>
    <row r="63" spans="1:8">
      <c r="A63" s="59" t="str">
        <f t="shared" si="14"/>
        <v>Dept. of State Police2023</v>
      </c>
      <c r="B63" s="425">
        <v>2023</v>
      </c>
      <c r="C63" s="426" t="s">
        <v>529</v>
      </c>
      <c r="D63" s="426" t="s">
        <v>110</v>
      </c>
      <c r="E63" s="841">
        <v>4756566</v>
      </c>
      <c r="F63" s="843">
        <v>87976.960000000006</v>
      </c>
      <c r="G63" s="425">
        <v>2023</v>
      </c>
      <c r="H63" s="280" t="s">
        <v>110</v>
      </c>
    </row>
    <row r="64" spans="1:8" s="280" customFormat="1">
      <c r="A64" s="283" t="str">
        <f t="shared" si="0"/>
        <v>Fitchburg State University2013</v>
      </c>
      <c r="B64" s="423">
        <v>2013</v>
      </c>
      <c r="C64" s="290" t="s">
        <v>472</v>
      </c>
      <c r="D64" s="290" t="s">
        <v>114</v>
      </c>
      <c r="E64" s="424">
        <v>33432000</v>
      </c>
      <c r="F64" s="520">
        <v>161466.32999999999</v>
      </c>
      <c r="G64" s="423">
        <v>2013</v>
      </c>
      <c r="H64" s="280" t="str">
        <f>VLOOKUP(D64,Source!F:F,1,FALSE)</f>
        <v>Fitchburg State University</v>
      </c>
    </row>
    <row r="65" spans="1:8" s="280" customFormat="1">
      <c r="A65" s="283" t="str">
        <f t="shared" si="0"/>
        <v>Fitchburg State University2014</v>
      </c>
      <c r="B65" s="423">
        <v>2014</v>
      </c>
      <c r="C65" s="290" t="s">
        <v>472</v>
      </c>
      <c r="D65" s="290" t="s">
        <v>114</v>
      </c>
      <c r="E65" s="424">
        <v>29689500</v>
      </c>
      <c r="F65" s="520">
        <v>149911.6</v>
      </c>
      <c r="G65" s="423">
        <v>2014</v>
      </c>
      <c r="H65" s="280" t="str">
        <f>VLOOKUP(D65,Source!F:F,1,FALSE)</f>
        <v>Fitchburg State University</v>
      </c>
    </row>
    <row r="66" spans="1:8" s="280" customFormat="1">
      <c r="A66" s="283" t="str">
        <f t="shared" si="0"/>
        <v>Fitchburg State University2015</v>
      </c>
      <c r="B66" s="423">
        <v>2015</v>
      </c>
      <c r="C66" s="290" t="s">
        <v>472</v>
      </c>
      <c r="D66" s="290" t="s">
        <v>114</v>
      </c>
      <c r="E66" s="424">
        <v>28621500</v>
      </c>
      <c r="F66" s="520">
        <v>144210.47</v>
      </c>
      <c r="G66" s="423">
        <v>2015</v>
      </c>
      <c r="H66" s="280" t="str">
        <f>VLOOKUP(D66,Source!F:F,1,FALSE)</f>
        <v>Fitchburg State University</v>
      </c>
    </row>
    <row r="67" spans="1:8" s="280" customFormat="1">
      <c r="A67" s="283" t="str">
        <f t="shared" si="0"/>
        <v>Fitchburg State University2016</v>
      </c>
      <c r="B67" s="423">
        <v>2016</v>
      </c>
      <c r="C67" s="290" t="s">
        <v>472</v>
      </c>
      <c r="D67" s="290" t="s">
        <v>114</v>
      </c>
      <c r="E67" s="424">
        <v>32001750</v>
      </c>
      <c r="F67" s="520">
        <v>156215.71</v>
      </c>
      <c r="G67" s="423">
        <v>2016</v>
      </c>
      <c r="H67" s="280" t="str">
        <f>VLOOKUP(D67,Source!F:F,1,FALSE)</f>
        <v>Fitchburg State University</v>
      </c>
    </row>
    <row r="68" spans="1:8" s="280" customFormat="1">
      <c r="A68" s="283" t="str">
        <f t="shared" si="0"/>
        <v>Fitchburg State University2017</v>
      </c>
      <c r="B68" s="423">
        <v>2017</v>
      </c>
      <c r="C68" s="290" t="s">
        <v>472</v>
      </c>
      <c r="D68" s="290" t="s">
        <v>114</v>
      </c>
      <c r="E68" s="424">
        <v>33650250</v>
      </c>
      <c r="F68" s="520">
        <v>184962.5</v>
      </c>
      <c r="G68" s="423">
        <v>2017</v>
      </c>
      <c r="H68" s="280" t="str">
        <f>VLOOKUP(D68,Source!F:F,1,FALSE)</f>
        <v>Fitchburg State University</v>
      </c>
    </row>
    <row r="69" spans="1:8" s="280" customFormat="1">
      <c r="A69" s="283" t="str">
        <f t="shared" si="0"/>
        <v>Fitchburg State University2018</v>
      </c>
      <c r="B69" s="423">
        <v>2018</v>
      </c>
      <c r="C69" s="290" t="s">
        <v>472</v>
      </c>
      <c r="D69" s="290" t="s">
        <v>114</v>
      </c>
      <c r="E69" s="424">
        <v>31810030</v>
      </c>
      <c r="F69" s="520">
        <v>187658</v>
      </c>
      <c r="G69" s="423">
        <v>2018</v>
      </c>
      <c r="H69" s="280" t="str">
        <f>VLOOKUP(D69,Source!F:F,1,FALSE)</f>
        <v>Fitchburg State University</v>
      </c>
    </row>
    <row r="70" spans="1:8" s="280" customFormat="1">
      <c r="A70" s="283" t="str">
        <f t="shared" ref="A70" si="15">D70&amp;G70</f>
        <v>Fitchburg State University2019</v>
      </c>
      <c r="B70" s="423">
        <v>2019</v>
      </c>
      <c r="C70" s="290" t="s">
        <v>472</v>
      </c>
      <c r="D70" s="290" t="s">
        <v>114</v>
      </c>
      <c r="E70" s="424">
        <v>30823353</v>
      </c>
      <c r="F70" s="520">
        <v>193810</v>
      </c>
      <c r="G70" s="423">
        <v>2019</v>
      </c>
      <c r="H70" s="280" t="str">
        <f>VLOOKUP(D70,Source!F:F,1,FALSE)</f>
        <v>Fitchburg State University</v>
      </c>
    </row>
    <row r="71" spans="1:8" s="280" customFormat="1">
      <c r="A71" s="283" t="str">
        <f t="shared" ref="A71:A72" si="16">D71&amp;G71</f>
        <v>Fitchburg State University2020</v>
      </c>
      <c r="B71" s="423">
        <v>2020</v>
      </c>
      <c r="C71" s="290" t="s">
        <v>472</v>
      </c>
      <c r="D71" s="290" t="s">
        <v>114</v>
      </c>
      <c r="E71" s="424">
        <v>23343042</v>
      </c>
      <c r="F71" s="520">
        <v>154064</v>
      </c>
      <c r="G71" s="425">
        <v>2020</v>
      </c>
      <c r="H71" s="280" t="str">
        <f>VLOOKUP(D71,Source!F:F,1,FALSE)</f>
        <v>Fitchburg State University</v>
      </c>
    </row>
    <row r="72" spans="1:8" s="280" customFormat="1">
      <c r="A72" s="283" t="str">
        <f t="shared" si="16"/>
        <v>Fitchburg State University2021</v>
      </c>
      <c r="B72" s="423">
        <v>2021</v>
      </c>
      <c r="C72" s="290" t="s">
        <v>472</v>
      </c>
      <c r="D72" s="290" t="s">
        <v>114</v>
      </c>
      <c r="E72" s="424">
        <v>20412927</v>
      </c>
      <c r="F72" s="520">
        <v>137281</v>
      </c>
      <c r="G72" s="425">
        <v>2021</v>
      </c>
      <c r="H72" s="280" t="str">
        <f>VLOOKUP(D72,Source!F:F,1,FALSE)</f>
        <v>Fitchburg State University</v>
      </c>
    </row>
    <row r="73" spans="1:8" s="280" customFormat="1">
      <c r="A73" s="283" t="str">
        <f t="shared" ref="A73:A74" si="17">D73&amp;G73</f>
        <v>Fitchburg State University2022</v>
      </c>
      <c r="B73" s="423">
        <v>2022</v>
      </c>
      <c r="C73" s="290" t="s">
        <v>472</v>
      </c>
      <c r="D73" s="290" t="s">
        <v>114</v>
      </c>
      <c r="E73" s="424">
        <v>24405750</v>
      </c>
      <c r="F73" s="520">
        <v>187386.95</v>
      </c>
      <c r="G73" s="425">
        <v>2022</v>
      </c>
      <c r="H73" s="280" t="str">
        <f>VLOOKUP(D73,Source!F:F,1,FALSE)</f>
        <v>Fitchburg State University</v>
      </c>
    </row>
    <row r="74" spans="1:8" s="280" customFormat="1">
      <c r="A74" s="283" t="str">
        <f t="shared" si="17"/>
        <v>Fitchburg State University2023</v>
      </c>
      <c r="B74" s="423">
        <v>2023</v>
      </c>
      <c r="C74" s="290" t="s">
        <v>472</v>
      </c>
      <c r="D74" s="290" t="s">
        <v>114</v>
      </c>
      <c r="E74" s="841">
        <v>20490380</v>
      </c>
      <c r="F74" s="842">
        <v>142999</v>
      </c>
      <c r="G74" s="425">
        <v>2023</v>
      </c>
      <c r="H74" s="280" t="str">
        <f>VLOOKUP(D74,Source!F:F,1,FALSE)</f>
        <v>Fitchburg State University</v>
      </c>
    </row>
    <row r="75" spans="1:8" s="280" customFormat="1">
      <c r="A75" s="283" t="str">
        <f t="shared" si="0"/>
        <v>Framingham State University2013</v>
      </c>
      <c r="B75" s="423">
        <v>2013</v>
      </c>
      <c r="C75" s="290" t="s">
        <v>472</v>
      </c>
      <c r="D75" s="290" t="s">
        <v>36</v>
      </c>
      <c r="E75" s="424">
        <v>23214000</v>
      </c>
      <c r="F75" s="520">
        <v>513295</v>
      </c>
      <c r="G75" s="423">
        <v>2013</v>
      </c>
      <c r="H75" s="280" t="str">
        <f>VLOOKUP(D75,Source!F:F,1,FALSE)</f>
        <v>Framingham State University</v>
      </c>
    </row>
    <row r="76" spans="1:8" s="280" customFormat="1">
      <c r="A76" s="283" t="str">
        <f t="shared" si="0"/>
        <v>Framingham State University2014</v>
      </c>
      <c r="B76" s="423">
        <v>2014</v>
      </c>
      <c r="C76" s="290" t="s">
        <v>472</v>
      </c>
      <c r="D76" s="290" t="s">
        <v>36</v>
      </c>
      <c r="E76" s="424">
        <v>22743000</v>
      </c>
      <c r="F76" s="520">
        <v>611490</v>
      </c>
      <c r="G76" s="423">
        <v>2014</v>
      </c>
      <c r="H76" s="280" t="str">
        <f>VLOOKUP(D76,Source!F:F,1,FALSE)</f>
        <v>Framingham State University</v>
      </c>
    </row>
    <row r="77" spans="1:8" s="280" customFormat="1">
      <c r="A77" s="283" t="str">
        <f t="shared" si="0"/>
        <v>Framingham State University2015</v>
      </c>
      <c r="B77" s="423">
        <v>2015</v>
      </c>
      <c r="C77" s="290" t="s">
        <v>472</v>
      </c>
      <c r="D77" s="290" t="s">
        <v>36</v>
      </c>
      <c r="E77" s="424">
        <v>21532500</v>
      </c>
      <c r="F77" s="520">
        <v>692391</v>
      </c>
      <c r="G77" s="423">
        <v>2015</v>
      </c>
      <c r="H77" s="280" t="str">
        <f>VLOOKUP(D77,Source!F:F,1,FALSE)</f>
        <v>Framingham State University</v>
      </c>
    </row>
    <row r="78" spans="1:8" s="280" customFormat="1">
      <c r="A78" s="283" t="str">
        <f t="shared" si="0"/>
        <v>Framingham State University2016</v>
      </c>
      <c r="B78" s="423">
        <v>2016</v>
      </c>
      <c r="C78" s="290" t="s">
        <v>472</v>
      </c>
      <c r="D78" s="290" t="s">
        <v>36</v>
      </c>
      <c r="E78" s="424">
        <v>23590500</v>
      </c>
      <c r="F78" s="520">
        <v>712214.86</v>
      </c>
      <c r="G78" s="423">
        <v>2016</v>
      </c>
      <c r="H78" s="280" t="str">
        <f>VLOOKUP(D78,Source!F:F,1,FALSE)</f>
        <v>Framingham State University</v>
      </c>
    </row>
    <row r="79" spans="1:8" s="280" customFormat="1">
      <c r="A79" s="283" t="str">
        <f t="shared" si="0"/>
        <v>Framingham State University2017</v>
      </c>
      <c r="B79" s="423">
        <v>2017</v>
      </c>
      <c r="C79" s="290" t="s">
        <v>472</v>
      </c>
      <c r="D79" s="290" t="s">
        <v>36</v>
      </c>
      <c r="E79" s="424">
        <v>24900750</v>
      </c>
      <c r="F79" s="520">
        <v>779792</v>
      </c>
      <c r="G79" s="423">
        <v>2017</v>
      </c>
      <c r="H79" s="280" t="str">
        <f>VLOOKUP(D79,Source!F:F,1,FALSE)</f>
        <v>Framingham State University</v>
      </c>
    </row>
    <row r="80" spans="1:8" s="280" customFormat="1">
      <c r="A80" s="283" t="str">
        <f t="shared" si="0"/>
        <v>Framingham State University2018</v>
      </c>
      <c r="B80" s="423">
        <v>2018</v>
      </c>
      <c r="C80" s="290" t="s">
        <v>472</v>
      </c>
      <c r="D80" s="290" t="s">
        <v>36</v>
      </c>
      <c r="E80" s="424">
        <v>23178000</v>
      </c>
      <c r="F80" s="520">
        <v>712214.86</v>
      </c>
      <c r="G80" s="423">
        <v>2018</v>
      </c>
      <c r="H80" s="280" t="str">
        <f>VLOOKUP(D80,Source!F:F,1,FALSE)</f>
        <v>Framingham State University</v>
      </c>
    </row>
    <row r="81" spans="1:8" s="280" customFormat="1">
      <c r="A81" s="283" t="str">
        <f t="shared" ref="A81" si="18">D81&amp;G81</f>
        <v>Framingham State University2019</v>
      </c>
      <c r="B81" s="423">
        <v>2019</v>
      </c>
      <c r="C81" s="290" t="s">
        <v>472</v>
      </c>
      <c r="D81" s="290" t="s">
        <v>36</v>
      </c>
      <c r="E81" s="424">
        <v>21995250</v>
      </c>
      <c r="F81" s="520">
        <v>747452</v>
      </c>
      <c r="G81" s="423">
        <v>2019</v>
      </c>
      <c r="H81" s="280" t="str">
        <f>VLOOKUP(D81,Source!F:F,1,FALSE)</f>
        <v>Framingham State University</v>
      </c>
    </row>
    <row r="82" spans="1:8" s="280" customFormat="1">
      <c r="A82" s="283" t="str">
        <f t="shared" ref="A82:A83" si="19">D82&amp;G82</f>
        <v>Framingham State University2020</v>
      </c>
      <c r="B82" s="423">
        <v>2020</v>
      </c>
      <c r="C82" s="290" t="s">
        <v>472</v>
      </c>
      <c r="D82" s="290" t="s">
        <v>36</v>
      </c>
      <c r="E82" s="424">
        <v>19023136</v>
      </c>
      <c r="F82" s="520">
        <v>242445.42</v>
      </c>
      <c r="G82" s="425">
        <v>2020</v>
      </c>
      <c r="H82" s="280" t="str">
        <f>VLOOKUP(D82,Source!F:F,1,FALSE)</f>
        <v>Framingham State University</v>
      </c>
    </row>
    <row r="83" spans="1:8" s="280" customFormat="1">
      <c r="A83" s="283" t="str">
        <f t="shared" si="19"/>
        <v>Framingham State University2021</v>
      </c>
      <c r="B83" s="423">
        <v>2021</v>
      </c>
      <c r="C83" s="290" t="s">
        <v>472</v>
      </c>
      <c r="D83" s="290" t="s">
        <v>36</v>
      </c>
      <c r="E83" s="424">
        <v>14315972</v>
      </c>
      <c r="F83" s="520">
        <v>185280.27</v>
      </c>
      <c r="G83" s="425">
        <v>2021</v>
      </c>
      <c r="H83" s="280" t="str">
        <f>VLOOKUP(D83,Source!F:F,1,FALSE)</f>
        <v>Framingham State University</v>
      </c>
    </row>
    <row r="84" spans="1:8" s="280" customFormat="1">
      <c r="A84" s="283" t="str">
        <f t="shared" ref="A84:A85" si="20">D84&amp;G84</f>
        <v>Framingham State University2022</v>
      </c>
      <c r="B84" s="423">
        <v>2022</v>
      </c>
      <c r="C84" s="290" t="s">
        <v>472</v>
      </c>
      <c r="D84" s="290" t="s">
        <v>36</v>
      </c>
      <c r="E84" s="424">
        <v>16136604</v>
      </c>
      <c r="F84" s="520">
        <v>224743.82</v>
      </c>
      <c r="G84" s="425">
        <v>2022</v>
      </c>
      <c r="H84" s="280" t="str">
        <f>VLOOKUP(D84,Source!F:F,1,FALSE)</f>
        <v>Framingham State University</v>
      </c>
    </row>
    <row r="85" spans="1:8" s="280" customFormat="1">
      <c r="A85" s="283" t="str">
        <f t="shared" si="20"/>
        <v>Framingham State University2023</v>
      </c>
      <c r="B85" s="423">
        <v>2023</v>
      </c>
      <c r="C85" s="290" t="s">
        <v>472</v>
      </c>
      <c r="D85" s="290" t="s">
        <v>36</v>
      </c>
      <c r="E85" s="841">
        <v>14731112</v>
      </c>
      <c r="F85" s="842">
        <v>242010.59</v>
      </c>
      <c r="G85" s="425">
        <v>2023</v>
      </c>
      <c r="H85" s="280" t="str">
        <f>VLOOKUP(D85,Source!F:F,1,FALSE)</f>
        <v>Framingham State University</v>
      </c>
    </row>
    <row r="86" spans="1:8" s="280" customFormat="1">
      <c r="A86" s="283" t="str">
        <f t="shared" ref="A86:A153" si="21">D86&amp;G86</f>
        <v>Greenfield Comm. College2013</v>
      </c>
      <c r="B86" s="423">
        <v>2013</v>
      </c>
      <c r="C86" s="290" t="s">
        <v>472</v>
      </c>
      <c r="D86" s="290" t="s">
        <v>129</v>
      </c>
      <c r="E86" s="424">
        <v>1836000</v>
      </c>
      <c r="F86" s="520">
        <v>6462.72</v>
      </c>
      <c r="G86" s="423">
        <v>2013</v>
      </c>
      <c r="H86" s="280" t="str">
        <f>VLOOKUP(D86,Source!F:F,1,FALSE)</f>
        <v>Greenfield Comm. College</v>
      </c>
    </row>
    <row r="87" spans="1:8" s="280" customFormat="1">
      <c r="A87" s="283" t="str">
        <f t="shared" si="21"/>
        <v>Greenfield Comm. College2014</v>
      </c>
      <c r="B87" s="423">
        <v>2014</v>
      </c>
      <c r="C87" s="290" t="s">
        <v>472</v>
      </c>
      <c r="D87" s="290" t="s">
        <v>129</v>
      </c>
      <c r="E87" s="424">
        <v>2143500</v>
      </c>
      <c r="F87" s="520">
        <v>7630.86</v>
      </c>
      <c r="G87" s="423">
        <v>2014</v>
      </c>
      <c r="H87" s="280" t="str">
        <f>VLOOKUP(D87,Source!F:F,1,FALSE)</f>
        <v>Greenfield Comm. College</v>
      </c>
    </row>
    <row r="88" spans="1:8" s="280" customFormat="1">
      <c r="A88" s="283" t="str">
        <f t="shared" si="21"/>
        <v>Greenfield Comm. College2015</v>
      </c>
      <c r="B88" s="423">
        <v>2015</v>
      </c>
      <c r="C88" s="290" t="s">
        <v>472</v>
      </c>
      <c r="D88" s="290" t="s">
        <v>129</v>
      </c>
      <c r="E88" s="424">
        <v>1504500</v>
      </c>
      <c r="F88" s="523">
        <v>5356.02</v>
      </c>
      <c r="G88" s="423">
        <v>2015</v>
      </c>
      <c r="H88" s="280" t="str">
        <f>VLOOKUP(D88,Source!F:F,1,FALSE)</f>
        <v>Greenfield Comm. College</v>
      </c>
    </row>
    <row r="89" spans="1:8" s="280" customFormat="1">
      <c r="A89" s="283" t="str">
        <f t="shared" si="21"/>
        <v>Greenfield Comm. College2016</v>
      </c>
      <c r="B89" s="423">
        <v>2016</v>
      </c>
      <c r="C89" s="290" t="s">
        <v>472</v>
      </c>
      <c r="D89" s="290" t="s">
        <v>129</v>
      </c>
      <c r="E89" s="428">
        <v>2187152</v>
      </c>
      <c r="F89" s="523">
        <v>7807.08</v>
      </c>
      <c r="G89" s="423">
        <v>2016</v>
      </c>
      <c r="H89" s="280" t="str">
        <f>VLOOKUP(D89,Source!F:F,1,FALSE)</f>
        <v>Greenfield Comm. College</v>
      </c>
    </row>
    <row r="90" spans="1:8" s="280" customFormat="1">
      <c r="A90" s="283" t="str">
        <f t="shared" si="21"/>
        <v>Greenfield Comm. College2017</v>
      </c>
      <c r="B90" s="423">
        <v>2017</v>
      </c>
      <c r="C90" s="290" t="s">
        <v>472</v>
      </c>
      <c r="D90" s="290" t="s">
        <v>129</v>
      </c>
      <c r="E90" s="424">
        <v>2109567</v>
      </c>
      <c r="F90" s="520">
        <v>7510.05</v>
      </c>
      <c r="G90" s="423">
        <v>2017</v>
      </c>
      <c r="H90" s="280" t="str">
        <f>VLOOKUP(D90,Source!F:F,1,FALSE)</f>
        <v>Greenfield Comm. College</v>
      </c>
    </row>
    <row r="91" spans="1:8" s="280" customFormat="1">
      <c r="A91" s="283" t="str">
        <f t="shared" si="21"/>
        <v>Greenfield Comm. College2018</v>
      </c>
      <c r="B91" s="423">
        <v>2018</v>
      </c>
      <c r="C91" s="290" t="s">
        <v>472</v>
      </c>
      <c r="D91" s="290" t="s">
        <v>129</v>
      </c>
      <c r="E91" s="424">
        <v>2146740</v>
      </c>
      <c r="F91" s="520">
        <v>7648.1</v>
      </c>
      <c r="G91" s="423">
        <v>2018</v>
      </c>
      <c r="H91" s="280" t="str">
        <f>VLOOKUP(D91,Source!F:F,1,FALSE)</f>
        <v>Greenfield Comm. College</v>
      </c>
    </row>
    <row r="92" spans="1:8" s="280" customFormat="1">
      <c r="A92" s="283" t="str">
        <f t="shared" ref="A92" si="22">D92&amp;G92</f>
        <v>Greenfield Comm. College2019</v>
      </c>
      <c r="B92" s="423">
        <v>2019</v>
      </c>
      <c r="C92" s="290" t="s">
        <v>472</v>
      </c>
      <c r="D92" s="290" t="s">
        <v>129</v>
      </c>
      <c r="E92" s="424">
        <v>2147819</v>
      </c>
      <c r="F92" s="520">
        <v>7646</v>
      </c>
      <c r="G92" s="423">
        <v>2019</v>
      </c>
      <c r="H92" s="280" t="str">
        <f>VLOOKUP(D92,Source!F:F,1,FALSE)</f>
        <v>Greenfield Comm. College</v>
      </c>
    </row>
    <row r="93" spans="1:8" s="280" customFormat="1">
      <c r="A93" s="283" t="str">
        <f t="shared" ref="A93:A94" si="23">D93&amp;G93</f>
        <v>Greenfield Comm. College2020</v>
      </c>
      <c r="B93" s="423">
        <v>2020</v>
      </c>
      <c r="C93" s="290" t="s">
        <v>472</v>
      </c>
      <c r="D93" s="290" t="s">
        <v>129</v>
      </c>
      <c r="E93" s="424" t="s">
        <v>985</v>
      </c>
      <c r="F93" s="520" t="s">
        <v>985</v>
      </c>
      <c r="G93" s="425">
        <v>2020</v>
      </c>
      <c r="H93" s="280" t="str">
        <f>VLOOKUP(D93,Source!F:F,1,FALSE)</f>
        <v>Greenfield Comm. College</v>
      </c>
    </row>
    <row r="94" spans="1:8" s="280" customFormat="1">
      <c r="A94" s="283" t="str">
        <f t="shared" si="23"/>
        <v>Greenfield Comm. College2021</v>
      </c>
      <c r="B94" s="423">
        <v>2021</v>
      </c>
      <c r="C94" s="290" t="s">
        <v>472</v>
      </c>
      <c r="D94" s="290" t="s">
        <v>129</v>
      </c>
      <c r="E94" s="424" t="s">
        <v>985</v>
      </c>
      <c r="F94" s="520" t="s">
        <v>985</v>
      </c>
      <c r="G94" s="425">
        <v>2021</v>
      </c>
      <c r="H94" s="280" t="str">
        <f>VLOOKUP(D94,Source!F:F,1,FALSE)</f>
        <v>Greenfield Comm. College</v>
      </c>
    </row>
    <row r="95" spans="1:8" s="280" customFormat="1">
      <c r="A95" s="283" t="str">
        <f t="shared" ref="A95:A96" si="24">D95&amp;G95</f>
        <v>Greenfield Comm. College2022</v>
      </c>
      <c r="B95" s="423">
        <v>2022</v>
      </c>
      <c r="C95" s="290" t="s">
        <v>472</v>
      </c>
      <c r="D95" s="290" t="s">
        <v>129</v>
      </c>
      <c r="E95" s="424" t="s">
        <v>985</v>
      </c>
      <c r="F95" s="520" t="s">
        <v>985</v>
      </c>
      <c r="G95" s="425">
        <v>2022</v>
      </c>
      <c r="H95" s="280" t="str">
        <f>VLOOKUP(D95,Source!F:F,1,FALSE)</f>
        <v>Greenfield Comm. College</v>
      </c>
    </row>
    <row r="96" spans="1:8" s="280" customFormat="1">
      <c r="A96" s="283" t="str">
        <f t="shared" si="24"/>
        <v>Greenfield Comm. College2023</v>
      </c>
      <c r="B96" s="423">
        <v>2023</v>
      </c>
      <c r="C96" s="290" t="s">
        <v>472</v>
      </c>
      <c r="D96" s="290" t="s">
        <v>129</v>
      </c>
      <c r="E96" s="424" t="s">
        <v>985</v>
      </c>
      <c r="F96" s="520" t="s">
        <v>985</v>
      </c>
      <c r="G96" s="425">
        <v>2023</v>
      </c>
      <c r="H96" s="280" t="str">
        <f>VLOOKUP(D96,Source!F:F,1,FALSE)</f>
        <v>Greenfield Comm. College</v>
      </c>
    </row>
    <row r="97" spans="1:8">
      <c r="A97" s="59" t="str">
        <f t="shared" si="21"/>
        <v>Holyoke Comm. College2014</v>
      </c>
      <c r="B97" s="425">
        <v>2014</v>
      </c>
      <c r="C97" s="426" t="s">
        <v>472</v>
      </c>
      <c r="D97" s="426" t="s">
        <v>134</v>
      </c>
      <c r="E97" s="427">
        <v>10280000</v>
      </c>
      <c r="F97" s="521">
        <v>44204</v>
      </c>
      <c r="G97" s="425">
        <v>2014</v>
      </c>
      <c r="H97" s="280" t="str">
        <f>VLOOKUP(D97,Source!F:F,1,FALSE)</f>
        <v>Holyoke Comm. College</v>
      </c>
    </row>
    <row r="98" spans="1:8">
      <c r="A98" s="59" t="str">
        <f t="shared" si="21"/>
        <v>Holyoke Comm. College2015</v>
      </c>
      <c r="B98" s="425">
        <v>2015</v>
      </c>
      <c r="C98" s="426" t="s">
        <v>472</v>
      </c>
      <c r="D98" s="426" t="s">
        <v>134</v>
      </c>
      <c r="E98" s="427">
        <v>10456066</v>
      </c>
      <c r="F98" s="521">
        <v>44961</v>
      </c>
      <c r="G98" s="425">
        <v>2015</v>
      </c>
      <c r="H98" s="280" t="str">
        <f>VLOOKUP(D98,Source!F:F,1,FALSE)</f>
        <v>Holyoke Comm. College</v>
      </c>
    </row>
    <row r="99" spans="1:8">
      <c r="A99" s="59" t="str">
        <f t="shared" si="21"/>
        <v>Holyoke Comm. College2016</v>
      </c>
      <c r="B99" s="425">
        <v>2016</v>
      </c>
      <c r="C99" s="426" t="s">
        <v>472</v>
      </c>
      <c r="D99" s="426" t="s">
        <v>134</v>
      </c>
      <c r="E99" s="427">
        <v>19122500</v>
      </c>
      <c r="F99" s="521">
        <v>82227</v>
      </c>
      <c r="G99" s="425">
        <v>2016</v>
      </c>
      <c r="H99" s="280" t="str">
        <f>VLOOKUP(D99,Source!F:F,1,FALSE)</f>
        <v>Holyoke Comm. College</v>
      </c>
    </row>
    <row r="100" spans="1:8">
      <c r="A100" s="59" t="str">
        <f t="shared" si="21"/>
        <v>Holyoke Comm. College2017</v>
      </c>
      <c r="B100" s="425">
        <v>2017</v>
      </c>
      <c r="C100" s="426" t="s">
        <v>472</v>
      </c>
      <c r="D100" s="426" t="s">
        <v>134</v>
      </c>
      <c r="E100" s="427">
        <v>12260110</v>
      </c>
      <c r="F100" s="521">
        <v>52718.47</v>
      </c>
      <c r="G100" s="425">
        <v>2017</v>
      </c>
      <c r="H100" s="280" t="str">
        <f>VLOOKUP(D100,Source!F:F,1,FALSE)</f>
        <v>Holyoke Comm. College</v>
      </c>
    </row>
    <row r="101" spans="1:8">
      <c r="A101" s="59" t="str">
        <f t="shared" si="21"/>
        <v>Holyoke Comm. College2018</v>
      </c>
      <c r="B101" s="425">
        <v>2018</v>
      </c>
      <c r="C101" s="426" t="s">
        <v>472</v>
      </c>
      <c r="D101" s="426" t="s">
        <v>134</v>
      </c>
      <c r="E101" s="427">
        <v>13418050</v>
      </c>
      <c r="F101" s="521">
        <v>57697</v>
      </c>
      <c r="G101" s="425">
        <v>2018</v>
      </c>
      <c r="H101" s="280" t="str">
        <f>VLOOKUP(D101,Source!F:F,1,FALSE)</f>
        <v>Holyoke Comm. College</v>
      </c>
    </row>
    <row r="102" spans="1:8">
      <c r="A102" s="59" t="str">
        <f t="shared" ref="A102" si="25">D102&amp;G102</f>
        <v>Holyoke Comm. College2019</v>
      </c>
      <c r="B102" s="425">
        <v>2019</v>
      </c>
      <c r="C102" s="426" t="s">
        <v>472</v>
      </c>
      <c r="D102" s="426" t="s">
        <v>134</v>
      </c>
      <c r="E102" s="427">
        <v>12396440</v>
      </c>
      <c r="F102" s="521">
        <v>58263.27</v>
      </c>
      <c r="G102" s="425">
        <v>2019</v>
      </c>
      <c r="H102" s="280" t="str">
        <f>VLOOKUP(D102,Source!F:F,1,FALSE)</f>
        <v>Holyoke Comm. College</v>
      </c>
    </row>
    <row r="103" spans="1:8">
      <c r="A103" s="59" t="str">
        <f t="shared" ref="A103:A104" si="26">D103&amp;G103</f>
        <v>Holyoke Comm. College2020</v>
      </c>
      <c r="B103" s="425">
        <v>2020</v>
      </c>
      <c r="C103" s="426" t="s">
        <v>472</v>
      </c>
      <c r="D103" s="426" t="s">
        <v>134</v>
      </c>
      <c r="E103" s="424" t="s">
        <v>985</v>
      </c>
      <c r="F103" s="520" t="s">
        <v>985</v>
      </c>
      <c r="G103" s="425">
        <v>2020</v>
      </c>
      <c r="H103" s="280" t="str">
        <f>VLOOKUP(D103,Source!F:F,1,FALSE)</f>
        <v>Holyoke Comm. College</v>
      </c>
    </row>
    <row r="104" spans="1:8">
      <c r="A104" s="59" t="str">
        <f t="shared" si="26"/>
        <v>Holyoke Comm. College2021</v>
      </c>
      <c r="B104" s="425">
        <v>2021</v>
      </c>
      <c r="C104" s="426" t="s">
        <v>472</v>
      </c>
      <c r="D104" s="426" t="s">
        <v>134</v>
      </c>
      <c r="E104" s="424" t="s">
        <v>985</v>
      </c>
      <c r="F104" s="520" t="s">
        <v>985</v>
      </c>
      <c r="G104" s="425">
        <v>2021</v>
      </c>
      <c r="H104" s="280" t="str">
        <f>VLOOKUP(D104,Source!F:F,1,FALSE)</f>
        <v>Holyoke Comm. College</v>
      </c>
    </row>
    <row r="105" spans="1:8">
      <c r="A105" s="59" t="str">
        <f t="shared" ref="A105:A106" si="27">D105&amp;G105</f>
        <v>Holyoke Comm. College2022</v>
      </c>
      <c r="B105" s="425">
        <v>2022</v>
      </c>
      <c r="C105" s="426" t="s">
        <v>472</v>
      </c>
      <c r="D105" s="426" t="s">
        <v>134</v>
      </c>
      <c r="E105" s="424" t="s">
        <v>985</v>
      </c>
      <c r="F105" s="520" t="s">
        <v>985</v>
      </c>
      <c r="G105" s="425">
        <v>2022</v>
      </c>
      <c r="H105" s="280" t="str">
        <f>VLOOKUP(D105,Source!F:F,1,FALSE)</f>
        <v>Holyoke Comm. College</v>
      </c>
    </row>
    <row r="106" spans="1:8">
      <c r="A106" s="59" t="str">
        <f t="shared" si="27"/>
        <v>Holyoke Comm. College2023</v>
      </c>
      <c r="B106" s="425">
        <v>2023</v>
      </c>
      <c r="C106" s="426" t="s">
        <v>472</v>
      </c>
      <c r="D106" s="426" t="s">
        <v>134</v>
      </c>
      <c r="E106" s="424" t="s">
        <v>985</v>
      </c>
      <c r="F106" s="520" t="s">
        <v>985</v>
      </c>
      <c r="G106" s="425">
        <v>2023</v>
      </c>
      <c r="H106" s="280" t="str">
        <f>VLOOKUP(D106,Source!F:F,1,FALSE)</f>
        <v>Holyoke Comm. College</v>
      </c>
    </row>
    <row r="107" spans="1:8">
      <c r="A107" s="59" t="str">
        <f t="shared" si="21"/>
        <v>Holyoke Soldier's Home2013</v>
      </c>
      <c r="B107" s="425">
        <v>2013</v>
      </c>
      <c r="C107" s="426" t="s">
        <v>1498</v>
      </c>
      <c r="D107" s="426" t="s">
        <v>138</v>
      </c>
      <c r="E107" s="427">
        <v>5103200</v>
      </c>
      <c r="F107" s="521">
        <v>2198969</v>
      </c>
      <c r="G107" s="425">
        <v>2013</v>
      </c>
      <c r="H107" s="280" t="str">
        <f>VLOOKUP(D107,Source!F:F,1,FALSE)</f>
        <v>Holyoke Soldier's Home</v>
      </c>
    </row>
    <row r="108" spans="1:8">
      <c r="A108" s="59" t="str">
        <f t="shared" si="21"/>
        <v>Holyoke Soldier's Home2014</v>
      </c>
      <c r="B108" s="425">
        <v>2014</v>
      </c>
      <c r="C108" s="426" t="s">
        <v>1498</v>
      </c>
      <c r="D108" s="426" t="s">
        <v>138</v>
      </c>
      <c r="E108" s="427">
        <v>6917800</v>
      </c>
      <c r="F108" s="521">
        <v>2980880</v>
      </c>
      <c r="G108" s="425">
        <v>2014</v>
      </c>
      <c r="H108" s="280" t="str">
        <f>VLOOKUP(D108,Source!F:F,1,FALSE)</f>
        <v>Holyoke Soldier's Home</v>
      </c>
    </row>
    <row r="109" spans="1:8">
      <c r="A109" s="59" t="str">
        <f t="shared" si="21"/>
        <v>Holyoke Soldier's Home2015</v>
      </c>
      <c r="B109" s="425">
        <v>2015</v>
      </c>
      <c r="C109" s="426" t="s">
        <v>1498</v>
      </c>
      <c r="D109" s="426" t="s">
        <v>138</v>
      </c>
      <c r="E109" s="427" t="s">
        <v>985</v>
      </c>
      <c r="F109" s="521" t="s">
        <v>985</v>
      </c>
      <c r="G109" s="425">
        <v>2015</v>
      </c>
      <c r="H109" s="280" t="str">
        <f>VLOOKUP(D109,Source!F:F,1,FALSE)</f>
        <v>Holyoke Soldier's Home</v>
      </c>
    </row>
    <row r="110" spans="1:8">
      <c r="A110" s="59" t="str">
        <f t="shared" si="21"/>
        <v>Holyoke Soldier's Home2016</v>
      </c>
      <c r="B110" s="425">
        <v>2016</v>
      </c>
      <c r="C110" s="426" t="s">
        <v>1498</v>
      </c>
      <c r="D110" s="426" t="s">
        <v>138</v>
      </c>
      <c r="E110" s="427" t="s">
        <v>985</v>
      </c>
      <c r="F110" s="521" t="s">
        <v>985</v>
      </c>
      <c r="G110" s="425">
        <v>2016</v>
      </c>
      <c r="H110" s="280" t="str">
        <f>VLOOKUP(D110,Source!F:F,1,FALSE)</f>
        <v>Holyoke Soldier's Home</v>
      </c>
    </row>
    <row r="111" spans="1:8">
      <c r="A111" s="59" t="str">
        <f t="shared" si="21"/>
        <v>Holyoke Soldier's Home2017</v>
      </c>
      <c r="B111" s="425">
        <v>2017</v>
      </c>
      <c r="C111" s="426" t="s">
        <v>1498</v>
      </c>
      <c r="D111" s="426" t="s">
        <v>138</v>
      </c>
      <c r="E111" s="427">
        <v>4595800</v>
      </c>
      <c r="F111" s="521">
        <v>20708.939999999999</v>
      </c>
      <c r="G111" s="425">
        <v>2017</v>
      </c>
      <c r="H111" s="280" t="str">
        <f>VLOOKUP(D111,Source!F:F,1,FALSE)</f>
        <v>Holyoke Soldier's Home</v>
      </c>
    </row>
    <row r="112" spans="1:8">
      <c r="A112" s="59" t="str">
        <f t="shared" ref="A112:A113" si="28">D112&amp;G112</f>
        <v>Holyoke Soldier's Home2018</v>
      </c>
      <c r="B112" s="425">
        <v>2018</v>
      </c>
      <c r="C112" s="426" t="s">
        <v>1498</v>
      </c>
      <c r="D112" s="426" t="s">
        <v>138</v>
      </c>
      <c r="E112" s="427" t="s">
        <v>985</v>
      </c>
      <c r="F112" s="521" t="s">
        <v>985</v>
      </c>
      <c r="G112" s="425">
        <v>2018</v>
      </c>
      <c r="H112" s="280" t="str">
        <f>VLOOKUP(D112,Source!F:F,1,FALSE)</f>
        <v>Holyoke Soldier's Home</v>
      </c>
    </row>
    <row r="113" spans="1:8">
      <c r="A113" s="59" t="str">
        <f t="shared" si="28"/>
        <v>Holyoke Soldier's Home2019</v>
      </c>
      <c r="B113" s="425">
        <v>2019</v>
      </c>
      <c r="C113" s="426" t="s">
        <v>1498</v>
      </c>
      <c r="D113" s="426" t="s">
        <v>138</v>
      </c>
      <c r="E113" s="427" t="s">
        <v>985</v>
      </c>
      <c r="F113" s="521" t="s">
        <v>985</v>
      </c>
      <c r="G113" s="425">
        <v>2019</v>
      </c>
      <c r="H113" s="280" t="str">
        <f>VLOOKUP(D113,Source!F:F,1,FALSE)</f>
        <v>Holyoke Soldier's Home</v>
      </c>
    </row>
    <row r="114" spans="1:8">
      <c r="A114" s="59" t="str">
        <f t="shared" ref="A114:A115" si="29">D114&amp;G114</f>
        <v>Holyoke Soldier's Home2020</v>
      </c>
      <c r="B114" s="425">
        <v>2020</v>
      </c>
      <c r="C114" s="426" t="s">
        <v>1498</v>
      </c>
      <c r="D114" s="426" t="s">
        <v>138</v>
      </c>
      <c r="E114" s="424" t="s">
        <v>985</v>
      </c>
      <c r="F114" s="520" t="s">
        <v>985</v>
      </c>
      <c r="G114" s="425">
        <v>2020</v>
      </c>
      <c r="H114" s="280" t="str">
        <f>VLOOKUP(D114,Source!F:F,1,FALSE)</f>
        <v>Holyoke Soldier's Home</v>
      </c>
    </row>
    <row r="115" spans="1:8">
      <c r="A115" s="59" t="str">
        <f t="shared" si="29"/>
        <v>Holyoke Soldier's Home2021</v>
      </c>
      <c r="B115" s="425">
        <v>2021</v>
      </c>
      <c r="C115" s="426" t="s">
        <v>1498</v>
      </c>
      <c r="D115" s="426" t="s">
        <v>138</v>
      </c>
      <c r="E115" s="424" t="s">
        <v>985</v>
      </c>
      <c r="F115" s="520" t="s">
        <v>985</v>
      </c>
      <c r="G115" s="425">
        <v>2021</v>
      </c>
      <c r="H115" s="280" t="str">
        <f>VLOOKUP(D115,Source!F:F,1,FALSE)</f>
        <v>Holyoke Soldier's Home</v>
      </c>
    </row>
    <row r="116" spans="1:8">
      <c r="A116" s="59" t="str">
        <f t="shared" ref="A116:A117" si="30">D116&amp;G116</f>
        <v>Holyoke Soldier's Home2022</v>
      </c>
      <c r="B116" s="425">
        <v>2022</v>
      </c>
      <c r="C116" s="426" t="s">
        <v>1498</v>
      </c>
      <c r="D116" s="426" t="s">
        <v>138</v>
      </c>
      <c r="E116" s="424" t="s">
        <v>985</v>
      </c>
      <c r="F116" s="520" t="s">
        <v>985</v>
      </c>
      <c r="G116" s="425">
        <v>2022</v>
      </c>
      <c r="H116" s="280" t="str">
        <f>VLOOKUP(D116,Source!F:F,1,FALSE)</f>
        <v>Holyoke Soldier's Home</v>
      </c>
    </row>
    <row r="117" spans="1:8">
      <c r="A117" s="59" t="str">
        <f t="shared" si="30"/>
        <v>Holyoke Soldier's Home2023</v>
      </c>
      <c r="B117" s="425">
        <v>2023</v>
      </c>
      <c r="C117" s="426" t="s">
        <v>1498</v>
      </c>
      <c r="D117" s="426" t="s">
        <v>138</v>
      </c>
      <c r="E117" s="841">
        <v>10429100</v>
      </c>
      <c r="F117" s="842">
        <v>0</v>
      </c>
      <c r="G117" s="425">
        <v>2023</v>
      </c>
      <c r="H117" s="280" t="str">
        <f>VLOOKUP(D117,Source!F:F,1,FALSE)</f>
        <v>Holyoke Soldier's Home</v>
      </c>
    </row>
    <row r="118" spans="1:8">
      <c r="A118" s="59" t="str">
        <f t="shared" si="21"/>
        <v>Mass. Bay Comm. College2013</v>
      </c>
      <c r="B118" s="425">
        <v>2013</v>
      </c>
      <c r="C118" s="426" t="s">
        <v>472</v>
      </c>
      <c r="D118" s="426" t="s">
        <v>142</v>
      </c>
      <c r="E118" s="427">
        <v>3183709</v>
      </c>
      <c r="F118" s="521">
        <v>23551</v>
      </c>
      <c r="G118" s="425">
        <v>2013</v>
      </c>
      <c r="H118" s="280" t="str">
        <f>VLOOKUP(D118,Source!F:F,1,FALSE)</f>
        <v>Mass. Bay Comm. College</v>
      </c>
    </row>
    <row r="119" spans="1:8">
      <c r="A119" s="59" t="str">
        <f t="shared" si="21"/>
        <v>Mass. Bay Comm. College2014</v>
      </c>
      <c r="B119" s="425">
        <v>2014</v>
      </c>
      <c r="C119" s="426" t="s">
        <v>472</v>
      </c>
      <c r="D119" s="426" t="s">
        <v>142</v>
      </c>
      <c r="E119" s="427">
        <v>3723803</v>
      </c>
      <c r="F119" s="521">
        <v>38436</v>
      </c>
      <c r="G119" s="425">
        <v>2014</v>
      </c>
      <c r="H119" s="280" t="str">
        <f>VLOOKUP(D119,Source!F:F,1,FALSE)</f>
        <v>Mass. Bay Comm. College</v>
      </c>
    </row>
    <row r="120" spans="1:8">
      <c r="A120" s="59" t="str">
        <f t="shared" si="21"/>
        <v>Mass. Bay Comm. College2015</v>
      </c>
      <c r="B120" s="425">
        <v>2015</v>
      </c>
      <c r="C120" s="426" t="s">
        <v>472</v>
      </c>
      <c r="D120" s="426" t="s">
        <v>142</v>
      </c>
      <c r="E120" s="427">
        <v>3218119</v>
      </c>
      <c r="F120" s="521">
        <v>23655</v>
      </c>
      <c r="G120" s="425">
        <v>2015</v>
      </c>
      <c r="H120" s="280" t="str">
        <f>VLOOKUP(D120,Source!F:F,1,FALSE)</f>
        <v>Mass. Bay Comm. College</v>
      </c>
    </row>
    <row r="121" spans="1:8">
      <c r="A121" s="59" t="str">
        <f t="shared" si="21"/>
        <v>Mass. Bay Comm. College2016</v>
      </c>
      <c r="B121" s="425">
        <v>2016</v>
      </c>
      <c r="C121" s="426" t="s">
        <v>472</v>
      </c>
      <c r="D121" s="426" t="s">
        <v>142</v>
      </c>
      <c r="E121" s="427">
        <v>3758213</v>
      </c>
      <c r="F121" s="521">
        <v>71332</v>
      </c>
      <c r="G121" s="425">
        <v>2016</v>
      </c>
      <c r="H121" s="280" t="str">
        <f>VLOOKUP(D121,Source!F:F,1,FALSE)</f>
        <v>Mass. Bay Comm. College</v>
      </c>
    </row>
    <row r="122" spans="1:8">
      <c r="A122" s="59" t="str">
        <f t="shared" si="21"/>
        <v>Mass. Bay Comm. College2017</v>
      </c>
      <c r="B122" s="425">
        <v>2017</v>
      </c>
      <c r="C122" s="426" t="s">
        <v>472</v>
      </c>
      <c r="D122" s="426" t="s">
        <v>142</v>
      </c>
      <c r="E122" s="427">
        <v>3165756</v>
      </c>
      <c r="F122" s="521">
        <v>63502</v>
      </c>
      <c r="G122" s="425">
        <v>2017</v>
      </c>
      <c r="H122" s="280" t="str">
        <f>VLOOKUP(D122,Source!F:F,1,FALSE)</f>
        <v>Mass. Bay Comm. College</v>
      </c>
    </row>
    <row r="123" spans="1:8">
      <c r="A123" s="59" t="str">
        <f t="shared" ref="A123:A124" si="31">D123&amp;G123</f>
        <v>Mass. Bay Comm. College2018</v>
      </c>
      <c r="B123" s="425">
        <v>2018</v>
      </c>
      <c r="C123" s="426" t="s">
        <v>472</v>
      </c>
      <c r="D123" s="426" t="s">
        <v>142</v>
      </c>
      <c r="E123" s="427">
        <v>4309527</v>
      </c>
      <c r="F123" s="521">
        <v>76334</v>
      </c>
      <c r="G123" s="425">
        <v>2018</v>
      </c>
      <c r="H123" s="280" t="str">
        <f>VLOOKUP(D123,Source!F:F,1,FALSE)</f>
        <v>Mass. Bay Comm. College</v>
      </c>
    </row>
    <row r="124" spans="1:8">
      <c r="A124" s="59" t="str">
        <f t="shared" si="31"/>
        <v>Mass. Bay Comm. College2019</v>
      </c>
      <c r="B124" s="425">
        <v>2019</v>
      </c>
      <c r="C124" s="426" t="s">
        <v>472</v>
      </c>
      <c r="D124" s="426" t="s">
        <v>142</v>
      </c>
      <c r="E124" s="427">
        <v>3003429</v>
      </c>
      <c r="F124" s="521">
        <v>63370</v>
      </c>
      <c r="G124" s="425">
        <v>2019</v>
      </c>
      <c r="H124" s="280" t="str">
        <f>VLOOKUP(D124,Source!F:F,1,FALSE)</f>
        <v>Mass. Bay Comm. College</v>
      </c>
    </row>
    <row r="125" spans="1:8">
      <c r="A125" s="59" t="str">
        <f t="shared" ref="A125:A126" si="32">D125&amp;G125</f>
        <v>Mass. Bay Comm. College2020</v>
      </c>
      <c r="B125" s="425">
        <v>2020</v>
      </c>
      <c r="C125" s="426" t="s">
        <v>472</v>
      </c>
      <c r="D125" s="426" t="s">
        <v>142</v>
      </c>
      <c r="E125" s="424" t="s">
        <v>985</v>
      </c>
      <c r="F125" s="520" t="s">
        <v>985</v>
      </c>
      <c r="G125" s="425">
        <v>2020</v>
      </c>
      <c r="H125" s="280" t="str">
        <f>VLOOKUP(D125,Source!F:F,1,FALSE)</f>
        <v>Mass. Bay Comm. College</v>
      </c>
    </row>
    <row r="126" spans="1:8">
      <c r="A126" s="59" t="str">
        <f t="shared" si="32"/>
        <v>Mass. Bay Comm. College2021</v>
      </c>
      <c r="B126" s="425">
        <v>2021</v>
      </c>
      <c r="C126" s="426" t="s">
        <v>472</v>
      </c>
      <c r="D126" s="426" t="s">
        <v>142</v>
      </c>
      <c r="E126" s="844">
        <v>884197</v>
      </c>
      <c r="F126" s="842">
        <v>16580</v>
      </c>
      <c r="G126" s="425">
        <v>2021</v>
      </c>
      <c r="H126" s="280" t="str">
        <f>VLOOKUP(D126,Source!F:F,1,FALSE)</f>
        <v>Mass. Bay Comm. College</v>
      </c>
    </row>
    <row r="127" spans="1:8">
      <c r="A127" s="59" t="str">
        <f t="shared" ref="A127:A128" si="33">D127&amp;G127</f>
        <v>Mass. Bay Comm. College2022</v>
      </c>
      <c r="B127" s="425">
        <v>2022</v>
      </c>
      <c r="C127" s="426" t="s">
        <v>472</v>
      </c>
      <c r="D127" s="426" t="s">
        <v>142</v>
      </c>
      <c r="E127" s="844">
        <v>713641</v>
      </c>
      <c r="F127" s="842">
        <v>11829</v>
      </c>
      <c r="G127" s="425">
        <v>2022</v>
      </c>
      <c r="H127" s="280" t="str">
        <f>VLOOKUP(D127,Source!F:F,1,FALSE)</f>
        <v>Mass. Bay Comm. College</v>
      </c>
    </row>
    <row r="128" spans="1:8">
      <c r="A128" s="59" t="str">
        <f t="shared" si="33"/>
        <v>Mass. Bay Comm. College2023</v>
      </c>
      <c r="B128" s="425">
        <v>2023</v>
      </c>
      <c r="C128" s="426" t="s">
        <v>472</v>
      </c>
      <c r="D128" s="426" t="s">
        <v>142</v>
      </c>
      <c r="E128" s="841">
        <v>1423543</v>
      </c>
      <c r="F128" s="842">
        <v>33702</v>
      </c>
      <c r="G128" s="425">
        <v>2023</v>
      </c>
      <c r="H128" s="280" t="str">
        <f>VLOOKUP(D128,Source!F:F,1,FALSE)</f>
        <v>Mass. Bay Comm. College</v>
      </c>
    </row>
    <row r="129" spans="1:8" s="280" customFormat="1">
      <c r="A129" s="283" t="str">
        <f t="shared" si="21"/>
        <v>Mass. College of Art &amp; Design2013</v>
      </c>
      <c r="B129" s="423">
        <v>2013</v>
      </c>
      <c r="C129" s="290" t="s">
        <v>472</v>
      </c>
      <c r="D129" s="290" t="s">
        <v>146</v>
      </c>
      <c r="E129" s="424">
        <v>5749936</v>
      </c>
      <c r="F129" s="520">
        <v>89109</v>
      </c>
      <c r="G129" s="423">
        <v>2013</v>
      </c>
      <c r="H129" s="280" t="str">
        <f>VLOOKUP(D129,Source!F:F,1,FALSE)</f>
        <v>Mass. College of Art &amp; Design</v>
      </c>
    </row>
    <row r="130" spans="1:8" s="280" customFormat="1">
      <c r="A130" s="283" t="str">
        <f t="shared" si="21"/>
        <v>Mass. College of Art &amp; Design2014</v>
      </c>
      <c r="B130" s="423">
        <v>2014</v>
      </c>
      <c r="C130" s="290" t="s">
        <v>472</v>
      </c>
      <c r="D130" s="290" t="s">
        <v>146</v>
      </c>
      <c r="E130" s="424">
        <v>5935819</v>
      </c>
      <c r="F130" s="520">
        <v>96988</v>
      </c>
      <c r="G130" s="423">
        <v>2014</v>
      </c>
      <c r="H130" s="280" t="str">
        <f>VLOOKUP(D130,Source!F:F,1,FALSE)</f>
        <v>Mass. College of Art &amp; Design</v>
      </c>
    </row>
    <row r="131" spans="1:8" s="280" customFormat="1">
      <c r="A131" s="283" t="str">
        <f t="shared" si="21"/>
        <v>Mass. College of Art &amp; Design2015</v>
      </c>
      <c r="B131" s="423">
        <v>2015</v>
      </c>
      <c r="C131" s="290" t="s">
        <v>472</v>
      </c>
      <c r="D131" s="290" t="s">
        <v>146</v>
      </c>
      <c r="E131" s="424">
        <v>5719692</v>
      </c>
      <c r="F131" s="520">
        <v>95854</v>
      </c>
      <c r="G131" s="423">
        <v>2015</v>
      </c>
      <c r="H131" s="280" t="str">
        <f>VLOOKUP(D131,Source!F:F,1,FALSE)</f>
        <v>Mass. College of Art &amp; Design</v>
      </c>
    </row>
    <row r="132" spans="1:8" s="280" customFormat="1">
      <c r="A132" s="283" t="str">
        <f t="shared" si="21"/>
        <v>Mass. College of Art &amp; Design2016</v>
      </c>
      <c r="B132" s="423">
        <v>2016</v>
      </c>
      <c r="C132" s="290" t="s">
        <v>472</v>
      </c>
      <c r="D132" s="290" t="s">
        <v>146</v>
      </c>
      <c r="E132" s="424">
        <v>19552293.640000001</v>
      </c>
      <c r="F132" s="520">
        <v>353456.87</v>
      </c>
      <c r="G132" s="423">
        <v>2016</v>
      </c>
      <c r="H132" s="280" t="str">
        <f>VLOOKUP(D132,Source!F:F,1,FALSE)</f>
        <v>Mass. College of Art &amp; Design</v>
      </c>
    </row>
    <row r="133" spans="1:8" s="280" customFormat="1">
      <c r="A133" s="283" t="str">
        <f t="shared" si="21"/>
        <v>Mass. College of Art &amp; Design2017</v>
      </c>
      <c r="B133" s="423">
        <v>2017</v>
      </c>
      <c r="C133" s="290" t="s">
        <v>472</v>
      </c>
      <c r="D133" s="290" t="s">
        <v>146</v>
      </c>
      <c r="E133" s="424">
        <v>6063811</v>
      </c>
      <c r="F133" s="520">
        <v>113737.04</v>
      </c>
      <c r="G133" s="423">
        <v>2017</v>
      </c>
      <c r="H133" s="280" t="str">
        <f>VLOOKUP(D133,Source!F:F,1,FALSE)</f>
        <v>Mass. College of Art &amp; Design</v>
      </c>
    </row>
    <row r="134" spans="1:8" s="280" customFormat="1">
      <c r="A134" s="283" t="str">
        <f t="shared" si="21"/>
        <v>Mass. College of Art &amp; Design2018</v>
      </c>
      <c r="B134" s="423">
        <v>2018</v>
      </c>
      <c r="C134" s="290" t="s">
        <v>472</v>
      </c>
      <c r="D134" s="290" t="s">
        <v>146</v>
      </c>
      <c r="E134" s="424">
        <v>6868950</v>
      </c>
      <c r="F134" s="520">
        <v>126550.53</v>
      </c>
      <c r="G134" s="423">
        <v>2018</v>
      </c>
      <c r="H134" s="280" t="str">
        <f>VLOOKUP(D134,Source!F:F,1,FALSE)</f>
        <v>Mass. College of Art &amp; Design</v>
      </c>
    </row>
    <row r="135" spans="1:8" s="280" customFormat="1">
      <c r="A135" s="283" t="str">
        <f t="shared" ref="A135" si="34">D135&amp;G135</f>
        <v>Mass. College of Art &amp; Design2019</v>
      </c>
      <c r="B135" s="423">
        <v>2019</v>
      </c>
      <c r="C135" s="290" t="s">
        <v>472</v>
      </c>
      <c r="D135" s="290" t="s">
        <v>146</v>
      </c>
      <c r="E135" s="424">
        <v>7065842</v>
      </c>
      <c r="F135" s="520">
        <v>135033</v>
      </c>
      <c r="G135" s="423">
        <v>2019</v>
      </c>
      <c r="H135" s="280" t="str">
        <f>VLOOKUP(D135,Source!F:F,1,FALSE)</f>
        <v>Mass. College of Art &amp; Design</v>
      </c>
    </row>
    <row r="136" spans="1:8" s="280" customFormat="1">
      <c r="A136" s="283" t="str">
        <f t="shared" ref="A136:A137" si="35">D136&amp;G136</f>
        <v>Mass. College of Art &amp; Design2020</v>
      </c>
      <c r="B136" s="423">
        <v>2020</v>
      </c>
      <c r="C136" s="290" t="s">
        <v>472</v>
      </c>
      <c r="D136" s="290" t="s">
        <v>146</v>
      </c>
      <c r="E136" s="424" t="s">
        <v>985</v>
      </c>
      <c r="F136" s="520" t="s">
        <v>985</v>
      </c>
      <c r="G136" s="425">
        <v>2020</v>
      </c>
      <c r="H136" s="280" t="str">
        <f>VLOOKUP(D136,Source!F:F,1,FALSE)</f>
        <v>Mass. College of Art &amp; Design</v>
      </c>
    </row>
    <row r="137" spans="1:8" s="280" customFormat="1">
      <c r="A137" s="283" t="str">
        <f t="shared" si="35"/>
        <v>Mass. College of Art &amp; Design2021</v>
      </c>
      <c r="B137" s="423">
        <v>2021</v>
      </c>
      <c r="C137" s="290" t="s">
        <v>472</v>
      </c>
      <c r="D137" s="290" t="s">
        <v>146</v>
      </c>
      <c r="E137" s="424" t="s">
        <v>985</v>
      </c>
      <c r="F137" s="520" t="s">
        <v>985</v>
      </c>
      <c r="G137" s="425">
        <v>2021</v>
      </c>
      <c r="H137" s="280" t="str">
        <f>VLOOKUP(D137,Source!F:F,1,FALSE)</f>
        <v>Mass. College of Art &amp; Design</v>
      </c>
    </row>
    <row r="138" spans="1:8" s="280" customFormat="1">
      <c r="A138" s="283" t="str">
        <f t="shared" ref="A138:A139" si="36">D138&amp;G138</f>
        <v>Mass. College of Art &amp; Design2022</v>
      </c>
      <c r="B138" s="423">
        <v>2022</v>
      </c>
      <c r="C138" s="290" t="s">
        <v>472</v>
      </c>
      <c r="D138" s="290" t="s">
        <v>146</v>
      </c>
      <c r="E138" s="424" t="s">
        <v>985</v>
      </c>
      <c r="F138" s="520" t="s">
        <v>985</v>
      </c>
      <c r="G138" s="425">
        <v>2022</v>
      </c>
      <c r="H138" s="280" t="str">
        <f>VLOOKUP(D138,Source!F:F,1,FALSE)</f>
        <v>Mass. College of Art &amp; Design</v>
      </c>
    </row>
    <row r="139" spans="1:8" s="280" customFormat="1">
      <c r="A139" s="283" t="str">
        <f t="shared" si="36"/>
        <v>Mass. College of Art &amp; Design2023</v>
      </c>
      <c r="B139" s="423">
        <v>2023</v>
      </c>
      <c r="C139" s="290" t="s">
        <v>472</v>
      </c>
      <c r="D139" s="290" t="s">
        <v>146</v>
      </c>
      <c r="E139" s="424" t="s">
        <v>985</v>
      </c>
      <c r="F139" s="520" t="s">
        <v>985</v>
      </c>
      <c r="G139" s="425">
        <v>2023</v>
      </c>
      <c r="H139" s="280" t="str">
        <f>VLOOKUP(D139,Source!F:F,1,FALSE)</f>
        <v>Mass. College of Art &amp; Design</v>
      </c>
    </row>
    <row r="140" spans="1:8">
      <c r="A140" s="59" t="str">
        <f t="shared" si="21"/>
        <v>Mass. College of Liberal Arts2013</v>
      </c>
      <c r="B140" s="425">
        <v>2013</v>
      </c>
      <c r="C140" s="426" t="s">
        <v>472</v>
      </c>
      <c r="D140" s="426" t="s">
        <v>148</v>
      </c>
      <c r="E140" s="427">
        <v>9668596</v>
      </c>
      <c r="F140" s="521">
        <v>68986</v>
      </c>
      <c r="G140" s="425">
        <v>2013</v>
      </c>
      <c r="H140" s="280" t="str">
        <f>VLOOKUP(D140,Source!F:F,1,FALSE)</f>
        <v>Mass. College of Liberal Arts</v>
      </c>
    </row>
    <row r="141" spans="1:8">
      <c r="A141" s="59" t="str">
        <f t="shared" si="21"/>
        <v>Mass. College of Liberal Arts2014</v>
      </c>
      <c r="B141" s="425">
        <v>2014</v>
      </c>
      <c r="C141" s="426" t="s">
        <v>472</v>
      </c>
      <c r="D141" s="426" t="s">
        <v>148</v>
      </c>
      <c r="E141" s="427">
        <v>9209188</v>
      </c>
      <c r="F141" s="521">
        <v>81460</v>
      </c>
      <c r="G141" s="425">
        <v>2014</v>
      </c>
      <c r="H141" s="280" t="str">
        <f>VLOOKUP(D141,Source!F:F,1,FALSE)</f>
        <v>Mass. College of Liberal Arts</v>
      </c>
    </row>
    <row r="142" spans="1:8">
      <c r="A142" s="59" t="str">
        <f t="shared" si="21"/>
        <v>Mass. College of Liberal Arts2015</v>
      </c>
      <c r="B142" s="425">
        <v>2015</v>
      </c>
      <c r="C142" s="426" t="s">
        <v>472</v>
      </c>
      <c r="D142" s="426" t="s">
        <v>148</v>
      </c>
      <c r="E142" s="427">
        <v>9973536</v>
      </c>
      <c r="F142" s="521">
        <v>94136</v>
      </c>
      <c r="G142" s="425">
        <v>2015</v>
      </c>
      <c r="H142" s="280" t="str">
        <f>VLOOKUP(D142,Source!F:F,1,FALSE)</f>
        <v>Mass. College of Liberal Arts</v>
      </c>
    </row>
    <row r="143" spans="1:8">
      <c r="A143" s="59" t="str">
        <f t="shared" si="21"/>
        <v>Mass. College of Liberal Arts2016</v>
      </c>
      <c r="B143" s="425">
        <v>2016</v>
      </c>
      <c r="C143" s="426" t="s">
        <v>472</v>
      </c>
      <c r="D143" s="426" t="s">
        <v>148</v>
      </c>
      <c r="E143" s="427">
        <v>9149022</v>
      </c>
      <c r="F143" s="521">
        <v>88626</v>
      </c>
      <c r="G143" s="425">
        <v>2016</v>
      </c>
      <c r="H143" s="280" t="str">
        <f>VLOOKUP(D143,Source!F:F,1,FALSE)</f>
        <v>Mass. College of Liberal Arts</v>
      </c>
    </row>
    <row r="144" spans="1:8">
      <c r="A144" s="59" t="str">
        <f t="shared" si="21"/>
        <v>Mass. College of Liberal Arts2017</v>
      </c>
      <c r="B144" s="425">
        <v>2017</v>
      </c>
      <c r="C144" s="426" t="s">
        <v>472</v>
      </c>
      <c r="D144" s="426" t="s">
        <v>148</v>
      </c>
      <c r="E144" s="427">
        <v>9296623</v>
      </c>
      <c r="F144" s="521">
        <v>86819</v>
      </c>
      <c r="G144" s="425">
        <v>2017</v>
      </c>
      <c r="H144" s="280" t="str">
        <f>VLOOKUP(D144,Source!F:F,1,FALSE)</f>
        <v>Mass. College of Liberal Arts</v>
      </c>
    </row>
    <row r="145" spans="1:8">
      <c r="A145" s="59" t="str">
        <f t="shared" ref="A145:A146" si="37">D145&amp;G145</f>
        <v>Mass. College of Liberal Arts2018</v>
      </c>
      <c r="B145" s="425">
        <v>2018</v>
      </c>
      <c r="C145" s="426" t="s">
        <v>472</v>
      </c>
      <c r="D145" s="426" t="s">
        <v>148</v>
      </c>
      <c r="E145" s="427">
        <v>8503579</v>
      </c>
      <c r="F145" s="521">
        <v>76684</v>
      </c>
      <c r="G145" s="425">
        <v>2018</v>
      </c>
      <c r="H145" s="280" t="str">
        <f>VLOOKUP(D145,Source!F:F,1,FALSE)</f>
        <v>Mass. College of Liberal Arts</v>
      </c>
    </row>
    <row r="146" spans="1:8">
      <c r="A146" s="59" t="str">
        <f t="shared" si="37"/>
        <v>Mass. College of Liberal Arts2019</v>
      </c>
      <c r="B146" s="425">
        <v>2019</v>
      </c>
      <c r="C146" s="426" t="s">
        <v>472</v>
      </c>
      <c r="D146" s="426" t="s">
        <v>148</v>
      </c>
      <c r="E146" s="427">
        <v>8298394</v>
      </c>
      <c r="F146" s="521">
        <v>76683.73</v>
      </c>
      <c r="G146" s="425">
        <v>2019</v>
      </c>
      <c r="H146" s="280" t="str">
        <f>VLOOKUP(D146,Source!F:F,1,FALSE)</f>
        <v>Mass. College of Liberal Arts</v>
      </c>
    </row>
    <row r="147" spans="1:8">
      <c r="A147" s="59" t="str">
        <f t="shared" ref="A147:A148" si="38">D147&amp;G147</f>
        <v>Mass. College of Liberal Arts2020</v>
      </c>
      <c r="B147" s="425">
        <v>2020</v>
      </c>
      <c r="C147" s="426" t="s">
        <v>472</v>
      </c>
      <c r="D147" s="426" t="s">
        <v>148</v>
      </c>
      <c r="E147" s="427">
        <v>6434101</v>
      </c>
      <c r="F147" s="521">
        <v>66387.16</v>
      </c>
      <c r="G147" s="425">
        <v>2020</v>
      </c>
      <c r="H147" s="280" t="str">
        <f>VLOOKUP(D147,Source!F:F,1,FALSE)</f>
        <v>Mass. College of Liberal Arts</v>
      </c>
    </row>
    <row r="148" spans="1:8">
      <c r="A148" s="59" t="str">
        <f t="shared" si="38"/>
        <v>Mass. College of Liberal Arts2021</v>
      </c>
      <c r="B148" s="425">
        <v>2021</v>
      </c>
      <c r="C148" s="426" t="s">
        <v>472</v>
      </c>
      <c r="D148" s="426" t="s">
        <v>148</v>
      </c>
      <c r="E148" s="427" t="s">
        <v>985</v>
      </c>
      <c r="F148" s="521" t="s">
        <v>985</v>
      </c>
      <c r="G148" s="425">
        <v>2021</v>
      </c>
      <c r="H148" s="280" t="str">
        <f>VLOOKUP(D148,Source!F:F,1,FALSE)</f>
        <v>Mass. College of Liberal Arts</v>
      </c>
    </row>
    <row r="149" spans="1:8">
      <c r="A149" s="59" t="str">
        <f t="shared" ref="A149:A150" si="39">D149&amp;G149</f>
        <v>Mass. College of Liberal Arts2022</v>
      </c>
      <c r="B149" s="425">
        <v>2022</v>
      </c>
      <c r="C149" s="426" t="s">
        <v>472</v>
      </c>
      <c r="D149" s="426" t="s">
        <v>148</v>
      </c>
      <c r="E149" s="427" t="s">
        <v>985</v>
      </c>
      <c r="F149" s="521" t="s">
        <v>985</v>
      </c>
      <c r="G149" s="425">
        <v>2022</v>
      </c>
      <c r="H149" s="280" t="str">
        <f>VLOOKUP(D149,Source!F:F,1,FALSE)</f>
        <v>Mass. College of Liberal Arts</v>
      </c>
    </row>
    <row r="150" spans="1:8">
      <c r="A150" s="59" t="str">
        <f t="shared" si="39"/>
        <v>Mass. College of Liberal Arts2023</v>
      </c>
      <c r="B150" s="425">
        <v>2023</v>
      </c>
      <c r="C150" s="426" t="s">
        <v>472</v>
      </c>
      <c r="D150" s="426" t="s">
        <v>148</v>
      </c>
      <c r="E150" s="427" t="s">
        <v>985</v>
      </c>
      <c r="F150" s="521" t="s">
        <v>985</v>
      </c>
      <c r="G150" s="425">
        <v>2023</v>
      </c>
      <c r="H150" s="280" t="str">
        <f>VLOOKUP(D150,Source!F:F,1,FALSE)</f>
        <v>Mass. College of Liberal Arts</v>
      </c>
    </row>
    <row r="151" spans="1:8">
      <c r="A151" s="59" t="str">
        <f t="shared" si="21"/>
        <v>Mass. Maritime Academy2014</v>
      </c>
      <c r="B151" s="425">
        <v>2014</v>
      </c>
      <c r="C151" s="426" t="s">
        <v>472</v>
      </c>
      <c r="D151" s="426" t="s">
        <v>151</v>
      </c>
      <c r="E151" s="427">
        <v>12938000</v>
      </c>
      <c r="F151" s="521">
        <v>64880</v>
      </c>
      <c r="G151" s="425">
        <v>2014</v>
      </c>
      <c r="H151" s="280" t="str">
        <f>VLOOKUP(D151,Source!F:F,1,FALSE)</f>
        <v>Mass. Maritime Academy</v>
      </c>
    </row>
    <row r="152" spans="1:8">
      <c r="A152" s="59" t="str">
        <f t="shared" si="21"/>
        <v>Mass. Maritime Academy2015</v>
      </c>
      <c r="B152" s="425">
        <v>2015</v>
      </c>
      <c r="C152" s="426" t="s">
        <v>472</v>
      </c>
      <c r="D152" s="426" t="s">
        <v>151</v>
      </c>
      <c r="E152" s="427">
        <v>11327100</v>
      </c>
      <c r="F152" s="521">
        <v>63713</v>
      </c>
      <c r="G152" s="425">
        <v>2015</v>
      </c>
      <c r="H152" s="280" t="str">
        <f>VLOOKUP(D152,Source!F:F,1,FALSE)</f>
        <v>Mass. Maritime Academy</v>
      </c>
    </row>
    <row r="153" spans="1:8">
      <c r="A153" s="59" t="str">
        <f t="shared" si="21"/>
        <v>Mass. Maritime Academy2016</v>
      </c>
      <c r="B153" s="425">
        <v>2016</v>
      </c>
      <c r="C153" s="426" t="s">
        <v>472</v>
      </c>
      <c r="D153" s="426" t="s">
        <v>151</v>
      </c>
      <c r="E153" s="427">
        <v>11967000</v>
      </c>
      <c r="F153" s="521">
        <v>63094</v>
      </c>
      <c r="G153" s="425">
        <v>2016</v>
      </c>
      <c r="H153" s="280" t="str">
        <f>VLOOKUP(D153,Source!F:F,1,FALSE)</f>
        <v>Mass. Maritime Academy</v>
      </c>
    </row>
    <row r="154" spans="1:8">
      <c r="A154" s="59" t="str">
        <f t="shared" ref="A154:A235" si="40">D154&amp;G154</f>
        <v>Mass. Maritime Academy2017</v>
      </c>
      <c r="B154" s="425">
        <v>2017</v>
      </c>
      <c r="C154" s="426" t="s">
        <v>472</v>
      </c>
      <c r="D154" s="426" t="s">
        <v>151</v>
      </c>
      <c r="E154" s="427">
        <v>13105500</v>
      </c>
      <c r="F154" s="521">
        <v>65445</v>
      </c>
      <c r="G154" s="425">
        <v>2017</v>
      </c>
      <c r="H154" s="280" t="str">
        <f>VLOOKUP(D154,Source!F:F,1,FALSE)</f>
        <v>Mass. Maritime Academy</v>
      </c>
    </row>
    <row r="155" spans="1:8">
      <c r="A155" s="59" t="str">
        <f t="shared" ref="A155:A156" si="41">D155&amp;G155</f>
        <v>Mass. Maritime Academy2018</v>
      </c>
      <c r="B155" s="425">
        <v>2018</v>
      </c>
      <c r="C155" s="426" t="s">
        <v>472</v>
      </c>
      <c r="D155" s="426" t="s">
        <v>151</v>
      </c>
      <c r="E155" s="427">
        <v>12430000</v>
      </c>
      <c r="F155" s="521">
        <v>86947</v>
      </c>
      <c r="G155" s="425">
        <v>2018</v>
      </c>
      <c r="H155" s="280" t="str">
        <f>VLOOKUP(D155,Source!F:F,1,FALSE)</f>
        <v>Mass. Maritime Academy</v>
      </c>
    </row>
    <row r="156" spans="1:8">
      <c r="A156" s="59" t="str">
        <f t="shared" si="41"/>
        <v>Mass. Maritime Academy2019</v>
      </c>
      <c r="B156" s="425">
        <v>2019</v>
      </c>
      <c r="C156" s="426" t="s">
        <v>472</v>
      </c>
      <c r="D156" s="426" t="s">
        <v>151</v>
      </c>
      <c r="E156" s="427">
        <v>13696000</v>
      </c>
      <c r="F156" s="521">
        <v>95529</v>
      </c>
      <c r="G156" s="425">
        <v>2019</v>
      </c>
      <c r="H156" s="280" t="str">
        <f>VLOOKUP(D156,Source!F:F,1,FALSE)</f>
        <v>Mass. Maritime Academy</v>
      </c>
    </row>
    <row r="157" spans="1:8">
      <c r="A157" s="59" t="str">
        <f t="shared" ref="A157:A158" si="42">D157&amp;G157</f>
        <v>Mass. Maritime Academy2020</v>
      </c>
      <c r="B157" s="425">
        <v>2020</v>
      </c>
      <c r="C157" s="426" t="s">
        <v>472</v>
      </c>
      <c r="D157" s="426" t="s">
        <v>151</v>
      </c>
      <c r="E157" s="427" t="s">
        <v>986</v>
      </c>
      <c r="F157" s="521">
        <v>79241</v>
      </c>
      <c r="G157" s="425">
        <v>2020</v>
      </c>
      <c r="H157" s="280" t="str">
        <f>VLOOKUP(D157,Source!F:F,1,FALSE)</f>
        <v>Mass. Maritime Academy</v>
      </c>
    </row>
    <row r="158" spans="1:8">
      <c r="A158" s="59" t="str">
        <f t="shared" si="42"/>
        <v>Mass. Maritime Academy2021</v>
      </c>
      <c r="B158" s="425">
        <v>2021</v>
      </c>
      <c r="C158" s="426" t="s">
        <v>472</v>
      </c>
      <c r="D158" s="426" t="s">
        <v>151</v>
      </c>
      <c r="E158" s="427">
        <v>9675</v>
      </c>
      <c r="F158" s="521">
        <v>74835</v>
      </c>
      <c r="G158" s="425">
        <v>2021</v>
      </c>
      <c r="H158" s="280" t="str">
        <f>VLOOKUP(D158,Source!F:F,1,FALSE)</f>
        <v>Mass. Maritime Academy</v>
      </c>
    </row>
    <row r="159" spans="1:8">
      <c r="A159" s="59" t="str">
        <f t="shared" ref="A159:A160" si="43">D159&amp;G159</f>
        <v>Mass. Maritime Academy2022</v>
      </c>
      <c r="B159" s="425">
        <v>2022</v>
      </c>
      <c r="C159" s="426" t="s">
        <v>472</v>
      </c>
      <c r="D159" s="426" t="s">
        <v>151</v>
      </c>
      <c r="E159" s="427">
        <v>12000000</v>
      </c>
      <c r="F159" s="521">
        <v>108097</v>
      </c>
      <c r="G159" s="425">
        <v>2022</v>
      </c>
      <c r="H159" s="280" t="str">
        <f>VLOOKUP(D159,Source!F:F,1,FALSE)</f>
        <v>Mass. Maritime Academy</v>
      </c>
    </row>
    <row r="160" spans="1:8">
      <c r="A160" s="59" t="str">
        <f t="shared" si="43"/>
        <v>Mass. Maritime Academy2023</v>
      </c>
      <c r="B160" s="425">
        <v>2023</v>
      </c>
      <c r="C160" s="426" t="s">
        <v>472</v>
      </c>
      <c r="D160" s="426" t="s">
        <v>151</v>
      </c>
      <c r="E160" s="841">
        <v>13050000</v>
      </c>
      <c r="F160" s="842">
        <v>133911.26999999999</v>
      </c>
      <c r="G160" s="425">
        <v>2023</v>
      </c>
      <c r="H160" s="280" t="str">
        <f>VLOOKUP(D160,Source!F:F,1,FALSE)</f>
        <v>Mass. Maritime Academy</v>
      </c>
    </row>
    <row r="161" spans="1:8">
      <c r="A161" s="59" t="str">
        <f t="shared" si="40"/>
        <v>Mass. Water Resources Authority2013</v>
      </c>
      <c r="B161" s="425">
        <v>2013</v>
      </c>
      <c r="C161" s="426" t="s">
        <v>611</v>
      </c>
      <c r="D161" s="426" t="s">
        <v>159</v>
      </c>
      <c r="E161" s="427">
        <v>499006969</v>
      </c>
      <c r="F161" s="521">
        <v>1931429</v>
      </c>
      <c r="G161" s="425">
        <v>2013</v>
      </c>
      <c r="H161" s="280" t="str">
        <f>VLOOKUP(D161,Source!F:F,1,FALSE)</f>
        <v>Mass. Water Resources Authority</v>
      </c>
    </row>
    <row r="162" spans="1:8">
      <c r="A162" s="59" t="str">
        <f t="shared" si="40"/>
        <v>Mass. Water Resources Authority2014</v>
      </c>
      <c r="B162" s="425">
        <v>2014</v>
      </c>
      <c r="C162" s="426" t="s">
        <v>611</v>
      </c>
      <c r="D162" s="426" t="s">
        <v>159</v>
      </c>
      <c r="E162" s="427">
        <v>477633597</v>
      </c>
      <c r="F162" s="521">
        <v>1862076</v>
      </c>
      <c r="G162" s="425">
        <v>2014</v>
      </c>
      <c r="H162" s="280" t="str">
        <f>VLOOKUP(D162,Source!F:F,1,FALSE)</f>
        <v>Mass. Water Resources Authority</v>
      </c>
    </row>
    <row r="163" spans="1:8">
      <c r="A163" s="59" t="str">
        <f t="shared" si="40"/>
        <v>Mass. Water Resources Authority2015</v>
      </c>
      <c r="B163" s="425">
        <v>2015</v>
      </c>
      <c r="C163" s="426" t="s">
        <v>611</v>
      </c>
      <c r="D163" s="426" t="s">
        <v>159</v>
      </c>
      <c r="E163" s="427">
        <v>489937402</v>
      </c>
      <c r="F163" s="521">
        <v>1942747</v>
      </c>
      <c r="G163" s="425">
        <v>2015</v>
      </c>
      <c r="H163" s="280" t="str">
        <f>VLOOKUP(D163,Source!F:F,1,FALSE)</f>
        <v>Mass. Water Resources Authority</v>
      </c>
    </row>
    <row r="164" spans="1:8">
      <c r="A164" s="59" t="str">
        <f t="shared" si="40"/>
        <v>Mass. Water Resources Authority2016</v>
      </c>
      <c r="B164" s="425">
        <v>2016</v>
      </c>
      <c r="C164" s="426" t="s">
        <v>611</v>
      </c>
      <c r="D164" s="426" t="s">
        <v>159</v>
      </c>
      <c r="E164" s="427">
        <v>565803853</v>
      </c>
      <c r="F164" s="521">
        <v>2297576</v>
      </c>
      <c r="G164" s="425">
        <v>2016</v>
      </c>
      <c r="H164" s="280" t="str">
        <f>VLOOKUP(D164,Source!F:F,1,FALSE)</f>
        <v>Mass. Water Resources Authority</v>
      </c>
    </row>
    <row r="165" spans="1:8">
      <c r="A165" s="59" t="str">
        <f t="shared" si="40"/>
        <v>Mass. Water Resources Authority2017</v>
      </c>
      <c r="B165" s="425">
        <v>2017</v>
      </c>
      <c r="C165" s="426" t="s">
        <v>611</v>
      </c>
      <c r="D165" s="426" t="s">
        <v>159</v>
      </c>
      <c r="E165" s="427">
        <v>536567702</v>
      </c>
      <c r="F165" s="521">
        <v>2169171</v>
      </c>
      <c r="G165" s="425">
        <v>2017</v>
      </c>
      <c r="H165" s="280" t="str">
        <f>VLOOKUP(D165,Source!F:F,1,FALSE)</f>
        <v>Mass. Water Resources Authority</v>
      </c>
    </row>
    <row r="166" spans="1:8">
      <c r="A166" s="59" t="str">
        <f t="shared" ref="A166:A167" si="44">D166&amp;G166</f>
        <v>Mass. Water Resources Authority2018</v>
      </c>
      <c r="B166" s="425">
        <v>2018</v>
      </c>
      <c r="C166" s="426" t="s">
        <v>611</v>
      </c>
      <c r="D166" s="426" t="s">
        <v>159</v>
      </c>
      <c r="E166" s="427">
        <v>567699772</v>
      </c>
      <c r="F166" s="521">
        <v>2033497</v>
      </c>
      <c r="G166" s="425">
        <v>2018</v>
      </c>
      <c r="H166" s="280" t="str">
        <f>VLOOKUP(D166,Source!F:F,1,FALSE)</f>
        <v>Mass. Water Resources Authority</v>
      </c>
    </row>
    <row r="167" spans="1:8">
      <c r="A167" s="59" t="str">
        <f t="shared" si="44"/>
        <v>Mass. Water Resources Authority2019</v>
      </c>
      <c r="B167" s="425">
        <v>2019</v>
      </c>
      <c r="C167" s="426" t="s">
        <v>611</v>
      </c>
      <c r="D167" s="426" t="s">
        <v>159</v>
      </c>
      <c r="E167" s="427">
        <v>517102421</v>
      </c>
      <c r="F167" s="521">
        <v>2329277</v>
      </c>
      <c r="G167" s="425">
        <v>2019</v>
      </c>
      <c r="H167" s="280" t="str">
        <f>VLOOKUP(D167,Source!F:F,1,FALSE)</f>
        <v>Mass. Water Resources Authority</v>
      </c>
    </row>
    <row r="168" spans="1:8">
      <c r="A168" s="59" t="str">
        <f t="shared" ref="A168" si="45">D168&amp;G168</f>
        <v>Mass. Water Resources Authority2020</v>
      </c>
      <c r="B168" s="425">
        <v>2020</v>
      </c>
      <c r="C168" s="426" t="s">
        <v>611</v>
      </c>
      <c r="D168" s="426" t="s">
        <v>159</v>
      </c>
      <c r="E168" s="427">
        <v>489630562</v>
      </c>
      <c r="F168" s="521">
        <v>2284403</v>
      </c>
      <c r="G168" s="425">
        <v>2020</v>
      </c>
      <c r="H168" s="280" t="str">
        <f>VLOOKUP(D168,Source!F:F,1,FALSE)</f>
        <v>Mass. Water Resources Authority</v>
      </c>
    </row>
    <row r="169" spans="1:8">
      <c r="A169" s="59" t="str">
        <f>D169&amp;G169</f>
        <v>Mass. Water Resources Authority2021</v>
      </c>
      <c r="B169" s="425">
        <v>2021</v>
      </c>
      <c r="C169" s="426" t="s">
        <v>611</v>
      </c>
      <c r="D169" s="426" t="s">
        <v>159</v>
      </c>
      <c r="E169" s="427">
        <v>518739862</v>
      </c>
      <c r="F169" s="521">
        <v>2512880.9</v>
      </c>
      <c r="G169" s="425">
        <v>2021</v>
      </c>
      <c r="H169" s="280" t="str">
        <f>VLOOKUP(D169,Source!F:F,1,FALSE)</f>
        <v>Mass. Water Resources Authority</v>
      </c>
    </row>
    <row r="170" spans="1:8">
      <c r="A170" s="59" t="str">
        <f>D170&amp;G170</f>
        <v>Mass. Water Resources Authority2022</v>
      </c>
      <c r="B170" s="425">
        <v>2022</v>
      </c>
      <c r="C170" s="426" t="s">
        <v>611</v>
      </c>
      <c r="D170" s="426" t="s">
        <v>159</v>
      </c>
      <c r="E170" s="427">
        <v>481186933</v>
      </c>
      <c r="F170" s="642">
        <v>2380403</v>
      </c>
      <c r="G170" s="425">
        <v>2022</v>
      </c>
      <c r="H170" s="280" t="str">
        <f>VLOOKUP(D170,Source!F:F,1,FALSE)</f>
        <v>Mass. Water Resources Authority</v>
      </c>
    </row>
    <row r="171" spans="1:8">
      <c r="A171" s="59" t="str">
        <f>D171&amp;G171</f>
        <v>Mass. Water Resources Authority2023</v>
      </c>
      <c r="B171" s="425">
        <v>2023</v>
      </c>
      <c r="C171" s="426" t="s">
        <v>611</v>
      </c>
      <c r="D171" s="426" t="s">
        <v>159</v>
      </c>
      <c r="E171" s="841">
        <v>502089255</v>
      </c>
      <c r="F171" s="842">
        <v>2757242</v>
      </c>
      <c r="G171" s="425">
        <v>2023</v>
      </c>
      <c r="H171" s="280" t="str">
        <f>VLOOKUP(D171,Source!F:F,1,FALSE)</f>
        <v>Mass. Water Resources Authority</v>
      </c>
    </row>
    <row r="172" spans="1:8" s="280" customFormat="1">
      <c r="A172" s="283" t="str">
        <f t="shared" si="40"/>
        <v>Massasoit Comm. College2013</v>
      </c>
      <c r="B172" s="423">
        <v>2013</v>
      </c>
      <c r="C172" s="290" t="s">
        <v>472</v>
      </c>
      <c r="D172" s="290" t="s">
        <v>168</v>
      </c>
      <c r="E172" s="424">
        <v>2846602</v>
      </c>
      <c r="F172" s="520">
        <v>22677.38</v>
      </c>
      <c r="G172" s="423">
        <v>2013</v>
      </c>
      <c r="H172" s="280" t="str">
        <f>VLOOKUP(D172,Source!F:F,1,FALSE)</f>
        <v>Massasoit Comm. College</v>
      </c>
    </row>
    <row r="173" spans="1:8" s="280" customFormat="1">
      <c r="A173" s="283" t="str">
        <f t="shared" si="40"/>
        <v>Massasoit Comm. College2014</v>
      </c>
      <c r="B173" s="423">
        <v>2014</v>
      </c>
      <c r="C173" s="290" t="s">
        <v>472</v>
      </c>
      <c r="D173" s="290" t="s">
        <v>168</v>
      </c>
      <c r="E173" s="424">
        <v>2674650</v>
      </c>
      <c r="F173" s="520">
        <v>23150.33</v>
      </c>
      <c r="G173" s="423">
        <v>2014</v>
      </c>
      <c r="H173" s="280" t="str">
        <f>VLOOKUP(D173,Source!F:F,1,FALSE)</f>
        <v>Massasoit Comm. College</v>
      </c>
    </row>
    <row r="174" spans="1:8" s="280" customFormat="1">
      <c r="A174" s="283" t="str">
        <f t="shared" si="40"/>
        <v>Massasoit Comm. College2015</v>
      </c>
      <c r="B174" s="423">
        <v>2015</v>
      </c>
      <c r="C174" s="290" t="s">
        <v>472</v>
      </c>
      <c r="D174" s="290" t="s">
        <v>168</v>
      </c>
      <c r="E174" s="424">
        <v>2841690</v>
      </c>
      <c r="F174" s="520">
        <v>23684.02</v>
      </c>
      <c r="G174" s="423">
        <v>2015</v>
      </c>
      <c r="H174" s="280" t="str">
        <f>VLOOKUP(D174,Source!F:F,1,FALSE)</f>
        <v>Massasoit Comm. College</v>
      </c>
    </row>
    <row r="175" spans="1:8" s="280" customFormat="1">
      <c r="A175" s="283" t="str">
        <f t="shared" si="40"/>
        <v>Massasoit Comm. College2016</v>
      </c>
      <c r="B175" s="423">
        <v>2016</v>
      </c>
      <c r="C175" s="290" t="s">
        <v>472</v>
      </c>
      <c r="D175" s="290" t="s">
        <v>168</v>
      </c>
      <c r="E175" s="424">
        <v>2990332</v>
      </c>
      <c r="F175" s="520">
        <v>23740.89</v>
      </c>
      <c r="G175" s="423">
        <v>2016</v>
      </c>
      <c r="H175" s="280" t="str">
        <f>VLOOKUP(D175,Source!F:F,1,FALSE)</f>
        <v>Massasoit Comm. College</v>
      </c>
    </row>
    <row r="176" spans="1:8" s="280" customFormat="1">
      <c r="A176" s="283" t="str">
        <f t="shared" si="40"/>
        <v>Massasoit Comm. College2017</v>
      </c>
      <c r="B176" s="423">
        <v>2017</v>
      </c>
      <c r="C176" s="290" t="s">
        <v>472</v>
      </c>
      <c r="D176" s="290" t="s">
        <v>168</v>
      </c>
      <c r="E176" s="424">
        <v>2863486</v>
      </c>
      <c r="F176" s="520">
        <v>32008.67</v>
      </c>
      <c r="G176" s="423">
        <v>2017</v>
      </c>
      <c r="H176" s="280" t="str">
        <f>VLOOKUP(D176,Source!F:F,1,FALSE)</f>
        <v>Massasoit Comm. College</v>
      </c>
    </row>
    <row r="177" spans="1:8" s="280" customFormat="1">
      <c r="A177" s="283" t="str">
        <f t="shared" si="40"/>
        <v>Massasoit Comm. College2018</v>
      </c>
      <c r="B177" s="423">
        <v>2018</v>
      </c>
      <c r="C177" s="290" t="s">
        <v>472</v>
      </c>
      <c r="D177" s="290" t="s">
        <v>168</v>
      </c>
      <c r="E177" s="424">
        <v>2661593</v>
      </c>
      <c r="F177" s="520">
        <v>30044.55</v>
      </c>
      <c r="G177" s="423">
        <v>2018</v>
      </c>
      <c r="H177" s="280" t="str">
        <f>VLOOKUP(D177,Source!F:F,1,FALSE)</f>
        <v>Massasoit Comm. College</v>
      </c>
    </row>
    <row r="178" spans="1:8" s="280" customFormat="1">
      <c r="A178" s="283" t="str">
        <f t="shared" ref="A178" si="46">D178&amp;G178</f>
        <v>Massasoit Comm. College2019</v>
      </c>
      <c r="B178" s="423">
        <v>2019</v>
      </c>
      <c r="C178" s="290" t="s">
        <v>472</v>
      </c>
      <c r="D178" s="290" t="s">
        <v>168</v>
      </c>
      <c r="E178" s="427" t="s">
        <v>985</v>
      </c>
      <c r="F178" s="521" t="s">
        <v>985</v>
      </c>
      <c r="G178" s="423">
        <v>2019</v>
      </c>
      <c r="H178" s="280" t="str">
        <f>VLOOKUP(D178,Source!F:F,1,FALSE)</f>
        <v>Massasoit Comm. College</v>
      </c>
    </row>
    <row r="179" spans="1:8" s="280" customFormat="1">
      <c r="A179" s="283" t="str">
        <f t="shared" ref="A179:A180" si="47">D179&amp;G179</f>
        <v>Massasoit Comm. College2020</v>
      </c>
      <c r="B179" s="423">
        <v>2020</v>
      </c>
      <c r="C179" s="290" t="s">
        <v>472</v>
      </c>
      <c r="D179" s="290" t="s">
        <v>168</v>
      </c>
      <c r="E179" s="424" t="s">
        <v>985</v>
      </c>
      <c r="F179" s="520" t="s">
        <v>985</v>
      </c>
      <c r="G179" s="425">
        <v>2020</v>
      </c>
      <c r="H179" s="280" t="str">
        <f>VLOOKUP(D179,Source!F:F,1,FALSE)</f>
        <v>Massasoit Comm. College</v>
      </c>
    </row>
    <row r="180" spans="1:8" s="280" customFormat="1">
      <c r="A180" s="283" t="str">
        <f t="shared" si="47"/>
        <v>Massasoit Comm. College2021</v>
      </c>
      <c r="B180" s="423">
        <v>2021</v>
      </c>
      <c r="C180" s="290" t="s">
        <v>472</v>
      </c>
      <c r="D180" s="290" t="s">
        <v>168</v>
      </c>
      <c r="E180" s="424" t="s">
        <v>985</v>
      </c>
      <c r="F180" s="520" t="s">
        <v>985</v>
      </c>
      <c r="G180" s="425">
        <v>2021</v>
      </c>
      <c r="H180" s="280" t="str">
        <f>VLOOKUP(D180,Source!F:F,1,FALSE)</f>
        <v>Massasoit Comm. College</v>
      </c>
    </row>
    <row r="181" spans="1:8" s="280" customFormat="1">
      <c r="A181" s="283" t="str">
        <f t="shared" ref="A181:A182" si="48">D181&amp;G181</f>
        <v>Massasoit Comm. College2022</v>
      </c>
      <c r="B181" s="423">
        <v>2022</v>
      </c>
      <c r="C181" s="290" t="s">
        <v>472</v>
      </c>
      <c r="D181" s="290" t="s">
        <v>168</v>
      </c>
      <c r="E181" s="424" t="s">
        <v>985</v>
      </c>
      <c r="F181" s="520" t="s">
        <v>985</v>
      </c>
      <c r="G181" s="425">
        <v>2022</v>
      </c>
      <c r="H181" s="280" t="str">
        <f>VLOOKUP(D181,Source!F:F,1,FALSE)</f>
        <v>Massasoit Comm. College</v>
      </c>
    </row>
    <row r="182" spans="1:8" s="280" customFormat="1">
      <c r="A182" s="283" t="str">
        <f t="shared" si="48"/>
        <v>Massasoit Comm. College2023</v>
      </c>
      <c r="B182" s="423">
        <v>2023</v>
      </c>
      <c r="C182" s="290" t="s">
        <v>472</v>
      </c>
      <c r="D182" s="290" t="s">
        <v>168</v>
      </c>
      <c r="E182" s="424" t="s">
        <v>985</v>
      </c>
      <c r="F182" s="520" t="s">
        <v>985</v>
      </c>
      <c r="G182" s="425">
        <v>2023</v>
      </c>
      <c r="H182" s="280" t="str">
        <f>VLOOKUP(D182,Source!F:F,1,FALSE)</f>
        <v>Massasoit Comm. College</v>
      </c>
    </row>
    <row r="183" spans="1:8">
      <c r="A183" s="59" t="str">
        <f t="shared" si="40"/>
        <v>MassPort Authority2013</v>
      </c>
      <c r="B183" s="425">
        <v>2013</v>
      </c>
      <c r="C183" s="426" t="s">
        <v>611</v>
      </c>
      <c r="D183" s="426" t="s">
        <v>181</v>
      </c>
      <c r="E183" s="427">
        <v>379052208</v>
      </c>
      <c r="F183" s="521">
        <v>5528976</v>
      </c>
      <c r="G183" s="425">
        <v>2013</v>
      </c>
      <c r="H183" s="280" t="str">
        <f>VLOOKUP(D183,Source!F:F,1,FALSE)</f>
        <v>MassPort Authority</v>
      </c>
    </row>
    <row r="184" spans="1:8">
      <c r="A184" s="59" t="str">
        <f t="shared" si="40"/>
        <v>MassPort Authority2014</v>
      </c>
      <c r="B184" s="425">
        <v>2014</v>
      </c>
      <c r="C184" s="426" t="s">
        <v>611</v>
      </c>
      <c r="D184" s="426" t="s">
        <v>181</v>
      </c>
      <c r="E184" s="427">
        <v>394782432</v>
      </c>
      <c r="F184" s="521">
        <v>4909920</v>
      </c>
      <c r="G184" s="425">
        <v>2014</v>
      </c>
      <c r="H184" s="280" t="str">
        <f>VLOOKUP(D184,Source!F:F,1,FALSE)</f>
        <v>MassPort Authority</v>
      </c>
    </row>
    <row r="185" spans="1:8">
      <c r="A185" s="59" t="str">
        <f t="shared" si="40"/>
        <v>MassPort Authority2015</v>
      </c>
      <c r="B185" s="425">
        <v>2015</v>
      </c>
      <c r="C185" s="426" t="s">
        <v>611</v>
      </c>
      <c r="D185" s="426" t="s">
        <v>181</v>
      </c>
      <c r="E185" s="427">
        <v>351313788</v>
      </c>
      <c r="F185" s="521">
        <v>5669664</v>
      </c>
      <c r="G185" s="425">
        <v>2015</v>
      </c>
      <c r="H185" s="280" t="str">
        <f>VLOOKUP(D185,Source!F:F,1,FALSE)</f>
        <v>MassPort Authority</v>
      </c>
    </row>
    <row r="186" spans="1:8">
      <c r="A186" s="59" t="str">
        <f t="shared" si="40"/>
        <v>MassPort Authority2016</v>
      </c>
      <c r="B186" s="425">
        <v>2016</v>
      </c>
      <c r="C186" s="426" t="s">
        <v>611</v>
      </c>
      <c r="D186" s="426" t="s">
        <v>181</v>
      </c>
      <c r="E186" s="427">
        <v>365704400</v>
      </c>
      <c r="F186" s="521">
        <v>6204414</v>
      </c>
      <c r="G186" s="425">
        <v>2016</v>
      </c>
      <c r="H186" s="280" t="str">
        <f>VLOOKUP(D186,Source!F:F,1,FALSE)</f>
        <v>MassPort Authority</v>
      </c>
    </row>
    <row r="187" spans="1:8">
      <c r="A187" s="59" t="str">
        <f t="shared" si="40"/>
        <v>MassPort Authority2017</v>
      </c>
      <c r="B187" s="425">
        <v>2017</v>
      </c>
      <c r="C187" s="426" t="s">
        <v>611</v>
      </c>
      <c r="D187" s="426" t="s">
        <v>181</v>
      </c>
      <c r="E187" s="427">
        <v>496254228</v>
      </c>
      <c r="F187" s="521">
        <v>6841739</v>
      </c>
      <c r="G187" s="425">
        <v>2017</v>
      </c>
      <c r="H187" s="280" t="str">
        <f>VLOOKUP(D187,Source!F:F,1,FALSE)</f>
        <v>MassPort Authority</v>
      </c>
    </row>
    <row r="188" spans="1:8">
      <c r="A188" s="59" t="str">
        <f t="shared" ref="A188:A189" si="49">D188&amp;G188</f>
        <v>MassPort Authority2018</v>
      </c>
      <c r="B188" s="425">
        <v>2018</v>
      </c>
      <c r="C188" s="426" t="s">
        <v>611</v>
      </c>
      <c r="D188" s="426" t="s">
        <v>181</v>
      </c>
      <c r="E188" s="427">
        <v>404424139</v>
      </c>
      <c r="F188" s="521" t="s">
        <v>51</v>
      </c>
      <c r="G188" s="425">
        <v>2018</v>
      </c>
      <c r="H188" s="280" t="str">
        <f>VLOOKUP(D188,Source!F:F,1,FALSE)</f>
        <v>MassPort Authority</v>
      </c>
    </row>
    <row r="189" spans="1:8">
      <c r="A189" s="59" t="str">
        <f t="shared" si="49"/>
        <v>MassPort Authority2019</v>
      </c>
      <c r="B189" s="425">
        <v>2019</v>
      </c>
      <c r="C189" s="426" t="s">
        <v>611</v>
      </c>
      <c r="D189" s="426" t="s">
        <v>181</v>
      </c>
      <c r="E189" s="427">
        <v>409581607</v>
      </c>
      <c r="F189" s="521">
        <v>3107823</v>
      </c>
      <c r="G189" s="425">
        <v>2019</v>
      </c>
      <c r="H189" s="280" t="str">
        <f>VLOOKUP(D189,Source!F:F,1,FALSE)</f>
        <v>MassPort Authority</v>
      </c>
    </row>
    <row r="190" spans="1:8">
      <c r="A190" s="59" t="str">
        <f t="shared" ref="A190:A191" si="50">D190&amp;G190</f>
        <v>MassPort Authority2020</v>
      </c>
      <c r="B190" s="425">
        <v>2020</v>
      </c>
      <c r="C190" s="426" t="s">
        <v>611</v>
      </c>
      <c r="D190" s="426" t="s">
        <v>181</v>
      </c>
      <c r="E190" s="427">
        <v>387888794</v>
      </c>
      <c r="F190" s="521" t="s">
        <v>51</v>
      </c>
      <c r="G190" s="425">
        <v>2020</v>
      </c>
      <c r="H190" s="280" t="str">
        <f>VLOOKUP(D190,Source!F:F,1,FALSE)</f>
        <v>MassPort Authority</v>
      </c>
    </row>
    <row r="191" spans="1:8">
      <c r="A191" s="59" t="str">
        <f t="shared" si="50"/>
        <v>MassPort Authority2021</v>
      </c>
      <c r="B191" s="425">
        <v>2021</v>
      </c>
      <c r="C191" s="426" t="s">
        <v>611</v>
      </c>
      <c r="D191" s="426" t="s">
        <v>181</v>
      </c>
      <c r="E191" s="844">
        <v>58547084.439999998</v>
      </c>
      <c r="F191" s="842">
        <v>1718755.91</v>
      </c>
      <c r="G191" s="425">
        <v>2021</v>
      </c>
      <c r="H191" s="280" t="str">
        <f>VLOOKUP(D191,Source!F:F,1,FALSE)</f>
        <v>MassPort Authority</v>
      </c>
    </row>
    <row r="192" spans="1:8">
      <c r="A192" s="59" t="str">
        <f t="shared" ref="A192:A193" si="51">D192&amp;G192</f>
        <v>MassPort Authority2022</v>
      </c>
      <c r="B192" s="425">
        <v>2022</v>
      </c>
      <c r="C192" s="426" t="s">
        <v>611</v>
      </c>
      <c r="D192" s="426" t="s">
        <v>181</v>
      </c>
      <c r="E192" s="844">
        <v>125088913.51000001</v>
      </c>
      <c r="F192" s="842">
        <v>3483989.02</v>
      </c>
      <c r="G192" s="425">
        <v>2022</v>
      </c>
      <c r="H192" s="280" t="str">
        <f>VLOOKUP(D192,Source!F:F,1,FALSE)</f>
        <v>MassPort Authority</v>
      </c>
    </row>
    <row r="193" spans="1:8">
      <c r="A193" s="59" t="str">
        <f t="shared" si="51"/>
        <v>MassPort Authority2023</v>
      </c>
      <c r="B193" s="425">
        <v>2023</v>
      </c>
      <c r="C193" s="426" t="s">
        <v>611</v>
      </c>
      <c r="D193" s="426" t="s">
        <v>181</v>
      </c>
      <c r="E193" s="427" t="s">
        <v>985</v>
      </c>
      <c r="F193" s="521" t="s">
        <v>985</v>
      </c>
      <c r="G193" s="425">
        <v>2023</v>
      </c>
      <c r="H193" s="280" t="str">
        <f>VLOOKUP(D193,Source!F:F,1,FALSE)</f>
        <v>MassPort Authority</v>
      </c>
    </row>
    <row r="194" spans="1:8" ht="17.149999999999999" customHeight="1">
      <c r="A194" s="59" t="str">
        <f t="shared" si="40"/>
        <v>Mount Wachusett Comm. College2013</v>
      </c>
      <c r="B194" s="425">
        <v>2013</v>
      </c>
      <c r="C194" s="426" t="s">
        <v>472</v>
      </c>
      <c r="D194" s="426" t="s">
        <v>192</v>
      </c>
      <c r="E194" s="427">
        <v>421742</v>
      </c>
      <c r="F194" s="521">
        <v>0</v>
      </c>
      <c r="G194" s="425">
        <v>2013</v>
      </c>
      <c r="H194" s="280" t="str">
        <f>VLOOKUP(D194,Source!F:F,1,FALSE)</f>
        <v>Mount Wachusett Comm. College</v>
      </c>
    </row>
    <row r="195" spans="1:8">
      <c r="A195" s="59" t="str">
        <f t="shared" si="40"/>
        <v>Mount Wachusett Comm. College2014</v>
      </c>
      <c r="B195" s="425">
        <v>2014</v>
      </c>
      <c r="C195" s="426" t="s">
        <v>472</v>
      </c>
      <c r="D195" s="426" t="s">
        <v>192</v>
      </c>
      <c r="E195" s="427">
        <v>413020</v>
      </c>
      <c r="F195" s="521">
        <v>0</v>
      </c>
      <c r="G195" s="425">
        <v>2014</v>
      </c>
      <c r="H195" s="280" t="str">
        <f>VLOOKUP(D195,Source!F:F,1,FALSE)</f>
        <v>Mount Wachusett Comm. College</v>
      </c>
    </row>
    <row r="196" spans="1:8">
      <c r="A196" s="59" t="str">
        <f t="shared" si="40"/>
        <v>Mount Wachusett Comm. College2015</v>
      </c>
      <c r="B196" s="425">
        <v>2015</v>
      </c>
      <c r="C196" s="426" t="s">
        <v>472</v>
      </c>
      <c r="D196" s="426" t="s">
        <v>192</v>
      </c>
      <c r="E196" s="427">
        <v>417170</v>
      </c>
      <c r="F196" s="521">
        <v>0</v>
      </c>
      <c r="G196" s="425">
        <v>2015</v>
      </c>
      <c r="H196" s="280" t="str">
        <f>VLOOKUP(D196,Source!F:F,1,FALSE)</f>
        <v>Mount Wachusett Comm. College</v>
      </c>
    </row>
    <row r="197" spans="1:8">
      <c r="A197" s="59" t="str">
        <f t="shared" si="40"/>
        <v>Mount Wachusett Comm. College2016</v>
      </c>
      <c r="B197" s="425">
        <v>2016</v>
      </c>
      <c r="C197" s="426" t="s">
        <v>472</v>
      </c>
      <c r="D197" s="426" t="s">
        <v>192</v>
      </c>
      <c r="E197" s="427">
        <v>474000</v>
      </c>
      <c r="F197" s="521">
        <v>21269</v>
      </c>
      <c r="G197" s="425">
        <v>2016</v>
      </c>
      <c r="H197" s="280" t="str">
        <f>VLOOKUP(D197,Source!F:F,1,FALSE)</f>
        <v>Mount Wachusett Comm. College</v>
      </c>
    </row>
    <row r="198" spans="1:8">
      <c r="A198" s="59" t="str">
        <f t="shared" si="40"/>
        <v>Mount Wachusett Comm. College2017</v>
      </c>
      <c r="B198" s="425">
        <v>2017</v>
      </c>
      <c r="C198" s="426" t="s">
        <v>472</v>
      </c>
      <c r="D198" s="426" t="s">
        <v>192</v>
      </c>
      <c r="E198" s="427">
        <v>446500</v>
      </c>
      <c r="F198" s="521">
        <v>0</v>
      </c>
      <c r="G198" s="425">
        <v>2017</v>
      </c>
      <c r="H198" s="280" t="str">
        <f>VLOOKUP(D198,Source!F:F,1,FALSE)</f>
        <v>Mount Wachusett Comm. College</v>
      </c>
    </row>
    <row r="199" spans="1:8">
      <c r="A199" s="59" t="str">
        <f t="shared" ref="A199:A200" si="52">D199&amp;G199</f>
        <v>Mount Wachusett Comm. College2018</v>
      </c>
      <c r="B199" s="425">
        <v>2018</v>
      </c>
      <c r="C199" s="426" t="s">
        <v>472</v>
      </c>
      <c r="D199" s="426" t="s">
        <v>192</v>
      </c>
      <c r="E199" s="427" t="s">
        <v>985</v>
      </c>
      <c r="F199" s="521" t="s">
        <v>985</v>
      </c>
      <c r="G199" s="425">
        <v>2018</v>
      </c>
      <c r="H199" s="280" t="str">
        <f>VLOOKUP(D199,Source!F:F,1,FALSE)</f>
        <v>Mount Wachusett Comm. College</v>
      </c>
    </row>
    <row r="200" spans="1:8">
      <c r="A200" s="59" t="str">
        <f t="shared" si="52"/>
        <v>Mount Wachusett Comm. College2019</v>
      </c>
      <c r="B200" s="425">
        <v>2019</v>
      </c>
      <c r="C200" s="426" t="s">
        <v>472</v>
      </c>
      <c r="D200" s="426" t="s">
        <v>192</v>
      </c>
      <c r="E200" s="427" t="s">
        <v>985</v>
      </c>
      <c r="F200" s="521" t="s">
        <v>985</v>
      </c>
      <c r="G200" s="425">
        <v>2019</v>
      </c>
      <c r="H200" s="280" t="str">
        <f>VLOOKUP(D200,Source!F:F,1,FALSE)</f>
        <v>Mount Wachusett Comm. College</v>
      </c>
    </row>
    <row r="201" spans="1:8">
      <c r="A201" s="59" t="str">
        <f t="shared" ref="A201:A202" si="53">D201&amp;G201</f>
        <v>Mount Wachusett Comm. College2020</v>
      </c>
      <c r="B201" s="425">
        <v>2020</v>
      </c>
      <c r="C201" s="426" t="s">
        <v>472</v>
      </c>
      <c r="D201" s="426" t="s">
        <v>192</v>
      </c>
      <c r="E201" s="424" t="s">
        <v>985</v>
      </c>
      <c r="F201" s="520" t="s">
        <v>985</v>
      </c>
      <c r="G201" s="425">
        <v>2020</v>
      </c>
      <c r="H201" s="280" t="str">
        <f>VLOOKUP(D201,Source!F:F,1,FALSE)</f>
        <v>Mount Wachusett Comm. College</v>
      </c>
    </row>
    <row r="202" spans="1:8">
      <c r="A202" s="59" t="str">
        <f t="shared" si="53"/>
        <v>Mount Wachusett Comm. College2021</v>
      </c>
      <c r="B202" s="425">
        <v>2021</v>
      </c>
      <c r="C202" s="426" t="s">
        <v>472</v>
      </c>
      <c r="D202" s="426" t="s">
        <v>192</v>
      </c>
      <c r="E202" s="424" t="s">
        <v>985</v>
      </c>
      <c r="F202" s="520" t="s">
        <v>985</v>
      </c>
      <c r="G202" s="425">
        <v>2021</v>
      </c>
      <c r="H202" s="280" t="str">
        <f>VLOOKUP(D202,Source!F:F,1,FALSE)</f>
        <v>Mount Wachusett Comm. College</v>
      </c>
    </row>
    <row r="203" spans="1:8">
      <c r="A203" s="59" t="str">
        <f t="shared" ref="A203:A204" si="54">D203&amp;G203</f>
        <v>Mount Wachusett Comm. College2022</v>
      </c>
      <c r="B203" s="425">
        <v>2022</v>
      </c>
      <c r="C203" s="426" t="s">
        <v>472</v>
      </c>
      <c r="D203" s="426" t="s">
        <v>192</v>
      </c>
      <c r="E203" s="424" t="s">
        <v>985</v>
      </c>
      <c r="F203" s="520" t="s">
        <v>985</v>
      </c>
      <c r="G203" s="425">
        <v>2022</v>
      </c>
      <c r="H203" s="280" t="str">
        <f>VLOOKUP(D203,Source!F:F,1,FALSE)</f>
        <v>Mount Wachusett Comm. College</v>
      </c>
    </row>
    <row r="204" spans="1:8">
      <c r="A204" s="59" t="str">
        <f t="shared" si="54"/>
        <v>Mount Wachusett Comm. College2023</v>
      </c>
      <c r="B204" s="425">
        <v>2023</v>
      </c>
      <c r="C204" s="426" t="s">
        <v>472</v>
      </c>
      <c r="D204" s="426" t="s">
        <v>192</v>
      </c>
      <c r="E204" s="841">
        <v>4252212</v>
      </c>
      <c r="F204" s="842">
        <v>37000.879999999997</v>
      </c>
      <c r="G204" s="425">
        <v>2023</v>
      </c>
      <c r="H204" s="280" t="str">
        <f>VLOOKUP(D204,Source!F:F,1,FALSE)</f>
        <v>Mount Wachusett Comm. College</v>
      </c>
    </row>
    <row r="205" spans="1:8">
      <c r="A205" s="59" t="str">
        <f t="shared" si="40"/>
        <v>North Shore Comm. College2013</v>
      </c>
      <c r="B205" s="425">
        <v>2013</v>
      </c>
      <c r="C205" s="426" t="s">
        <v>472</v>
      </c>
      <c r="D205" s="426" t="s">
        <v>195</v>
      </c>
      <c r="E205" s="427">
        <v>7981479</v>
      </c>
      <c r="F205" s="521">
        <v>58583.37</v>
      </c>
      <c r="G205" s="425">
        <v>2013</v>
      </c>
      <c r="H205" s="280" t="str">
        <f>VLOOKUP(D205,Source!F:F,1,FALSE)</f>
        <v>North Shore Comm. College</v>
      </c>
    </row>
    <row r="206" spans="1:8">
      <c r="A206" s="59" t="str">
        <f t="shared" si="40"/>
        <v>North Shore Comm. College2014</v>
      </c>
      <c r="B206" s="425">
        <v>2014</v>
      </c>
      <c r="C206" s="426" t="s">
        <v>472</v>
      </c>
      <c r="D206" s="426" t="s">
        <v>195</v>
      </c>
      <c r="E206" s="427">
        <v>11095819</v>
      </c>
      <c r="F206" s="521">
        <v>66570</v>
      </c>
      <c r="G206" s="425">
        <v>2014</v>
      </c>
      <c r="H206" s="280" t="str">
        <f>VLOOKUP(D206,Source!F:F,1,FALSE)</f>
        <v>North Shore Comm. College</v>
      </c>
    </row>
    <row r="207" spans="1:8">
      <c r="A207" s="59" t="str">
        <f t="shared" si="40"/>
        <v>North Shore Comm. College2015</v>
      </c>
      <c r="B207" s="425">
        <v>2015</v>
      </c>
      <c r="C207" s="426" t="s">
        <v>472</v>
      </c>
      <c r="D207" s="426" t="s">
        <v>195</v>
      </c>
      <c r="E207" s="427">
        <v>7429381</v>
      </c>
      <c r="F207" s="521">
        <v>74880</v>
      </c>
      <c r="G207" s="425">
        <v>2015</v>
      </c>
      <c r="H207" s="280" t="str">
        <f>VLOOKUP(D207,Source!F:F,1,FALSE)</f>
        <v>North Shore Comm. College</v>
      </c>
    </row>
    <row r="208" spans="1:8">
      <c r="A208" s="59" t="str">
        <f t="shared" si="40"/>
        <v>North Shore Comm. College2016</v>
      </c>
      <c r="B208" s="425">
        <v>2016</v>
      </c>
      <c r="C208" s="426" t="s">
        <v>472</v>
      </c>
      <c r="D208" s="426" t="s">
        <v>195</v>
      </c>
      <c r="E208" s="427">
        <v>8526782.9299999997</v>
      </c>
      <c r="F208" s="521">
        <v>68412.820000000007</v>
      </c>
      <c r="G208" s="425">
        <v>2016</v>
      </c>
      <c r="H208" s="280" t="str">
        <f>VLOOKUP(D208,Source!F:F,1,FALSE)</f>
        <v>North Shore Comm. College</v>
      </c>
    </row>
    <row r="209" spans="1:8">
      <c r="A209" s="59" t="str">
        <f t="shared" si="40"/>
        <v>North Shore Comm. College2017</v>
      </c>
      <c r="B209" s="425">
        <v>2017</v>
      </c>
      <c r="C209" s="426" t="s">
        <v>472</v>
      </c>
      <c r="D209" s="426" t="s">
        <v>195</v>
      </c>
      <c r="E209" s="427">
        <v>6314306</v>
      </c>
      <c r="F209" s="521">
        <v>67190.36</v>
      </c>
      <c r="G209" s="425">
        <v>2017</v>
      </c>
      <c r="H209" s="280" t="str">
        <f>VLOOKUP(D209,Source!F:F,1,FALSE)</f>
        <v>North Shore Comm. College</v>
      </c>
    </row>
    <row r="210" spans="1:8">
      <c r="A210" s="59" t="str">
        <f t="shared" ref="A210:A211" si="55">D210&amp;G210</f>
        <v>North Shore Comm. College2018</v>
      </c>
      <c r="B210" s="425">
        <v>2018</v>
      </c>
      <c r="C210" s="426" t="s">
        <v>472</v>
      </c>
      <c r="D210" s="426" t="s">
        <v>195</v>
      </c>
      <c r="E210" s="427">
        <v>6541260</v>
      </c>
      <c r="F210" s="521">
        <v>69109</v>
      </c>
      <c r="G210" s="425">
        <v>2018</v>
      </c>
      <c r="H210" s="280" t="str">
        <f>VLOOKUP(D210,Source!F:F,1,FALSE)</f>
        <v>North Shore Comm. College</v>
      </c>
    </row>
    <row r="211" spans="1:8">
      <c r="A211" s="59" t="str">
        <f t="shared" si="55"/>
        <v>North Shore Comm. College2019</v>
      </c>
      <c r="B211" s="425">
        <v>2019</v>
      </c>
      <c r="C211" s="426" t="s">
        <v>472</v>
      </c>
      <c r="D211" s="426" t="s">
        <v>195</v>
      </c>
      <c r="E211" s="427">
        <v>6541260</v>
      </c>
      <c r="F211" s="521">
        <v>69109.22</v>
      </c>
      <c r="G211" s="425">
        <v>2019</v>
      </c>
      <c r="H211" s="280" t="str">
        <f>VLOOKUP(D211,Source!F:F,1,FALSE)</f>
        <v>North Shore Comm. College</v>
      </c>
    </row>
    <row r="212" spans="1:8">
      <c r="A212" s="59" t="str">
        <f t="shared" ref="A212" si="56">D212&amp;G212</f>
        <v>North Shore Comm. College2020</v>
      </c>
      <c r="B212" s="425">
        <v>2020</v>
      </c>
      <c r="C212" s="426" t="s">
        <v>472</v>
      </c>
      <c r="D212" s="426" t="s">
        <v>195</v>
      </c>
      <c r="E212" s="427">
        <v>3749902</v>
      </c>
      <c r="F212" s="521">
        <v>52014.01</v>
      </c>
      <c r="G212" s="425">
        <v>2020</v>
      </c>
      <c r="H212" s="280" t="str">
        <f>VLOOKUP(D212,Source!F:F,1,FALSE)</f>
        <v>North Shore Comm. College</v>
      </c>
    </row>
    <row r="213" spans="1:8">
      <c r="A213" s="59" t="str">
        <f>D213&amp;G213</f>
        <v>North Shore Comm. College2021</v>
      </c>
      <c r="B213" s="425">
        <v>2021</v>
      </c>
      <c r="C213" s="426" t="s">
        <v>472</v>
      </c>
      <c r="D213" s="426" t="s">
        <v>195</v>
      </c>
      <c r="E213" s="427">
        <v>5407711</v>
      </c>
      <c r="F213" s="521">
        <v>49498.62</v>
      </c>
      <c r="G213" s="425">
        <v>2021</v>
      </c>
      <c r="H213" s="280" t="str">
        <f>VLOOKUP(D213,Source!F:F,1,FALSE)</f>
        <v>North Shore Comm. College</v>
      </c>
    </row>
    <row r="214" spans="1:8">
      <c r="A214" s="59" t="str">
        <f>D214&amp;G214</f>
        <v>North Shore Comm. College2022</v>
      </c>
      <c r="B214" s="425">
        <v>2022</v>
      </c>
      <c r="C214" s="426" t="s">
        <v>472</v>
      </c>
      <c r="D214" s="426" t="s">
        <v>195</v>
      </c>
      <c r="E214" s="427">
        <v>2022068</v>
      </c>
      <c r="F214" s="521">
        <v>36700.31</v>
      </c>
      <c r="G214" s="425">
        <v>2022</v>
      </c>
      <c r="H214" s="280" t="str">
        <f>VLOOKUP(D214,Source!F:F,1,FALSE)</f>
        <v>North Shore Comm. College</v>
      </c>
    </row>
    <row r="215" spans="1:8">
      <c r="A215" s="59" t="str">
        <f>D215&amp;G215</f>
        <v>North Shore Comm. College2023</v>
      </c>
      <c r="B215" s="425">
        <v>2023</v>
      </c>
      <c r="C215" s="426" t="s">
        <v>472</v>
      </c>
      <c r="D215" s="426" t="s">
        <v>195</v>
      </c>
      <c r="E215" s="841">
        <v>6211392</v>
      </c>
      <c r="F215" s="842">
        <v>72646.36</v>
      </c>
      <c r="G215" s="425">
        <v>2023</v>
      </c>
      <c r="H215" s="280" t="str">
        <f>VLOOKUP(D215,Source!F:F,1,FALSE)</f>
        <v>North Shore Comm. College</v>
      </c>
    </row>
    <row r="216" spans="1:8">
      <c r="A216" s="59" t="str">
        <f t="shared" si="40"/>
        <v>Quinsigamond Comm. College2014</v>
      </c>
      <c r="B216" s="425">
        <v>2014</v>
      </c>
      <c r="C216" s="426" t="s">
        <v>472</v>
      </c>
      <c r="D216" s="426" t="s">
        <v>204</v>
      </c>
      <c r="E216" s="427">
        <v>26339</v>
      </c>
      <c r="F216" s="521">
        <v>12358</v>
      </c>
      <c r="G216" s="425">
        <v>2014</v>
      </c>
      <c r="H216" s="280" t="str">
        <f>VLOOKUP(D216,Source!F:F,1,FALSE)</f>
        <v>Quinsigamond Comm. College</v>
      </c>
    </row>
    <row r="217" spans="1:8">
      <c r="A217" s="59" t="str">
        <f t="shared" si="40"/>
        <v>Quinsigamond Comm. College2015</v>
      </c>
      <c r="B217" s="425">
        <v>2015</v>
      </c>
      <c r="C217" s="426" t="s">
        <v>472</v>
      </c>
      <c r="D217" s="426" t="s">
        <v>204</v>
      </c>
      <c r="E217" s="427">
        <v>25598</v>
      </c>
      <c r="F217" s="521">
        <v>12114</v>
      </c>
      <c r="G217" s="425">
        <v>2015</v>
      </c>
      <c r="H217" s="280" t="str">
        <f>VLOOKUP(D217,Source!F:F,1,FALSE)</f>
        <v>Quinsigamond Comm. College</v>
      </c>
    </row>
    <row r="218" spans="1:8">
      <c r="A218" s="59" t="str">
        <f t="shared" si="40"/>
        <v>Quinsigamond Comm. College2016</v>
      </c>
      <c r="B218" s="425">
        <v>2016</v>
      </c>
      <c r="C218" s="426" t="s">
        <v>472</v>
      </c>
      <c r="D218" s="426" t="s">
        <v>204</v>
      </c>
      <c r="E218" s="427">
        <v>24887.69</v>
      </c>
      <c r="F218" s="521">
        <v>11977</v>
      </c>
      <c r="G218" s="425">
        <v>2016</v>
      </c>
      <c r="H218" s="280" t="str">
        <f>VLOOKUP(D218,Source!F:F,1,FALSE)</f>
        <v>Quinsigamond Comm. College</v>
      </c>
    </row>
    <row r="219" spans="1:8">
      <c r="A219" s="59" t="str">
        <f t="shared" ref="A219:A221" si="57">D219&amp;G219</f>
        <v>Quinsigamond Comm. College2017</v>
      </c>
      <c r="B219" s="425">
        <v>2017</v>
      </c>
      <c r="C219" s="426" t="s">
        <v>472</v>
      </c>
      <c r="D219" s="426" t="s">
        <v>204</v>
      </c>
      <c r="E219" s="427" t="s">
        <v>985</v>
      </c>
      <c r="F219" s="521" t="s">
        <v>985</v>
      </c>
      <c r="G219" s="425">
        <v>2017</v>
      </c>
      <c r="H219" s="280" t="str">
        <f>VLOOKUP(D219,Source!F:F,1,FALSE)</f>
        <v>Quinsigamond Comm. College</v>
      </c>
    </row>
    <row r="220" spans="1:8">
      <c r="A220" s="59" t="str">
        <f t="shared" si="57"/>
        <v>Quinsigamond Comm. College2018</v>
      </c>
      <c r="B220" s="425">
        <v>2018</v>
      </c>
      <c r="C220" s="426" t="s">
        <v>472</v>
      </c>
      <c r="D220" s="426" t="s">
        <v>204</v>
      </c>
      <c r="E220" s="427" t="s">
        <v>985</v>
      </c>
      <c r="F220" s="521">
        <v>15050</v>
      </c>
      <c r="G220" s="425">
        <v>2018</v>
      </c>
      <c r="H220" s="280" t="str">
        <f>VLOOKUP(D220,Source!F:F,1,FALSE)</f>
        <v>Quinsigamond Comm. College</v>
      </c>
    </row>
    <row r="221" spans="1:8">
      <c r="A221" s="59" t="str">
        <f t="shared" si="57"/>
        <v>Quinsigamond Comm. College2019</v>
      </c>
      <c r="B221" s="425">
        <v>2019</v>
      </c>
      <c r="C221" s="426" t="s">
        <v>472</v>
      </c>
      <c r="D221" s="426" t="s">
        <v>204</v>
      </c>
      <c r="E221" s="427">
        <v>47366</v>
      </c>
      <c r="F221" s="521">
        <v>18010</v>
      </c>
      <c r="G221" s="425">
        <v>2019</v>
      </c>
      <c r="H221" s="280" t="str">
        <f>VLOOKUP(D221,Source!F:F,1,FALSE)</f>
        <v>Quinsigamond Comm. College</v>
      </c>
    </row>
    <row r="222" spans="1:8">
      <c r="A222" s="59" t="str">
        <f t="shared" ref="A222:A223" si="58">D222&amp;G222</f>
        <v>Quinsigamond Comm. College2020</v>
      </c>
      <c r="B222" s="425">
        <v>2020</v>
      </c>
      <c r="C222" s="426" t="s">
        <v>472</v>
      </c>
      <c r="D222" s="426" t="s">
        <v>204</v>
      </c>
      <c r="E222" s="427" t="s">
        <v>985</v>
      </c>
      <c r="F222" s="521">
        <v>15568</v>
      </c>
      <c r="G222" s="425">
        <v>2020</v>
      </c>
      <c r="H222" s="280" t="str">
        <f>VLOOKUP(D222,Source!F:F,1,FALSE)</f>
        <v>Quinsigamond Comm. College</v>
      </c>
    </row>
    <row r="223" spans="1:8">
      <c r="A223" s="59" t="str">
        <f t="shared" si="58"/>
        <v>Quinsigamond Comm. College2021</v>
      </c>
      <c r="B223" s="425">
        <v>2021</v>
      </c>
      <c r="C223" s="426" t="s">
        <v>472</v>
      </c>
      <c r="D223" s="426" t="s">
        <v>204</v>
      </c>
      <c r="E223" s="427" t="s">
        <v>985</v>
      </c>
      <c r="F223" s="521">
        <v>11668</v>
      </c>
      <c r="G223" s="425">
        <v>2021</v>
      </c>
      <c r="H223" s="280" t="str">
        <f>VLOOKUP(D223,Source!F:F,1,FALSE)</f>
        <v>Quinsigamond Comm. College</v>
      </c>
    </row>
    <row r="224" spans="1:8">
      <c r="A224" s="59" t="str">
        <f t="shared" ref="A224:A225" si="59">D224&amp;G224</f>
        <v>Quinsigamond Comm. College2022</v>
      </c>
      <c r="B224" s="425">
        <v>2022</v>
      </c>
      <c r="C224" s="426" t="s">
        <v>472</v>
      </c>
      <c r="D224" s="426" t="s">
        <v>204</v>
      </c>
      <c r="E224" s="427" t="s">
        <v>985</v>
      </c>
      <c r="F224" s="427" t="s">
        <v>985</v>
      </c>
      <c r="G224" s="425">
        <v>2022</v>
      </c>
      <c r="H224" s="280" t="str">
        <f>VLOOKUP(D224,Source!F:F,1,FALSE)</f>
        <v>Quinsigamond Comm. College</v>
      </c>
    </row>
    <row r="225" spans="1:8">
      <c r="A225" s="59" t="str">
        <f t="shared" si="59"/>
        <v>Quinsigamond Comm. College2023</v>
      </c>
      <c r="B225" s="425">
        <v>2023</v>
      </c>
      <c r="C225" s="426" t="s">
        <v>472</v>
      </c>
      <c r="D225" s="426" t="s">
        <v>204</v>
      </c>
      <c r="E225" s="427" t="s">
        <v>985</v>
      </c>
      <c r="F225" s="427" t="s">
        <v>985</v>
      </c>
      <c r="G225" s="425">
        <v>2023</v>
      </c>
      <c r="H225" s="280" t="str">
        <f>VLOOKUP(D225,Source!F:F,1,FALSE)</f>
        <v>Quinsigamond Comm. College</v>
      </c>
    </row>
    <row r="226" spans="1:8">
      <c r="A226" s="59" t="str">
        <f t="shared" si="40"/>
        <v>Roxbury Comm. College2016</v>
      </c>
      <c r="B226" s="425">
        <v>2016</v>
      </c>
      <c r="C226" s="426" t="s">
        <v>472</v>
      </c>
      <c r="D226" s="426" t="s">
        <v>209</v>
      </c>
      <c r="E226" s="427">
        <v>466300</v>
      </c>
      <c r="F226" s="521">
        <v>24685.34</v>
      </c>
      <c r="G226" s="425">
        <v>2016</v>
      </c>
      <c r="H226" s="280" t="str">
        <f>VLOOKUP(D226,Source!F:F,1,FALSE)</f>
        <v>Roxbury Comm. College</v>
      </c>
    </row>
    <row r="227" spans="1:8">
      <c r="A227" s="59" t="str">
        <f t="shared" ref="A227:A229" si="60">D227&amp;G227</f>
        <v>Roxbury Comm. College2017</v>
      </c>
      <c r="B227" s="425">
        <v>2017</v>
      </c>
      <c r="C227" s="426" t="s">
        <v>472</v>
      </c>
      <c r="D227" s="426" t="s">
        <v>209</v>
      </c>
      <c r="E227" s="427" t="s">
        <v>985</v>
      </c>
      <c r="F227" s="521" t="s">
        <v>985</v>
      </c>
      <c r="G227" s="425">
        <v>2017</v>
      </c>
      <c r="H227" s="280" t="str">
        <f>VLOOKUP(D227,Source!F:F,1,FALSE)</f>
        <v>Roxbury Comm. College</v>
      </c>
    </row>
    <row r="228" spans="1:8">
      <c r="A228" s="59" t="str">
        <f t="shared" si="60"/>
        <v>Roxbury Comm. College2018</v>
      </c>
      <c r="B228" s="425">
        <v>2018</v>
      </c>
      <c r="C228" s="426" t="s">
        <v>472</v>
      </c>
      <c r="D228" s="426" t="s">
        <v>209</v>
      </c>
      <c r="E228" s="427" t="s">
        <v>985</v>
      </c>
      <c r="F228" s="521" t="s">
        <v>985</v>
      </c>
      <c r="G228" s="425">
        <v>2018</v>
      </c>
      <c r="H228" s="280" t="str">
        <f>VLOOKUP(D228,Source!F:F,1,FALSE)</f>
        <v>Roxbury Comm. College</v>
      </c>
    </row>
    <row r="229" spans="1:8">
      <c r="A229" s="59" t="str">
        <f t="shared" si="60"/>
        <v>Roxbury Comm. College2019</v>
      </c>
      <c r="B229" s="425">
        <v>2019</v>
      </c>
      <c r="C229" s="426" t="s">
        <v>472</v>
      </c>
      <c r="D229" s="426" t="s">
        <v>209</v>
      </c>
      <c r="E229" s="427" t="s">
        <v>985</v>
      </c>
      <c r="F229" s="521" t="s">
        <v>985</v>
      </c>
      <c r="G229" s="425">
        <v>2019</v>
      </c>
      <c r="H229" s="280" t="str">
        <f>VLOOKUP(D229,Source!F:F,1,FALSE)</f>
        <v>Roxbury Comm. College</v>
      </c>
    </row>
    <row r="230" spans="1:8">
      <c r="A230" s="59" t="str">
        <f t="shared" ref="A230:A231" si="61">D230&amp;G230</f>
        <v>Roxbury Comm. College2020</v>
      </c>
      <c r="B230" s="425">
        <v>2020</v>
      </c>
      <c r="C230" s="426" t="s">
        <v>472</v>
      </c>
      <c r="D230" s="426" t="s">
        <v>209</v>
      </c>
      <c r="E230" s="424" t="s">
        <v>985</v>
      </c>
      <c r="F230" s="520" t="s">
        <v>985</v>
      </c>
      <c r="G230" s="425">
        <v>2020</v>
      </c>
      <c r="H230" s="280" t="str">
        <f>VLOOKUP(D230,Source!F:F,1,FALSE)</f>
        <v>Roxbury Comm. College</v>
      </c>
    </row>
    <row r="231" spans="1:8">
      <c r="A231" s="59" t="str">
        <f t="shared" si="61"/>
        <v>Roxbury Comm. College2021</v>
      </c>
      <c r="B231" s="425">
        <v>2021</v>
      </c>
      <c r="C231" s="426" t="s">
        <v>472</v>
      </c>
      <c r="D231" s="426" t="s">
        <v>209</v>
      </c>
      <c r="E231" s="424" t="s">
        <v>985</v>
      </c>
      <c r="F231" s="520" t="s">
        <v>985</v>
      </c>
      <c r="G231" s="425">
        <v>2021</v>
      </c>
      <c r="H231" s="280" t="str">
        <f>VLOOKUP(D231,Source!F:F,1,FALSE)</f>
        <v>Roxbury Comm. College</v>
      </c>
    </row>
    <row r="232" spans="1:8">
      <c r="A232" s="59" t="str">
        <f t="shared" ref="A232:A233" si="62">D232&amp;G232</f>
        <v>Roxbury Comm. College2022</v>
      </c>
      <c r="B232" s="425">
        <v>2022</v>
      </c>
      <c r="C232" s="426" t="s">
        <v>472</v>
      </c>
      <c r="D232" s="426" t="s">
        <v>209</v>
      </c>
      <c r="E232" s="424" t="s">
        <v>985</v>
      </c>
      <c r="F232" s="520" t="s">
        <v>985</v>
      </c>
      <c r="G232" s="425">
        <v>2022</v>
      </c>
      <c r="H232" s="280" t="str">
        <f>VLOOKUP(D232,Source!F:F,1,FALSE)</f>
        <v>Roxbury Comm. College</v>
      </c>
    </row>
    <row r="233" spans="1:8">
      <c r="A233" s="59" t="str">
        <f t="shared" si="62"/>
        <v>Roxbury Comm. College2023</v>
      </c>
      <c r="B233" s="425">
        <v>2023</v>
      </c>
      <c r="C233" s="426" t="s">
        <v>472</v>
      </c>
      <c r="D233" s="426" t="s">
        <v>209</v>
      </c>
      <c r="E233" s="424" t="s">
        <v>985</v>
      </c>
      <c r="F233" s="520" t="s">
        <v>985</v>
      </c>
      <c r="G233" s="425">
        <v>2023</v>
      </c>
      <c r="H233" s="280" t="str">
        <f>VLOOKUP(D233,Source!F:F,1,FALSE)</f>
        <v>Roxbury Comm. College</v>
      </c>
    </row>
    <row r="234" spans="1:8">
      <c r="A234" s="59" t="str">
        <f t="shared" si="40"/>
        <v>Salem State University2014</v>
      </c>
      <c r="B234" s="425">
        <v>2014</v>
      </c>
      <c r="C234" s="426" t="s">
        <v>472</v>
      </c>
      <c r="D234" s="426" t="s">
        <v>211</v>
      </c>
      <c r="E234" s="427">
        <v>29071781</v>
      </c>
      <c r="F234" s="521">
        <v>449576.31</v>
      </c>
      <c r="G234" s="425">
        <v>2014</v>
      </c>
      <c r="H234" s="280" t="str">
        <f>VLOOKUP(D234,Source!F:F,1,FALSE)</f>
        <v>Salem State University</v>
      </c>
    </row>
    <row r="235" spans="1:8">
      <c r="A235" s="59" t="str">
        <f t="shared" si="40"/>
        <v>Salem State University2015</v>
      </c>
      <c r="B235" s="425">
        <v>2015</v>
      </c>
      <c r="C235" s="426" t="s">
        <v>472</v>
      </c>
      <c r="D235" s="426" t="s">
        <v>211</v>
      </c>
      <c r="E235" s="427">
        <v>27696925</v>
      </c>
      <c r="F235" s="521">
        <v>433166.06</v>
      </c>
      <c r="G235" s="425">
        <v>2015</v>
      </c>
      <c r="H235" s="280" t="str">
        <f>VLOOKUP(D235,Source!F:F,1,FALSE)</f>
        <v>Salem State University</v>
      </c>
    </row>
    <row r="236" spans="1:8">
      <c r="A236" s="59" t="str">
        <f t="shared" ref="A236:A304" si="63">D236&amp;G236</f>
        <v>Salem State University2016</v>
      </c>
      <c r="B236" s="425">
        <v>2016</v>
      </c>
      <c r="C236" s="426" t="s">
        <v>472</v>
      </c>
      <c r="D236" s="426" t="s">
        <v>211</v>
      </c>
      <c r="E236" s="427">
        <v>26144983</v>
      </c>
      <c r="F236" s="521">
        <v>428080.98</v>
      </c>
      <c r="G236" s="425">
        <v>2016</v>
      </c>
      <c r="H236" s="280" t="str">
        <f>VLOOKUP(D236,Source!F:F,1,FALSE)</f>
        <v>Salem State University</v>
      </c>
    </row>
    <row r="237" spans="1:8">
      <c r="A237" s="59" t="str">
        <f t="shared" si="63"/>
        <v>Salem State University2017</v>
      </c>
      <c r="B237" s="425">
        <v>2017</v>
      </c>
      <c r="C237" s="426" t="s">
        <v>472</v>
      </c>
      <c r="D237" s="426" t="s">
        <v>211</v>
      </c>
      <c r="E237" s="427">
        <v>22736866</v>
      </c>
      <c r="F237" s="521">
        <v>387943</v>
      </c>
      <c r="G237" s="425">
        <v>2017</v>
      </c>
      <c r="H237" s="280" t="str">
        <f>VLOOKUP(D237,Source!F:F,1,FALSE)</f>
        <v>Salem State University</v>
      </c>
    </row>
    <row r="238" spans="1:8">
      <c r="A238" s="59" t="str">
        <f t="shared" ref="A238:A239" si="64">D238&amp;G238</f>
        <v>Salem State University2018</v>
      </c>
      <c r="B238" s="425">
        <v>2018</v>
      </c>
      <c r="C238" s="426" t="s">
        <v>472</v>
      </c>
      <c r="D238" s="426" t="s">
        <v>211</v>
      </c>
      <c r="E238" s="427">
        <v>22754663</v>
      </c>
      <c r="F238" s="521">
        <v>383001</v>
      </c>
      <c r="G238" s="425">
        <v>2018</v>
      </c>
      <c r="H238" s="280" t="str">
        <f>VLOOKUP(D238,Source!F:F,1,FALSE)</f>
        <v>Salem State University</v>
      </c>
    </row>
    <row r="239" spans="1:8">
      <c r="A239" s="59" t="str">
        <f t="shared" si="64"/>
        <v>Salem State University2019</v>
      </c>
      <c r="B239" s="425">
        <v>2019</v>
      </c>
      <c r="C239" s="426" t="s">
        <v>472</v>
      </c>
      <c r="D239" s="426" t="s">
        <v>211</v>
      </c>
      <c r="E239" s="427">
        <v>25912445</v>
      </c>
      <c r="F239" s="521">
        <v>476465</v>
      </c>
      <c r="G239" s="425">
        <v>2019</v>
      </c>
      <c r="H239" s="280" t="str">
        <f>VLOOKUP(D239,Source!F:F,1,FALSE)</f>
        <v>Salem State University</v>
      </c>
    </row>
    <row r="240" spans="1:8">
      <c r="A240" s="59" t="str">
        <f t="shared" ref="A240:A241" si="65">D240&amp;G240</f>
        <v>Salem State University2020</v>
      </c>
      <c r="B240" s="425">
        <v>2020</v>
      </c>
      <c r="C240" s="426" t="s">
        <v>472</v>
      </c>
      <c r="D240" s="426" t="s">
        <v>211</v>
      </c>
      <c r="E240" s="427">
        <v>19373423</v>
      </c>
      <c r="F240" s="521">
        <v>391026</v>
      </c>
      <c r="G240" s="425">
        <v>2020</v>
      </c>
      <c r="H240" s="280" t="str">
        <f>VLOOKUP(D240,Source!F:F,1,FALSE)</f>
        <v>Salem State University</v>
      </c>
    </row>
    <row r="241" spans="1:8">
      <c r="A241" s="59" t="str">
        <f t="shared" si="65"/>
        <v>Salem State University2021</v>
      </c>
      <c r="B241" s="425">
        <v>2021</v>
      </c>
      <c r="C241" s="426" t="s">
        <v>472</v>
      </c>
      <c r="D241" s="426" t="s">
        <v>211</v>
      </c>
      <c r="E241" s="427">
        <v>16420952</v>
      </c>
      <c r="F241" s="521">
        <v>326123.51</v>
      </c>
      <c r="G241" s="425">
        <v>2021</v>
      </c>
      <c r="H241" s="280" t="str">
        <f>VLOOKUP(D241,Source!F:F,1,FALSE)</f>
        <v>Salem State University</v>
      </c>
    </row>
    <row r="242" spans="1:8">
      <c r="A242" s="59" t="str">
        <f t="shared" ref="A242:A243" si="66">D242&amp;G242</f>
        <v>Salem State University2022</v>
      </c>
      <c r="B242" s="425">
        <v>2022</v>
      </c>
      <c r="C242" s="426" t="s">
        <v>472</v>
      </c>
      <c r="D242" s="426" t="s">
        <v>211</v>
      </c>
      <c r="E242" s="427">
        <v>19703030</v>
      </c>
      <c r="F242" s="521">
        <v>356523.34</v>
      </c>
      <c r="G242" s="425">
        <v>2022</v>
      </c>
      <c r="H242" s="280" t="str">
        <f>VLOOKUP(D242,Source!F:F,1,FALSE)</f>
        <v>Salem State University</v>
      </c>
    </row>
    <row r="243" spans="1:8">
      <c r="A243" s="59" t="str">
        <f t="shared" si="66"/>
        <v>Salem State University2023</v>
      </c>
      <c r="B243" s="425">
        <v>2023</v>
      </c>
      <c r="C243" s="426" t="s">
        <v>472</v>
      </c>
      <c r="D243" s="426" t="s">
        <v>211</v>
      </c>
      <c r="E243" s="841">
        <v>25589967</v>
      </c>
      <c r="F243" s="842">
        <v>512596</v>
      </c>
      <c r="G243" s="425">
        <v>2023</v>
      </c>
      <c r="H243" s="280" t="str">
        <f>VLOOKUP(D243,Source!F:F,1,FALSE)</f>
        <v>Salem State University</v>
      </c>
    </row>
    <row r="244" spans="1:8">
      <c r="A244" s="59" t="str">
        <f t="shared" si="63"/>
        <v>Springfield Technical Comm. College2013</v>
      </c>
      <c r="B244" s="425">
        <v>2013</v>
      </c>
      <c r="C244" s="426" t="s">
        <v>472</v>
      </c>
      <c r="D244" s="426" t="s">
        <v>216</v>
      </c>
      <c r="E244" s="427">
        <v>1807000</v>
      </c>
      <c r="F244" s="521">
        <v>43380.36</v>
      </c>
      <c r="G244" s="425">
        <v>2013</v>
      </c>
      <c r="H244" s="280" t="str">
        <f>VLOOKUP(D244,Source!F:F,1,FALSE)</f>
        <v>Springfield Technical Comm. College</v>
      </c>
    </row>
    <row r="245" spans="1:8">
      <c r="A245" s="59" t="str">
        <f t="shared" si="63"/>
        <v>Springfield Technical Comm. College2014</v>
      </c>
      <c r="B245" s="425">
        <v>2014</v>
      </c>
      <c r="C245" s="426" t="s">
        <v>472</v>
      </c>
      <c r="D245" s="426" t="s">
        <v>216</v>
      </c>
      <c r="E245" s="427">
        <v>1688100</v>
      </c>
      <c r="F245" s="521">
        <v>42214.27</v>
      </c>
      <c r="G245" s="425">
        <v>2014</v>
      </c>
      <c r="H245" s="280" t="str">
        <f>VLOOKUP(D245,Source!F:F,1,FALSE)</f>
        <v>Springfield Technical Comm. College</v>
      </c>
    </row>
    <row r="246" spans="1:8">
      <c r="A246" s="59" t="str">
        <f t="shared" si="63"/>
        <v>Springfield Technical Comm. College2015</v>
      </c>
      <c r="B246" s="425">
        <v>2015</v>
      </c>
      <c r="C246" s="426" t="s">
        <v>472</v>
      </c>
      <c r="D246" s="426" t="s">
        <v>216</v>
      </c>
      <c r="E246" s="427">
        <v>1343500</v>
      </c>
      <c r="F246" s="521">
        <v>37508.47</v>
      </c>
      <c r="G246" s="425">
        <v>2015</v>
      </c>
      <c r="H246" s="280" t="str">
        <f>VLOOKUP(D246,Source!F:F,1,FALSE)</f>
        <v>Springfield Technical Comm. College</v>
      </c>
    </row>
    <row r="247" spans="1:8">
      <c r="A247" s="59" t="str">
        <f t="shared" si="63"/>
        <v>Springfield Technical Comm. College2016</v>
      </c>
      <c r="B247" s="425">
        <v>2016</v>
      </c>
      <c r="C247" s="426" t="s">
        <v>472</v>
      </c>
      <c r="D247" s="426" t="s">
        <v>216</v>
      </c>
      <c r="E247" s="427">
        <v>1768700</v>
      </c>
      <c r="F247" s="521">
        <v>48974.55</v>
      </c>
      <c r="G247" s="425">
        <v>2016</v>
      </c>
      <c r="H247" s="280" t="str">
        <f>VLOOKUP(D247,Source!F:F,1,FALSE)</f>
        <v>Springfield Technical Comm. College</v>
      </c>
    </row>
    <row r="248" spans="1:8">
      <c r="A248" s="59" t="str">
        <f t="shared" si="63"/>
        <v>Springfield Technical Comm. College2017</v>
      </c>
      <c r="B248" s="425">
        <v>2017</v>
      </c>
      <c r="C248" s="426" t="s">
        <v>472</v>
      </c>
      <c r="D248" s="426" t="s">
        <v>216</v>
      </c>
      <c r="E248" s="427">
        <v>6274972</v>
      </c>
      <c r="F248" s="521">
        <v>48663</v>
      </c>
      <c r="G248" s="425">
        <v>2017</v>
      </c>
      <c r="H248" s="280" t="str">
        <f>VLOOKUP(D248,Source!F:F,1,FALSE)</f>
        <v>Springfield Technical Comm. College</v>
      </c>
    </row>
    <row r="249" spans="1:8">
      <c r="A249" s="59" t="str">
        <f t="shared" ref="A249:A250" si="67">D249&amp;G249</f>
        <v>Springfield Technical Comm. College2018</v>
      </c>
      <c r="B249" s="425">
        <v>2018</v>
      </c>
      <c r="C249" s="426" t="s">
        <v>472</v>
      </c>
      <c r="D249" s="426" t="s">
        <v>216</v>
      </c>
      <c r="E249" s="427">
        <v>8157688</v>
      </c>
      <c r="F249" s="521">
        <v>97318</v>
      </c>
      <c r="G249" s="425">
        <v>2018</v>
      </c>
      <c r="H249" s="280" t="str">
        <f>VLOOKUP(D249,Source!F:F,1,FALSE)</f>
        <v>Springfield Technical Comm. College</v>
      </c>
    </row>
    <row r="250" spans="1:8">
      <c r="A250" s="59" t="str">
        <f t="shared" si="67"/>
        <v>Springfield Technical Comm. College2019</v>
      </c>
      <c r="B250" s="425">
        <v>2019</v>
      </c>
      <c r="C250" s="426" t="s">
        <v>472</v>
      </c>
      <c r="D250" s="426" t="s">
        <v>216</v>
      </c>
      <c r="E250" s="427">
        <v>17008024</v>
      </c>
      <c r="F250" s="521">
        <v>211174</v>
      </c>
      <c r="G250" s="425">
        <v>2019</v>
      </c>
      <c r="H250" s="280" t="str">
        <f>VLOOKUP(D250,Source!F:F,1,FALSE)</f>
        <v>Springfield Technical Comm. College</v>
      </c>
    </row>
    <row r="251" spans="1:8">
      <c r="A251" s="59" t="str">
        <f t="shared" ref="A251:A252" si="68">D251&amp;G251</f>
        <v>Springfield Technical Comm. College2020</v>
      </c>
      <c r="B251" s="425">
        <v>2020</v>
      </c>
      <c r="C251" s="426" t="s">
        <v>472</v>
      </c>
      <c r="D251" s="426" t="s">
        <v>216</v>
      </c>
      <c r="E251" s="424">
        <v>6504608</v>
      </c>
      <c r="F251" s="520">
        <v>91017.88</v>
      </c>
      <c r="G251" s="425">
        <v>2020</v>
      </c>
      <c r="H251" s="280" t="str">
        <f>VLOOKUP(D251,Source!F:F,1,FALSE)</f>
        <v>Springfield Technical Comm. College</v>
      </c>
    </row>
    <row r="252" spans="1:8">
      <c r="A252" s="59" t="str">
        <f t="shared" si="68"/>
        <v>Springfield Technical Comm. College2021</v>
      </c>
      <c r="B252" s="425">
        <v>2021</v>
      </c>
      <c r="C252" s="426" t="s">
        <v>472</v>
      </c>
      <c r="D252" s="426" t="s">
        <v>216</v>
      </c>
      <c r="E252" s="424">
        <v>7580980</v>
      </c>
      <c r="F252" s="520">
        <v>97378.72</v>
      </c>
      <c r="G252" s="425">
        <v>2021</v>
      </c>
      <c r="H252" s="280" t="str">
        <f>VLOOKUP(D252,Source!F:F,1,FALSE)</f>
        <v>Springfield Technical Comm. College</v>
      </c>
    </row>
    <row r="253" spans="1:8">
      <c r="A253" s="59" t="str">
        <f t="shared" ref="A253:A254" si="69">D253&amp;G253</f>
        <v>Springfield Technical Comm. College2022</v>
      </c>
      <c r="B253" s="425">
        <v>2022</v>
      </c>
      <c r="C253" s="426" t="s">
        <v>472</v>
      </c>
      <c r="D253" s="426" t="s">
        <v>216</v>
      </c>
      <c r="E253" s="424">
        <v>5924908</v>
      </c>
      <c r="F253" s="520">
        <v>104854.58</v>
      </c>
      <c r="G253" s="425">
        <v>2022</v>
      </c>
      <c r="H253" s="280" t="str">
        <f>VLOOKUP(D253,Source!F:F,1,FALSE)</f>
        <v>Springfield Technical Comm. College</v>
      </c>
    </row>
    <row r="254" spans="1:8">
      <c r="A254" s="59" t="str">
        <f t="shared" si="69"/>
        <v>Springfield Technical Comm. College2023</v>
      </c>
      <c r="B254" s="425">
        <v>2023</v>
      </c>
      <c r="C254" s="426" t="s">
        <v>472</v>
      </c>
      <c r="D254" s="426" t="s">
        <v>216</v>
      </c>
      <c r="E254" s="424" t="s">
        <v>985</v>
      </c>
      <c r="F254" s="520" t="s">
        <v>985</v>
      </c>
      <c r="G254" s="425">
        <v>2023</v>
      </c>
      <c r="H254" s="280" t="str">
        <f>VLOOKUP(D254,Source!F:F,1,FALSE)</f>
        <v>Springfield Technical Comm. College</v>
      </c>
    </row>
    <row r="255" spans="1:8">
      <c r="A255" s="59" t="str">
        <f t="shared" si="63"/>
        <v>Trial Court2013</v>
      </c>
      <c r="B255" s="425">
        <v>2013</v>
      </c>
      <c r="C255" s="426" t="s">
        <v>987</v>
      </c>
      <c r="D255" s="426" t="s">
        <v>221</v>
      </c>
      <c r="E255" s="427">
        <v>44404157</v>
      </c>
      <c r="F255" s="521">
        <v>592788.72</v>
      </c>
      <c r="G255" s="425">
        <v>2013</v>
      </c>
      <c r="H255" s="280" t="str">
        <f>VLOOKUP(D255,Source!F:F,1,FALSE)</f>
        <v>Trial Court</v>
      </c>
    </row>
    <row r="256" spans="1:8">
      <c r="A256" s="59" t="str">
        <f t="shared" si="63"/>
        <v>Trial Court2014</v>
      </c>
      <c r="B256" s="425">
        <v>2014</v>
      </c>
      <c r="C256" s="426" t="s">
        <v>987</v>
      </c>
      <c r="D256" s="426" t="s">
        <v>221</v>
      </c>
      <c r="E256" s="427">
        <v>41786837</v>
      </c>
      <c r="F256" s="521">
        <v>580383.47</v>
      </c>
      <c r="G256" s="425">
        <v>2014</v>
      </c>
      <c r="H256" s="280" t="str">
        <f>VLOOKUP(D256,Source!F:F,1,FALSE)</f>
        <v>Trial Court</v>
      </c>
    </row>
    <row r="257" spans="1:8">
      <c r="A257" s="59" t="str">
        <f t="shared" si="63"/>
        <v>Trial Court2015</v>
      </c>
      <c r="B257" s="425">
        <v>2015</v>
      </c>
      <c r="C257" s="426" t="s">
        <v>987</v>
      </c>
      <c r="D257" s="426" t="s">
        <v>221</v>
      </c>
      <c r="E257" s="427">
        <v>40647499</v>
      </c>
      <c r="F257" s="521">
        <v>586951.03</v>
      </c>
      <c r="G257" s="425">
        <v>2015</v>
      </c>
      <c r="H257" s="280" t="str">
        <f>VLOOKUP(D257,Source!F:F,1,FALSE)</f>
        <v>Trial Court</v>
      </c>
    </row>
    <row r="258" spans="1:8">
      <c r="A258" s="59" t="str">
        <f t="shared" si="63"/>
        <v>Trial Court2016</v>
      </c>
      <c r="B258" s="425">
        <v>2016</v>
      </c>
      <c r="C258" s="426" t="s">
        <v>987</v>
      </c>
      <c r="D258" s="426" t="s">
        <v>221</v>
      </c>
      <c r="E258" s="427">
        <v>39058065</v>
      </c>
      <c r="F258" s="521">
        <v>579321.72</v>
      </c>
      <c r="G258" s="425">
        <v>2016</v>
      </c>
      <c r="H258" s="280" t="str">
        <f>VLOOKUP(D258,Source!F:F,1,FALSE)</f>
        <v>Trial Court</v>
      </c>
    </row>
    <row r="259" spans="1:8">
      <c r="A259" s="59" t="str">
        <f t="shared" si="63"/>
        <v>Trial Court2017</v>
      </c>
      <c r="B259" s="425">
        <v>2017</v>
      </c>
      <c r="C259" s="426" t="s">
        <v>987</v>
      </c>
      <c r="D259" s="426" t="s">
        <v>221</v>
      </c>
      <c r="E259" s="427">
        <v>38425708</v>
      </c>
      <c r="F259" s="521">
        <v>610332.71</v>
      </c>
      <c r="G259" s="425">
        <v>2017</v>
      </c>
      <c r="H259" s="280" t="str">
        <f>VLOOKUP(D259,Source!F:F,1,FALSE)</f>
        <v>Trial Court</v>
      </c>
    </row>
    <row r="260" spans="1:8">
      <c r="A260" s="59" t="str">
        <f t="shared" ref="A260:A261" si="70">D260&amp;G260</f>
        <v>Trial Court2018</v>
      </c>
      <c r="B260" s="425">
        <v>2018</v>
      </c>
      <c r="C260" s="426" t="s">
        <v>987</v>
      </c>
      <c r="D260" s="426" t="s">
        <v>221</v>
      </c>
      <c r="E260" s="427" t="s">
        <v>985</v>
      </c>
      <c r="F260" s="521" t="s">
        <v>985</v>
      </c>
      <c r="G260" s="425">
        <v>2018</v>
      </c>
      <c r="H260" s="280" t="str">
        <f>VLOOKUP(D260,Source!F:F,1,FALSE)</f>
        <v>Trial Court</v>
      </c>
    </row>
    <row r="261" spans="1:8">
      <c r="A261" s="59" t="str">
        <f t="shared" si="70"/>
        <v>Trial Court2019</v>
      </c>
      <c r="B261" s="425">
        <v>2019</v>
      </c>
      <c r="C261" s="426" t="s">
        <v>987</v>
      </c>
      <c r="D261" s="426" t="s">
        <v>221</v>
      </c>
      <c r="E261" s="427" t="s">
        <v>985</v>
      </c>
      <c r="F261" s="521" t="s">
        <v>985</v>
      </c>
      <c r="G261" s="425">
        <v>2019</v>
      </c>
      <c r="H261" s="280" t="str">
        <f>VLOOKUP(D261,Source!F:F,1,FALSE)</f>
        <v>Trial Court</v>
      </c>
    </row>
    <row r="262" spans="1:8">
      <c r="A262" s="59" t="str">
        <f t="shared" ref="A262:A263" si="71">D262&amp;G262</f>
        <v>Trial Court2020</v>
      </c>
      <c r="B262" s="425">
        <v>2020</v>
      </c>
      <c r="C262" s="426" t="s">
        <v>987</v>
      </c>
      <c r="D262" s="426" t="s">
        <v>221</v>
      </c>
      <c r="E262" s="424" t="s">
        <v>985</v>
      </c>
      <c r="F262" s="520" t="s">
        <v>985</v>
      </c>
      <c r="G262" s="425">
        <v>2020</v>
      </c>
      <c r="H262" s="280" t="str">
        <f>VLOOKUP(D262,Source!F:F,1,FALSE)</f>
        <v>Trial Court</v>
      </c>
    </row>
    <row r="263" spans="1:8">
      <c r="A263" s="59" t="str">
        <f t="shared" si="71"/>
        <v>Trial Court2021</v>
      </c>
      <c r="B263" s="425">
        <v>2021</v>
      </c>
      <c r="C263" s="426" t="s">
        <v>987</v>
      </c>
      <c r="D263" s="426" t="s">
        <v>221</v>
      </c>
      <c r="E263" s="424" t="s">
        <v>985</v>
      </c>
      <c r="F263" s="520" t="s">
        <v>985</v>
      </c>
      <c r="G263" s="425">
        <v>2021</v>
      </c>
      <c r="H263" s="280" t="str">
        <f>VLOOKUP(D263,Source!F:F,1,FALSE)</f>
        <v>Trial Court</v>
      </c>
    </row>
    <row r="264" spans="1:8">
      <c r="A264" s="59" t="str">
        <f t="shared" ref="A264:A265" si="72">D264&amp;G264</f>
        <v>Trial Court2022</v>
      </c>
      <c r="B264" s="425">
        <v>2022</v>
      </c>
      <c r="C264" s="426" t="s">
        <v>987</v>
      </c>
      <c r="D264" s="426" t="s">
        <v>221</v>
      </c>
      <c r="E264" s="424" t="s">
        <v>985</v>
      </c>
      <c r="F264" s="520" t="s">
        <v>985</v>
      </c>
      <c r="G264" s="425">
        <v>2022</v>
      </c>
      <c r="H264" s="280" t="str">
        <f>VLOOKUP(D264,Source!F:F,1,FALSE)</f>
        <v>Trial Court</v>
      </c>
    </row>
    <row r="265" spans="1:8">
      <c r="A265" s="59" t="str">
        <f t="shared" si="72"/>
        <v>Trial Court2023</v>
      </c>
      <c r="B265" s="425">
        <v>2023</v>
      </c>
      <c r="C265" s="426" t="s">
        <v>987</v>
      </c>
      <c r="D265" s="426" t="s">
        <v>221</v>
      </c>
      <c r="E265" s="424" t="s">
        <v>985</v>
      </c>
      <c r="F265" s="520" t="s">
        <v>985</v>
      </c>
      <c r="G265" s="425">
        <v>2023</v>
      </c>
      <c r="H265" s="280" t="str">
        <f>VLOOKUP(D265,Source!F:F,1,FALSE)</f>
        <v>Trial Court</v>
      </c>
    </row>
    <row r="266" spans="1:8">
      <c r="A266" s="59" t="str">
        <f t="shared" si="63"/>
        <v>UMass Amherst2013</v>
      </c>
      <c r="B266" s="425">
        <v>2013</v>
      </c>
      <c r="C266" s="426" t="s">
        <v>700</v>
      </c>
      <c r="D266" s="426" t="s">
        <v>222</v>
      </c>
      <c r="E266" s="427">
        <v>210872100</v>
      </c>
      <c r="F266" s="521">
        <v>0</v>
      </c>
      <c r="G266" s="425">
        <v>2013</v>
      </c>
      <c r="H266" s="280" t="str">
        <f>VLOOKUP(D266,Source!F:F,1,FALSE)</f>
        <v>UMass Amherst</v>
      </c>
    </row>
    <row r="267" spans="1:8">
      <c r="A267" s="59" t="str">
        <f t="shared" si="63"/>
        <v>UMass Amherst2014</v>
      </c>
      <c r="B267" s="425">
        <v>2014</v>
      </c>
      <c r="C267" s="426" t="s">
        <v>700</v>
      </c>
      <c r="D267" s="426" t="s">
        <v>222</v>
      </c>
      <c r="E267" s="427">
        <v>298649801</v>
      </c>
      <c r="F267" s="521">
        <v>0</v>
      </c>
      <c r="G267" s="425">
        <v>2014</v>
      </c>
      <c r="H267" s="280" t="str">
        <f>VLOOKUP(D267,Source!F:F,1,FALSE)</f>
        <v>UMass Amherst</v>
      </c>
    </row>
    <row r="268" spans="1:8">
      <c r="A268" s="59" t="str">
        <f t="shared" si="63"/>
        <v>UMass Amherst2015</v>
      </c>
      <c r="B268" s="17">
        <v>2015</v>
      </c>
      <c r="C268" s="17" t="s">
        <v>700</v>
      </c>
      <c r="D268" s="17" t="s">
        <v>222</v>
      </c>
      <c r="E268" s="65">
        <v>358777400</v>
      </c>
      <c r="F268" s="524">
        <v>0</v>
      </c>
      <c r="G268" s="17">
        <v>2015</v>
      </c>
      <c r="H268" s="280" t="str">
        <f>VLOOKUP(D268,Source!F:F,1,FALSE)</f>
        <v>UMass Amherst</v>
      </c>
    </row>
    <row r="269" spans="1:8">
      <c r="A269" s="59" t="str">
        <f t="shared" si="63"/>
        <v>UMass Amherst2016</v>
      </c>
      <c r="B269" s="17">
        <v>2016</v>
      </c>
      <c r="C269" s="17" t="s">
        <v>700</v>
      </c>
      <c r="D269" s="17" t="s">
        <v>222</v>
      </c>
      <c r="E269" s="65">
        <v>278825067</v>
      </c>
      <c r="F269" s="524">
        <v>0</v>
      </c>
      <c r="G269" s="17">
        <v>2016</v>
      </c>
      <c r="H269" s="280" t="str">
        <f>VLOOKUP(D269,Source!F:F,1,FALSE)</f>
        <v>UMass Amherst</v>
      </c>
    </row>
    <row r="270" spans="1:8">
      <c r="A270" s="59" t="str">
        <f t="shared" si="63"/>
        <v>UMass Amherst2017</v>
      </c>
      <c r="B270" s="17">
        <v>2017</v>
      </c>
      <c r="C270" s="17" t="s">
        <v>700</v>
      </c>
      <c r="D270" s="17" t="s">
        <v>222</v>
      </c>
      <c r="E270" s="65">
        <v>261328215</v>
      </c>
      <c r="F270" s="524">
        <v>0</v>
      </c>
      <c r="G270" s="17">
        <v>2017</v>
      </c>
      <c r="H270" s="280" t="str">
        <f>VLOOKUP(D270,Source!F:F,1,FALSE)</f>
        <v>UMass Amherst</v>
      </c>
    </row>
    <row r="271" spans="1:8">
      <c r="A271" s="59" t="str">
        <f t="shared" ref="A271:A272" si="73">D271&amp;G271</f>
        <v>UMass Amherst2018</v>
      </c>
      <c r="B271" s="17">
        <v>2018</v>
      </c>
      <c r="C271" s="17" t="s">
        <v>700</v>
      </c>
      <c r="D271" s="17" t="s">
        <v>222</v>
      </c>
      <c r="E271" s="65">
        <v>306251354</v>
      </c>
      <c r="F271" s="524">
        <v>0</v>
      </c>
      <c r="G271" s="17">
        <v>2018</v>
      </c>
      <c r="H271" s="280" t="str">
        <f>VLOOKUP(D271,Source!F:F,1,FALSE)</f>
        <v>UMass Amherst</v>
      </c>
    </row>
    <row r="272" spans="1:8">
      <c r="A272" s="59" t="str">
        <f t="shared" si="73"/>
        <v>UMass Amherst2019</v>
      </c>
      <c r="B272" s="17">
        <v>2019</v>
      </c>
      <c r="C272" s="17" t="s">
        <v>700</v>
      </c>
      <c r="D272" s="17" t="s">
        <v>222</v>
      </c>
      <c r="E272" s="65">
        <v>271223760</v>
      </c>
      <c r="F272" s="524">
        <v>2734937</v>
      </c>
      <c r="G272" s="17">
        <v>2019</v>
      </c>
      <c r="H272" s="280" t="str">
        <f>VLOOKUP(D272,Source!F:F,1,FALSE)</f>
        <v>UMass Amherst</v>
      </c>
    </row>
    <row r="273" spans="1:8">
      <c r="A273" s="59" t="str">
        <f t="shared" ref="A273:A274" si="74">D273&amp;G273</f>
        <v>UMass Amherst2020</v>
      </c>
      <c r="B273" s="17">
        <v>2020</v>
      </c>
      <c r="C273" s="17" t="s">
        <v>700</v>
      </c>
      <c r="D273" s="17" t="s">
        <v>222</v>
      </c>
      <c r="E273" s="65">
        <v>210076600</v>
      </c>
      <c r="F273" s="524">
        <v>2262537</v>
      </c>
      <c r="G273" s="425">
        <v>2020</v>
      </c>
      <c r="H273" s="280" t="str">
        <f>VLOOKUP(D273,Source!F:F,1,FALSE)</f>
        <v>UMass Amherst</v>
      </c>
    </row>
    <row r="274" spans="1:8">
      <c r="A274" s="59" t="str">
        <f t="shared" si="74"/>
        <v>UMass Amherst2021</v>
      </c>
      <c r="B274" s="17">
        <v>2021</v>
      </c>
      <c r="C274" s="17" t="s">
        <v>700</v>
      </c>
      <c r="D274" s="17" t="s">
        <v>222</v>
      </c>
      <c r="E274" s="65">
        <v>155136122</v>
      </c>
      <c r="F274" s="524">
        <v>1339712.03</v>
      </c>
      <c r="G274" s="425">
        <v>2021</v>
      </c>
      <c r="H274" s="280" t="str">
        <f>VLOOKUP(D274,Source!F:F,1,FALSE)</f>
        <v>UMass Amherst</v>
      </c>
    </row>
    <row r="275" spans="1:8">
      <c r="A275" s="59" t="str">
        <f t="shared" ref="A275:A276" si="75">D275&amp;G275</f>
        <v>UMass Amherst2022</v>
      </c>
      <c r="B275" s="17">
        <v>2022</v>
      </c>
      <c r="C275" s="17" t="s">
        <v>700</v>
      </c>
      <c r="D275" s="17" t="s">
        <v>222</v>
      </c>
      <c r="E275" s="65">
        <v>194752272</v>
      </c>
      <c r="F275" s="524">
        <v>2556705</v>
      </c>
      <c r="G275" s="425">
        <v>2022</v>
      </c>
      <c r="H275" s="280" t="str">
        <f>VLOOKUP(D275,Source!F:F,1,FALSE)</f>
        <v>UMass Amherst</v>
      </c>
    </row>
    <row r="276" spans="1:8">
      <c r="A276" s="59" t="str">
        <f t="shared" si="75"/>
        <v>UMass Amherst2023</v>
      </c>
      <c r="B276" s="17">
        <v>2023</v>
      </c>
      <c r="C276" s="17" t="s">
        <v>700</v>
      </c>
      <c r="D276" s="17" t="s">
        <v>222</v>
      </c>
      <c r="E276" s="841">
        <v>279072397</v>
      </c>
      <c r="F276" s="842">
        <v>1774400</v>
      </c>
      <c r="G276" s="425">
        <v>2023</v>
      </c>
      <c r="H276" s="280" t="str">
        <f>VLOOKUP(D276,Source!F:F,1,FALSE)</f>
        <v>UMass Amherst</v>
      </c>
    </row>
    <row r="277" spans="1:8">
      <c r="A277" s="59" t="str">
        <f t="shared" si="63"/>
        <v>UMass Boston2013</v>
      </c>
      <c r="B277" s="17">
        <v>2013</v>
      </c>
      <c r="C277" s="17" t="s">
        <v>700</v>
      </c>
      <c r="D277" s="17" t="s">
        <v>227</v>
      </c>
      <c r="E277" s="65">
        <v>10026940</v>
      </c>
      <c r="F277" s="524">
        <v>176525</v>
      </c>
      <c r="G277" s="17">
        <v>2013</v>
      </c>
      <c r="H277" s="280" t="str">
        <f>VLOOKUP(D277,Source!F:F,1,FALSE)</f>
        <v>UMass Boston</v>
      </c>
    </row>
    <row r="278" spans="1:8">
      <c r="A278" s="59" t="str">
        <f t="shared" si="63"/>
        <v>UMass Boston2014</v>
      </c>
      <c r="B278" s="17">
        <v>2014</v>
      </c>
      <c r="C278" s="17" t="s">
        <v>700</v>
      </c>
      <c r="D278" s="17" t="s">
        <v>227</v>
      </c>
      <c r="E278" s="65">
        <v>18161440</v>
      </c>
      <c r="F278" s="524">
        <v>355473</v>
      </c>
      <c r="G278" s="17">
        <v>2014</v>
      </c>
      <c r="H278" s="280" t="str">
        <f>VLOOKUP(D278,Source!F:F,1,FALSE)</f>
        <v>UMass Boston</v>
      </c>
    </row>
    <row r="279" spans="1:8">
      <c r="A279" s="59" t="str">
        <f t="shared" si="63"/>
        <v>UMass Boston2015</v>
      </c>
      <c r="B279" s="17">
        <v>2015</v>
      </c>
      <c r="C279" s="17" t="s">
        <v>700</v>
      </c>
      <c r="D279" s="17" t="s">
        <v>227</v>
      </c>
      <c r="E279" s="65">
        <v>23197012</v>
      </c>
      <c r="F279" s="524">
        <v>532640</v>
      </c>
      <c r="G279" s="17">
        <v>2015</v>
      </c>
      <c r="H279" s="280" t="str">
        <f>VLOOKUP(D279,Source!F:F,1,FALSE)</f>
        <v>UMass Boston</v>
      </c>
    </row>
    <row r="280" spans="1:8">
      <c r="A280" s="59" t="str">
        <f t="shared" si="63"/>
        <v>UMass Boston2016</v>
      </c>
      <c r="B280" s="17">
        <v>2016</v>
      </c>
      <c r="C280" s="17" t="s">
        <v>700</v>
      </c>
      <c r="D280" s="17" t="s">
        <v>227</v>
      </c>
      <c r="E280" s="65">
        <v>30840519</v>
      </c>
      <c r="F280" s="524">
        <v>575671</v>
      </c>
      <c r="G280" s="17">
        <v>2016</v>
      </c>
      <c r="H280" s="280" t="str">
        <f>VLOOKUP(D280,Source!F:F,1,FALSE)</f>
        <v>UMass Boston</v>
      </c>
    </row>
    <row r="281" spans="1:8">
      <c r="A281" s="59" t="str">
        <f t="shared" si="63"/>
        <v>UMass Boston2017</v>
      </c>
      <c r="B281" s="17">
        <v>2017</v>
      </c>
      <c r="C281" s="17" t="s">
        <v>700</v>
      </c>
      <c r="D281" s="17" t="s">
        <v>227</v>
      </c>
      <c r="E281" s="65">
        <v>16071154</v>
      </c>
      <c r="F281" s="524">
        <v>641600</v>
      </c>
      <c r="G281" s="17">
        <v>2017</v>
      </c>
      <c r="H281" s="280" t="str">
        <f>VLOOKUP(D281,Source!F:F,1,FALSE)</f>
        <v>UMass Boston</v>
      </c>
    </row>
    <row r="282" spans="1:8">
      <c r="A282" s="59" t="str">
        <f t="shared" ref="A282:A283" si="76">D282&amp;G282</f>
        <v>UMass Boston2018</v>
      </c>
      <c r="B282" s="17">
        <v>2018</v>
      </c>
      <c r="C282" s="17" t="s">
        <v>700</v>
      </c>
      <c r="D282" s="17" t="s">
        <v>227</v>
      </c>
      <c r="E282" s="65">
        <v>34774146</v>
      </c>
      <c r="F282" s="524">
        <v>700464</v>
      </c>
      <c r="G282" s="17">
        <v>2018</v>
      </c>
      <c r="H282" s="280" t="str">
        <f>VLOOKUP(D282,Source!F:F,1,FALSE)</f>
        <v>UMass Boston</v>
      </c>
    </row>
    <row r="283" spans="1:8">
      <c r="A283" s="59" t="str">
        <f t="shared" si="76"/>
        <v>UMass Boston2019</v>
      </c>
      <c r="B283" s="17">
        <v>2019</v>
      </c>
      <c r="C283" s="17" t="s">
        <v>700</v>
      </c>
      <c r="D283" s="17" t="s">
        <v>227</v>
      </c>
      <c r="E283" s="65">
        <v>36844984</v>
      </c>
      <c r="F283" s="524">
        <v>781357</v>
      </c>
      <c r="G283" s="17">
        <v>2019</v>
      </c>
      <c r="H283" s="280" t="str">
        <f>VLOOKUP(D283,Source!F:F,1,FALSE)</f>
        <v>UMass Boston</v>
      </c>
    </row>
    <row r="284" spans="1:8">
      <c r="A284" s="59" t="str">
        <f t="shared" ref="A284:A285" si="77">D284&amp;G284</f>
        <v>UMass Boston2020</v>
      </c>
      <c r="B284" s="17">
        <v>2020</v>
      </c>
      <c r="C284" s="17" t="s">
        <v>700</v>
      </c>
      <c r="D284" s="17" t="s">
        <v>227</v>
      </c>
      <c r="E284" s="65">
        <v>30981351</v>
      </c>
      <c r="F284" s="524">
        <v>691182.44</v>
      </c>
      <c r="G284" s="425">
        <v>2020</v>
      </c>
      <c r="H284" s="280" t="str">
        <f>VLOOKUP(D284,Source!F:F,1,FALSE)</f>
        <v>UMass Boston</v>
      </c>
    </row>
    <row r="285" spans="1:8">
      <c r="A285" s="59" t="str">
        <f t="shared" si="77"/>
        <v>UMass Boston2021</v>
      </c>
      <c r="B285" s="17">
        <v>2021</v>
      </c>
      <c r="C285" s="17" t="s">
        <v>700</v>
      </c>
      <c r="D285" s="17" t="s">
        <v>227</v>
      </c>
      <c r="E285" s="65">
        <v>25588522</v>
      </c>
      <c r="F285" s="524">
        <v>615070</v>
      </c>
      <c r="G285" s="425">
        <v>2021</v>
      </c>
      <c r="H285" s="280" t="str">
        <f>VLOOKUP(D285,Source!F:F,1,FALSE)</f>
        <v>UMass Boston</v>
      </c>
    </row>
    <row r="286" spans="1:8">
      <c r="A286" s="59" t="str">
        <f t="shared" ref="A286:A287" si="78">D286&amp;G286</f>
        <v>UMass Boston2022</v>
      </c>
      <c r="B286" s="17">
        <v>2022</v>
      </c>
      <c r="C286" s="17" t="s">
        <v>700</v>
      </c>
      <c r="D286" s="17" t="s">
        <v>227</v>
      </c>
      <c r="E286" s="65">
        <v>31655780</v>
      </c>
      <c r="F286" s="524">
        <v>860866</v>
      </c>
      <c r="G286" s="425">
        <v>2022</v>
      </c>
      <c r="H286" s="280" t="str">
        <f>VLOOKUP(D286,Source!F:F,1,FALSE)</f>
        <v>UMass Boston</v>
      </c>
    </row>
    <row r="287" spans="1:8">
      <c r="A287" s="59" t="str">
        <f t="shared" si="78"/>
        <v>UMass Boston2023</v>
      </c>
      <c r="B287" s="17">
        <v>2023</v>
      </c>
      <c r="C287" s="17" t="s">
        <v>700</v>
      </c>
      <c r="D287" s="17" t="s">
        <v>227</v>
      </c>
      <c r="E287" s="841">
        <v>34011041</v>
      </c>
      <c r="F287" s="842">
        <v>972613.2</v>
      </c>
      <c r="G287" s="425">
        <v>2023</v>
      </c>
      <c r="H287" s="280" t="str">
        <f>VLOOKUP(D287,Source!F:F,1,FALSE)</f>
        <v>UMass Boston</v>
      </c>
    </row>
    <row r="288" spans="1:8">
      <c r="A288" s="59" t="str">
        <f t="shared" si="63"/>
        <v>UMass Dartmouth2013</v>
      </c>
      <c r="B288" s="17">
        <v>2013</v>
      </c>
      <c r="C288" s="17" t="s">
        <v>700</v>
      </c>
      <c r="D288" s="17" t="s">
        <v>229</v>
      </c>
      <c r="E288" s="65">
        <v>2045350</v>
      </c>
      <c r="F288" s="524">
        <v>377670.17</v>
      </c>
      <c r="G288" s="17">
        <v>2013</v>
      </c>
      <c r="H288" s="280" t="str">
        <f>VLOOKUP(D288,Source!F:F,1,FALSE)</f>
        <v>UMass Dartmouth</v>
      </c>
    </row>
    <row r="289" spans="1:8">
      <c r="A289" s="59" t="str">
        <f t="shared" si="63"/>
        <v>UMass Dartmouth2014</v>
      </c>
      <c r="B289" s="17">
        <v>2014</v>
      </c>
      <c r="C289" s="17" t="s">
        <v>700</v>
      </c>
      <c r="D289" s="17" t="s">
        <v>229</v>
      </c>
      <c r="E289" s="65">
        <v>2709527</v>
      </c>
      <c r="F289" s="524">
        <v>522212.34</v>
      </c>
      <c r="G289" s="17">
        <v>2014</v>
      </c>
      <c r="H289" s="280" t="str">
        <f>VLOOKUP(D289,Source!F:F,1,FALSE)</f>
        <v>UMass Dartmouth</v>
      </c>
    </row>
    <row r="290" spans="1:8">
      <c r="A290" s="59" t="str">
        <f t="shared" si="63"/>
        <v>UMass Dartmouth2015</v>
      </c>
      <c r="B290" s="17">
        <v>2015</v>
      </c>
      <c r="C290" s="17" t="s">
        <v>700</v>
      </c>
      <c r="D290" s="17" t="s">
        <v>229</v>
      </c>
      <c r="E290" s="65">
        <v>1800413</v>
      </c>
      <c r="F290" s="524">
        <v>390964.88</v>
      </c>
      <c r="G290" s="17">
        <v>2015</v>
      </c>
      <c r="H290" s="280" t="str">
        <f>VLOOKUP(D290,Source!F:F,1,FALSE)</f>
        <v>UMass Dartmouth</v>
      </c>
    </row>
    <row r="291" spans="1:8">
      <c r="A291" s="59" t="str">
        <f t="shared" si="63"/>
        <v>UMass Dartmouth2016</v>
      </c>
      <c r="B291" s="17">
        <v>2016</v>
      </c>
      <c r="C291" s="17" t="s">
        <v>700</v>
      </c>
      <c r="D291" s="17" t="s">
        <v>229</v>
      </c>
      <c r="E291" s="65">
        <v>1875594</v>
      </c>
      <c r="F291" s="524">
        <v>374797</v>
      </c>
      <c r="G291" s="17">
        <v>2016</v>
      </c>
      <c r="H291" s="280" t="str">
        <f>VLOOKUP(D291,Source!F:F,1,FALSE)</f>
        <v>UMass Dartmouth</v>
      </c>
    </row>
    <row r="292" spans="1:8">
      <c r="A292" s="59" t="str">
        <f t="shared" si="63"/>
        <v>UMass Dartmouth2017</v>
      </c>
      <c r="B292" s="17">
        <v>2017</v>
      </c>
      <c r="C292" s="17" t="s">
        <v>700</v>
      </c>
      <c r="D292" s="17" t="s">
        <v>229</v>
      </c>
      <c r="E292" s="65">
        <v>279251534</v>
      </c>
      <c r="F292" s="524">
        <v>1880524</v>
      </c>
      <c r="G292" s="17">
        <v>2017</v>
      </c>
      <c r="H292" s="280" t="str">
        <f>VLOOKUP(D292,Source!F:F,1,FALSE)</f>
        <v>UMass Dartmouth</v>
      </c>
    </row>
    <row r="293" spans="1:8">
      <c r="A293" s="59" t="str">
        <f t="shared" ref="A293:A294" si="79">D293&amp;G293</f>
        <v>UMass Dartmouth2018</v>
      </c>
      <c r="B293" s="17">
        <v>2018</v>
      </c>
      <c r="C293" s="17" t="s">
        <v>700</v>
      </c>
      <c r="D293" s="17" t="s">
        <v>229</v>
      </c>
      <c r="E293" s="65">
        <v>263507284</v>
      </c>
      <c r="F293" s="524">
        <v>1902137</v>
      </c>
      <c r="G293" s="17">
        <v>2018</v>
      </c>
      <c r="H293" s="280" t="str">
        <f>VLOOKUP(D293,Source!F:F,1,FALSE)</f>
        <v>UMass Dartmouth</v>
      </c>
    </row>
    <row r="294" spans="1:8">
      <c r="A294" s="59" t="str">
        <f t="shared" si="79"/>
        <v>UMass Dartmouth2019</v>
      </c>
      <c r="B294" s="17">
        <v>2019</v>
      </c>
      <c r="C294" s="17" t="s">
        <v>700</v>
      </c>
      <c r="D294" s="17" t="s">
        <v>229</v>
      </c>
      <c r="E294" s="65">
        <v>269633056</v>
      </c>
      <c r="F294" s="524">
        <v>1998881</v>
      </c>
      <c r="G294" s="17">
        <v>2019</v>
      </c>
      <c r="H294" s="280" t="str">
        <f>VLOOKUP(D294,Source!F:F,1,FALSE)</f>
        <v>UMass Dartmouth</v>
      </c>
    </row>
    <row r="295" spans="1:8">
      <c r="A295" s="59" t="str">
        <f t="shared" ref="A295:A296" si="80">D295&amp;G295</f>
        <v>UMass Dartmouth2020</v>
      </c>
      <c r="B295" s="17">
        <v>2020</v>
      </c>
      <c r="C295" s="17" t="s">
        <v>700</v>
      </c>
      <c r="D295" s="17" t="s">
        <v>229</v>
      </c>
      <c r="E295" s="424" t="s">
        <v>985</v>
      </c>
      <c r="F295" s="520" t="s">
        <v>985</v>
      </c>
      <c r="G295" s="425">
        <v>2020</v>
      </c>
      <c r="H295" s="280" t="str">
        <f>VLOOKUP(D295,Source!F:F,1,FALSE)</f>
        <v>UMass Dartmouth</v>
      </c>
    </row>
    <row r="296" spans="1:8">
      <c r="A296" s="59" t="str">
        <f t="shared" si="80"/>
        <v>UMass Dartmouth2021</v>
      </c>
      <c r="B296" s="17">
        <v>2021</v>
      </c>
      <c r="C296" s="17" t="s">
        <v>700</v>
      </c>
      <c r="D296" s="17" t="s">
        <v>229</v>
      </c>
      <c r="E296" s="424">
        <v>300325740</v>
      </c>
      <c r="F296" s="520">
        <v>2271283</v>
      </c>
      <c r="G296" s="425">
        <v>2021</v>
      </c>
      <c r="H296" s="280" t="str">
        <f>VLOOKUP(D296,Source!F:F,1,FALSE)</f>
        <v>UMass Dartmouth</v>
      </c>
    </row>
    <row r="297" spans="1:8">
      <c r="A297" s="59" t="str">
        <f t="shared" ref="A297:A298" si="81">D297&amp;G297</f>
        <v>UMass Dartmouth2022</v>
      </c>
      <c r="B297" s="17">
        <v>2022</v>
      </c>
      <c r="C297" s="17" t="s">
        <v>700</v>
      </c>
      <c r="D297" s="17" t="s">
        <v>229</v>
      </c>
      <c r="E297" s="424">
        <v>215232063</v>
      </c>
      <c r="F297" s="520">
        <v>1685405.41</v>
      </c>
      <c r="G297" s="425">
        <v>2022</v>
      </c>
      <c r="H297" s="280" t="str">
        <f>VLOOKUP(D297,Source!F:F,1,FALSE)</f>
        <v>UMass Dartmouth</v>
      </c>
    </row>
    <row r="298" spans="1:8">
      <c r="A298" s="59" t="str">
        <f t="shared" si="81"/>
        <v>UMass Dartmouth2023</v>
      </c>
      <c r="B298" s="17">
        <v>2023</v>
      </c>
      <c r="C298" s="17" t="s">
        <v>700</v>
      </c>
      <c r="D298" s="17" t="s">
        <v>229</v>
      </c>
      <c r="E298" s="841">
        <v>176936258</v>
      </c>
      <c r="F298" s="842">
        <v>1515558.4</v>
      </c>
      <c r="G298" s="425">
        <v>2023</v>
      </c>
      <c r="H298" s="280" t="str">
        <f>VLOOKUP(D298,Source!F:F,1,FALSE)</f>
        <v>UMass Dartmouth</v>
      </c>
    </row>
    <row r="299" spans="1:8">
      <c r="A299" s="59" t="str">
        <f t="shared" si="63"/>
        <v>UMass Lowell2013</v>
      </c>
      <c r="B299" s="17">
        <v>2013</v>
      </c>
      <c r="C299" s="17" t="s">
        <v>700</v>
      </c>
      <c r="D299" s="17" t="s">
        <v>234</v>
      </c>
      <c r="E299" s="65">
        <v>69981384</v>
      </c>
      <c r="F299" s="524">
        <v>504153.25</v>
      </c>
      <c r="G299" s="17">
        <v>2013</v>
      </c>
      <c r="H299" s="280" t="str">
        <f>VLOOKUP(D299,Source!F:F,1,FALSE)</f>
        <v>UMass Lowell</v>
      </c>
    </row>
    <row r="300" spans="1:8">
      <c r="A300" s="59" t="str">
        <f t="shared" si="63"/>
        <v>UMass Lowell2014</v>
      </c>
      <c r="B300" s="17">
        <v>2014</v>
      </c>
      <c r="C300" s="17" t="s">
        <v>700</v>
      </c>
      <c r="D300" s="17" t="s">
        <v>234</v>
      </c>
      <c r="E300" s="65">
        <v>78903528</v>
      </c>
      <c r="F300" s="524">
        <v>882405.6</v>
      </c>
      <c r="G300" s="17">
        <v>2014</v>
      </c>
      <c r="H300" s="280" t="str">
        <f>VLOOKUP(D300,Source!F:F,1,FALSE)</f>
        <v>UMass Lowell</v>
      </c>
    </row>
    <row r="301" spans="1:8">
      <c r="A301" s="59" t="str">
        <f t="shared" si="63"/>
        <v>UMass Lowell2015</v>
      </c>
      <c r="B301" s="17">
        <v>2015</v>
      </c>
      <c r="C301" s="17" t="s">
        <v>700</v>
      </c>
      <c r="D301" s="17" t="s">
        <v>234</v>
      </c>
      <c r="E301" s="65">
        <v>52534284</v>
      </c>
      <c r="F301" s="524">
        <v>438569.83</v>
      </c>
      <c r="G301" s="17">
        <v>2015</v>
      </c>
      <c r="H301" s="280" t="str">
        <f>VLOOKUP(D301,Source!F:F,1,FALSE)</f>
        <v>UMass Lowell</v>
      </c>
    </row>
    <row r="302" spans="1:8">
      <c r="A302" s="59" t="str">
        <f t="shared" si="63"/>
        <v>UMass Lowell2016</v>
      </c>
      <c r="B302" s="17">
        <v>2016</v>
      </c>
      <c r="C302" s="17" t="s">
        <v>700</v>
      </c>
      <c r="D302" s="17" t="s">
        <v>234</v>
      </c>
      <c r="E302" s="65">
        <v>69245672.719999999</v>
      </c>
      <c r="F302" s="524">
        <v>662076.42000000004</v>
      </c>
      <c r="G302" s="17">
        <v>2016</v>
      </c>
      <c r="H302" s="280" t="str">
        <f>VLOOKUP(D302,Source!F:F,1,FALSE)</f>
        <v>UMass Lowell</v>
      </c>
    </row>
    <row r="303" spans="1:8">
      <c r="A303" s="59" t="str">
        <f t="shared" si="63"/>
        <v>UMass Lowell2017</v>
      </c>
      <c r="B303" s="17">
        <v>2017</v>
      </c>
      <c r="C303" s="17" t="s">
        <v>700</v>
      </c>
      <c r="D303" s="17" t="s">
        <v>234</v>
      </c>
      <c r="E303" s="65">
        <v>51747855</v>
      </c>
      <c r="F303" s="524">
        <v>476768.53</v>
      </c>
      <c r="G303" s="17">
        <v>2017</v>
      </c>
      <c r="H303" s="280" t="str">
        <f>VLOOKUP(D303,Source!F:F,1,FALSE)</f>
        <v>UMass Lowell</v>
      </c>
    </row>
    <row r="304" spans="1:8">
      <c r="A304" s="59" t="str">
        <f t="shared" si="63"/>
        <v>UMass Lowell2018</v>
      </c>
      <c r="B304" s="17">
        <v>2018</v>
      </c>
      <c r="C304" s="17" t="s">
        <v>700</v>
      </c>
      <c r="D304" s="17" t="s">
        <v>234</v>
      </c>
      <c r="E304" s="65">
        <v>79436104</v>
      </c>
      <c r="F304" s="524">
        <v>800890</v>
      </c>
      <c r="G304" s="17">
        <v>2018</v>
      </c>
      <c r="H304" s="280" t="str">
        <f>VLOOKUP(D304,Source!F:F,1,FALSE)</f>
        <v>UMass Lowell</v>
      </c>
    </row>
    <row r="305" spans="1:8">
      <c r="A305" s="59" t="str">
        <f t="shared" ref="A305" si="82">D305&amp;G305</f>
        <v>UMass Lowell2019</v>
      </c>
      <c r="B305" s="17">
        <v>2019</v>
      </c>
      <c r="C305" s="17" t="s">
        <v>700</v>
      </c>
      <c r="D305" s="17" t="s">
        <v>234</v>
      </c>
      <c r="E305" s="65">
        <v>86452344</v>
      </c>
      <c r="F305" s="524">
        <v>848084</v>
      </c>
      <c r="G305" s="17">
        <v>2019</v>
      </c>
      <c r="H305" s="280" t="str">
        <f>VLOOKUP(D305,Source!F:F,1,FALSE)</f>
        <v>UMass Lowell</v>
      </c>
    </row>
    <row r="306" spans="1:8">
      <c r="A306" s="59" t="str">
        <f t="shared" ref="A306:A307" si="83">D306&amp;G306</f>
        <v>UMass Lowell2020</v>
      </c>
      <c r="B306" s="17">
        <v>2020</v>
      </c>
      <c r="C306" s="17" t="s">
        <v>700</v>
      </c>
      <c r="D306" s="17" t="s">
        <v>234</v>
      </c>
      <c r="E306" s="65">
        <v>74312304</v>
      </c>
      <c r="F306" s="524">
        <v>817716.56</v>
      </c>
      <c r="G306" s="425">
        <v>2020</v>
      </c>
      <c r="H306" s="280" t="str">
        <f>VLOOKUP(D306,Source!F:F,1,FALSE)</f>
        <v>UMass Lowell</v>
      </c>
    </row>
    <row r="307" spans="1:8">
      <c r="A307" s="59" t="str">
        <f t="shared" si="83"/>
        <v>UMass Lowell2021</v>
      </c>
      <c r="B307" s="17">
        <v>2021</v>
      </c>
      <c r="C307" s="17" t="s">
        <v>700</v>
      </c>
      <c r="D307" s="17" t="s">
        <v>234</v>
      </c>
      <c r="E307" s="65">
        <v>48176708</v>
      </c>
      <c r="F307" s="524">
        <v>463143.35</v>
      </c>
      <c r="G307" s="425">
        <v>2021</v>
      </c>
      <c r="H307" s="280" t="str">
        <f>VLOOKUP(D307,Source!F:F,1,FALSE)</f>
        <v>UMass Lowell</v>
      </c>
    </row>
    <row r="308" spans="1:8">
      <c r="A308" s="59" t="str">
        <f t="shared" ref="A308:A309" si="84">D308&amp;G308</f>
        <v>UMass Lowell2022</v>
      </c>
      <c r="B308" s="17">
        <v>2022</v>
      </c>
      <c r="C308" s="17" t="s">
        <v>700</v>
      </c>
      <c r="D308" s="17" t="s">
        <v>234</v>
      </c>
      <c r="E308" s="65">
        <v>67281289</v>
      </c>
      <c r="F308" s="524">
        <v>720527.33</v>
      </c>
      <c r="G308" s="425">
        <v>2022</v>
      </c>
      <c r="H308" s="280" t="str">
        <f>VLOOKUP(D308,Source!F:F,1,FALSE)</f>
        <v>UMass Lowell</v>
      </c>
    </row>
    <row r="309" spans="1:8">
      <c r="A309" s="59" t="str">
        <f t="shared" si="84"/>
        <v>UMass Lowell2023</v>
      </c>
      <c r="B309" s="17">
        <v>2023</v>
      </c>
      <c r="C309" s="17" t="s">
        <v>700</v>
      </c>
      <c r="D309" s="17" t="s">
        <v>234</v>
      </c>
      <c r="E309" s="65" t="s">
        <v>985</v>
      </c>
      <c r="F309" s="65" t="s">
        <v>985</v>
      </c>
      <c r="G309" s="425">
        <v>2023</v>
      </c>
      <c r="H309" s="280" t="str">
        <f>VLOOKUP(D309,Source!F:F,1,FALSE)</f>
        <v>UMass Lowell</v>
      </c>
    </row>
    <row r="310" spans="1:8">
      <c r="A310" s="59" t="str">
        <f t="shared" ref="A310:A332" si="85">D310&amp;G310</f>
        <v>UMass Medical2013</v>
      </c>
      <c r="B310" s="17">
        <v>2013</v>
      </c>
      <c r="C310" s="17" t="s">
        <v>700</v>
      </c>
      <c r="D310" s="17" t="s">
        <v>239</v>
      </c>
      <c r="E310" s="65">
        <v>205086592</v>
      </c>
      <c r="F310" s="524">
        <v>922889.66399999999</v>
      </c>
      <c r="G310" s="17">
        <v>2013</v>
      </c>
      <c r="H310" s="280" t="str">
        <f>VLOOKUP(D310,Source!F:F,1,FALSE)</f>
        <v>UMass Medical</v>
      </c>
    </row>
    <row r="311" spans="1:8">
      <c r="A311" s="59" t="str">
        <f t="shared" si="85"/>
        <v>UMass Medical2014</v>
      </c>
      <c r="B311" s="17">
        <v>2014</v>
      </c>
      <c r="C311" s="17" t="s">
        <v>700</v>
      </c>
      <c r="D311" s="17" t="s">
        <v>239</v>
      </c>
      <c r="E311" s="65">
        <v>208071144</v>
      </c>
      <c r="F311" s="524">
        <v>728249.00399999996</v>
      </c>
      <c r="G311" s="17">
        <v>2014</v>
      </c>
      <c r="H311" s="280" t="str">
        <f>VLOOKUP(D311,Source!F:F,1,FALSE)</f>
        <v>UMass Medical</v>
      </c>
    </row>
    <row r="312" spans="1:8">
      <c r="A312" s="59" t="str">
        <f t="shared" si="85"/>
        <v>UMass Medical2015</v>
      </c>
      <c r="B312" s="17">
        <v>2015</v>
      </c>
      <c r="C312" s="17" t="s">
        <v>700</v>
      </c>
      <c r="D312" s="17" t="s">
        <v>239</v>
      </c>
      <c r="E312" s="65">
        <v>191263351</v>
      </c>
      <c r="F312" s="524">
        <v>726800.73380000005</v>
      </c>
      <c r="G312" s="17">
        <v>2015</v>
      </c>
      <c r="H312" s="280" t="str">
        <f>VLOOKUP(D312,Source!F:F,1,FALSE)</f>
        <v>UMass Medical</v>
      </c>
    </row>
    <row r="313" spans="1:8">
      <c r="A313" s="59" t="str">
        <f t="shared" si="85"/>
        <v>UMass Medical2016</v>
      </c>
      <c r="B313" s="17">
        <v>2016</v>
      </c>
      <c r="C313" s="17" t="s">
        <v>700</v>
      </c>
      <c r="D313" s="17" t="s">
        <v>239</v>
      </c>
      <c r="E313" s="65">
        <v>197875920</v>
      </c>
      <c r="F313" s="524">
        <v>952344</v>
      </c>
      <c r="G313" s="17">
        <v>2016</v>
      </c>
      <c r="H313" s="280" t="str">
        <f>VLOOKUP(D313,Source!F:F,1,FALSE)</f>
        <v>UMass Medical</v>
      </c>
    </row>
    <row r="314" spans="1:8">
      <c r="A314" s="59" t="str">
        <f t="shared" si="85"/>
        <v>UMass Medical2017</v>
      </c>
      <c r="B314" s="17">
        <v>2017</v>
      </c>
      <c r="C314" s="17" t="s">
        <v>700</v>
      </c>
      <c r="D314" s="17" t="s">
        <v>239</v>
      </c>
      <c r="E314" s="65">
        <v>203732760</v>
      </c>
      <c r="F314" s="524">
        <v>980532</v>
      </c>
      <c r="G314" s="17">
        <v>2017</v>
      </c>
      <c r="H314" s="280" t="str">
        <f>VLOOKUP(D314,Source!F:F,1,FALSE)</f>
        <v>UMass Medical</v>
      </c>
    </row>
    <row r="315" spans="1:8">
      <c r="A315" s="59" t="str">
        <f t="shared" ref="A315:A316" si="86">D315&amp;G315</f>
        <v>UMass Medical2018</v>
      </c>
      <c r="B315" s="17">
        <v>2018</v>
      </c>
      <c r="C315" s="17" t="s">
        <v>700</v>
      </c>
      <c r="D315" s="17" t="s">
        <v>239</v>
      </c>
      <c r="E315" s="65">
        <v>195699240</v>
      </c>
      <c r="F315" s="524">
        <v>2220341</v>
      </c>
      <c r="G315" s="17">
        <v>2018</v>
      </c>
      <c r="H315" s="280" t="str">
        <f>VLOOKUP(D315,Source!F:F,1,FALSE)</f>
        <v>UMass Medical</v>
      </c>
    </row>
    <row r="316" spans="1:8">
      <c r="A316" s="59" t="str">
        <f t="shared" si="86"/>
        <v>UMass Medical2019</v>
      </c>
      <c r="B316" s="17">
        <v>2019</v>
      </c>
      <c r="C316" s="17" t="s">
        <v>700</v>
      </c>
      <c r="D316" s="17" t="s">
        <v>239</v>
      </c>
      <c r="E316" s="65">
        <v>203014680</v>
      </c>
      <c r="F316" s="524">
        <v>996075</v>
      </c>
      <c r="G316" s="17">
        <v>2019</v>
      </c>
      <c r="H316" s="280" t="str">
        <f>VLOOKUP(D316,Source!F:F,1,FALSE)</f>
        <v>UMass Medical</v>
      </c>
    </row>
    <row r="317" spans="1:8">
      <c r="A317" s="59" t="str">
        <f t="shared" ref="A317:A318" si="87">D317&amp;G317</f>
        <v>UMass Medical2020</v>
      </c>
      <c r="B317" s="17">
        <v>2020</v>
      </c>
      <c r="C317" s="17" t="s">
        <v>700</v>
      </c>
      <c r="D317" s="17" t="s">
        <v>239</v>
      </c>
      <c r="E317" s="65">
        <v>197367280</v>
      </c>
      <c r="F317" s="524">
        <v>968366.2</v>
      </c>
      <c r="G317" s="425">
        <v>2020</v>
      </c>
      <c r="H317" s="280" t="str">
        <f>VLOOKUP(D317,Source!F:F,1,FALSE)</f>
        <v>UMass Medical</v>
      </c>
    </row>
    <row r="318" spans="1:8">
      <c r="A318" s="59" t="str">
        <f t="shared" si="87"/>
        <v>UMass Medical2021</v>
      </c>
      <c r="B318" s="17">
        <v>2021</v>
      </c>
      <c r="C318" s="17" t="s">
        <v>700</v>
      </c>
      <c r="D318" s="17" t="s">
        <v>239</v>
      </c>
      <c r="E318" s="65">
        <v>186548208</v>
      </c>
      <c r="F318" s="524">
        <v>915283.32</v>
      </c>
      <c r="G318" s="425">
        <v>2021</v>
      </c>
      <c r="H318" s="280" t="str">
        <f>VLOOKUP(D318,Source!F:F,1,FALSE)</f>
        <v>UMass Medical</v>
      </c>
    </row>
    <row r="319" spans="1:8">
      <c r="A319" s="59" t="str">
        <f t="shared" ref="A319:A320" si="88">D319&amp;G319</f>
        <v>UMass Medical2022</v>
      </c>
      <c r="B319" s="17">
        <v>2022</v>
      </c>
      <c r="C319" s="17" t="s">
        <v>700</v>
      </c>
      <c r="D319" s="17" t="s">
        <v>239</v>
      </c>
      <c r="E319" s="65">
        <v>224584756</v>
      </c>
      <c r="F319" s="524">
        <v>1101906.49</v>
      </c>
      <c r="G319" s="425">
        <v>2022</v>
      </c>
      <c r="H319" s="280" t="str">
        <f>VLOOKUP(D319,Source!F:F,1,FALSE)</f>
        <v>UMass Medical</v>
      </c>
    </row>
    <row r="320" spans="1:8">
      <c r="A320" s="59" t="str">
        <f t="shared" si="88"/>
        <v>UMass Medical2023</v>
      </c>
      <c r="B320" s="17">
        <v>2023</v>
      </c>
      <c r="C320" s="17" t="s">
        <v>700</v>
      </c>
      <c r="D320" s="17" t="s">
        <v>239</v>
      </c>
      <c r="E320" s="841">
        <v>196485388</v>
      </c>
      <c r="F320" s="842">
        <v>1142015</v>
      </c>
      <c r="G320" s="425">
        <v>2023</v>
      </c>
      <c r="H320" s="280" t="str">
        <f>VLOOKUP(D320,Source!F:F,1,FALSE)</f>
        <v>UMass Medical</v>
      </c>
    </row>
    <row r="321" spans="1:8">
      <c r="A321" s="59" t="str">
        <f t="shared" si="85"/>
        <v>Westfield State University2016</v>
      </c>
      <c r="B321" s="17">
        <v>2016</v>
      </c>
      <c r="C321" s="17" t="s">
        <v>472</v>
      </c>
      <c r="D321" s="17" t="s">
        <v>244</v>
      </c>
      <c r="E321" s="65">
        <v>41118700</v>
      </c>
      <c r="F321" s="524">
        <v>296465</v>
      </c>
      <c r="G321" s="17">
        <v>2016</v>
      </c>
      <c r="H321" s="280" t="str">
        <f>VLOOKUP(D321,Source!F:F,1,FALSE)</f>
        <v>Westfield State University</v>
      </c>
    </row>
    <row r="322" spans="1:8">
      <c r="A322" s="59" t="str">
        <f t="shared" ref="A322:A324" si="89">D322&amp;G322</f>
        <v>Westfield State University2017</v>
      </c>
      <c r="B322" s="17">
        <v>2017</v>
      </c>
      <c r="C322" s="17" t="s">
        <v>472</v>
      </c>
      <c r="D322" s="17" t="s">
        <v>244</v>
      </c>
      <c r="E322" s="65">
        <v>39617030</v>
      </c>
      <c r="F322" s="524">
        <v>326673</v>
      </c>
      <c r="G322" s="17">
        <v>2017</v>
      </c>
      <c r="H322" s="280" t="str">
        <f>VLOOKUP(D322,Source!F:F,1,FALSE)</f>
        <v>Westfield State University</v>
      </c>
    </row>
    <row r="323" spans="1:8">
      <c r="A323" s="59" t="str">
        <f t="shared" si="89"/>
        <v>Westfield State University2018</v>
      </c>
      <c r="B323" s="17">
        <v>2018</v>
      </c>
      <c r="C323" s="17" t="s">
        <v>472</v>
      </c>
      <c r="D323" s="17" t="s">
        <v>244</v>
      </c>
      <c r="E323" s="65">
        <v>32617400</v>
      </c>
      <c r="F323" s="524">
        <v>283769</v>
      </c>
      <c r="G323" s="17">
        <v>2018</v>
      </c>
      <c r="H323" s="280" t="str">
        <f>VLOOKUP(D323,Source!F:F,1,FALSE)</f>
        <v>Westfield State University</v>
      </c>
    </row>
    <row r="324" spans="1:8">
      <c r="A324" s="59" t="str">
        <f t="shared" si="89"/>
        <v>Westfield State University2019</v>
      </c>
      <c r="B324" s="17">
        <v>2019</v>
      </c>
      <c r="C324" s="17" t="s">
        <v>472</v>
      </c>
      <c r="D324" s="17" t="s">
        <v>244</v>
      </c>
      <c r="E324" s="65">
        <v>27889130</v>
      </c>
      <c r="F324" s="524">
        <v>266599</v>
      </c>
      <c r="G324" s="17">
        <v>2019</v>
      </c>
      <c r="H324" s="280" t="str">
        <f>VLOOKUP(D324,Source!F:F,1,FALSE)</f>
        <v>Westfield State University</v>
      </c>
    </row>
    <row r="325" spans="1:8">
      <c r="A325" s="59" t="str">
        <f t="shared" ref="A325:A326" si="90">D325&amp;G325</f>
        <v>Westfield State University2020</v>
      </c>
      <c r="B325" s="17">
        <v>2020</v>
      </c>
      <c r="C325" s="17" t="s">
        <v>472</v>
      </c>
      <c r="D325" s="17" t="s">
        <v>244</v>
      </c>
      <c r="E325" s="424" t="s">
        <v>985</v>
      </c>
      <c r="F325" s="520" t="s">
        <v>985</v>
      </c>
      <c r="G325" s="425">
        <v>2020</v>
      </c>
      <c r="H325" s="280" t="str">
        <f>VLOOKUP(D325,Source!F:F,1,FALSE)</f>
        <v>Westfield State University</v>
      </c>
    </row>
    <row r="326" spans="1:8">
      <c r="A326" s="59" t="str">
        <f t="shared" si="90"/>
        <v>Westfield State University2021</v>
      </c>
      <c r="B326" s="17">
        <v>2021</v>
      </c>
      <c r="C326" s="17" t="s">
        <v>472</v>
      </c>
      <c r="D326" s="17" t="s">
        <v>244</v>
      </c>
      <c r="E326" s="424" t="s">
        <v>985</v>
      </c>
      <c r="F326" s="520" t="s">
        <v>985</v>
      </c>
      <c r="G326" s="425">
        <v>2021</v>
      </c>
      <c r="H326" s="280" t="str">
        <f>VLOOKUP(D326,Source!F:F,1,FALSE)</f>
        <v>Westfield State University</v>
      </c>
    </row>
    <row r="327" spans="1:8">
      <c r="A327" s="59" t="str">
        <f t="shared" ref="A327:A328" si="91">D327&amp;G327</f>
        <v>Westfield State University2022</v>
      </c>
      <c r="B327" s="17">
        <v>2022</v>
      </c>
      <c r="C327" s="17" t="s">
        <v>472</v>
      </c>
      <c r="D327" s="17" t="s">
        <v>244</v>
      </c>
      <c r="E327" s="424" t="s">
        <v>985</v>
      </c>
      <c r="F327" s="520" t="s">
        <v>985</v>
      </c>
      <c r="G327" s="425">
        <v>2022</v>
      </c>
      <c r="H327" s="280" t="str">
        <f>VLOOKUP(D327,Source!F:F,1,FALSE)</f>
        <v>Westfield State University</v>
      </c>
    </row>
    <row r="328" spans="1:8">
      <c r="A328" s="59" t="str">
        <f t="shared" si="91"/>
        <v>Westfield State University2023</v>
      </c>
      <c r="B328" s="17">
        <v>2023</v>
      </c>
      <c r="C328" s="17" t="s">
        <v>472</v>
      </c>
      <c r="D328" s="17" t="s">
        <v>244</v>
      </c>
      <c r="E328" s="424" t="s">
        <v>985</v>
      </c>
      <c r="F328" s="520" t="s">
        <v>985</v>
      </c>
      <c r="G328" s="425">
        <v>2023</v>
      </c>
      <c r="H328" s="280" t="str">
        <f>VLOOKUP(D328,Source!F:F,1,FALSE)</f>
        <v>Westfield State University</v>
      </c>
    </row>
    <row r="329" spans="1:8">
      <c r="A329" s="59" t="str">
        <f t="shared" si="85"/>
        <v>Worcester State University2014</v>
      </c>
      <c r="B329" s="17">
        <v>2014</v>
      </c>
      <c r="C329" s="17" t="s">
        <v>472</v>
      </c>
      <c r="D329" s="17" t="s">
        <v>249</v>
      </c>
      <c r="E329" s="65">
        <v>13423792</v>
      </c>
      <c r="F329" s="524">
        <v>63164</v>
      </c>
      <c r="G329" s="17">
        <v>2014</v>
      </c>
      <c r="H329" s="280" t="str">
        <f>VLOOKUP(D329,Source!F:F,1,FALSE)</f>
        <v>Worcester State University</v>
      </c>
    </row>
    <row r="330" spans="1:8">
      <c r="A330" s="59" t="str">
        <f t="shared" si="85"/>
        <v>Worcester State University2015</v>
      </c>
      <c r="B330" s="17">
        <v>2015</v>
      </c>
      <c r="C330" s="17" t="s">
        <v>472</v>
      </c>
      <c r="D330" s="17" t="s">
        <v>249</v>
      </c>
      <c r="E330" s="65">
        <v>17101963</v>
      </c>
      <c r="F330" s="524">
        <v>81038.28</v>
      </c>
      <c r="G330" s="17">
        <v>2015</v>
      </c>
      <c r="H330" s="280" t="str">
        <f>VLOOKUP(D330,Source!F:F,1,FALSE)</f>
        <v>Worcester State University</v>
      </c>
    </row>
    <row r="331" spans="1:8">
      <c r="A331" s="59" t="str">
        <f t="shared" si="85"/>
        <v>Worcester State University2016</v>
      </c>
      <c r="B331" s="17">
        <v>2016</v>
      </c>
      <c r="C331" s="17" t="s">
        <v>472</v>
      </c>
      <c r="D331" s="17" t="s">
        <v>249</v>
      </c>
      <c r="E331" s="65">
        <v>19789115</v>
      </c>
      <c r="F331" s="524">
        <v>95254.2</v>
      </c>
      <c r="G331" s="17">
        <v>2016</v>
      </c>
      <c r="H331" s="280" t="str">
        <f>VLOOKUP(D331,Source!F:F,1,FALSE)</f>
        <v>Worcester State University</v>
      </c>
    </row>
    <row r="332" spans="1:8">
      <c r="A332" s="59" t="str">
        <f t="shared" si="85"/>
        <v>Worcester State University2017</v>
      </c>
      <c r="B332" s="17">
        <v>2017</v>
      </c>
      <c r="C332" s="17" t="s">
        <v>472</v>
      </c>
      <c r="D332" s="17" t="s">
        <v>249</v>
      </c>
      <c r="E332" s="65">
        <v>17646068</v>
      </c>
      <c r="F332" s="524">
        <v>84891.6</v>
      </c>
      <c r="G332" s="17">
        <v>2017</v>
      </c>
      <c r="H332" s="280" t="str">
        <f>VLOOKUP(D332,Source!F:F,1,FALSE)</f>
        <v>Worcester State University</v>
      </c>
    </row>
    <row r="333" spans="1:8">
      <c r="A333" s="59" t="str">
        <f t="shared" ref="A333:A334" si="92">D333&amp;G333</f>
        <v>Worcester State University2018</v>
      </c>
      <c r="B333" s="17">
        <v>2018</v>
      </c>
      <c r="C333" s="17" t="s">
        <v>472</v>
      </c>
      <c r="D333" s="17" t="s">
        <v>249</v>
      </c>
      <c r="E333" s="65">
        <v>17791928</v>
      </c>
      <c r="F333" s="524">
        <v>86444.55</v>
      </c>
      <c r="G333" s="17">
        <v>2018</v>
      </c>
      <c r="H333" s="280" t="str">
        <f>VLOOKUP(D333,Source!F:F,1,FALSE)</f>
        <v>Worcester State University</v>
      </c>
    </row>
    <row r="334" spans="1:8">
      <c r="A334" s="59" t="str">
        <f t="shared" si="92"/>
        <v>Worcester State University2019</v>
      </c>
      <c r="B334" s="17">
        <v>2019</v>
      </c>
      <c r="C334" s="17" t="s">
        <v>472</v>
      </c>
      <c r="D334" s="17" t="s">
        <v>249</v>
      </c>
      <c r="E334" s="65">
        <v>16556635</v>
      </c>
      <c r="F334" s="524">
        <v>80793.52</v>
      </c>
      <c r="G334" s="17">
        <v>2019</v>
      </c>
      <c r="H334" s="280" t="str">
        <f>VLOOKUP(D334,Source!F:F,1,FALSE)</f>
        <v>Worcester State University</v>
      </c>
    </row>
    <row r="335" spans="1:8">
      <c r="A335" s="564" t="str">
        <f t="shared" ref="A335" si="93">D335&amp;G335</f>
        <v>Worcester State University2020</v>
      </c>
      <c r="B335" s="177">
        <v>2020</v>
      </c>
      <c r="C335" s="177" t="s">
        <v>472</v>
      </c>
      <c r="D335" s="177" t="s">
        <v>249</v>
      </c>
      <c r="E335" s="64">
        <v>13481377</v>
      </c>
      <c r="F335" s="525">
        <v>66212.61</v>
      </c>
      <c r="G335" s="565">
        <v>2020</v>
      </c>
      <c r="H335" s="280" t="str">
        <f>VLOOKUP(D335,Source!F:F,1,FALSE)</f>
        <v>Worcester State University</v>
      </c>
    </row>
    <row r="336" spans="1:8">
      <c r="A336" s="17" t="str">
        <f>D336&amp;G336</f>
        <v>Worcester State University2021</v>
      </c>
      <c r="B336" s="17">
        <v>2021</v>
      </c>
      <c r="C336" s="17" t="s">
        <v>472</v>
      </c>
      <c r="D336" s="17" t="s">
        <v>249</v>
      </c>
      <c r="E336" s="65">
        <v>10238575</v>
      </c>
      <c r="F336" s="524">
        <v>67489.3</v>
      </c>
      <c r="G336" s="17">
        <v>2021</v>
      </c>
      <c r="H336" s="280" t="str">
        <f>VLOOKUP(D336,Source!F:F,1,FALSE)</f>
        <v>Worcester State University</v>
      </c>
    </row>
    <row r="337" spans="1:8">
      <c r="A337" s="17" t="str">
        <f>D337&amp;G337</f>
        <v>Worcester State University2022</v>
      </c>
      <c r="B337" s="17">
        <v>2022</v>
      </c>
      <c r="C337" s="17" t="s">
        <v>472</v>
      </c>
      <c r="D337" s="17" t="s">
        <v>249</v>
      </c>
      <c r="E337" s="65">
        <v>13146000</v>
      </c>
      <c r="F337" s="524">
        <v>64332.85</v>
      </c>
      <c r="G337" s="17">
        <v>2022</v>
      </c>
      <c r="H337" s="280" t="str">
        <f>VLOOKUP(D337,Source!F:F,1,FALSE)</f>
        <v>Worcester State University</v>
      </c>
    </row>
    <row r="338" spans="1:8">
      <c r="A338" s="17" t="str">
        <f>D338&amp;G338</f>
        <v>Worcester State University2023</v>
      </c>
      <c r="B338" s="17">
        <v>2023</v>
      </c>
      <c r="C338" s="17" t="s">
        <v>472</v>
      </c>
      <c r="D338" s="17" t="s">
        <v>249</v>
      </c>
      <c r="E338" s="841">
        <v>12645000</v>
      </c>
      <c r="F338" s="842">
        <v>62048.08</v>
      </c>
      <c r="G338" s="17">
        <v>2023</v>
      </c>
      <c r="H338" s="280" t="str">
        <f>VLOOKUP(D338,Source!F:F,1,FALSE)</f>
        <v>Worcester State University</v>
      </c>
    </row>
  </sheetData>
  <autoFilter ref="A1:H336" xr:uid="{00000000-0009-0000-0000-000015000000}">
    <sortState xmlns:xlrd2="http://schemas.microsoft.com/office/spreadsheetml/2017/richdata2" ref="A2:H332">
      <sortCondition ref="A1:A332"/>
    </sortState>
  </autoFilter>
  <sortState xmlns:xlrd2="http://schemas.microsoft.com/office/spreadsheetml/2017/richdata2" ref="A2:H332">
    <sortCondition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4C395-8811-4800-B300-D356BE2FF2C8}">
  <dimension ref="A1:P50"/>
  <sheetViews>
    <sheetView showGridLines="0" zoomScale="70" zoomScaleNormal="70" workbookViewId="0">
      <selection activeCell="B8" sqref="B8:I18"/>
    </sheetView>
  </sheetViews>
  <sheetFormatPr defaultColWidth="0" defaultRowHeight="15.5" zeroHeight="1"/>
  <cols>
    <col min="1" max="1" width="3.453125" style="196" customWidth="1"/>
    <col min="2" max="2" width="22.26953125" style="196" customWidth="1"/>
    <col min="3" max="3" width="13" style="196" bestFit="1" customWidth="1"/>
    <col min="4" max="4" width="74.1796875" style="196" customWidth="1"/>
    <col min="5" max="5" width="16.453125" style="196" customWidth="1"/>
    <col min="6" max="6" width="20.453125" style="196" customWidth="1"/>
    <col min="7" max="7" width="24.7265625" style="196" customWidth="1"/>
    <col min="8" max="8" width="20.26953125" style="196" customWidth="1"/>
    <col min="9" max="9" width="16.1796875" style="196" customWidth="1"/>
    <col min="10" max="10" width="9.453125" style="196" customWidth="1"/>
    <col min="11" max="16" width="0" style="196" hidden="1" customWidth="1"/>
    <col min="17" max="16384" width="9.1796875" style="196" hidden="1"/>
  </cols>
  <sheetData>
    <row r="1" spans="1:16" s="6" customFormat="1" ht="16" thickBot="1">
      <c r="A1" s="530"/>
      <c r="B1" s="1060" t="s">
        <v>23</v>
      </c>
      <c r="C1" s="1060"/>
      <c r="D1" s="1060"/>
      <c r="E1" s="1060"/>
      <c r="F1" s="1060"/>
      <c r="G1" s="1060"/>
      <c r="H1" s="1060"/>
      <c r="I1" s="1060"/>
      <c r="J1" s="530"/>
      <c r="K1" s="530"/>
      <c r="L1" s="530"/>
      <c r="M1" s="530"/>
      <c r="N1" s="530"/>
      <c r="O1" s="530"/>
      <c r="P1" s="530"/>
    </row>
    <row r="2" spans="1:16" s="6" customFormat="1" ht="20" customHeight="1">
      <c r="A2" s="530"/>
      <c r="B2" s="1229" t="s">
        <v>2577</v>
      </c>
      <c r="C2" s="1236" t="s">
        <v>2586</v>
      </c>
      <c r="D2" s="1237"/>
      <c r="E2" s="1237"/>
      <c r="F2" s="1237"/>
      <c r="G2" s="1237"/>
      <c r="H2" s="1237"/>
      <c r="I2" s="1237"/>
      <c r="J2" s="15"/>
      <c r="K2" s="15"/>
      <c r="L2" s="15"/>
      <c r="M2" s="15"/>
      <c r="N2" s="15"/>
      <c r="O2" s="15"/>
      <c r="P2" s="15"/>
    </row>
    <row r="3" spans="1:16" s="6" customFormat="1" ht="28.5" customHeight="1">
      <c r="A3" s="530"/>
      <c r="B3" s="1229"/>
      <c r="C3" s="1225"/>
      <c r="D3" s="1226"/>
      <c r="E3" s="1226"/>
      <c r="F3" s="1226"/>
      <c r="G3" s="1226"/>
      <c r="H3" s="1226"/>
      <c r="I3" s="1226"/>
      <c r="J3" s="15"/>
      <c r="K3" s="15"/>
      <c r="L3" s="15"/>
      <c r="M3" s="15"/>
      <c r="N3" s="15"/>
      <c r="O3" s="15"/>
      <c r="P3" s="15"/>
    </row>
    <row r="4" spans="1:16" s="6" customFormat="1">
      <c r="A4" s="530"/>
      <c r="B4" s="530"/>
      <c r="C4" s="530"/>
      <c r="D4" s="530"/>
      <c r="E4" s="530"/>
      <c r="F4" s="530"/>
      <c r="G4" s="530"/>
      <c r="H4" s="530"/>
      <c r="I4" s="530"/>
      <c r="J4" s="530"/>
      <c r="K4" s="530"/>
      <c r="L4" s="530"/>
      <c r="M4" s="530"/>
      <c r="N4" s="530"/>
      <c r="O4" s="530"/>
      <c r="P4" s="530"/>
    </row>
    <row r="5" spans="1:16" s="6" customFormat="1" ht="21">
      <c r="A5" s="530"/>
      <c r="B5" s="1211" t="s">
        <v>2581</v>
      </c>
      <c r="C5" s="1211"/>
      <c r="D5" s="1211"/>
      <c r="E5" s="1211"/>
      <c r="F5" s="1211"/>
      <c r="G5" s="1211"/>
      <c r="H5" s="1211"/>
      <c r="I5" s="1211"/>
      <c r="J5" s="530"/>
      <c r="K5" s="530"/>
      <c r="L5" s="530"/>
      <c r="M5" s="530"/>
      <c r="N5" s="530"/>
      <c r="O5" s="530"/>
      <c r="P5" s="530"/>
    </row>
    <row r="6" spans="1:16" s="229" customFormat="1" ht="13.5" customHeight="1">
      <c r="E6" s="235"/>
      <c r="F6" s="236"/>
      <c r="G6" s="236"/>
      <c r="H6" s="236"/>
      <c r="I6" s="235"/>
    </row>
    <row r="7" spans="1:16" s="18" customFormat="1" ht="15.75" customHeight="1" thickBot="1">
      <c r="B7" s="1227" t="s">
        <v>2587</v>
      </c>
      <c r="C7" s="1227"/>
      <c r="D7" s="1227"/>
      <c r="E7" s="1227"/>
      <c r="F7" s="1227"/>
      <c r="G7" s="1227"/>
      <c r="H7" s="1227"/>
      <c r="I7" s="1227"/>
      <c r="J7" s="237"/>
      <c r="K7" s="238"/>
      <c r="L7" s="238"/>
      <c r="M7" s="238"/>
      <c r="N7" s="239"/>
    </row>
    <row r="8" spans="1:16" s="18" customFormat="1" ht="15.75" customHeight="1">
      <c r="B8" s="1234"/>
      <c r="C8" s="1234"/>
      <c r="D8" s="1234"/>
      <c r="E8" s="1234"/>
      <c r="F8" s="1234"/>
      <c r="G8" s="1234"/>
      <c r="H8" s="1234"/>
      <c r="I8" s="1234"/>
      <c r="J8" s="240"/>
      <c r="K8" s="241"/>
      <c r="L8" s="241"/>
      <c r="M8" s="241"/>
      <c r="N8" s="242"/>
    </row>
    <row r="9" spans="1:16" s="18" customFormat="1" ht="15.75" customHeight="1">
      <c r="B9" s="1235"/>
      <c r="C9" s="1235"/>
      <c r="D9" s="1235"/>
      <c r="E9" s="1235"/>
      <c r="F9" s="1235"/>
      <c r="G9" s="1235"/>
      <c r="H9" s="1235"/>
      <c r="I9" s="1235"/>
      <c r="J9" s="240"/>
      <c r="K9" s="243"/>
      <c r="L9" s="243"/>
      <c r="M9" s="243"/>
      <c r="N9" s="244"/>
    </row>
    <row r="10" spans="1:16" s="18" customFormat="1" ht="15.75" customHeight="1">
      <c r="B10" s="1235"/>
      <c r="C10" s="1235"/>
      <c r="D10" s="1235"/>
      <c r="E10" s="1235"/>
      <c r="F10" s="1235"/>
      <c r="G10" s="1235"/>
      <c r="H10" s="1235"/>
      <c r="I10" s="1235"/>
      <c r="J10" s="240"/>
      <c r="K10" s="243"/>
      <c r="L10" s="243"/>
      <c r="M10" s="243"/>
      <c r="N10" s="244"/>
    </row>
    <row r="11" spans="1:16" s="18" customFormat="1" ht="15.75" customHeight="1">
      <c r="B11" s="1235"/>
      <c r="C11" s="1235"/>
      <c r="D11" s="1235"/>
      <c r="E11" s="1235"/>
      <c r="F11" s="1235"/>
      <c r="G11" s="1235"/>
      <c r="H11" s="1235"/>
      <c r="I11" s="1235"/>
      <c r="J11" s="240"/>
      <c r="K11" s="243"/>
      <c r="L11" s="243"/>
      <c r="M11" s="243"/>
      <c r="N11" s="244"/>
    </row>
    <row r="12" spans="1:16" s="229" customFormat="1">
      <c r="B12" s="1235"/>
      <c r="C12" s="1235"/>
      <c r="D12" s="1235"/>
      <c r="E12" s="1235"/>
      <c r="F12" s="1235"/>
      <c r="G12" s="1235"/>
      <c r="H12" s="1235"/>
      <c r="I12" s="1235"/>
      <c r="J12" s="240"/>
      <c r="K12" s="240"/>
      <c r="L12" s="240"/>
      <c r="M12" s="240"/>
      <c r="N12" s="240"/>
    </row>
    <row r="13" spans="1:16" s="229" customFormat="1" ht="12" customHeight="1">
      <c r="B13" s="1235"/>
      <c r="C13" s="1235"/>
      <c r="D13" s="1235"/>
      <c r="E13" s="1235"/>
      <c r="F13" s="1235"/>
      <c r="G13" s="1235"/>
      <c r="H13" s="1235"/>
      <c r="I13" s="1235"/>
    </row>
    <row r="14" spans="1:16" ht="0.75" customHeight="1">
      <c r="B14" s="1235"/>
      <c r="C14" s="1235"/>
      <c r="D14" s="1235"/>
      <c r="E14" s="1235"/>
      <c r="F14" s="1235"/>
      <c r="G14" s="1235"/>
      <c r="H14" s="1235"/>
      <c r="I14" s="1235"/>
      <c r="J14" s="529"/>
      <c r="K14" s="529"/>
      <c r="L14" s="529"/>
      <c r="M14" s="529"/>
      <c r="N14" s="529"/>
    </row>
    <row r="15" spans="1:16" ht="15.75" customHeight="1">
      <c r="B15" s="1235"/>
      <c r="C15" s="1235"/>
      <c r="D15" s="1235"/>
      <c r="E15" s="1235"/>
      <c r="F15" s="1235"/>
      <c r="G15" s="1235"/>
      <c r="H15" s="1235"/>
      <c r="I15" s="1235"/>
      <c r="J15" s="529"/>
      <c r="K15" s="529"/>
      <c r="L15" s="529"/>
      <c r="M15" s="529"/>
      <c r="N15" s="529"/>
    </row>
    <row r="16" spans="1:16" ht="15.75" customHeight="1">
      <c r="B16" s="1235"/>
      <c r="C16" s="1235"/>
      <c r="D16" s="1235"/>
      <c r="E16" s="1235"/>
      <c r="F16" s="1235"/>
      <c r="G16" s="1235"/>
      <c r="H16" s="1235"/>
      <c r="I16" s="1235"/>
      <c r="J16" s="529"/>
      <c r="K16" s="529"/>
      <c r="L16" s="529"/>
      <c r="M16" s="529"/>
      <c r="N16" s="529"/>
    </row>
    <row r="17" spans="2:14" ht="15.75" customHeight="1">
      <c r="B17" s="1235"/>
      <c r="C17" s="1235"/>
      <c r="D17" s="1235"/>
      <c r="E17" s="1235"/>
      <c r="F17" s="1235"/>
      <c r="G17" s="1235"/>
      <c r="H17" s="1235"/>
      <c r="I17" s="1235"/>
      <c r="J17" s="529"/>
      <c r="K17" s="529"/>
      <c r="L17" s="529"/>
      <c r="M17" s="529"/>
      <c r="N17" s="529"/>
    </row>
    <row r="18" spans="2:14">
      <c r="B18" s="1235"/>
      <c r="C18" s="1235"/>
      <c r="D18" s="1235"/>
      <c r="E18" s="1235"/>
      <c r="F18" s="1235"/>
      <c r="G18" s="1235"/>
      <c r="H18" s="1235"/>
      <c r="I18" s="1235"/>
      <c r="J18" s="529"/>
      <c r="K18" s="529"/>
      <c r="L18" s="529"/>
      <c r="M18" s="529"/>
      <c r="N18" s="529"/>
    </row>
    <row r="19" spans="2:14">
      <c r="B19" s="529"/>
      <c r="C19" s="529"/>
      <c r="D19" s="529"/>
      <c r="E19" s="529"/>
      <c r="F19" s="529"/>
      <c r="G19" s="529"/>
      <c r="H19" s="529"/>
      <c r="I19" s="529"/>
      <c r="J19" s="529"/>
      <c r="K19" s="529"/>
      <c r="L19" s="529"/>
      <c r="M19" s="529"/>
      <c r="N19" s="529"/>
    </row>
    <row r="20" spans="2:14">
      <c r="B20" s="529"/>
      <c r="C20" s="529"/>
      <c r="D20" s="529"/>
      <c r="E20" s="529"/>
      <c r="F20" s="529"/>
      <c r="G20" s="529"/>
      <c r="H20" s="529"/>
      <c r="I20" s="529"/>
      <c r="J20" s="529"/>
      <c r="K20" s="529"/>
      <c r="L20" s="529"/>
      <c r="M20" s="529"/>
      <c r="N20" s="529"/>
    </row>
    <row r="21" spans="2:14">
      <c r="B21" s="529"/>
      <c r="C21" s="529"/>
      <c r="D21" s="529"/>
      <c r="E21" s="529"/>
      <c r="F21" s="529"/>
      <c r="G21" s="529"/>
      <c r="H21" s="529"/>
      <c r="I21" s="529"/>
      <c r="J21" s="529"/>
      <c r="K21" s="529"/>
      <c r="L21" s="529"/>
      <c r="M21" s="529"/>
      <c r="N21" s="529"/>
    </row>
    <row r="22" spans="2:14"/>
    <row r="23" spans="2:14"/>
    <row r="26" spans="2:14"/>
    <row r="27" spans="2:14"/>
    <row r="28" spans="2:14"/>
    <row r="29" spans="2:14"/>
    <row r="32" spans="2:14"/>
    <row r="33"/>
    <row r="34"/>
    <row r="35"/>
    <row r="36"/>
    <row r="37"/>
    <row r="38"/>
    <row r="39"/>
    <row r="40"/>
    <row r="41"/>
    <row r="42"/>
    <row r="43"/>
    <row r="44"/>
    <row r="45"/>
    <row r="48"/>
    <row r="49"/>
    <row r="50"/>
  </sheetData>
  <sheetProtection selectLockedCells="1"/>
  <mergeCells count="6">
    <mergeCell ref="B8:I18"/>
    <mergeCell ref="B1:I1"/>
    <mergeCell ref="B2:B3"/>
    <mergeCell ref="C2:I3"/>
    <mergeCell ref="B5:I5"/>
    <mergeCell ref="B7:I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5703-9571-43E1-99DB-C7676A64FA07}">
  <sheetPr>
    <tabColor theme="3" tint="0.59999389629810485"/>
  </sheetPr>
  <dimension ref="A1:K63"/>
  <sheetViews>
    <sheetView showGridLines="0" topLeftCell="A57" zoomScale="80" zoomScaleNormal="80" workbookViewId="0">
      <selection activeCell="I5" sqref="I5"/>
    </sheetView>
  </sheetViews>
  <sheetFormatPr defaultRowHeight="14.5"/>
  <cols>
    <col min="1" max="1" width="36.54296875" style="885" customWidth="1"/>
    <col min="2" max="2" width="17.26953125" style="885" customWidth="1"/>
    <col min="3" max="4" width="18.453125" style="885" customWidth="1"/>
    <col min="5" max="5" width="15.26953125" style="885" customWidth="1"/>
    <col min="6" max="7" width="14.90625" style="885" customWidth="1"/>
    <col min="8" max="8" width="14.08984375" style="885" customWidth="1"/>
    <col min="9" max="9" width="21.36328125" style="886" customWidth="1"/>
    <col min="10" max="10" width="8.7265625" style="886"/>
    <col min="11" max="11" width="19.7265625" style="886" customWidth="1"/>
    <col min="12" max="16384" width="8.7265625" style="886"/>
  </cols>
  <sheetData>
    <row r="1" spans="1:9" ht="26" customHeight="1">
      <c r="A1" s="942" t="s">
        <v>2583</v>
      </c>
      <c r="B1" s="942"/>
      <c r="C1" s="942"/>
      <c r="D1" s="942"/>
      <c r="E1" s="942"/>
      <c r="F1" s="942"/>
    </row>
    <row r="2" spans="1:9" ht="28" customHeight="1">
      <c r="A2" s="942"/>
      <c r="B2" s="942"/>
      <c r="C2" s="942"/>
      <c r="D2" s="942"/>
      <c r="E2" s="942"/>
      <c r="F2" s="942"/>
    </row>
    <row r="4" spans="1:9">
      <c r="A4" s="944" t="s">
        <v>2482</v>
      </c>
      <c r="B4" s="944"/>
      <c r="C4" s="944"/>
      <c r="D4" s="944"/>
      <c r="E4" s="944"/>
      <c r="F4" s="944"/>
    </row>
    <row r="5" spans="1:9" ht="57" customHeight="1">
      <c r="A5" s="895" t="s">
        <v>2483</v>
      </c>
      <c r="B5" s="943" t="s">
        <v>2567</v>
      </c>
      <c r="C5" s="943"/>
      <c r="D5" s="943"/>
      <c r="E5" s="943"/>
      <c r="F5" s="943"/>
    </row>
    <row r="6" spans="1:9" ht="41.5" customHeight="1">
      <c r="A6" s="903" t="s">
        <v>2572</v>
      </c>
      <c r="B6" s="943" t="s">
        <v>2566</v>
      </c>
      <c r="C6" s="943"/>
      <c r="D6" s="943"/>
      <c r="E6" s="943"/>
      <c r="F6" s="943"/>
    </row>
    <row r="7" spans="1:9" ht="47.5" customHeight="1">
      <c r="A7" s="903" t="s">
        <v>2573</v>
      </c>
      <c r="B7" s="943" t="s">
        <v>2568</v>
      </c>
      <c r="C7" s="943"/>
      <c r="D7" s="943"/>
      <c r="E7" s="943"/>
      <c r="F7" s="943"/>
    </row>
    <row r="8" spans="1:9" ht="75.5" customHeight="1">
      <c r="A8" s="895" t="s">
        <v>2485</v>
      </c>
      <c r="B8" s="943" t="s">
        <v>2569</v>
      </c>
      <c r="C8" s="943"/>
      <c r="D8" s="943"/>
      <c r="E8" s="943"/>
      <c r="F8" s="943"/>
    </row>
    <row r="9" spans="1:9" ht="61" customHeight="1">
      <c r="A9" s="895" t="s">
        <v>2486</v>
      </c>
      <c r="B9" s="943" t="s">
        <v>2570</v>
      </c>
      <c r="C9" s="943"/>
      <c r="D9" s="943"/>
      <c r="E9" s="943"/>
      <c r="F9" s="943"/>
    </row>
    <row r="10" spans="1:9" ht="47" customHeight="1">
      <c r="A10" s="895" t="s">
        <v>2487</v>
      </c>
      <c r="B10" s="943" t="s">
        <v>2571</v>
      </c>
      <c r="C10" s="943"/>
      <c r="D10" s="943"/>
      <c r="E10" s="943"/>
      <c r="F10" s="943"/>
    </row>
    <row r="12" spans="1:9" s="889" customFormat="1">
      <c r="A12" s="887" t="s">
        <v>2488</v>
      </c>
      <c r="B12" s="887" t="s">
        <v>2579</v>
      </c>
      <c r="C12" s="887" t="s">
        <v>347</v>
      </c>
      <c r="D12" s="887" t="s">
        <v>2489</v>
      </c>
      <c r="E12" s="888" t="s">
        <v>2490</v>
      </c>
      <c r="F12" s="887" t="s">
        <v>379</v>
      </c>
      <c r="G12" s="887" t="s">
        <v>2491</v>
      </c>
      <c r="H12" s="887" t="s">
        <v>2492</v>
      </c>
      <c r="I12" s="887" t="s">
        <v>2580</v>
      </c>
    </row>
    <row r="13" spans="1:9" s="889" customFormat="1" ht="29">
      <c r="A13" s="895" t="s">
        <v>52</v>
      </c>
      <c r="B13" s="891" t="s">
        <v>2484</v>
      </c>
      <c r="C13" s="890" t="s">
        <v>2493</v>
      </c>
      <c r="D13" s="890" t="s">
        <v>433</v>
      </c>
      <c r="E13" s="890" t="s">
        <v>2485</v>
      </c>
      <c r="F13" s="890" t="s">
        <v>693</v>
      </c>
      <c r="G13" s="890" t="s">
        <v>433</v>
      </c>
      <c r="H13" s="890" t="s">
        <v>433</v>
      </c>
      <c r="I13" s="890" t="s">
        <v>433</v>
      </c>
    </row>
    <row r="14" spans="1:9" s="889" customFormat="1" ht="29">
      <c r="A14" s="895" t="s">
        <v>61</v>
      </c>
      <c r="B14" s="891" t="s">
        <v>2484</v>
      </c>
      <c r="C14" s="891" t="s">
        <v>2484</v>
      </c>
      <c r="D14" s="891" t="s">
        <v>2485</v>
      </c>
      <c r="E14" s="890" t="s">
        <v>2485</v>
      </c>
      <c r="F14" s="890" t="s">
        <v>693</v>
      </c>
      <c r="G14" s="890" t="s">
        <v>433</v>
      </c>
      <c r="H14" s="890" t="s">
        <v>433</v>
      </c>
      <c r="I14" s="890" t="s">
        <v>433</v>
      </c>
    </row>
    <row r="15" spans="1:9" s="889" customFormat="1" ht="29">
      <c r="A15" s="895" t="s">
        <v>28</v>
      </c>
      <c r="B15" s="890" t="s">
        <v>2493</v>
      </c>
      <c r="C15" s="891" t="s">
        <v>2484</v>
      </c>
      <c r="D15" s="890" t="s">
        <v>433</v>
      </c>
      <c r="E15" s="890" t="s">
        <v>2485</v>
      </c>
      <c r="F15" s="890" t="s">
        <v>693</v>
      </c>
      <c r="G15" s="890" t="s">
        <v>433</v>
      </c>
      <c r="H15" s="890" t="s">
        <v>433</v>
      </c>
      <c r="I15" s="890" t="s">
        <v>433</v>
      </c>
    </row>
    <row r="16" spans="1:9" s="889" customFormat="1">
      <c r="A16" s="895" t="s">
        <v>76</v>
      </c>
      <c r="B16" s="890" t="s">
        <v>2493</v>
      </c>
      <c r="C16" s="890" t="s">
        <v>2493</v>
      </c>
      <c r="D16" s="890" t="s">
        <v>433</v>
      </c>
      <c r="E16" s="890" t="s">
        <v>2485</v>
      </c>
      <c r="F16" s="890" t="s">
        <v>693</v>
      </c>
      <c r="G16" s="890" t="s">
        <v>433</v>
      </c>
      <c r="H16" s="890" t="s">
        <v>433</v>
      </c>
      <c r="I16" s="890" t="s">
        <v>433</v>
      </c>
    </row>
    <row r="17" spans="1:9" s="889" customFormat="1">
      <c r="A17" s="895" t="s">
        <v>81</v>
      </c>
      <c r="B17" s="890" t="s">
        <v>2493</v>
      </c>
      <c r="C17" s="890" t="s">
        <v>2493</v>
      </c>
      <c r="D17" s="890" t="s">
        <v>2485</v>
      </c>
      <c r="E17" s="890" t="s">
        <v>2485</v>
      </c>
      <c r="F17" s="890" t="s">
        <v>693</v>
      </c>
      <c r="G17" s="890" t="s">
        <v>2486</v>
      </c>
      <c r="H17" s="890" t="s">
        <v>433</v>
      </c>
      <c r="I17" s="890" t="s">
        <v>433</v>
      </c>
    </row>
    <row r="18" spans="1:9" s="889" customFormat="1">
      <c r="A18" s="895" t="s">
        <v>82</v>
      </c>
      <c r="B18" s="890" t="s">
        <v>2493</v>
      </c>
      <c r="C18" s="890" t="s">
        <v>2493</v>
      </c>
      <c r="D18" s="890" t="s">
        <v>433</v>
      </c>
      <c r="E18" s="890" t="s">
        <v>2485</v>
      </c>
      <c r="F18" s="890" t="s">
        <v>693</v>
      </c>
      <c r="G18" s="890" t="s">
        <v>433</v>
      </c>
      <c r="H18" s="890" t="s">
        <v>433</v>
      </c>
      <c r="I18" s="890" t="s">
        <v>433</v>
      </c>
    </row>
    <row r="19" spans="1:9" s="889" customFormat="1">
      <c r="A19" s="895" t="s">
        <v>95</v>
      </c>
      <c r="B19" s="890" t="s">
        <v>2493</v>
      </c>
      <c r="C19" s="890" t="s">
        <v>2493</v>
      </c>
      <c r="D19" s="890" t="s">
        <v>2485</v>
      </c>
      <c r="E19" s="890" t="s">
        <v>2485</v>
      </c>
      <c r="F19" s="890" t="s">
        <v>693</v>
      </c>
      <c r="G19" s="890" t="s">
        <v>2486</v>
      </c>
      <c r="H19" s="890" t="s">
        <v>433</v>
      </c>
      <c r="I19" s="890" t="s">
        <v>433</v>
      </c>
    </row>
    <row r="20" spans="1:9" s="889" customFormat="1">
      <c r="A20" s="895" t="s">
        <v>96</v>
      </c>
      <c r="B20" s="890" t="s">
        <v>2493</v>
      </c>
      <c r="C20" s="890" t="s">
        <v>2493</v>
      </c>
      <c r="D20" s="890" t="s">
        <v>2485</v>
      </c>
      <c r="E20" s="890" t="s">
        <v>2485</v>
      </c>
      <c r="F20" s="890" t="s">
        <v>433</v>
      </c>
      <c r="G20" s="890" t="s">
        <v>2486</v>
      </c>
      <c r="H20" s="890" t="s">
        <v>433</v>
      </c>
      <c r="I20" s="890" t="s">
        <v>433</v>
      </c>
    </row>
    <row r="21" spans="1:9" s="889" customFormat="1">
      <c r="A21" s="895" t="s">
        <v>97</v>
      </c>
      <c r="B21" s="890" t="s">
        <v>2493</v>
      </c>
      <c r="C21" s="890" t="s">
        <v>2493</v>
      </c>
      <c r="D21" s="890" t="s">
        <v>2485</v>
      </c>
      <c r="E21" s="890" t="s">
        <v>2485</v>
      </c>
      <c r="F21" s="890" t="s">
        <v>433</v>
      </c>
      <c r="G21" s="890" t="s">
        <v>2486</v>
      </c>
      <c r="H21" s="890" t="s">
        <v>433</v>
      </c>
      <c r="I21" s="890" t="s">
        <v>433</v>
      </c>
    </row>
    <row r="22" spans="1:9" s="889" customFormat="1">
      <c r="A22" s="895" t="s">
        <v>105</v>
      </c>
      <c r="B22" s="890" t="s">
        <v>2493</v>
      </c>
      <c r="C22" s="890" t="s">
        <v>2493</v>
      </c>
      <c r="D22" s="890" t="s">
        <v>2485</v>
      </c>
      <c r="E22" s="890" t="s">
        <v>2485</v>
      </c>
      <c r="F22" s="890" t="s">
        <v>433</v>
      </c>
      <c r="G22" s="890" t="s">
        <v>2486</v>
      </c>
      <c r="H22" s="890" t="s">
        <v>433</v>
      </c>
      <c r="I22" s="890" t="s">
        <v>433</v>
      </c>
    </row>
    <row r="23" spans="1:9" s="889" customFormat="1">
      <c r="A23" s="895" t="s">
        <v>106</v>
      </c>
      <c r="B23" s="890" t="s">
        <v>2493</v>
      </c>
      <c r="C23" s="890" t="s">
        <v>2493</v>
      </c>
      <c r="D23" s="890" t="s">
        <v>2485</v>
      </c>
      <c r="E23" s="890" t="s">
        <v>2485</v>
      </c>
      <c r="F23" s="890" t="s">
        <v>433</v>
      </c>
      <c r="G23" s="890" t="s">
        <v>2486</v>
      </c>
      <c r="H23" s="890" t="s">
        <v>433</v>
      </c>
      <c r="I23" s="890" t="s">
        <v>433</v>
      </c>
    </row>
    <row r="24" spans="1:9" s="889" customFormat="1">
      <c r="A24" s="895" t="s">
        <v>107</v>
      </c>
      <c r="B24" s="890" t="s">
        <v>2493</v>
      </c>
      <c r="C24" s="890" t="s">
        <v>2493</v>
      </c>
      <c r="D24" s="890" t="s">
        <v>2485</v>
      </c>
      <c r="E24" s="890" t="s">
        <v>2485</v>
      </c>
      <c r="F24" s="890" t="s">
        <v>433</v>
      </c>
      <c r="G24" s="890" t="s">
        <v>2486</v>
      </c>
      <c r="H24" s="890" t="s">
        <v>433</v>
      </c>
      <c r="I24" s="890" t="s">
        <v>433</v>
      </c>
    </row>
    <row r="25" spans="1:9" s="889" customFormat="1">
      <c r="A25" s="895" t="s">
        <v>108</v>
      </c>
      <c r="B25" s="890" t="s">
        <v>2493</v>
      </c>
      <c r="C25" s="890" t="s">
        <v>2493</v>
      </c>
      <c r="D25" s="890" t="s">
        <v>2485</v>
      </c>
      <c r="E25" s="890" t="s">
        <v>2485</v>
      </c>
      <c r="F25" s="890" t="s">
        <v>433</v>
      </c>
      <c r="G25" s="890" t="s">
        <v>2486</v>
      </c>
      <c r="H25" s="890" t="s">
        <v>433</v>
      </c>
      <c r="I25" s="890" t="s">
        <v>433</v>
      </c>
    </row>
    <row r="26" spans="1:9" s="889" customFormat="1">
      <c r="A26" s="895" t="s">
        <v>109</v>
      </c>
      <c r="B26" s="890" t="s">
        <v>2493</v>
      </c>
      <c r="C26" s="890" t="s">
        <v>2493</v>
      </c>
      <c r="D26" s="890" t="s">
        <v>2485</v>
      </c>
      <c r="E26" s="890" t="s">
        <v>2485</v>
      </c>
      <c r="F26" s="890" t="s">
        <v>433</v>
      </c>
      <c r="G26" s="890" t="s">
        <v>2486</v>
      </c>
      <c r="H26" s="890" t="s">
        <v>433</v>
      </c>
      <c r="I26" s="890" t="s">
        <v>433</v>
      </c>
    </row>
    <row r="27" spans="1:9" s="889" customFormat="1">
      <c r="A27" s="895" t="s">
        <v>110</v>
      </c>
      <c r="B27" s="890" t="s">
        <v>2493</v>
      </c>
      <c r="C27" s="890" t="s">
        <v>2493</v>
      </c>
      <c r="D27" s="890" t="s">
        <v>2485</v>
      </c>
      <c r="E27" s="890" t="s">
        <v>2485</v>
      </c>
      <c r="F27" s="890" t="s">
        <v>433</v>
      </c>
      <c r="G27" s="890" t="s">
        <v>2486</v>
      </c>
      <c r="H27" s="890" t="s">
        <v>433</v>
      </c>
      <c r="I27" s="890" t="s">
        <v>433</v>
      </c>
    </row>
    <row r="28" spans="1:9" s="889" customFormat="1">
      <c r="A28" s="895" t="s">
        <v>111</v>
      </c>
      <c r="B28" s="890" t="s">
        <v>2493</v>
      </c>
      <c r="C28" s="890" t="s">
        <v>2493</v>
      </c>
      <c r="D28" s="890" t="s">
        <v>2485</v>
      </c>
      <c r="E28" s="890" t="s">
        <v>2485</v>
      </c>
      <c r="F28" s="890" t="s">
        <v>433</v>
      </c>
      <c r="G28" s="890" t="s">
        <v>2486</v>
      </c>
      <c r="H28" s="890" t="s">
        <v>433</v>
      </c>
      <c r="I28" s="890" t="s">
        <v>433</v>
      </c>
    </row>
    <row r="29" spans="1:9" s="889" customFormat="1">
      <c r="A29" s="895" t="s">
        <v>112</v>
      </c>
      <c r="B29" s="890" t="s">
        <v>2493</v>
      </c>
      <c r="C29" s="890" t="s">
        <v>2493</v>
      </c>
      <c r="D29" s="890" t="s">
        <v>2485</v>
      </c>
      <c r="E29" s="890" t="s">
        <v>2485</v>
      </c>
      <c r="F29" s="890" t="s">
        <v>433</v>
      </c>
      <c r="G29" s="890" t="s">
        <v>2486</v>
      </c>
      <c r="H29" s="890" t="s">
        <v>433</v>
      </c>
      <c r="I29" s="890" t="s">
        <v>433</v>
      </c>
    </row>
    <row r="30" spans="1:9" s="889" customFormat="1" ht="29">
      <c r="A30" s="895" t="s">
        <v>113</v>
      </c>
      <c r="B30" s="891" t="s">
        <v>2484</v>
      </c>
      <c r="C30" s="891" t="s">
        <v>2484</v>
      </c>
      <c r="D30" s="891" t="s">
        <v>433</v>
      </c>
      <c r="E30" s="890" t="s">
        <v>433</v>
      </c>
      <c r="F30" s="890" t="s">
        <v>433</v>
      </c>
      <c r="G30" s="890" t="s">
        <v>2486</v>
      </c>
      <c r="H30" s="890" t="s">
        <v>433</v>
      </c>
      <c r="I30" s="890" t="s">
        <v>433</v>
      </c>
    </row>
    <row r="31" spans="1:9" s="889" customFormat="1" ht="29">
      <c r="A31" s="895" t="s">
        <v>114</v>
      </c>
      <c r="B31" s="891" t="s">
        <v>2484</v>
      </c>
      <c r="C31" s="891" t="s">
        <v>2484</v>
      </c>
      <c r="D31" s="891" t="s">
        <v>433</v>
      </c>
      <c r="E31" s="890" t="s">
        <v>2485</v>
      </c>
      <c r="F31" s="890" t="s">
        <v>693</v>
      </c>
      <c r="G31" s="890" t="s">
        <v>433</v>
      </c>
      <c r="H31" s="890" t="s">
        <v>433</v>
      </c>
      <c r="I31" s="890" t="s">
        <v>433</v>
      </c>
    </row>
    <row r="32" spans="1:9" s="889" customFormat="1" ht="29">
      <c r="A32" s="895" t="s">
        <v>36</v>
      </c>
      <c r="B32" s="891" t="s">
        <v>2484</v>
      </c>
      <c r="C32" s="891" t="s">
        <v>2484</v>
      </c>
      <c r="D32" s="891" t="s">
        <v>433</v>
      </c>
      <c r="E32" s="890" t="s">
        <v>2485</v>
      </c>
      <c r="F32" s="890" t="s">
        <v>693</v>
      </c>
      <c r="G32" s="890" t="s">
        <v>433</v>
      </c>
      <c r="H32" s="890" t="s">
        <v>433</v>
      </c>
      <c r="I32" s="890" t="s">
        <v>433</v>
      </c>
    </row>
    <row r="33" spans="1:9" s="889" customFormat="1">
      <c r="A33" s="895" t="s">
        <v>1294</v>
      </c>
      <c r="B33" s="890" t="s">
        <v>2494</v>
      </c>
      <c r="C33" s="890" t="s">
        <v>2493</v>
      </c>
      <c r="D33" s="890" t="s">
        <v>433</v>
      </c>
      <c r="E33" s="890" t="s">
        <v>433</v>
      </c>
      <c r="F33" s="890" t="s">
        <v>693</v>
      </c>
      <c r="G33" s="890" t="s">
        <v>433</v>
      </c>
      <c r="H33" s="890" t="s">
        <v>433</v>
      </c>
      <c r="I33" s="890" t="s">
        <v>433</v>
      </c>
    </row>
    <row r="34" spans="1:9" s="889" customFormat="1">
      <c r="A34" s="895" t="s">
        <v>134</v>
      </c>
      <c r="B34" s="890" t="s">
        <v>2493</v>
      </c>
      <c r="C34" s="890" t="s">
        <v>2493</v>
      </c>
      <c r="D34" s="890" t="s">
        <v>433</v>
      </c>
      <c r="E34" s="890" t="s">
        <v>2485</v>
      </c>
      <c r="F34" s="890" t="s">
        <v>693</v>
      </c>
      <c r="G34" s="890" t="s">
        <v>433</v>
      </c>
      <c r="H34" s="890" t="s">
        <v>433</v>
      </c>
      <c r="I34" s="890" t="s">
        <v>433</v>
      </c>
    </row>
    <row r="35" spans="1:9" s="889" customFormat="1">
      <c r="A35" s="895" t="s">
        <v>138</v>
      </c>
      <c r="B35" s="890" t="s">
        <v>2493</v>
      </c>
      <c r="C35" s="890" t="s">
        <v>2493</v>
      </c>
      <c r="D35" s="890" t="s">
        <v>2485</v>
      </c>
      <c r="E35" s="890" t="s">
        <v>2485</v>
      </c>
      <c r="F35" s="890" t="s">
        <v>693</v>
      </c>
      <c r="G35" s="890" t="s">
        <v>2486</v>
      </c>
      <c r="H35" s="890" t="s">
        <v>433</v>
      </c>
      <c r="I35" s="890" t="s">
        <v>433</v>
      </c>
    </row>
    <row r="36" spans="1:9" s="889" customFormat="1">
      <c r="A36" s="895" t="s">
        <v>141</v>
      </c>
      <c r="B36" s="890" t="s">
        <v>2493</v>
      </c>
      <c r="C36" s="890" t="s">
        <v>2493</v>
      </c>
      <c r="D36" s="890" t="s">
        <v>2485</v>
      </c>
      <c r="E36" s="890" t="s">
        <v>2485</v>
      </c>
      <c r="F36" s="890" t="s">
        <v>693</v>
      </c>
      <c r="G36" s="890" t="s">
        <v>2486</v>
      </c>
      <c r="H36" s="890" t="s">
        <v>433</v>
      </c>
      <c r="I36" s="890" t="s">
        <v>433</v>
      </c>
    </row>
    <row r="37" spans="1:9" s="889" customFormat="1">
      <c r="A37" s="895" t="s">
        <v>142</v>
      </c>
      <c r="B37" s="890" t="s">
        <v>2493</v>
      </c>
      <c r="C37" s="890" t="s">
        <v>2493</v>
      </c>
      <c r="D37" s="890" t="s">
        <v>433</v>
      </c>
      <c r="E37" s="890" t="s">
        <v>2485</v>
      </c>
      <c r="F37" s="890" t="s">
        <v>693</v>
      </c>
      <c r="G37" s="890" t="s">
        <v>433</v>
      </c>
      <c r="H37" s="890" t="s">
        <v>433</v>
      </c>
      <c r="I37" s="890" t="s">
        <v>433</v>
      </c>
    </row>
    <row r="38" spans="1:9" s="889" customFormat="1">
      <c r="A38" s="895" t="s">
        <v>146</v>
      </c>
      <c r="B38" s="890" t="s">
        <v>2493</v>
      </c>
      <c r="C38" s="890" t="s">
        <v>2493</v>
      </c>
      <c r="D38" s="890" t="s">
        <v>433</v>
      </c>
      <c r="E38" s="890" t="s">
        <v>2485</v>
      </c>
      <c r="F38" s="890" t="s">
        <v>693</v>
      </c>
      <c r="G38" s="890" t="s">
        <v>433</v>
      </c>
      <c r="H38" s="890" t="s">
        <v>433</v>
      </c>
      <c r="I38" s="890" t="s">
        <v>433</v>
      </c>
    </row>
    <row r="39" spans="1:9" s="889" customFormat="1">
      <c r="A39" s="895" t="s">
        <v>148</v>
      </c>
      <c r="B39" s="890" t="s">
        <v>2493</v>
      </c>
      <c r="C39" s="890" t="s">
        <v>2493</v>
      </c>
      <c r="D39" s="890" t="s">
        <v>433</v>
      </c>
      <c r="E39" s="890" t="s">
        <v>2485</v>
      </c>
      <c r="F39" s="890" t="s">
        <v>693</v>
      </c>
      <c r="G39" s="890" t="s">
        <v>433</v>
      </c>
      <c r="H39" s="890" t="s">
        <v>433</v>
      </c>
      <c r="I39" s="890" t="s">
        <v>433</v>
      </c>
    </row>
    <row r="40" spans="1:9" s="889" customFormat="1" ht="29">
      <c r="A40" s="895" t="s">
        <v>151</v>
      </c>
      <c r="B40" s="891" t="s">
        <v>2484</v>
      </c>
      <c r="C40" s="891" t="s">
        <v>2484</v>
      </c>
      <c r="D40" s="890" t="s">
        <v>433</v>
      </c>
      <c r="E40" s="890" t="s">
        <v>433</v>
      </c>
      <c r="F40" s="890" t="s">
        <v>433</v>
      </c>
      <c r="G40" s="890" t="s">
        <v>433</v>
      </c>
      <c r="H40" s="890" t="s">
        <v>433</v>
      </c>
      <c r="I40" s="890" t="s">
        <v>433</v>
      </c>
    </row>
    <row r="41" spans="1:9" s="889" customFormat="1">
      <c r="A41" s="895" t="s">
        <v>159</v>
      </c>
      <c r="B41" s="890" t="s">
        <v>433</v>
      </c>
      <c r="C41" s="890" t="s">
        <v>433</v>
      </c>
      <c r="D41" s="890" t="s">
        <v>433</v>
      </c>
      <c r="E41" s="890" t="s">
        <v>433</v>
      </c>
      <c r="F41" s="890" t="s">
        <v>433</v>
      </c>
      <c r="G41" s="890" t="s">
        <v>433</v>
      </c>
      <c r="H41" s="890" t="s">
        <v>433</v>
      </c>
      <c r="I41" s="890" t="s">
        <v>433</v>
      </c>
    </row>
    <row r="42" spans="1:9" s="889" customFormat="1">
      <c r="A42" s="895" t="s">
        <v>168</v>
      </c>
      <c r="B42" s="890" t="s">
        <v>2493</v>
      </c>
      <c r="C42" s="890" t="s">
        <v>2493</v>
      </c>
      <c r="D42" s="890" t="s">
        <v>433</v>
      </c>
      <c r="E42" s="890" t="s">
        <v>2485</v>
      </c>
      <c r="F42" s="890" t="s">
        <v>693</v>
      </c>
      <c r="G42" s="890" t="s">
        <v>433</v>
      </c>
      <c r="H42" s="890" t="s">
        <v>433</v>
      </c>
      <c r="I42" s="890" t="s">
        <v>433</v>
      </c>
    </row>
    <row r="43" spans="1:9" s="889" customFormat="1">
      <c r="A43" s="895" t="s">
        <v>179</v>
      </c>
      <c r="B43" s="890" t="s">
        <v>2493</v>
      </c>
      <c r="C43" s="890" t="s">
        <v>2493</v>
      </c>
      <c r="D43" s="890" t="s">
        <v>2485</v>
      </c>
      <c r="E43" s="890" t="s">
        <v>2485</v>
      </c>
      <c r="F43" s="890" t="s">
        <v>433</v>
      </c>
      <c r="G43" s="890" t="s">
        <v>2486</v>
      </c>
      <c r="H43" s="890" t="s">
        <v>433</v>
      </c>
      <c r="I43" s="890" t="s">
        <v>433</v>
      </c>
    </row>
    <row r="44" spans="1:9" s="889" customFormat="1">
      <c r="A44" s="895" t="s">
        <v>180</v>
      </c>
      <c r="B44" s="890" t="s">
        <v>2493</v>
      </c>
      <c r="C44" s="890" t="s">
        <v>2493</v>
      </c>
      <c r="D44" s="890" t="s">
        <v>2485</v>
      </c>
      <c r="E44" s="890" t="s">
        <v>2485</v>
      </c>
      <c r="F44" s="890" t="s">
        <v>433</v>
      </c>
      <c r="G44" s="890" t="s">
        <v>433</v>
      </c>
      <c r="H44" s="890" t="s">
        <v>433</v>
      </c>
      <c r="I44" s="890" t="s">
        <v>433</v>
      </c>
    </row>
    <row r="45" spans="1:9" s="889" customFormat="1">
      <c r="A45" s="895" t="s">
        <v>181</v>
      </c>
      <c r="B45" s="890" t="s">
        <v>433</v>
      </c>
      <c r="C45" s="890" t="s">
        <v>433</v>
      </c>
      <c r="D45" s="890" t="s">
        <v>433</v>
      </c>
      <c r="E45" s="890" t="s">
        <v>433</v>
      </c>
      <c r="F45" s="890" t="s">
        <v>433</v>
      </c>
      <c r="G45" s="890" t="s">
        <v>433</v>
      </c>
      <c r="H45" s="890" t="s">
        <v>433</v>
      </c>
      <c r="I45" s="890" t="s">
        <v>433</v>
      </c>
    </row>
    <row r="46" spans="1:9" s="889" customFormat="1" ht="29">
      <c r="A46" s="895" t="s">
        <v>190</v>
      </c>
      <c r="B46" s="890" t="s">
        <v>2493</v>
      </c>
      <c r="C46" s="891" t="s">
        <v>2484</v>
      </c>
      <c r="D46" s="890" t="s">
        <v>433</v>
      </c>
      <c r="E46" s="890" t="s">
        <v>2485</v>
      </c>
      <c r="F46" s="890" t="s">
        <v>693</v>
      </c>
      <c r="G46" s="890" t="s">
        <v>433</v>
      </c>
      <c r="H46" s="890" t="s">
        <v>433</v>
      </c>
      <c r="I46" s="890" t="s">
        <v>433</v>
      </c>
    </row>
    <row r="47" spans="1:9" s="889" customFormat="1">
      <c r="A47" s="895" t="s">
        <v>191</v>
      </c>
      <c r="B47" s="890" t="s">
        <v>2493</v>
      </c>
      <c r="C47" s="890" t="s">
        <v>2493</v>
      </c>
      <c r="D47" s="890" t="s">
        <v>2485</v>
      </c>
      <c r="E47" s="890" t="s">
        <v>2485</v>
      </c>
      <c r="F47" s="890" t="s">
        <v>433</v>
      </c>
      <c r="G47" s="890" t="s">
        <v>2486</v>
      </c>
      <c r="H47" s="890" t="s">
        <v>433</v>
      </c>
      <c r="I47" s="890" t="s">
        <v>433</v>
      </c>
    </row>
    <row r="48" spans="1:9" s="889" customFormat="1">
      <c r="A48" s="895" t="s">
        <v>192</v>
      </c>
      <c r="B48" s="890" t="s">
        <v>2493</v>
      </c>
      <c r="C48" s="890" t="s">
        <v>2493</v>
      </c>
      <c r="D48" s="890" t="s">
        <v>433</v>
      </c>
      <c r="E48" s="890" t="s">
        <v>433</v>
      </c>
      <c r="F48" s="890" t="s">
        <v>433</v>
      </c>
      <c r="G48" s="890" t="s">
        <v>433</v>
      </c>
      <c r="H48" s="890" t="s">
        <v>433</v>
      </c>
      <c r="I48" s="890" t="s">
        <v>433</v>
      </c>
    </row>
    <row r="49" spans="1:11" s="889" customFormat="1" ht="29">
      <c r="A49" s="895" t="s">
        <v>195</v>
      </c>
      <c r="B49" s="891" t="s">
        <v>2484</v>
      </c>
      <c r="C49" s="891" t="s">
        <v>2484</v>
      </c>
      <c r="D49" s="890" t="s">
        <v>433</v>
      </c>
      <c r="E49" s="890" t="s">
        <v>433</v>
      </c>
      <c r="F49" s="890" t="s">
        <v>693</v>
      </c>
      <c r="G49" s="890" t="s">
        <v>433</v>
      </c>
      <c r="H49" s="890" t="s">
        <v>433</v>
      </c>
      <c r="I49" s="890" t="s">
        <v>433</v>
      </c>
    </row>
    <row r="50" spans="1:11" s="889" customFormat="1">
      <c r="A50" s="895" t="s">
        <v>203</v>
      </c>
      <c r="B50" s="890" t="s">
        <v>2493</v>
      </c>
      <c r="C50" s="890" t="s">
        <v>2493</v>
      </c>
      <c r="D50" s="890" t="s">
        <v>433</v>
      </c>
      <c r="E50" s="890" t="s">
        <v>433</v>
      </c>
      <c r="F50" s="890" t="s">
        <v>693</v>
      </c>
      <c r="G50" s="890" t="s">
        <v>433</v>
      </c>
      <c r="H50" s="890" t="s">
        <v>433</v>
      </c>
      <c r="I50" s="890" t="s">
        <v>433</v>
      </c>
    </row>
    <row r="51" spans="1:11" s="889" customFormat="1" ht="29">
      <c r="A51" s="895" t="s">
        <v>204</v>
      </c>
      <c r="B51" s="891" t="s">
        <v>2484</v>
      </c>
      <c r="C51" s="891" t="s">
        <v>2484</v>
      </c>
      <c r="D51" s="890" t="s">
        <v>433</v>
      </c>
      <c r="E51" s="890" t="s">
        <v>2485</v>
      </c>
      <c r="F51" s="890" t="s">
        <v>693</v>
      </c>
      <c r="G51" s="890" t="s">
        <v>433</v>
      </c>
      <c r="H51" s="890" t="s">
        <v>433</v>
      </c>
      <c r="I51" s="890" t="s">
        <v>433</v>
      </c>
    </row>
    <row r="52" spans="1:11" s="889" customFormat="1">
      <c r="A52" s="895" t="s">
        <v>209</v>
      </c>
      <c r="B52" s="890" t="s">
        <v>2493</v>
      </c>
      <c r="C52" s="890" t="s">
        <v>2493</v>
      </c>
      <c r="D52" s="890" t="s">
        <v>433</v>
      </c>
      <c r="E52" s="890" t="s">
        <v>2485</v>
      </c>
      <c r="F52" s="890" t="s">
        <v>693</v>
      </c>
      <c r="G52" s="890" t="s">
        <v>433</v>
      </c>
      <c r="H52" s="890" t="s">
        <v>433</v>
      </c>
      <c r="I52" s="890" t="s">
        <v>433</v>
      </c>
    </row>
    <row r="53" spans="1:11" s="889" customFormat="1" ht="29">
      <c r="A53" s="895" t="s">
        <v>211</v>
      </c>
      <c r="B53" s="891" t="s">
        <v>2484</v>
      </c>
      <c r="C53" s="891" t="s">
        <v>2484</v>
      </c>
      <c r="D53" s="891" t="s">
        <v>433</v>
      </c>
      <c r="E53" s="890" t="s">
        <v>2485</v>
      </c>
      <c r="F53" s="890" t="s">
        <v>693</v>
      </c>
      <c r="G53" s="890" t="s">
        <v>433</v>
      </c>
      <c r="H53" s="890" t="s">
        <v>433</v>
      </c>
      <c r="I53" s="890" t="s">
        <v>433</v>
      </c>
    </row>
    <row r="54" spans="1:11" s="889" customFormat="1" ht="29">
      <c r="A54" s="895" t="s">
        <v>216</v>
      </c>
      <c r="B54" s="891" t="s">
        <v>2484</v>
      </c>
      <c r="C54" s="891" t="s">
        <v>2484</v>
      </c>
      <c r="D54" s="890" t="s">
        <v>433</v>
      </c>
      <c r="E54" s="890" t="s">
        <v>2485</v>
      </c>
      <c r="F54" s="890" t="s">
        <v>433</v>
      </c>
      <c r="G54" s="890" t="s">
        <v>433</v>
      </c>
      <c r="H54" s="890" t="s">
        <v>433</v>
      </c>
      <c r="I54" s="890" t="s">
        <v>433</v>
      </c>
    </row>
    <row r="55" spans="1:11" s="889" customFormat="1">
      <c r="A55" s="895" t="s">
        <v>221</v>
      </c>
      <c r="B55" s="890" t="s">
        <v>2493</v>
      </c>
      <c r="C55" s="890" t="s">
        <v>2493</v>
      </c>
      <c r="D55" s="890" t="s">
        <v>2485</v>
      </c>
      <c r="E55" s="890" t="s">
        <v>2485</v>
      </c>
      <c r="F55" s="890" t="s">
        <v>693</v>
      </c>
      <c r="G55" s="890" t="s">
        <v>2486</v>
      </c>
      <c r="H55" s="890" t="s">
        <v>433</v>
      </c>
      <c r="I55" s="890" t="s">
        <v>433</v>
      </c>
    </row>
    <row r="56" spans="1:11" s="889" customFormat="1">
      <c r="A56" s="895" t="s">
        <v>222</v>
      </c>
      <c r="B56" s="890" t="s">
        <v>433</v>
      </c>
      <c r="C56" s="890" t="s">
        <v>433</v>
      </c>
      <c r="D56" s="890" t="s">
        <v>433</v>
      </c>
      <c r="E56" s="890" t="s">
        <v>433</v>
      </c>
      <c r="F56" s="890" t="s">
        <v>433</v>
      </c>
      <c r="G56" s="890" t="s">
        <v>433</v>
      </c>
      <c r="H56" s="890" t="s">
        <v>433</v>
      </c>
      <c r="I56" s="890" t="s">
        <v>433</v>
      </c>
    </row>
    <row r="57" spans="1:11" s="889" customFormat="1">
      <c r="A57" s="895" t="s">
        <v>227</v>
      </c>
      <c r="B57" s="890" t="s">
        <v>433</v>
      </c>
      <c r="C57" s="890" t="s">
        <v>433</v>
      </c>
      <c r="D57" s="890" t="s">
        <v>433</v>
      </c>
      <c r="E57" s="890" t="s">
        <v>433</v>
      </c>
      <c r="F57" s="890" t="s">
        <v>433</v>
      </c>
      <c r="G57" s="890" t="s">
        <v>433</v>
      </c>
      <c r="H57" s="890" t="s">
        <v>433</v>
      </c>
      <c r="I57" s="890" t="s">
        <v>433</v>
      </c>
    </row>
    <row r="58" spans="1:11" s="889" customFormat="1">
      <c r="A58" s="895" t="s">
        <v>229</v>
      </c>
      <c r="B58" s="890" t="s">
        <v>433</v>
      </c>
      <c r="C58" s="890" t="s">
        <v>433</v>
      </c>
      <c r="D58" s="890" t="s">
        <v>433</v>
      </c>
      <c r="E58" s="890" t="s">
        <v>433</v>
      </c>
      <c r="F58" s="890" t="s">
        <v>433</v>
      </c>
      <c r="G58" s="890" t="s">
        <v>433</v>
      </c>
      <c r="H58" s="890" t="s">
        <v>433</v>
      </c>
      <c r="I58" s="890" t="s">
        <v>433</v>
      </c>
    </row>
    <row r="59" spans="1:11" s="889" customFormat="1">
      <c r="A59" s="895" t="s">
        <v>234</v>
      </c>
      <c r="B59" s="890" t="s">
        <v>433</v>
      </c>
      <c r="C59" s="890" t="s">
        <v>433</v>
      </c>
      <c r="D59" s="890" t="s">
        <v>433</v>
      </c>
      <c r="E59" s="890" t="s">
        <v>433</v>
      </c>
      <c r="F59" s="890" t="s">
        <v>693</v>
      </c>
      <c r="G59" s="890" t="s">
        <v>433</v>
      </c>
      <c r="H59" s="890" t="s">
        <v>433</v>
      </c>
      <c r="I59" s="890" t="s">
        <v>433</v>
      </c>
    </row>
    <row r="60" spans="1:11" s="889" customFormat="1">
      <c r="A60" s="895" t="s">
        <v>239</v>
      </c>
      <c r="B60" s="890" t="s">
        <v>433</v>
      </c>
      <c r="C60" s="890" t="s">
        <v>433</v>
      </c>
      <c r="D60" s="890" t="s">
        <v>433</v>
      </c>
      <c r="E60" s="890" t="s">
        <v>433</v>
      </c>
      <c r="F60" s="890" t="s">
        <v>693</v>
      </c>
      <c r="G60" s="890" t="s">
        <v>433</v>
      </c>
      <c r="H60" s="890" t="s">
        <v>433</v>
      </c>
      <c r="I60" s="890" t="s">
        <v>433</v>
      </c>
    </row>
    <row r="61" spans="1:11" s="889" customFormat="1">
      <c r="A61" s="895" t="s">
        <v>244</v>
      </c>
      <c r="B61" s="890" t="s">
        <v>2493</v>
      </c>
      <c r="C61" s="890" t="s">
        <v>2493</v>
      </c>
      <c r="D61" s="890" t="s">
        <v>433</v>
      </c>
      <c r="E61" s="890" t="s">
        <v>2485</v>
      </c>
      <c r="F61" s="890" t="s">
        <v>693</v>
      </c>
      <c r="G61" s="890" t="s">
        <v>433</v>
      </c>
      <c r="H61" s="890" t="s">
        <v>433</v>
      </c>
      <c r="I61" s="890" t="s">
        <v>433</v>
      </c>
    </row>
    <row r="62" spans="1:11" s="889" customFormat="1" ht="29">
      <c r="A62" s="895" t="s">
        <v>249</v>
      </c>
      <c r="B62" s="891" t="s">
        <v>2484</v>
      </c>
      <c r="C62" s="891" t="s">
        <v>2484</v>
      </c>
      <c r="D62" s="891" t="s">
        <v>433</v>
      </c>
      <c r="E62" s="890" t="s">
        <v>2485</v>
      </c>
      <c r="F62" s="890" t="s">
        <v>433</v>
      </c>
      <c r="G62" s="890" t="s">
        <v>433</v>
      </c>
      <c r="H62" s="890" t="s">
        <v>433</v>
      </c>
      <c r="I62" s="890" t="s">
        <v>433</v>
      </c>
    </row>
    <row r="63" spans="1:11">
      <c r="K63" s="889"/>
    </row>
  </sheetData>
  <autoFilter ref="A12:I12" xr:uid="{76025703-9571-43E1-99DB-C7676A64FA07}"/>
  <mergeCells count="8">
    <mergeCell ref="A1:F2"/>
    <mergeCell ref="B10:F10"/>
    <mergeCell ref="A4:F4"/>
    <mergeCell ref="B5:F5"/>
    <mergeCell ref="B6:F6"/>
    <mergeCell ref="B7:F7"/>
    <mergeCell ref="B8:F8"/>
    <mergeCell ref="B9:F9"/>
  </mergeCells>
  <conditionalFormatting sqref="B13:I62">
    <cfRule type="containsText" dxfId="39" priority="1" operator="containsText" text="Agency">
      <formula>NOT(ISERROR(SEARCH("Agency",B13)))</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O140"/>
  <sheetViews>
    <sheetView showGridLines="0" zoomScale="70" zoomScaleNormal="70" workbookViewId="0">
      <selection activeCell="D35" sqref="D35:E35"/>
    </sheetView>
  </sheetViews>
  <sheetFormatPr defaultColWidth="0" defaultRowHeight="14.5"/>
  <cols>
    <col min="1" max="1" width="3.1796875" style="247" customWidth="1"/>
    <col min="2" max="2" width="3.7265625" style="43" customWidth="1"/>
    <col min="3" max="3" width="9.1796875" style="43" bestFit="1" customWidth="1"/>
    <col min="4" max="4" width="12" style="43" customWidth="1"/>
    <col min="5" max="5" width="14.1796875" style="43" customWidth="1"/>
    <col min="6" max="6" width="12.26953125" style="43" customWidth="1"/>
    <col min="7" max="7" width="11.1796875" style="43" customWidth="1"/>
    <col min="8" max="8" width="11.7265625" style="43" customWidth="1"/>
    <col min="9" max="9" width="15" style="43" customWidth="1"/>
    <col min="10" max="10" width="48.1796875" style="43" customWidth="1"/>
    <col min="11" max="11" width="90.08984375" style="43" customWidth="1"/>
    <col min="12" max="12" width="9.1796875" style="43" customWidth="1"/>
    <col min="13" max="16384" width="9.1796875" style="43" hidden="1"/>
  </cols>
  <sheetData>
    <row r="1" spans="2:11" ht="15" thickBot="1">
      <c r="B1" s="1060" t="s">
        <v>23</v>
      </c>
      <c r="C1" s="1060"/>
      <c r="D1" s="1060"/>
      <c r="E1" s="1060"/>
      <c r="F1" s="1060"/>
      <c r="G1" s="1060"/>
      <c r="H1" s="1060"/>
      <c r="I1" s="1060"/>
      <c r="J1" s="1060"/>
      <c r="K1" s="1060"/>
    </row>
    <row r="2" spans="2:11" ht="15" customHeight="1">
      <c r="B2" s="1229" t="s">
        <v>988</v>
      </c>
      <c r="C2" s="1021"/>
      <c r="D2" s="1285" t="s">
        <v>989</v>
      </c>
      <c r="E2" s="1286"/>
      <c r="F2" s="1286"/>
      <c r="G2" s="1286"/>
      <c r="H2" s="1286"/>
      <c r="I2" s="1286"/>
      <c r="J2" s="1286"/>
      <c r="K2" s="1286"/>
    </row>
    <row r="3" spans="2:11">
      <c r="B3" s="1229"/>
      <c r="C3" s="1021"/>
      <c r="D3" s="1287"/>
      <c r="E3" s="1288"/>
      <c r="F3" s="1288"/>
      <c r="G3" s="1288"/>
      <c r="H3" s="1288"/>
      <c r="I3" s="1288"/>
      <c r="J3" s="1288"/>
      <c r="K3" s="1288"/>
    </row>
    <row r="4" spans="2:11" ht="15" thickBot="1">
      <c r="B4" s="1229"/>
      <c r="C4" s="1021"/>
      <c r="D4" s="1289"/>
      <c r="E4" s="1290"/>
      <c r="F4" s="1290"/>
      <c r="G4" s="1290"/>
      <c r="H4" s="1290"/>
      <c r="I4" s="1290"/>
      <c r="J4" s="1290"/>
      <c r="K4" s="1290"/>
    </row>
    <row r="5" spans="2:11" ht="15" customHeight="1">
      <c r="B5" s="1229"/>
      <c r="C5" s="1021"/>
      <c r="D5" s="1291" t="s">
        <v>990</v>
      </c>
      <c r="E5" s="1292"/>
      <c r="F5" s="1292"/>
      <c r="G5" s="1292"/>
      <c r="H5" s="1292"/>
      <c r="I5" s="1292"/>
      <c r="J5" s="1292"/>
      <c r="K5" s="1292"/>
    </row>
    <row r="6" spans="2:11" ht="15" thickBot="1">
      <c r="B6" s="72"/>
      <c r="C6" s="72"/>
      <c r="D6" s="72"/>
      <c r="E6" s="72"/>
      <c r="F6" s="72"/>
      <c r="G6" s="72"/>
      <c r="H6" s="72"/>
      <c r="I6" s="72"/>
      <c r="J6" s="72"/>
      <c r="K6" s="72"/>
    </row>
    <row r="7" spans="2:11" ht="19" customHeight="1" thickBot="1">
      <c r="B7" s="1303" t="s">
        <v>394</v>
      </c>
      <c r="C7" s="1303"/>
      <c r="D7" s="1300" t="s">
        <v>991</v>
      </c>
      <c r="E7" s="1300"/>
      <c r="F7" s="1300"/>
      <c r="G7" s="1300"/>
      <c r="H7" s="1300"/>
      <c r="I7" s="1300"/>
      <c r="J7" s="1300"/>
      <c r="K7" s="1300"/>
    </row>
    <row r="8" spans="2:11" ht="19" customHeight="1" thickBot="1">
      <c r="B8" s="1299" t="s">
        <v>284</v>
      </c>
      <c r="C8" s="1299"/>
      <c r="D8" s="1300" t="s">
        <v>992</v>
      </c>
      <c r="E8" s="1300"/>
      <c r="F8" s="1300"/>
      <c r="G8" s="1300"/>
      <c r="H8" s="1300"/>
      <c r="I8" s="1300"/>
      <c r="J8" s="1300"/>
      <c r="K8" s="1300"/>
    </row>
    <row r="9" spans="2:11" ht="19" customHeight="1" thickBot="1">
      <c r="B9" s="1299" t="s">
        <v>301</v>
      </c>
      <c r="C9" s="1299"/>
      <c r="D9" s="1300" t="s">
        <v>993</v>
      </c>
      <c r="E9" s="1300"/>
      <c r="F9" s="1300"/>
      <c r="G9" s="1300"/>
      <c r="H9" s="1300"/>
      <c r="I9" s="1300"/>
      <c r="J9" s="1300"/>
      <c r="K9" s="1300"/>
    </row>
    <row r="10" spans="2:11" ht="19" customHeight="1" thickBot="1">
      <c r="B10" s="1299" t="s">
        <v>306</v>
      </c>
      <c r="C10" s="1299"/>
      <c r="D10" s="1300" t="s">
        <v>994</v>
      </c>
      <c r="E10" s="1300"/>
      <c r="F10" s="1300"/>
      <c r="G10" s="1300"/>
      <c r="H10" s="1300"/>
      <c r="I10" s="1300"/>
      <c r="J10" s="1300"/>
      <c r="K10" s="1300"/>
    </row>
    <row r="11" spans="2:11">
      <c r="B11" s="72"/>
      <c r="C11" s="72"/>
      <c r="D11" s="72"/>
      <c r="E11" s="72"/>
      <c r="F11" s="72"/>
      <c r="G11" s="72"/>
      <c r="H11" s="72"/>
      <c r="I11" s="72"/>
      <c r="J11" s="72"/>
      <c r="K11" s="72"/>
    </row>
    <row r="12" spans="2:11">
      <c r="B12" s="72"/>
      <c r="C12" s="72"/>
      <c r="D12" s="72"/>
      <c r="E12" s="72"/>
      <c r="F12" s="72"/>
      <c r="G12" s="72"/>
      <c r="H12" s="72"/>
      <c r="I12" s="72"/>
      <c r="J12" s="72"/>
      <c r="K12" s="72"/>
    </row>
    <row r="13" spans="2:11" ht="40" customHeight="1">
      <c r="B13" s="1238" t="s">
        <v>995</v>
      </c>
      <c r="C13" s="1238"/>
      <c r="D13" s="1238"/>
      <c r="E13" s="1238"/>
      <c r="F13" s="1238"/>
      <c r="G13" s="1238"/>
      <c r="H13" s="1238"/>
      <c r="I13" s="1238"/>
      <c r="J13" s="1238"/>
      <c r="K13" s="1238"/>
    </row>
    <row r="14" spans="2:11" ht="11.25" customHeight="1">
      <c r="B14" s="248"/>
      <c r="C14" s="248"/>
      <c r="D14" s="248"/>
      <c r="E14" s="248"/>
      <c r="F14" s="248"/>
      <c r="G14" s="248"/>
      <c r="H14" s="248"/>
      <c r="I14" s="248"/>
      <c r="J14" s="248"/>
      <c r="K14" s="248"/>
    </row>
    <row r="15" spans="2:11" s="66" customFormat="1" ht="31.5" hidden="1" customHeight="1">
      <c r="D15" s="966" t="s">
        <v>27</v>
      </c>
      <c r="E15" s="966"/>
      <c r="F15" s="966"/>
      <c r="G15" s="966"/>
      <c r="H15" s="966"/>
      <c r="I15" s="967"/>
      <c r="J15" s="1028" t="str">
        <f>'Contact Information '!J9</f>
        <v>Please select your answer from the dropdown</v>
      </c>
      <c r="K15" s="1029"/>
    </row>
    <row r="16" spans="2:11" ht="3" customHeight="1" thickBot="1">
      <c r="B16" s="1279"/>
      <c r="C16" s="1279"/>
      <c r="D16" s="1279"/>
      <c r="E16" s="1279"/>
      <c r="F16" s="1279"/>
      <c r="G16" s="1279"/>
      <c r="H16" s="1279"/>
      <c r="I16" s="1279"/>
      <c r="J16" s="1279"/>
      <c r="K16" s="1279"/>
    </row>
    <row r="17" spans="1:15" ht="21" customHeight="1" thickBot="1">
      <c r="A17" s="249"/>
      <c r="B17" s="473">
        <v>1</v>
      </c>
      <c r="C17" s="1293" t="s">
        <v>996</v>
      </c>
      <c r="D17" s="1294"/>
      <c r="E17" s="1294"/>
      <c r="F17" s="1294"/>
      <c r="G17" s="1294"/>
      <c r="H17" s="1294"/>
      <c r="I17" s="1294"/>
      <c r="J17" s="1295"/>
      <c r="K17" s="470"/>
    </row>
    <row r="18" spans="1:15" ht="30.65" customHeight="1" thickBot="1">
      <c r="B18" s="471">
        <v>2</v>
      </c>
      <c r="C18" s="1296" t="s">
        <v>997</v>
      </c>
      <c r="D18" s="1297"/>
      <c r="E18" s="1297"/>
      <c r="F18" s="1297"/>
      <c r="G18" s="1297"/>
      <c r="H18" s="1297"/>
      <c r="I18" s="1297"/>
      <c r="J18" s="1298"/>
      <c r="K18" s="470"/>
    </row>
    <row r="19" spans="1:15" s="50" customFormat="1" ht="17.25" customHeight="1">
      <c r="A19" s="250"/>
      <c r="B19" s="246"/>
      <c r="C19" s="245"/>
      <c r="D19" s="245"/>
      <c r="E19" s="245"/>
      <c r="F19" s="46"/>
      <c r="H19" s="472" t="s">
        <v>998</v>
      </c>
      <c r="I19" s="472"/>
      <c r="J19" s="472"/>
      <c r="K19" s="474" t="str">
        <f>IFERROR(K17/(K17+K18),"")</f>
        <v/>
      </c>
    </row>
    <row r="21" spans="1:15" ht="20.149999999999999" customHeight="1" thickBot="1">
      <c r="B21" s="471">
        <v>4</v>
      </c>
      <c r="C21" s="1280" t="s">
        <v>999</v>
      </c>
      <c r="D21" s="1227"/>
      <c r="E21" s="1227"/>
      <c r="F21" s="1227"/>
      <c r="G21" s="1227"/>
      <c r="H21" s="1227"/>
      <c r="I21" s="1227"/>
      <c r="J21" s="1227"/>
      <c r="K21" s="1227"/>
    </row>
    <row r="22" spans="1:15" ht="15" customHeight="1">
      <c r="B22" s="1281"/>
      <c r="C22" s="1281"/>
      <c r="D22" s="1281"/>
      <c r="E22" s="1281"/>
      <c r="F22" s="1281"/>
      <c r="G22" s="1281"/>
      <c r="H22" s="1281"/>
      <c r="I22" s="1281"/>
      <c r="J22" s="1281"/>
      <c r="K22" s="1281"/>
    </row>
    <row r="23" spans="1:15" ht="3.75" customHeight="1">
      <c r="B23" s="1282"/>
      <c r="C23" s="1282"/>
      <c r="D23" s="1282"/>
      <c r="E23" s="1282"/>
      <c r="F23" s="1282"/>
      <c r="G23" s="1282"/>
      <c r="H23" s="1282"/>
      <c r="I23" s="1282"/>
      <c r="J23" s="1282"/>
      <c r="K23" s="1282"/>
    </row>
    <row r="24" spans="1:15" s="222" customFormat="1" ht="15" customHeight="1">
      <c r="B24" s="1282"/>
      <c r="C24" s="1282"/>
      <c r="D24" s="1282"/>
      <c r="E24" s="1282"/>
      <c r="F24" s="1282"/>
      <c r="G24" s="1282"/>
      <c r="H24" s="1282"/>
      <c r="I24" s="1282"/>
      <c r="J24" s="1282"/>
      <c r="K24" s="1282"/>
    </row>
    <row r="25" spans="1:15">
      <c r="B25" s="1282"/>
      <c r="C25" s="1282"/>
      <c r="D25" s="1282"/>
      <c r="E25" s="1282"/>
      <c r="F25" s="1282"/>
      <c r="G25" s="1282"/>
      <c r="H25" s="1282"/>
      <c r="I25" s="1282"/>
      <c r="J25" s="1282"/>
      <c r="K25" s="1282"/>
      <c r="L25" s="251"/>
      <c r="M25" s="251"/>
      <c r="N25" s="251"/>
      <c r="O25" s="251"/>
    </row>
    <row r="26" spans="1:15">
      <c r="B26" s="643"/>
      <c r="C26" s="643"/>
      <c r="D26" s="643"/>
      <c r="E26" s="643"/>
      <c r="F26" s="643"/>
      <c r="G26" s="643"/>
      <c r="H26" s="643"/>
      <c r="I26" s="643"/>
      <c r="J26" s="643"/>
      <c r="K26" s="643"/>
      <c r="L26" s="251"/>
      <c r="M26" s="251"/>
      <c r="N26" s="251"/>
      <c r="O26" s="251"/>
    </row>
    <row r="27" spans="1:15">
      <c r="B27" s="673">
        <v>5</v>
      </c>
      <c r="C27" s="1302" t="s">
        <v>1712</v>
      </c>
      <c r="D27" s="1302"/>
      <c r="E27" s="1302"/>
      <c r="F27" s="1302"/>
      <c r="G27" s="1302"/>
      <c r="H27" s="1302"/>
      <c r="I27" s="1302"/>
      <c r="J27" s="1302"/>
      <c r="K27" s="674" t="s">
        <v>1502</v>
      </c>
      <c r="L27" s="251"/>
      <c r="M27" s="251"/>
      <c r="N27" s="251"/>
      <c r="O27" s="251"/>
    </row>
    <row r="28" spans="1:15">
      <c r="B28" s="1301"/>
      <c r="C28" s="1301"/>
      <c r="D28" s="1301"/>
      <c r="E28" s="1301"/>
      <c r="F28" s="1301"/>
      <c r="G28" s="1301"/>
      <c r="H28" s="1301"/>
      <c r="I28" s="1301"/>
      <c r="J28" s="1301"/>
      <c r="K28" s="1301"/>
      <c r="L28" s="251"/>
      <c r="M28" s="251"/>
      <c r="N28" s="251"/>
      <c r="O28" s="251"/>
    </row>
    <row r="29" spans="1:15">
      <c r="B29" s="1301"/>
      <c r="C29" s="1301"/>
      <c r="D29" s="1301"/>
      <c r="E29" s="1301"/>
      <c r="F29" s="1301"/>
      <c r="G29" s="1301"/>
      <c r="H29" s="1301"/>
      <c r="I29" s="1301"/>
      <c r="J29" s="1301"/>
      <c r="K29" s="1301"/>
      <c r="L29" s="251"/>
      <c r="M29" s="251"/>
      <c r="N29" s="251"/>
      <c r="O29" s="251"/>
    </row>
    <row r="31" spans="1:15" ht="29.15" customHeight="1">
      <c r="B31" s="1238" t="s">
        <v>1000</v>
      </c>
      <c r="C31" s="1238"/>
      <c r="D31" s="1238"/>
      <c r="E31" s="1238"/>
      <c r="F31" s="1238"/>
      <c r="G31" s="1238"/>
      <c r="H31" s="1238"/>
      <c r="I31" s="1238"/>
      <c r="J31" s="1238"/>
      <c r="K31" s="1238"/>
    </row>
    <row r="33" spans="2:11" ht="15" thickBot="1">
      <c r="B33" s="1283">
        <v>5</v>
      </c>
      <c r="C33" s="475" t="s">
        <v>1001</v>
      </c>
      <c r="D33" s="1261" t="s">
        <v>983</v>
      </c>
      <c r="E33" s="1261"/>
      <c r="F33" s="1261" t="s">
        <v>1002</v>
      </c>
      <c r="G33" s="1261"/>
      <c r="H33" s="1261" t="s">
        <v>409</v>
      </c>
      <c r="I33" s="1261"/>
      <c r="J33" s="1261"/>
      <c r="K33" s="1261"/>
    </row>
    <row r="34" spans="2:11" ht="15" customHeight="1" thickBot="1">
      <c r="B34" s="1283"/>
      <c r="C34" s="468">
        <v>2022</v>
      </c>
      <c r="D34" s="1267" t="str">
        <f>IFERROR(VLOOKUP($J$15&amp;$C34,'Source Water'!A:H,5,FALSE),"")</f>
        <v/>
      </c>
      <c r="E34" s="1268"/>
      <c r="F34" s="1262" t="str">
        <f>IFERROR(VLOOKUP($J$15&amp;$C34,'Source Water'!A:J,6,FALSE),"")</f>
        <v/>
      </c>
      <c r="G34" s="1263"/>
      <c r="H34" s="1264"/>
      <c r="I34" s="1265"/>
      <c r="J34" s="1265"/>
      <c r="K34" s="1266"/>
    </row>
    <row r="35" spans="2:11" ht="15" thickBot="1">
      <c r="B35" s="1283"/>
      <c r="C35" s="468">
        <v>2023</v>
      </c>
      <c r="D35" s="1267" t="str">
        <f>IFERROR(VLOOKUP($J$15&amp;$C35,'Source Water'!A:H,5,FALSE),"")</f>
        <v/>
      </c>
      <c r="E35" s="1268"/>
      <c r="F35" s="1262" t="str">
        <f>IFERROR(VLOOKUP($J$15&amp;$C35,'Source Water'!A:J,6,FALSE),"")</f>
        <v/>
      </c>
      <c r="G35" s="1263"/>
      <c r="H35" s="1269"/>
      <c r="I35" s="1270"/>
      <c r="J35" s="1270"/>
      <c r="K35" s="1271"/>
    </row>
    <row r="36" spans="2:11" ht="15" thickBot="1">
      <c r="B36" s="1284"/>
      <c r="C36" s="469">
        <v>2024</v>
      </c>
      <c r="D36" s="1272"/>
      <c r="E36" s="1273"/>
      <c r="F36" s="1259"/>
      <c r="G36" s="1260"/>
      <c r="H36" s="1304"/>
      <c r="I36" s="1305"/>
      <c r="J36" s="1305"/>
      <c r="K36" s="1305"/>
    </row>
    <row r="38" spans="2:11" ht="18" customHeight="1" thickBot="1">
      <c r="B38" s="471">
        <v>6</v>
      </c>
      <c r="C38" s="1280" t="s">
        <v>1714</v>
      </c>
      <c r="D38" s="1227"/>
      <c r="E38" s="1227"/>
      <c r="F38" s="1227"/>
      <c r="G38" s="1227"/>
      <c r="H38" s="1227"/>
      <c r="I38" s="1227"/>
      <c r="J38" s="1227"/>
      <c r="K38" s="1227"/>
    </row>
    <row r="39" spans="2:11">
      <c r="B39" s="1281"/>
      <c r="C39" s="1281"/>
      <c r="D39" s="1281"/>
      <c r="E39" s="1281"/>
      <c r="F39" s="1281"/>
      <c r="G39" s="1281"/>
      <c r="H39" s="1281"/>
      <c r="I39" s="1281"/>
      <c r="J39" s="1281"/>
      <c r="K39" s="1281"/>
    </row>
    <row r="40" spans="2:11">
      <c r="B40" s="1282"/>
      <c r="C40" s="1282"/>
      <c r="D40" s="1282"/>
      <c r="E40" s="1282"/>
      <c r="F40" s="1282"/>
      <c r="G40" s="1282"/>
      <c r="H40" s="1282"/>
      <c r="I40" s="1282"/>
      <c r="J40" s="1282"/>
      <c r="K40" s="1282"/>
    </row>
    <row r="41" spans="2:11">
      <c r="B41" s="1282"/>
      <c r="C41" s="1282"/>
      <c r="D41" s="1282"/>
      <c r="E41" s="1282"/>
      <c r="F41" s="1282"/>
      <c r="G41" s="1282"/>
      <c r="H41" s="1282"/>
      <c r="I41" s="1282"/>
      <c r="J41" s="1282"/>
      <c r="K41" s="1282"/>
    </row>
    <row r="42" spans="2:11">
      <c r="B42" s="666"/>
      <c r="C42" s="666"/>
      <c r="D42" s="666"/>
      <c r="E42" s="666"/>
      <c r="F42" s="666"/>
      <c r="G42" s="666"/>
      <c r="H42" s="666"/>
      <c r="I42" s="666"/>
      <c r="J42" s="666"/>
      <c r="K42" s="643"/>
    </row>
    <row r="44" spans="2:11" ht="32.15" customHeight="1">
      <c r="B44" s="1238" t="s">
        <v>1003</v>
      </c>
      <c r="C44" s="1238"/>
      <c r="D44" s="1238"/>
      <c r="E44" s="1238"/>
      <c r="F44" s="1238"/>
      <c r="G44" s="1238"/>
      <c r="H44" s="1238"/>
      <c r="I44" s="1238"/>
      <c r="J44" s="1238"/>
      <c r="K44" s="1238"/>
    </row>
    <row r="45" spans="2:11" ht="18" customHeight="1"/>
    <row r="46" spans="2:11" ht="18" customHeight="1">
      <c r="B46" s="1274" t="s">
        <v>1272</v>
      </c>
      <c r="C46" s="1275"/>
      <c r="D46" s="1275"/>
      <c r="E46" s="1275"/>
      <c r="F46" s="1275"/>
      <c r="G46" s="1275"/>
      <c r="H46" s="1275"/>
      <c r="I46" s="1275"/>
      <c r="J46" s="1275"/>
      <c r="K46" s="1275"/>
    </row>
    <row r="47" spans="2:11" ht="29.15" customHeight="1" thickBot="1">
      <c r="B47" s="1276" t="s">
        <v>1005</v>
      </c>
      <c r="C47" s="1276"/>
      <c r="D47" s="1276"/>
      <c r="E47" s="1276"/>
      <c r="F47" s="1276"/>
      <c r="G47" s="1276"/>
      <c r="H47" s="1276"/>
      <c r="I47" s="1276"/>
      <c r="J47" s="1276"/>
      <c r="K47" s="1276"/>
    </row>
    <row r="48" spans="2:11" ht="18" customHeight="1">
      <c r="B48" s="1277" t="s">
        <v>972</v>
      </c>
      <c r="C48" s="1277"/>
      <c r="D48" s="1277"/>
      <c r="E48" s="1277"/>
      <c r="F48" s="1277" t="s">
        <v>1006</v>
      </c>
      <c r="G48" s="1277"/>
      <c r="H48" s="1257" t="s">
        <v>1007</v>
      </c>
      <c r="I48" s="1257" t="s">
        <v>1008</v>
      </c>
      <c r="J48" s="1257" t="s">
        <v>1009</v>
      </c>
      <c r="K48" s="1257" t="s">
        <v>321</v>
      </c>
    </row>
    <row r="49" spans="2:11" ht="18" customHeight="1" thickBot="1">
      <c r="B49" s="1278"/>
      <c r="C49" s="1278"/>
      <c r="D49" s="1278"/>
      <c r="E49" s="1278"/>
      <c r="F49" s="1278"/>
      <c r="G49" s="1278"/>
      <c r="H49" s="1258"/>
      <c r="I49" s="1258"/>
      <c r="J49" s="1258"/>
      <c r="K49" s="1258"/>
    </row>
    <row r="50" spans="2:11" ht="18" customHeight="1" thickBot="1">
      <c r="B50" s="596">
        <v>1</v>
      </c>
      <c r="C50" s="1239" t="str">
        <f>IFERROR(VLOOKUP($J$15&amp;$B50,'Landscaping Source'!$A:$P,2,FALSE)," ")</f>
        <v xml:space="preserve"> </v>
      </c>
      <c r="D50" s="1239"/>
      <c r="E50" s="1239"/>
      <c r="F50" s="1242" t="str">
        <f>IFERROR(VLOOKUP($J$15&amp;$B50,'Landscaping Source'!$A:$P,3,FALSE)," ")</f>
        <v xml:space="preserve"> </v>
      </c>
      <c r="G50" s="1243"/>
      <c r="H50" s="595" t="str">
        <f>IFERROR(VLOOKUP($J$15&amp;$B50,'Landscaping Source'!$A:$P,4,FALSE)," ")</f>
        <v xml:space="preserve"> </v>
      </c>
      <c r="I50" s="498" t="str">
        <f>IFERROR(VLOOKUP($J$15&amp;$B50,'Landscaping Source'!$A:$P,5,FALSE)," ")</f>
        <v xml:space="preserve"> </v>
      </c>
      <c r="J50" s="498" t="str">
        <f>IFERROR(VLOOKUP($J$15&amp;$B50,'Landscaping Source'!$A:$P,6,FALSE)," ")</f>
        <v xml:space="preserve"> </v>
      </c>
      <c r="K50" s="526"/>
    </row>
    <row r="51" spans="2:11" ht="18" customHeight="1" thickBot="1">
      <c r="B51" s="596">
        <v>2</v>
      </c>
      <c r="C51" s="1239" t="str">
        <f>IFERROR(VLOOKUP($J$15&amp;$B51,'Landscaping Source'!$A:$P,2,FALSE)," ")</f>
        <v xml:space="preserve"> </v>
      </c>
      <c r="D51" s="1239"/>
      <c r="E51" s="1239"/>
      <c r="F51" s="1242" t="str">
        <f>IFERROR(VLOOKUP($J$15&amp;$B51,'Landscaping Source'!$A:$P,3,FALSE)," ")</f>
        <v xml:space="preserve"> </v>
      </c>
      <c r="G51" s="1243"/>
      <c r="H51" s="595" t="str">
        <f>IFERROR(VLOOKUP($J$15&amp;$B51,'Landscaping Source'!$A:$P,4,FALSE)," ")</f>
        <v xml:space="preserve"> </v>
      </c>
      <c r="I51" s="498" t="str">
        <f>IFERROR(VLOOKUP($J$15&amp;$B51,'Landscaping Source'!$A:$P,5,FALSE)," ")</f>
        <v xml:space="preserve"> </v>
      </c>
      <c r="J51" s="498" t="str">
        <f>IFERROR(VLOOKUP($J$15&amp;$B51,'Landscaping Source'!$A:$P,6,FALSE)," ")</f>
        <v xml:space="preserve"> </v>
      </c>
      <c r="K51" s="526"/>
    </row>
    <row r="52" spans="2:11" ht="18" customHeight="1" thickBot="1">
      <c r="B52" s="596">
        <v>3</v>
      </c>
      <c r="C52" s="1239" t="str">
        <f>IFERROR(VLOOKUP($J$15&amp;$B52,'Landscaping Source'!$A:$P,2,FALSE)," ")</f>
        <v xml:space="preserve"> </v>
      </c>
      <c r="D52" s="1239"/>
      <c r="E52" s="1239"/>
      <c r="F52" s="1242" t="str">
        <f>IFERROR(VLOOKUP($J$15&amp;$B52,'Landscaping Source'!$A:$P,3,FALSE)," ")</f>
        <v xml:space="preserve"> </v>
      </c>
      <c r="G52" s="1243"/>
      <c r="H52" s="595" t="str">
        <f>IFERROR(VLOOKUP($J$15&amp;$B52,'Landscaping Source'!$A:$P,4,FALSE)," ")</f>
        <v xml:space="preserve"> </v>
      </c>
      <c r="I52" s="498" t="str">
        <f>IFERROR(VLOOKUP($J$15&amp;$B52,'Landscaping Source'!$A:$P,5,FALSE)," ")</f>
        <v xml:space="preserve"> </v>
      </c>
      <c r="J52" s="498" t="str">
        <f>IFERROR(VLOOKUP($J$15&amp;$B52,'Landscaping Source'!$A:$P,6,FALSE)," ")</f>
        <v xml:space="preserve"> </v>
      </c>
      <c r="K52" s="526"/>
    </row>
    <row r="53" spans="2:11" ht="18" customHeight="1" thickBot="1">
      <c r="B53" s="596">
        <v>4</v>
      </c>
      <c r="C53" s="1239" t="str">
        <f>IFERROR(VLOOKUP($J$15&amp;$B53,'Landscaping Source'!$A:$P,2,FALSE)," ")</f>
        <v xml:space="preserve"> </v>
      </c>
      <c r="D53" s="1239"/>
      <c r="E53" s="1239"/>
      <c r="F53" s="1242" t="str">
        <f>IFERROR(VLOOKUP($J$15&amp;$B53,'Landscaping Source'!$A:$P,3,FALSE)," ")</f>
        <v xml:space="preserve"> </v>
      </c>
      <c r="G53" s="1243"/>
      <c r="H53" s="595" t="str">
        <f>IFERROR(VLOOKUP($J$15&amp;$B53,'Landscaping Source'!$A:$P,4,FALSE)," ")</f>
        <v xml:space="preserve"> </v>
      </c>
      <c r="I53" s="498" t="str">
        <f>IFERROR(VLOOKUP($J$15&amp;$B53,'Landscaping Source'!$A:$P,5,FALSE)," ")</f>
        <v xml:space="preserve"> </v>
      </c>
      <c r="J53" s="498" t="str">
        <f>IFERROR(VLOOKUP($J$15&amp;$B53,'Landscaping Source'!$A:$P,6,FALSE)," ")</f>
        <v xml:space="preserve"> </v>
      </c>
      <c r="K53" s="526"/>
    </row>
    <row r="54" spans="2:11" ht="18" customHeight="1" thickBot="1">
      <c r="B54" s="596">
        <v>5</v>
      </c>
      <c r="C54" s="1239" t="str">
        <f>IFERROR(VLOOKUP($J$15&amp;$B54,'Landscaping Source'!$A:$P,2,FALSE)," ")</f>
        <v xml:space="preserve"> </v>
      </c>
      <c r="D54" s="1239"/>
      <c r="E54" s="1239"/>
      <c r="F54" s="1242" t="str">
        <f>IFERROR(VLOOKUP($J$15&amp;$B54,'Landscaping Source'!$A:$P,3,FALSE)," ")</f>
        <v xml:space="preserve"> </v>
      </c>
      <c r="G54" s="1243"/>
      <c r="H54" s="595" t="str">
        <f>IFERROR(VLOOKUP($J$15&amp;$B54,'Landscaping Source'!$A:$P,4,FALSE)," ")</f>
        <v xml:space="preserve"> </v>
      </c>
      <c r="I54" s="498" t="str">
        <f>IFERROR(VLOOKUP($J$15&amp;$B54,'Landscaping Source'!$A:$P,5,FALSE)," ")</f>
        <v xml:space="preserve"> </v>
      </c>
      <c r="J54" s="498" t="str">
        <f>IFERROR(VLOOKUP($J$15&amp;$B54,'Landscaping Source'!$A:$P,6,FALSE)," ")</f>
        <v xml:space="preserve"> </v>
      </c>
      <c r="K54" s="526"/>
    </row>
    <row r="55" spans="2:11" ht="18" customHeight="1" thickBot="1">
      <c r="B55" s="596">
        <v>6</v>
      </c>
      <c r="C55" s="1239" t="str">
        <f>IFERROR(VLOOKUP($J$15&amp;$B55,'Landscaping Source'!$A:$P,2,FALSE)," ")</f>
        <v xml:space="preserve"> </v>
      </c>
      <c r="D55" s="1239"/>
      <c r="E55" s="1239"/>
      <c r="F55" s="1242" t="str">
        <f>IFERROR(VLOOKUP($J$15&amp;$B55,'Landscaping Source'!$A:$P,3,FALSE)," ")</f>
        <v xml:space="preserve"> </v>
      </c>
      <c r="G55" s="1243"/>
      <c r="H55" s="595" t="str">
        <f>IFERROR(VLOOKUP($J$15&amp;$B55,'Landscaping Source'!$A:$P,4,FALSE)," ")</f>
        <v xml:space="preserve"> </v>
      </c>
      <c r="I55" s="498" t="str">
        <f>IFERROR(VLOOKUP($J$15&amp;$B55,'Landscaping Source'!$A:$P,5,FALSE)," ")</f>
        <v xml:space="preserve"> </v>
      </c>
      <c r="J55" s="498" t="str">
        <f>IFERROR(VLOOKUP($J$15&amp;$B55,'Landscaping Source'!$A:$P,6,FALSE)," ")</f>
        <v xml:space="preserve"> </v>
      </c>
      <c r="K55" s="526"/>
    </row>
    <row r="56" spans="2:11" ht="18" customHeight="1" thickBot="1">
      <c r="B56" s="596">
        <v>7</v>
      </c>
      <c r="C56" s="1239" t="str">
        <f>IFERROR(VLOOKUP($J$15&amp;$B56,'Landscaping Source'!$A:$P,2,FALSE)," ")</f>
        <v xml:space="preserve"> </v>
      </c>
      <c r="D56" s="1239"/>
      <c r="E56" s="1239"/>
      <c r="F56" s="1242" t="str">
        <f>IFERROR(VLOOKUP($J$15&amp;$B56,'Landscaping Source'!$A:$P,3,FALSE)," ")</f>
        <v xml:space="preserve"> </v>
      </c>
      <c r="G56" s="1243"/>
      <c r="H56" s="595" t="str">
        <f>IFERROR(VLOOKUP($J$15&amp;$B56,'Landscaping Source'!$A:$P,4,FALSE)," ")</f>
        <v xml:space="preserve"> </v>
      </c>
      <c r="I56" s="498" t="str">
        <f>IFERROR(VLOOKUP($J$15&amp;$B56,'Landscaping Source'!$A:$P,5,FALSE)," ")</f>
        <v xml:space="preserve"> </v>
      </c>
      <c r="J56" s="498" t="str">
        <f>IFERROR(VLOOKUP($J$15&amp;$B56,'Landscaping Source'!$A:$P,6,FALSE)," ")</f>
        <v xml:space="preserve"> </v>
      </c>
      <c r="K56" s="526"/>
    </row>
    <row r="57" spans="2:11" ht="18" customHeight="1" thickBot="1">
      <c r="B57" s="596">
        <v>8</v>
      </c>
      <c r="C57" s="1239" t="str">
        <f>IFERROR(VLOOKUP($J$15&amp;$B57,'Landscaping Source'!$A:$P,2,FALSE)," ")</f>
        <v xml:space="preserve"> </v>
      </c>
      <c r="D57" s="1239"/>
      <c r="E57" s="1239"/>
      <c r="F57" s="1242" t="str">
        <f>IFERROR(VLOOKUP($J$15&amp;$B57,'Landscaping Source'!$A:$P,3,FALSE)," ")</f>
        <v xml:space="preserve"> </v>
      </c>
      <c r="G57" s="1243"/>
      <c r="H57" s="595" t="str">
        <f>IFERROR(VLOOKUP($J$15&amp;$B57,'Landscaping Source'!$A:$P,4,FALSE)," ")</f>
        <v xml:space="preserve"> </v>
      </c>
      <c r="I57" s="498" t="str">
        <f>IFERROR(VLOOKUP($J$15&amp;$B57,'Landscaping Source'!$A:$P,5,FALSE)," ")</f>
        <v xml:space="preserve"> </v>
      </c>
      <c r="J57" s="498" t="str">
        <f>IFERROR(VLOOKUP($J$15&amp;$B57,'Landscaping Source'!$A:$P,6,FALSE)," ")</f>
        <v xml:space="preserve"> </v>
      </c>
      <c r="K57" s="526"/>
    </row>
    <row r="58" spans="2:11" ht="18" customHeight="1" thickBot="1">
      <c r="B58" s="596">
        <v>9</v>
      </c>
      <c r="C58" s="1239" t="str">
        <f>IFERROR(VLOOKUP($J$15&amp;$B58,'Landscaping Source'!$A:$P,2,FALSE)," ")</f>
        <v xml:space="preserve"> </v>
      </c>
      <c r="D58" s="1239"/>
      <c r="E58" s="1239"/>
      <c r="F58" s="1242" t="str">
        <f>IFERROR(VLOOKUP($J$15&amp;$B58,'Landscaping Source'!$A:$P,3,FALSE)," ")</f>
        <v xml:space="preserve"> </v>
      </c>
      <c r="G58" s="1243"/>
      <c r="H58" s="595" t="str">
        <f>IFERROR(VLOOKUP($J$15&amp;$B58,'Landscaping Source'!$A:$P,4,FALSE)," ")</f>
        <v xml:space="preserve"> </v>
      </c>
      <c r="I58" s="498" t="str">
        <f>IFERROR(VLOOKUP($J$15&amp;$B58,'Landscaping Source'!$A:$P,5,FALSE)," ")</f>
        <v xml:space="preserve"> </v>
      </c>
      <c r="J58" s="498" t="str">
        <f>IFERROR(VLOOKUP($J$15&amp;$B58,'Landscaping Source'!$A:$P,6,FALSE)," ")</f>
        <v xml:space="preserve"> </v>
      </c>
      <c r="K58" s="526"/>
    </row>
    <row r="59" spans="2:11" ht="18" customHeight="1" thickBot="1">
      <c r="B59" s="596">
        <v>10</v>
      </c>
      <c r="C59" s="1239" t="str">
        <f>IFERROR(VLOOKUP($J$15&amp;$B59,'Landscaping Source'!$A:$P,2,FALSE)," ")</f>
        <v xml:space="preserve"> </v>
      </c>
      <c r="D59" s="1239"/>
      <c r="E59" s="1239"/>
      <c r="F59" s="1242" t="str">
        <f>IFERROR(VLOOKUP($J$15&amp;$B59,'Landscaping Source'!$A:$P,3,FALSE)," ")</f>
        <v xml:space="preserve"> </v>
      </c>
      <c r="G59" s="1243"/>
      <c r="H59" s="595" t="str">
        <f>IFERROR(VLOOKUP($J$15&amp;$B59,'Landscaping Source'!$A:$P,4,FALSE)," ")</f>
        <v xml:space="preserve"> </v>
      </c>
      <c r="I59" s="498" t="str">
        <f>IFERROR(VLOOKUP($J$15&amp;$B59,'Landscaping Source'!$A:$P,5,FALSE)," ")</f>
        <v xml:space="preserve"> </v>
      </c>
      <c r="J59" s="498" t="str">
        <f>IFERROR(VLOOKUP($J$15&amp;$B59,'Landscaping Source'!$A:$P,6,FALSE)," ")</f>
        <v xml:space="preserve"> </v>
      </c>
      <c r="K59" s="526"/>
    </row>
    <row r="60" spans="2:11" ht="18" customHeight="1" thickBot="1">
      <c r="B60" s="596">
        <v>11</v>
      </c>
      <c r="C60" s="1239" t="str">
        <f>IFERROR(VLOOKUP($J$15&amp;$B60,'Landscaping Source'!$A:$P,2,FALSE)," ")</f>
        <v xml:space="preserve"> </v>
      </c>
      <c r="D60" s="1239"/>
      <c r="E60" s="1239"/>
      <c r="F60" s="1242" t="str">
        <f>IFERROR(VLOOKUP($J$15&amp;$B60,'Landscaping Source'!$A:$P,3,FALSE)," ")</f>
        <v xml:space="preserve"> </v>
      </c>
      <c r="G60" s="1243"/>
      <c r="H60" s="595" t="str">
        <f>IFERROR(VLOOKUP($J$15&amp;$B60,'Landscaping Source'!$A:$P,4,FALSE)," ")</f>
        <v xml:space="preserve"> </v>
      </c>
      <c r="I60" s="498" t="str">
        <f>IFERROR(VLOOKUP($J$15&amp;$B60,'Landscaping Source'!$A:$P,5,FALSE)," ")</f>
        <v xml:space="preserve"> </v>
      </c>
      <c r="J60" s="498" t="str">
        <f>IFERROR(VLOOKUP($J$15&amp;$B60,'Landscaping Source'!$A:$P,6,FALSE)," ")</f>
        <v xml:space="preserve"> </v>
      </c>
      <c r="K60" s="526"/>
    </row>
    <row r="61" spans="2:11" ht="18" customHeight="1" thickBot="1">
      <c r="B61" s="596">
        <v>12</v>
      </c>
      <c r="C61" s="1239" t="str">
        <f>IFERROR(VLOOKUP($J$15&amp;$B61,'Landscaping Source'!$A:$P,2,FALSE)," ")</f>
        <v xml:space="preserve"> </v>
      </c>
      <c r="D61" s="1239"/>
      <c r="E61" s="1239"/>
      <c r="F61" s="1242" t="str">
        <f>IFERROR(VLOOKUP($J$15&amp;$B61,'Landscaping Source'!$A:$P,3,FALSE)," ")</f>
        <v xml:space="preserve"> </v>
      </c>
      <c r="G61" s="1243"/>
      <c r="H61" s="595" t="str">
        <f>IFERROR(VLOOKUP($J$15&amp;$B61,'Landscaping Source'!$A:$P,4,FALSE)," ")</f>
        <v xml:space="preserve"> </v>
      </c>
      <c r="I61" s="498" t="str">
        <f>IFERROR(VLOOKUP($J$15&amp;$B61,'Landscaping Source'!$A:$P,5,FALSE)," ")</f>
        <v xml:space="preserve"> </v>
      </c>
      <c r="J61" s="498" t="str">
        <f>IFERROR(VLOOKUP($J$15&amp;$B61,'Landscaping Source'!$A:$P,6,FALSE)," ")</f>
        <v xml:space="preserve"> </v>
      </c>
      <c r="K61" s="526"/>
    </row>
    <row r="62" spans="2:11" ht="18" customHeight="1" thickBot="1">
      <c r="B62" s="596">
        <v>13</v>
      </c>
      <c r="C62" s="1239" t="str">
        <f>IFERROR(VLOOKUP($J$15&amp;$B62,'Landscaping Source'!$A:$P,2,FALSE)," ")</f>
        <v xml:space="preserve"> </v>
      </c>
      <c r="D62" s="1239"/>
      <c r="E62" s="1239"/>
      <c r="F62" s="1242" t="str">
        <f>IFERROR(VLOOKUP($J$15&amp;$B62,'Landscaping Source'!$A:$P,3,FALSE)," ")</f>
        <v xml:space="preserve"> </v>
      </c>
      <c r="G62" s="1243"/>
      <c r="H62" s="595" t="str">
        <f>IFERROR(VLOOKUP($J$15&amp;$B62,'Landscaping Source'!$A:$P,4,FALSE)," ")</f>
        <v xml:space="preserve"> </v>
      </c>
      <c r="I62" s="498" t="str">
        <f>IFERROR(VLOOKUP($J$15&amp;$B62,'Landscaping Source'!$A:$P,5,FALSE)," ")</f>
        <v xml:space="preserve"> </v>
      </c>
      <c r="J62" s="498" t="str">
        <f>IFERROR(VLOOKUP($J$15&amp;$B62,'Landscaping Source'!$A:$P,6,FALSE)," ")</f>
        <v xml:space="preserve"> </v>
      </c>
      <c r="K62" s="526"/>
    </row>
    <row r="63" spans="2:11" ht="18" customHeight="1" thickBot="1">
      <c r="B63" s="596">
        <v>14</v>
      </c>
      <c r="C63" s="1239" t="str">
        <f>IFERROR(VLOOKUP($J$15&amp;$B63,'Landscaping Source'!$A:$P,2,FALSE)," ")</f>
        <v xml:space="preserve"> </v>
      </c>
      <c r="D63" s="1239"/>
      <c r="E63" s="1239"/>
      <c r="F63" s="1242" t="str">
        <f>IFERROR(VLOOKUP($J$15&amp;$B63,'Landscaping Source'!$A:$P,3,FALSE)," ")</f>
        <v xml:space="preserve"> </v>
      </c>
      <c r="G63" s="1243"/>
      <c r="H63" s="595" t="str">
        <f>IFERROR(VLOOKUP($J$15&amp;$B63,'Landscaping Source'!$A:$P,4,FALSE)," ")</f>
        <v xml:space="preserve"> </v>
      </c>
      <c r="I63" s="498" t="str">
        <f>IFERROR(VLOOKUP($J$15&amp;$B63,'Landscaping Source'!$A:$P,5,FALSE)," ")</f>
        <v xml:space="preserve"> </v>
      </c>
      <c r="J63" s="498" t="str">
        <f>IFERROR(VLOOKUP($J$15&amp;$B63,'Landscaping Source'!$A:$P,6,FALSE)," ")</f>
        <v xml:space="preserve"> </v>
      </c>
      <c r="K63" s="526"/>
    </row>
    <row r="64" spans="2:11" ht="18" customHeight="1" thickBot="1">
      <c r="B64" s="596">
        <v>15</v>
      </c>
      <c r="C64" s="1239" t="str">
        <f>IFERROR(VLOOKUP($J$15&amp;$B64,'Landscaping Source'!$A:$P,2,FALSE)," ")</f>
        <v xml:space="preserve"> </v>
      </c>
      <c r="D64" s="1239"/>
      <c r="E64" s="1239"/>
      <c r="F64" s="1242" t="str">
        <f>IFERROR(VLOOKUP($J$15&amp;$B64,'Landscaping Source'!$A:$P,3,FALSE)," ")</f>
        <v xml:space="preserve"> </v>
      </c>
      <c r="G64" s="1243"/>
      <c r="H64" s="595" t="str">
        <f>IFERROR(VLOOKUP($J$15&amp;$B64,'Landscaping Source'!$A:$P,4,FALSE)," ")</f>
        <v xml:space="preserve"> </v>
      </c>
      <c r="I64" s="498" t="str">
        <f>IFERROR(VLOOKUP($J$15&amp;$B64,'Landscaping Source'!$A:$P,5,FALSE)," ")</f>
        <v xml:space="preserve"> </v>
      </c>
      <c r="J64" s="498" t="str">
        <f>IFERROR(VLOOKUP($J$15&amp;$B64,'Landscaping Source'!$A:$P,6,FALSE)," ")</f>
        <v xml:space="preserve"> </v>
      </c>
      <c r="K64" s="526"/>
    </row>
    <row r="65" spans="2:11" ht="18" customHeight="1" thickBot="1">
      <c r="B65" s="1244" t="s">
        <v>1010</v>
      </c>
      <c r="C65" s="1244"/>
      <c r="D65" s="1244"/>
      <c r="E65" s="1244"/>
      <c r="F65" s="1244"/>
      <c r="G65" s="1244"/>
      <c r="H65" s="1244"/>
      <c r="I65" s="1244"/>
      <c r="J65" s="1244"/>
      <c r="K65" s="1244"/>
    </row>
    <row r="66" spans="2:11" ht="18" customHeight="1">
      <c r="B66" s="1245" t="s">
        <v>972</v>
      </c>
      <c r="C66" s="1245"/>
      <c r="D66" s="1245"/>
      <c r="E66" s="1245"/>
      <c r="F66" s="1245" t="s">
        <v>1006</v>
      </c>
      <c r="G66" s="1245"/>
      <c r="H66" s="1245"/>
      <c r="I66" s="1240" t="s">
        <v>1007</v>
      </c>
      <c r="J66" s="1240" t="s">
        <v>1008</v>
      </c>
      <c r="K66" s="1240" t="s">
        <v>1009</v>
      </c>
    </row>
    <row r="67" spans="2:11" ht="18" customHeight="1" thickBot="1">
      <c r="B67" s="1246"/>
      <c r="C67" s="1246"/>
      <c r="D67" s="1246"/>
      <c r="E67" s="1246"/>
      <c r="F67" s="1246"/>
      <c r="G67" s="1246"/>
      <c r="H67" s="1246"/>
      <c r="I67" s="1241"/>
      <c r="J67" s="1241"/>
      <c r="K67" s="1241"/>
    </row>
    <row r="68" spans="2:11" ht="18" customHeight="1" thickBot="1">
      <c r="B68" s="1256"/>
      <c r="C68" s="1256"/>
      <c r="D68" s="1256"/>
      <c r="E68" s="1256"/>
      <c r="F68" s="1256"/>
      <c r="G68" s="1256"/>
      <c r="H68" s="1256"/>
      <c r="I68" s="408"/>
      <c r="J68" s="408"/>
      <c r="K68" s="515" t="s">
        <v>258</v>
      </c>
    </row>
    <row r="69" spans="2:11" ht="18" customHeight="1" thickBot="1">
      <c r="B69" s="1256"/>
      <c r="C69" s="1256"/>
      <c r="D69" s="1256"/>
      <c r="E69" s="1256"/>
      <c r="F69" s="1256"/>
      <c r="G69" s="1256"/>
      <c r="H69" s="1256"/>
      <c r="I69" s="408"/>
      <c r="J69" s="408"/>
      <c r="K69" s="515" t="s">
        <v>258</v>
      </c>
    </row>
    <row r="70" spans="2:11" ht="18" customHeight="1" thickBot="1">
      <c r="B70" s="1256"/>
      <c r="C70" s="1256"/>
      <c r="D70" s="1256"/>
      <c r="E70" s="1256"/>
      <c r="F70" s="1256"/>
      <c r="G70" s="1256"/>
      <c r="H70" s="1256"/>
      <c r="I70" s="408"/>
      <c r="J70" s="408"/>
      <c r="K70" s="515" t="s">
        <v>258</v>
      </c>
    </row>
    <row r="71" spans="2:11" ht="18" customHeight="1" thickBot="1">
      <c r="B71" s="1256"/>
      <c r="C71" s="1256"/>
      <c r="D71" s="1256"/>
      <c r="E71" s="1256"/>
      <c r="F71" s="1256"/>
      <c r="G71" s="1256"/>
      <c r="H71" s="1256"/>
      <c r="I71" s="408"/>
      <c r="J71" s="408"/>
      <c r="K71" s="515" t="s">
        <v>258</v>
      </c>
    </row>
    <row r="72" spans="2:11" ht="21" customHeight="1" thickBot="1">
      <c r="B72" s="1256"/>
      <c r="C72" s="1256"/>
      <c r="D72" s="1256"/>
      <c r="E72" s="1256"/>
      <c r="F72" s="1256"/>
      <c r="G72" s="1256"/>
      <c r="H72" s="1256"/>
      <c r="I72" s="408"/>
      <c r="J72" s="408"/>
      <c r="K72" s="515" t="s">
        <v>258</v>
      </c>
    </row>
    <row r="73" spans="2:11" customFormat="1" ht="21" customHeight="1"/>
    <row r="74" spans="2:11" ht="42" customHeight="1">
      <c r="B74" s="1274" t="s">
        <v>1011</v>
      </c>
      <c r="C74" s="1275"/>
      <c r="D74" s="1275"/>
      <c r="E74" s="1275"/>
      <c r="F74" s="1275"/>
      <c r="G74" s="1275"/>
      <c r="H74" s="1275"/>
      <c r="I74" s="1275"/>
      <c r="J74" s="1275"/>
      <c r="K74" s="1275"/>
    </row>
    <row r="75" spans="2:11" customFormat="1" ht="15" customHeight="1" thickBot="1">
      <c r="B75" s="1276" t="s">
        <v>1710</v>
      </c>
      <c r="C75" s="1276"/>
      <c r="D75" s="1276"/>
      <c r="E75" s="1276"/>
      <c r="F75" s="1276"/>
      <c r="G75" s="1276"/>
      <c r="H75" s="1276"/>
      <c r="I75" s="1276"/>
      <c r="J75" s="1276"/>
      <c r="K75" s="1276"/>
    </row>
    <row r="76" spans="2:11" customFormat="1" ht="15" customHeight="1">
      <c r="B76" s="1306" t="s">
        <v>972</v>
      </c>
      <c r="C76" s="1306"/>
      <c r="D76" s="1306"/>
      <c r="E76" s="1306"/>
      <c r="F76" s="1306" t="s">
        <v>1012</v>
      </c>
      <c r="G76" s="1306"/>
      <c r="H76" s="1306"/>
      <c r="I76" s="610" t="s">
        <v>1013</v>
      </c>
      <c r="J76" s="568" t="s">
        <v>1014</v>
      </c>
      <c r="K76" s="610" t="s">
        <v>1015</v>
      </c>
    </row>
    <row r="77" spans="2:11" customFormat="1" ht="23" customHeight="1">
      <c r="B77" s="608">
        <v>1</v>
      </c>
      <c r="C77" s="1247" t="str">
        <f>IFERROR(VLOOKUP($J$15&amp;$B77,'BPLE Source'!$A:$F,2, FALSE), " ")</f>
        <v xml:space="preserve"> </v>
      </c>
      <c r="D77" s="1248"/>
      <c r="E77" s="1249"/>
      <c r="F77" s="1247" t="str">
        <f>IFERROR(VLOOKUP($J$15&amp;$B77,'BPLE Source'!$A:$F,3, FALSE), " ")</f>
        <v xml:space="preserve"> </v>
      </c>
      <c r="G77" s="1248"/>
      <c r="H77" s="1249"/>
      <c r="I77" s="609" t="str">
        <f>IFERROR(VLOOKUP($J$15&amp;$B77,'BPLE Source'!$A:$F,4, FALSE), " ")</f>
        <v xml:space="preserve"> </v>
      </c>
      <c r="J77" s="609" t="str">
        <f>IFERROR(VLOOKUP($J$15&amp;$B77,'BPLE Source'!$A:$F,5, FALSE), " ")</f>
        <v xml:space="preserve"> </v>
      </c>
      <c r="K77" s="611" t="str">
        <f>IFERROR(VLOOKUP($J$15&amp;$B77,'BPLE Source'!$A:$F,6, FALSE), " ")</f>
        <v xml:space="preserve"> </v>
      </c>
    </row>
    <row r="78" spans="2:11" customFormat="1" ht="15" customHeight="1">
      <c r="B78" s="608">
        <v>2</v>
      </c>
      <c r="C78" s="1247" t="str">
        <f>IFERROR(VLOOKUP($J$15&amp;$B78,'BPLE Source'!$A:$F,2, FALSE), " ")</f>
        <v xml:space="preserve"> </v>
      </c>
      <c r="D78" s="1248"/>
      <c r="E78" s="1249"/>
      <c r="F78" s="1247" t="str">
        <f>IFERROR(VLOOKUP($J$15&amp;$B78,'BPLE Source'!$A:$F,3, FALSE), " ")</f>
        <v xml:space="preserve"> </v>
      </c>
      <c r="G78" s="1248"/>
      <c r="H78" s="1249"/>
      <c r="I78" s="609" t="str">
        <f>IFERROR(VLOOKUP($J$15&amp;$B78,'BPLE Source'!$A:$F,4, FALSE), " ")</f>
        <v xml:space="preserve"> </v>
      </c>
      <c r="J78" s="609" t="str">
        <f>IFERROR(VLOOKUP($J$15&amp;$B78,'BPLE Source'!$A:$F,5, FALSE), " ")</f>
        <v xml:space="preserve"> </v>
      </c>
      <c r="K78" s="611" t="str">
        <f>IFERROR(VLOOKUP($J$15&amp;$B78,'BPLE Source'!$A:$F,6, FALSE), " ")</f>
        <v xml:space="preserve"> </v>
      </c>
    </row>
    <row r="79" spans="2:11" customFormat="1" ht="15" customHeight="1">
      <c r="B79" s="608">
        <v>3</v>
      </c>
      <c r="C79" s="1247" t="str">
        <f>IFERROR(VLOOKUP($J$15&amp;$B79,'BPLE Source'!$A:$F,2, FALSE), " ")</f>
        <v xml:space="preserve"> </v>
      </c>
      <c r="D79" s="1248"/>
      <c r="E79" s="1249"/>
      <c r="F79" s="1247" t="str">
        <f>IFERROR(VLOOKUP($J$15&amp;$B79,'BPLE Source'!$A:$F,3, FALSE), " ")</f>
        <v xml:space="preserve"> </v>
      </c>
      <c r="G79" s="1248"/>
      <c r="H79" s="1249"/>
      <c r="I79" s="609" t="str">
        <f>IFERROR(VLOOKUP($J$15&amp;$B79,'BPLE Source'!$A:$F,4, FALSE), " ")</f>
        <v xml:space="preserve"> </v>
      </c>
      <c r="J79" s="609" t="str">
        <f>IFERROR(VLOOKUP($J$15&amp;$B79,'BPLE Source'!$A:$F,5, FALSE), " ")</f>
        <v xml:space="preserve"> </v>
      </c>
      <c r="K79" s="611" t="str">
        <f>IFERROR(VLOOKUP($J$15&amp;$B79,'BPLE Source'!$A:$F,6, FALSE), " ")</f>
        <v xml:space="preserve"> </v>
      </c>
    </row>
    <row r="80" spans="2:11" customFormat="1" ht="15" customHeight="1">
      <c r="B80" s="608">
        <v>4</v>
      </c>
      <c r="C80" s="1247" t="str">
        <f>IFERROR(VLOOKUP($J$15&amp;$B80,'BPLE Source'!$A:$F,2, FALSE), " ")</f>
        <v xml:space="preserve"> </v>
      </c>
      <c r="D80" s="1248"/>
      <c r="E80" s="1249"/>
      <c r="F80" s="1247" t="str">
        <f>IFERROR(VLOOKUP($J$15&amp;$B80,'BPLE Source'!$A:$F,3, FALSE), " ")</f>
        <v xml:space="preserve"> </v>
      </c>
      <c r="G80" s="1248"/>
      <c r="H80" s="1249"/>
      <c r="I80" s="609" t="str">
        <f>IFERROR(VLOOKUP($J$15&amp;$B80,'BPLE Source'!$A:$F,4, FALSE), " ")</f>
        <v xml:space="preserve"> </v>
      </c>
      <c r="J80" s="609" t="str">
        <f>IFERROR(VLOOKUP($J$15&amp;$B80,'BPLE Source'!$A:$F,5, FALSE), " ")</f>
        <v xml:space="preserve"> </v>
      </c>
      <c r="K80" s="611" t="str">
        <f>IFERROR(VLOOKUP($J$15&amp;$B80,'BPLE Source'!$A:$F,6, FALSE), " ")</f>
        <v xml:space="preserve"> </v>
      </c>
    </row>
    <row r="81" spans="2:11" customFormat="1" ht="15" customHeight="1">
      <c r="B81" s="608">
        <v>5</v>
      </c>
      <c r="C81" s="1247" t="str">
        <f>IFERROR(VLOOKUP($J$15&amp;$B81,'BPLE Source'!$A:$F,2, FALSE), " ")</f>
        <v xml:space="preserve"> </v>
      </c>
      <c r="D81" s="1248"/>
      <c r="E81" s="1249"/>
      <c r="F81" s="1247" t="str">
        <f>IFERROR(VLOOKUP($J$15&amp;$B81,'BPLE Source'!$A:$F,3, FALSE), " ")</f>
        <v xml:space="preserve"> </v>
      </c>
      <c r="G81" s="1248"/>
      <c r="H81" s="1249"/>
      <c r="I81" s="609" t="str">
        <f>IFERROR(VLOOKUP($J$15&amp;$B81,'BPLE Source'!$A:$F,4, FALSE), " ")</f>
        <v xml:space="preserve"> </v>
      </c>
      <c r="J81" s="609" t="str">
        <f>IFERROR(VLOOKUP($J$15&amp;$B81,'BPLE Source'!$A:$F,5, FALSE), " ")</f>
        <v xml:space="preserve"> </v>
      </c>
      <c r="K81" s="611" t="str">
        <f>IFERROR(VLOOKUP($J$15&amp;$B81,'BPLE Source'!$A:$F,6, FALSE), " ")</f>
        <v xml:space="preserve"> </v>
      </c>
    </row>
    <row r="82" spans="2:11" customFormat="1" ht="15" customHeight="1">
      <c r="B82" s="608">
        <v>6</v>
      </c>
      <c r="C82" s="1247" t="str">
        <f>IFERROR(VLOOKUP($J$15&amp;$B82,'BPLE Source'!$A:$F,2, FALSE), " ")</f>
        <v xml:space="preserve"> </v>
      </c>
      <c r="D82" s="1248"/>
      <c r="E82" s="1249"/>
      <c r="F82" s="1247" t="str">
        <f>IFERROR(VLOOKUP($J$15&amp;$B82,'BPLE Source'!$A:$F,3, FALSE), " ")</f>
        <v xml:space="preserve"> </v>
      </c>
      <c r="G82" s="1248"/>
      <c r="H82" s="1249"/>
      <c r="I82" s="609" t="str">
        <f>IFERROR(VLOOKUP($J$15&amp;$B82,'BPLE Source'!$A:$F,4, FALSE), " ")</f>
        <v xml:space="preserve"> </v>
      </c>
      <c r="J82" s="609" t="str">
        <f>IFERROR(VLOOKUP($J$15&amp;$B82,'BPLE Source'!$A:$F,5, FALSE), " ")</f>
        <v xml:space="preserve"> </v>
      </c>
      <c r="K82" s="611" t="str">
        <f>IFERROR(VLOOKUP($J$15&amp;$B82,'BPLE Source'!$A:$F,6, FALSE), " ")</f>
        <v xml:space="preserve"> </v>
      </c>
    </row>
    <row r="83" spans="2:11" customFormat="1" ht="15" customHeight="1">
      <c r="B83" s="608">
        <v>7</v>
      </c>
      <c r="C83" s="1247" t="str">
        <f>IFERROR(VLOOKUP($J$15&amp;$B83,'BPLE Source'!$A:$F,2, FALSE), " ")</f>
        <v xml:space="preserve"> </v>
      </c>
      <c r="D83" s="1248"/>
      <c r="E83" s="1249"/>
      <c r="F83" s="1247" t="str">
        <f>IFERROR(VLOOKUP($J$15&amp;$B83,'BPLE Source'!$A:$F,3, FALSE), " ")</f>
        <v xml:space="preserve"> </v>
      </c>
      <c r="G83" s="1248"/>
      <c r="H83" s="1249"/>
      <c r="I83" s="609" t="str">
        <f>IFERROR(VLOOKUP($J$15&amp;$B83,'BPLE Source'!$A:$F,4, FALSE), " ")</f>
        <v xml:space="preserve"> </v>
      </c>
      <c r="J83" s="609" t="str">
        <f>IFERROR(VLOOKUP($J$15&amp;$B83,'BPLE Source'!$A:$F,5, FALSE), " ")</f>
        <v xml:space="preserve"> </v>
      </c>
      <c r="K83" s="611" t="str">
        <f>IFERROR(VLOOKUP($J$15&amp;$B83,'BPLE Source'!$A:$F,6, FALSE), " ")</f>
        <v xml:space="preserve"> </v>
      </c>
    </row>
    <row r="84" spans="2:11" customFormat="1" ht="15" customHeight="1">
      <c r="B84" s="608">
        <v>8</v>
      </c>
      <c r="C84" s="1247" t="str">
        <f>IFERROR(VLOOKUP($J$15&amp;$B84,'BPLE Source'!$A:$F,2, FALSE), " ")</f>
        <v xml:space="preserve"> </v>
      </c>
      <c r="D84" s="1248"/>
      <c r="E84" s="1249"/>
      <c r="F84" s="1247" t="str">
        <f>IFERROR(VLOOKUP($J$15&amp;$B84,'BPLE Source'!$A:$F,3, FALSE), " ")</f>
        <v xml:space="preserve"> </v>
      </c>
      <c r="G84" s="1248"/>
      <c r="H84" s="1249"/>
      <c r="I84" s="609" t="str">
        <f>IFERROR(VLOOKUP($J$15&amp;$B84,'BPLE Source'!$A:$F,4, FALSE), " ")</f>
        <v xml:space="preserve"> </v>
      </c>
      <c r="J84" s="609" t="str">
        <f>IFERROR(VLOOKUP($J$15&amp;$B84,'BPLE Source'!$A:$F,5, FALSE), " ")</f>
        <v xml:space="preserve"> </v>
      </c>
      <c r="K84" s="611" t="str">
        <f>IFERROR(VLOOKUP($J$15&amp;$B84,'BPLE Source'!$A:$F,6, FALSE), " ")</f>
        <v xml:space="preserve"> </v>
      </c>
    </row>
    <row r="85" spans="2:11" customFormat="1" ht="15" customHeight="1">
      <c r="B85" s="608">
        <v>9</v>
      </c>
      <c r="C85" s="1247" t="str">
        <f>IFERROR(VLOOKUP($J$15&amp;$B85,'BPLE Source'!$A:$F,2, FALSE), " ")</f>
        <v xml:space="preserve"> </v>
      </c>
      <c r="D85" s="1248"/>
      <c r="E85" s="1249"/>
      <c r="F85" s="1247" t="str">
        <f>IFERROR(VLOOKUP($J$15&amp;$B85,'BPLE Source'!$A:$F,3, FALSE), " ")</f>
        <v xml:space="preserve"> </v>
      </c>
      <c r="G85" s="1248"/>
      <c r="H85" s="1249"/>
      <c r="I85" s="609" t="str">
        <f>IFERROR(VLOOKUP($J$15&amp;$B85,'BPLE Source'!$A:$F,4, FALSE), " ")</f>
        <v xml:space="preserve"> </v>
      </c>
      <c r="J85" s="609" t="str">
        <f>IFERROR(VLOOKUP($J$15&amp;$B85,'BPLE Source'!$A:$F,5, FALSE), " ")</f>
        <v xml:space="preserve"> </v>
      </c>
      <c r="K85" s="611" t="str">
        <f>IFERROR(VLOOKUP($J$15&amp;$B85,'BPLE Source'!$A:$F,6, FALSE), " ")</f>
        <v xml:space="preserve"> </v>
      </c>
    </row>
    <row r="86" spans="2:11" customFormat="1" ht="15" customHeight="1">
      <c r="B86" s="608">
        <v>10</v>
      </c>
      <c r="C86" s="1247" t="str">
        <f>IFERROR(VLOOKUP($J$15&amp;$B86,'BPLE Source'!$A:$F,2, FALSE), " ")</f>
        <v xml:space="preserve"> </v>
      </c>
      <c r="D86" s="1248"/>
      <c r="E86" s="1249"/>
      <c r="F86" s="1247" t="str">
        <f>IFERROR(VLOOKUP($J$15&amp;$B86,'BPLE Source'!$A:$F,3, FALSE), " ")</f>
        <v xml:space="preserve"> </v>
      </c>
      <c r="G86" s="1248"/>
      <c r="H86" s="1249"/>
      <c r="I86" s="609" t="str">
        <f>IFERROR(VLOOKUP($J$15&amp;$B86,'BPLE Source'!$A:$F,4, FALSE), " ")</f>
        <v xml:space="preserve"> </v>
      </c>
      <c r="J86" s="609" t="str">
        <f>IFERROR(VLOOKUP($J$15&amp;$B86,'BPLE Source'!$A:$F,5, FALSE), " ")</f>
        <v xml:space="preserve"> </v>
      </c>
      <c r="K86" s="611" t="str">
        <f>IFERROR(VLOOKUP($J$15&amp;$B86,'BPLE Source'!$A:$F,6, FALSE), " ")</f>
        <v xml:space="preserve"> </v>
      </c>
    </row>
    <row r="87" spans="2:11" customFormat="1" ht="15" customHeight="1">
      <c r="B87" s="608">
        <v>11</v>
      </c>
      <c r="C87" s="1247" t="str">
        <f>IFERROR(VLOOKUP($J$15&amp;$B87,'BPLE Source'!$A:$F,2, FALSE), " ")</f>
        <v xml:space="preserve"> </v>
      </c>
      <c r="D87" s="1248"/>
      <c r="E87" s="1249"/>
      <c r="F87" s="1247" t="str">
        <f>IFERROR(VLOOKUP($J$15&amp;$B87,'BPLE Source'!$A:$F,3, FALSE), " ")</f>
        <v xml:space="preserve"> </v>
      </c>
      <c r="G87" s="1248"/>
      <c r="H87" s="1249"/>
      <c r="I87" s="609" t="str">
        <f>IFERROR(VLOOKUP($J$15&amp;$B87,'BPLE Source'!$A:$F,4, FALSE), " ")</f>
        <v xml:space="preserve"> </v>
      </c>
      <c r="J87" s="609" t="str">
        <f>IFERROR(VLOOKUP($J$15&amp;$B87,'BPLE Source'!$A:$F,5, FALSE), " ")</f>
        <v xml:space="preserve"> </v>
      </c>
      <c r="K87" s="611" t="str">
        <f>IFERROR(VLOOKUP($J$15&amp;$B87,'BPLE Source'!$A:$F,6, FALSE), " ")</f>
        <v xml:space="preserve"> </v>
      </c>
    </row>
    <row r="88" spans="2:11" customFormat="1" ht="15" customHeight="1">
      <c r="B88" s="608">
        <v>12</v>
      </c>
      <c r="C88" s="1247" t="str">
        <f>IFERROR(VLOOKUP($J$15&amp;$B88,'BPLE Source'!$A:$F,2, FALSE), " ")</f>
        <v xml:space="preserve"> </v>
      </c>
      <c r="D88" s="1248"/>
      <c r="E88" s="1249"/>
      <c r="F88" s="1247" t="str">
        <f>IFERROR(VLOOKUP($J$15&amp;$B88,'BPLE Source'!$A:$F,3, FALSE), " ")</f>
        <v xml:space="preserve"> </v>
      </c>
      <c r="G88" s="1248"/>
      <c r="H88" s="1249"/>
      <c r="I88" s="609" t="str">
        <f>IFERROR(VLOOKUP($J$15&amp;$B88,'BPLE Source'!$A:$F,4, FALSE), " ")</f>
        <v xml:space="preserve"> </v>
      </c>
      <c r="J88" s="609" t="str">
        <f>IFERROR(VLOOKUP($J$15&amp;$B88,'BPLE Source'!$A:$F,5, FALSE), " ")</f>
        <v xml:space="preserve"> </v>
      </c>
      <c r="K88" s="611" t="str">
        <f>IFERROR(VLOOKUP($J$15&amp;$B88,'BPLE Source'!$A:$F,6, FALSE), " ")</f>
        <v xml:space="preserve"> </v>
      </c>
    </row>
    <row r="89" spans="2:11" customFormat="1" ht="15" customHeight="1">
      <c r="B89" s="608">
        <v>13</v>
      </c>
      <c r="C89" s="1247" t="str">
        <f>IFERROR(VLOOKUP($J$15&amp;$B89,'BPLE Source'!$A:$F,2, FALSE), " ")</f>
        <v xml:space="preserve"> </v>
      </c>
      <c r="D89" s="1248"/>
      <c r="E89" s="1249"/>
      <c r="F89" s="1247" t="str">
        <f>IFERROR(VLOOKUP($J$15&amp;$B89,'BPLE Source'!$A:$F,3, FALSE), " ")</f>
        <v xml:space="preserve"> </v>
      </c>
      <c r="G89" s="1248"/>
      <c r="H89" s="1249"/>
      <c r="I89" s="609" t="str">
        <f>IFERROR(VLOOKUP($J$15&amp;$B89,'BPLE Source'!$A:$F,4, FALSE), " ")</f>
        <v xml:space="preserve"> </v>
      </c>
      <c r="J89" s="609" t="str">
        <f>IFERROR(VLOOKUP($J$15&amp;$B89,'BPLE Source'!$A:$F,5, FALSE), " ")</f>
        <v xml:space="preserve"> </v>
      </c>
      <c r="K89" s="611" t="str">
        <f>IFERROR(VLOOKUP($J$15&amp;$B89,'BPLE Source'!$A:$F,6, FALSE), " ")</f>
        <v xml:space="preserve"> </v>
      </c>
    </row>
    <row r="90" spans="2:11" customFormat="1" ht="15" customHeight="1">
      <c r="B90" s="608">
        <v>14</v>
      </c>
      <c r="C90" s="1247" t="str">
        <f>IFERROR(VLOOKUP($J$15&amp;$B90,'BPLE Source'!$A:$F,2, FALSE), " ")</f>
        <v xml:space="preserve"> </v>
      </c>
      <c r="D90" s="1248"/>
      <c r="E90" s="1249"/>
      <c r="F90" s="1247" t="str">
        <f>IFERROR(VLOOKUP($J$15&amp;$B90,'BPLE Source'!$A:$F,3, FALSE), " ")</f>
        <v xml:space="preserve"> </v>
      </c>
      <c r="G90" s="1248"/>
      <c r="H90" s="1249"/>
      <c r="I90" s="609" t="str">
        <f>IFERROR(VLOOKUP($J$15&amp;$B90,'BPLE Source'!$A:$F,4, FALSE), " ")</f>
        <v xml:space="preserve"> </v>
      </c>
      <c r="J90" s="609" t="str">
        <f>IFERROR(VLOOKUP($J$15&amp;$B90,'BPLE Source'!$A:$F,5, FALSE), " ")</f>
        <v xml:space="preserve"> </v>
      </c>
      <c r="K90" s="611" t="str">
        <f>IFERROR(VLOOKUP($J$15&amp;$B90,'BPLE Source'!$A:$F,6, FALSE), " ")</f>
        <v xml:space="preserve"> </v>
      </c>
    </row>
    <row r="91" spans="2:11" customFormat="1" ht="15" customHeight="1">
      <c r="B91" s="608">
        <v>15</v>
      </c>
      <c r="C91" s="1247" t="str">
        <f>IFERROR(VLOOKUP($J$15&amp;$B91,'BPLE Source'!$A:$F,2, FALSE), " ")</f>
        <v xml:space="preserve"> </v>
      </c>
      <c r="D91" s="1248"/>
      <c r="E91" s="1249"/>
      <c r="F91" s="1247" t="str">
        <f>IFERROR(VLOOKUP($J$15&amp;$B91,'BPLE Source'!$A:$F,3, FALSE), " ")</f>
        <v xml:space="preserve"> </v>
      </c>
      <c r="G91" s="1248"/>
      <c r="H91" s="1249"/>
      <c r="I91" s="609" t="str">
        <f>IFERROR(VLOOKUP($J$15&amp;$B91,'BPLE Source'!$A:$F,4, FALSE), " ")</f>
        <v xml:space="preserve"> </v>
      </c>
      <c r="J91" s="609" t="str">
        <f>IFERROR(VLOOKUP($J$15&amp;$B91,'BPLE Source'!$A:$F,5, FALSE), " ")</f>
        <v xml:space="preserve"> </v>
      </c>
      <c r="K91" s="611" t="str">
        <f>IFERROR(VLOOKUP($J$15&amp;$B91,'BPLE Source'!$A:$F,6, FALSE), " ")</f>
        <v xml:space="preserve"> </v>
      </c>
    </row>
    <row r="92" spans="2:11" customFormat="1" ht="15" customHeight="1">
      <c r="B92" s="608">
        <v>16</v>
      </c>
      <c r="C92" s="1247" t="str">
        <f>IFERROR(VLOOKUP($J$15&amp;$B92,'BPLE Source'!$A:$F,2, FALSE), " ")</f>
        <v xml:space="preserve"> </v>
      </c>
      <c r="D92" s="1248"/>
      <c r="E92" s="1249"/>
      <c r="F92" s="1247" t="str">
        <f>IFERROR(VLOOKUP($J$15&amp;$B92,'BPLE Source'!$A:$F,3, FALSE), " ")</f>
        <v xml:space="preserve"> </v>
      </c>
      <c r="G92" s="1248"/>
      <c r="H92" s="1249"/>
      <c r="I92" s="609" t="str">
        <f>IFERROR(VLOOKUP($J$15&amp;$B92,'BPLE Source'!$A:$F,4, FALSE), " ")</f>
        <v xml:space="preserve"> </v>
      </c>
      <c r="J92" s="609" t="str">
        <f>IFERROR(VLOOKUP($J$15&amp;$B92,'BPLE Source'!$A:$F,5, FALSE), " ")</f>
        <v xml:space="preserve"> </v>
      </c>
      <c r="K92" s="611" t="str">
        <f>IFERROR(VLOOKUP($J$15&amp;$B92,'BPLE Source'!$A:$F,6, FALSE), " ")</f>
        <v xml:space="preserve"> </v>
      </c>
    </row>
    <row r="93" spans="2:11" customFormat="1" ht="15" customHeight="1">
      <c r="B93" s="608">
        <v>17</v>
      </c>
      <c r="C93" s="1247" t="str">
        <f>IFERROR(VLOOKUP($J$15&amp;$B93,'BPLE Source'!$A:$F,2, FALSE), " ")</f>
        <v xml:space="preserve"> </v>
      </c>
      <c r="D93" s="1248"/>
      <c r="E93" s="1249"/>
      <c r="F93" s="1247" t="str">
        <f>IFERROR(VLOOKUP($J$15&amp;$B93,'BPLE Source'!$A:$F,3, FALSE), " ")</f>
        <v xml:space="preserve"> </v>
      </c>
      <c r="G93" s="1248"/>
      <c r="H93" s="1249"/>
      <c r="I93" s="609" t="str">
        <f>IFERROR(VLOOKUP($J$15&amp;$B93,'BPLE Source'!$A:$F,4, FALSE), " ")</f>
        <v xml:space="preserve"> </v>
      </c>
      <c r="J93" s="609" t="str">
        <f>IFERROR(VLOOKUP($J$15&amp;$B93,'BPLE Source'!$A:$F,5, FALSE), " ")</f>
        <v xml:space="preserve"> </v>
      </c>
      <c r="K93" s="611" t="str">
        <f>IFERROR(VLOOKUP($J$15&amp;$B93,'BPLE Source'!$A:$F,6, FALSE), " ")</f>
        <v xml:space="preserve"> </v>
      </c>
    </row>
    <row r="94" spans="2:11" customFormat="1" ht="15" customHeight="1">
      <c r="B94" s="608">
        <v>18</v>
      </c>
      <c r="C94" s="1247" t="str">
        <f>IFERROR(VLOOKUP($J$15&amp;$B94,'BPLE Source'!$A:$F,2, FALSE), " ")</f>
        <v xml:space="preserve"> </v>
      </c>
      <c r="D94" s="1248"/>
      <c r="E94" s="1249"/>
      <c r="F94" s="1247" t="str">
        <f>IFERROR(VLOOKUP($J$15&amp;$B94,'BPLE Source'!$A:$F,3, FALSE), " ")</f>
        <v xml:space="preserve"> </v>
      </c>
      <c r="G94" s="1248"/>
      <c r="H94" s="1249"/>
      <c r="I94" s="609" t="str">
        <f>IFERROR(VLOOKUP($J$15&amp;$B94,'BPLE Source'!$A:$F,4, FALSE), " ")</f>
        <v xml:space="preserve"> </v>
      </c>
      <c r="J94" s="609" t="str">
        <f>IFERROR(VLOOKUP($J$15&amp;$B94,'BPLE Source'!$A:$F,5, FALSE), " ")</f>
        <v xml:space="preserve"> </v>
      </c>
      <c r="K94" s="611" t="str">
        <f>IFERROR(VLOOKUP($J$15&amp;$B94,'BPLE Source'!$A:$F,6, FALSE), " ")</f>
        <v xml:space="preserve"> </v>
      </c>
    </row>
    <row r="95" spans="2:11" customFormat="1" ht="15" customHeight="1">
      <c r="B95" s="608">
        <v>19</v>
      </c>
      <c r="C95" s="1247" t="str">
        <f>IFERROR(VLOOKUP($J$15&amp;$B95,'BPLE Source'!$A:$F,2, FALSE), " ")</f>
        <v xml:space="preserve"> </v>
      </c>
      <c r="D95" s="1248"/>
      <c r="E95" s="1249"/>
      <c r="F95" s="1247" t="str">
        <f>IFERROR(VLOOKUP($J$15&amp;$B95,'BPLE Source'!$A:$F,3, FALSE), " ")</f>
        <v xml:space="preserve"> </v>
      </c>
      <c r="G95" s="1248"/>
      <c r="H95" s="1249"/>
      <c r="I95" s="609" t="str">
        <f>IFERROR(VLOOKUP($J$15&amp;$B95,'BPLE Source'!$A:$F,4, FALSE), " ")</f>
        <v xml:space="preserve"> </v>
      </c>
      <c r="J95" s="609" t="str">
        <f>IFERROR(VLOOKUP($J$15&amp;$B95,'BPLE Source'!$A:$F,5, FALSE), " ")</f>
        <v xml:space="preserve"> </v>
      </c>
      <c r="K95" s="611" t="str">
        <f>IFERROR(VLOOKUP($J$15&amp;$B95,'BPLE Source'!$A:$F,6, FALSE), " ")</f>
        <v xml:space="preserve"> </v>
      </c>
    </row>
    <row r="96" spans="2:11" customFormat="1" ht="15" customHeight="1">
      <c r="B96" s="608">
        <v>20</v>
      </c>
      <c r="C96" s="1247" t="str">
        <f>IFERROR(VLOOKUP($J$15&amp;$B96,'BPLE Source'!$A:$F,2, FALSE), " ")</f>
        <v xml:space="preserve"> </v>
      </c>
      <c r="D96" s="1248"/>
      <c r="E96" s="1249"/>
      <c r="F96" s="1247" t="str">
        <f>IFERROR(VLOOKUP($J$15&amp;$B96,'BPLE Source'!$A:$F,3, FALSE), " ")</f>
        <v xml:space="preserve"> </v>
      </c>
      <c r="G96" s="1248"/>
      <c r="H96" s="1249"/>
      <c r="I96" s="609" t="str">
        <f>IFERROR(VLOOKUP($J$15&amp;$B96,'BPLE Source'!$A:$F,4, FALSE), " ")</f>
        <v xml:space="preserve"> </v>
      </c>
      <c r="J96" s="609" t="str">
        <f>IFERROR(VLOOKUP($J$15&amp;$B96,'BPLE Source'!$A:$F,5, FALSE), " ")</f>
        <v xml:space="preserve"> </v>
      </c>
      <c r="K96" s="611" t="str">
        <f>IFERROR(VLOOKUP($J$15&amp;$B96,'BPLE Source'!$A:$F,6, FALSE), " ")</f>
        <v xml:space="preserve"> </v>
      </c>
    </row>
    <row r="97" spans="2:13" customFormat="1" ht="15" customHeight="1" thickBot="1">
      <c r="B97" s="1244" t="s">
        <v>1817</v>
      </c>
      <c r="C97" s="1244"/>
      <c r="D97" s="1244"/>
      <c r="E97" s="1244"/>
      <c r="F97" s="1244"/>
      <c r="G97" s="1244"/>
      <c r="H97" s="1244"/>
      <c r="I97" s="1244"/>
      <c r="J97" s="1244"/>
      <c r="K97" s="1244"/>
    </row>
    <row r="98" spans="2:13" ht="15" thickBot="1">
      <c r="B98" s="1309" t="s">
        <v>972</v>
      </c>
      <c r="C98" s="1309"/>
      <c r="D98" s="1309"/>
      <c r="E98" s="1309"/>
      <c r="F98" s="1309" t="s">
        <v>1012</v>
      </c>
      <c r="G98" s="1309"/>
      <c r="H98" s="1309"/>
      <c r="I98" s="594" t="s">
        <v>1013</v>
      </c>
      <c r="J98" s="568" t="s">
        <v>1014</v>
      </c>
      <c r="K98" s="594" t="s">
        <v>1015</v>
      </c>
    </row>
    <row r="99" spans="2:13" ht="15" thickBot="1">
      <c r="B99" s="1256"/>
      <c r="C99" s="1256"/>
      <c r="D99" s="1256"/>
      <c r="E99" s="1256"/>
      <c r="F99" s="1256"/>
      <c r="G99" s="1256"/>
      <c r="H99" s="1256"/>
      <c r="I99" s="408"/>
      <c r="J99" s="566"/>
      <c r="K99" s="569"/>
      <c r="L99"/>
      <c r="M99" s="593"/>
    </row>
    <row r="100" spans="2:13" ht="15" thickBot="1">
      <c r="B100" s="1256"/>
      <c r="C100" s="1256"/>
      <c r="D100" s="1256"/>
      <c r="E100" s="1256"/>
      <c r="F100" s="1256"/>
      <c r="G100" s="1256"/>
      <c r="H100" s="1256"/>
      <c r="I100" s="408"/>
      <c r="J100" s="566"/>
      <c r="K100" s="569"/>
      <c r="L100"/>
      <c r="M100" s="593"/>
    </row>
    <row r="101" spans="2:13" ht="15" thickBot="1">
      <c r="B101" s="1256"/>
      <c r="C101" s="1256"/>
      <c r="D101" s="1256"/>
      <c r="E101" s="1256"/>
      <c r="F101" s="1256"/>
      <c r="G101" s="1256"/>
      <c r="H101" s="1256"/>
      <c r="I101" s="408"/>
      <c r="J101" s="566"/>
      <c r="K101" s="569"/>
      <c r="L101"/>
      <c r="M101" s="593"/>
    </row>
    <row r="102" spans="2:13" ht="15" thickBot="1">
      <c r="B102" s="1256"/>
      <c r="C102" s="1256"/>
      <c r="D102" s="1256"/>
      <c r="E102" s="1256"/>
      <c r="F102" s="1256"/>
      <c r="G102" s="1256"/>
      <c r="H102" s="1256"/>
      <c r="I102" s="408"/>
      <c r="J102" s="570"/>
      <c r="K102" s="567"/>
      <c r="L102"/>
      <c r="M102" s="593"/>
    </row>
    <row r="103" spans="2:13" ht="15" thickBot="1">
      <c r="B103" s="1256"/>
      <c r="C103" s="1256"/>
      <c r="D103" s="1256"/>
      <c r="E103" s="1256"/>
      <c r="F103" s="1256"/>
      <c r="G103" s="1256"/>
      <c r="H103" s="1256"/>
      <c r="I103" s="408"/>
      <c r="J103" s="570"/>
      <c r="K103" s="567"/>
      <c r="L103"/>
      <c r="M103" s="593"/>
    </row>
    <row r="104" spans="2:13" ht="15" thickBot="1">
      <c r="B104" s="1256"/>
      <c r="C104" s="1256"/>
      <c r="D104" s="1256"/>
      <c r="E104" s="1256"/>
      <c r="F104" s="1256"/>
      <c r="G104" s="1256"/>
      <c r="H104" s="1256"/>
      <c r="I104" s="408"/>
      <c r="J104" s="566"/>
      <c r="K104" s="569"/>
    </row>
    <row r="105" spans="2:13" ht="15" thickBot="1">
      <c r="B105"/>
      <c r="C105"/>
      <c r="D105"/>
      <c r="E105"/>
      <c r="F105"/>
      <c r="G105"/>
      <c r="H105"/>
      <c r="I105"/>
      <c r="J105"/>
      <c r="K105"/>
    </row>
    <row r="106" spans="2:13">
      <c r="B106" s="1250" t="s">
        <v>1016</v>
      </c>
      <c r="C106" s="1250"/>
      <c r="D106" s="1250"/>
      <c r="E106" s="1250"/>
      <c r="F106" s="1250"/>
      <c r="G106" s="1250"/>
      <c r="H106" s="1250"/>
      <c r="I106" s="1250"/>
      <c r="J106" s="1250"/>
      <c r="K106" s="1252" t="s">
        <v>258</v>
      </c>
    </row>
    <row r="107" spans="2:13" ht="15" thickBot="1">
      <c r="B107" s="1251"/>
      <c r="C107" s="1251"/>
      <c r="D107" s="1251"/>
      <c r="E107" s="1251"/>
      <c r="F107" s="1251"/>
      <c r="G107" s="1251"/>
      <c r="H107" s="1251"/>
      <c r="I107" s="1251"/>
      <c r="J107" s="1251"/>
      <c r="K107" s="1253"/>
    </row>
    <row r="108" spans="2:13">
      <c r="B108" s="1254" t="s">
        <v>1267</v>
      </c>
      <c r="C108" s="1254"/>
      <c r="D108" s="1254"/>
      <c r="E108" s="1254"/>
      <c r="F108" s="1254"/>
      <c r="G108" s="1254"/>
      <c r="H108" s="1254"/>
      <c r="I108" s="1254"/>
      <c r="J108" s="1254"/>
      <c r="K108" s="1254"/>
    </row>
    <row r="109" spans="2:13">
      <c r="B109" s="1255"/>
      <c r="C109" s="1255"/>
      <c r="D109" s="1255"/>
      <c r="E109" s="1255"/>
      <c r="F109" s="1255"/>
      <c r="G109" s="1255"/>
      <c r="H109" s="1255"/>
      <c r="I109" s="1255"/>
      <c r="J109" s="1255"/>
      <c r="K109" s="1255"/>
    </row>
    <row r="110" spans="2:13">
      <c r="B110" s="1255"/>
      <c r="C110" s="1255"/>
      <c r="D110" s="1255"/>
      <c r="E110" s="1255"/>
      <c r="F110" s="1255"/>
      <c r="G110" s="1255"/>
      <c r="H110" s="1255"/>
      <c r="I110" s="1255"/>
      <c r="J110" s="1255"/>
      <c r="K110" s="1255"/>
    </row>
    <row r="111" spans="2:13">
      <c r="B111" s="1255"/>
      <c r="C111" s="1255"/>
      <c r="D111" s="1255"/>
      <c r="E111" s="1255"/>
      <c r="F111" s="1255"/>
      <c r="G111" s="1255"/>
      <c r="H111" s="1255"/>
      <c r="I111" s="1255"/>
      <c r="J111" s="1255"/>
      <c r="K111" s="1255"/>
    </row>
    <row r="112" spans="2:13">
      <c r="B112" s="1311"/>
      <c r="C112" s="1311"/>
      <c r="D112" s="1311"/>
      <c r="E112" s="1311"/>
    </row>
    <row r="113" spans="2:11" ht="28" customHeight="1">
      <c r="B113" s="1238" t="s">
        <v>1711</v>
      </c>
      <c r="C113" s="1238"/>
      <c r="D113" s="1238"/>
      <c r="E113" s="1238"/>
      <c r="F113" s="1238"/>
      <c r="G113" s="1238"/>
      <c r="H113" s="1238"/>
      <c r="I113" s="1238"/>
      <c r="J113" s="1238"/>
      <c r="K113" s="1238"/>
    </row>
    <row r="115" spans="2:11">
      <c r="B115" s="1313" t="s">
        <v>1271</v>
      </c>
      <c r="C115" s="1313"/>
      <c r="D115" s="1313"/>
      <c r="E115" s="1313"/>
      <c r="F115" s="1313"/>
      <c r="G115" s="1313"/>
      <c r="H115" s="1313"/>
      <c r="I115" s="1313"/>
      <c r="J115" s="1313"/>
      <c r="K115" s="1313"/>
    </row>
    <row r="116" spans="2:11">
      <c r="B116" s="1312"/>
      <c r="C116" s="1312"/>
      <c r="D116" s="1312"/>
      <c r="E116" s="1312"/>
      <c r="F116" s="1312"/>
      <c r="G116" s="1312"/>
      <c r="H116" s="1312"/>
      <c r="I116" s="1312"/>
      <c r="J116" s="1312"/>
      <c r="K116" s="1312"/>
    </row>
    <row r="117" spans="2:11">
      <c r="B117" s="1312"/>
      <c r="C117" s="1312"/>
      <c r="D117" s="1312"/>
      <c r="E117" s="1312"/>
      <c r="F117" s="1312"/>
      <c r="G117" s="1312"/>
      <c r="H117" s="1312"/>
      <c r="I117" s="1312"/>
      <c r="J117" s="1312"/>
      <c r="K117" s="1312"/>
    </row>
    <row r="118" spans="2:11">
      <c r="B118" s="1312"/>
      <c r="C118" s="1312"/>
      <c r="D118" s="1312"/>
      <c r="E118" s="1312"/>
      <c r="F118" s="1312"/>
      <c r="G118" s="1312"/>
      <c r="H118" s="1312"/>
      <c r="I118" s="1312"/>
      <c r="J118" s="1312"/>
      <c r="K118" s="1312"/>
    </row>
    <row r="119" spans="2:11">
      <c r="B119" s="1312"/>
      <c r="C119" s="1312"/>
      <c r="D119" s="1312"/>
      <c r="E119" s="1312"/>
      <c r="F119" s="1312"/>
      <c r="G119" s="1312"/>
      <c r="H119" s="1312"/>
      <c r="I119" s="1312"/>
      <c r="J119" s="1312"/>
      <c r="K119" s="1312"/>
    </row>
    <row r="120" spans="2:11">
      <c r="B120" s="1312"/>
      <c r="C120" s="1312"/>
      <c r="D120" s="1312"/>
      <c r="E120" s="1312"/>
      <c r="F120" s="1312"/>
      <c r="G120" s="1312"/>
      <c r="H120" s="1312"/>
      <c r="I120" s="1312"/>
      <c r="J120" s="1312"/>
      <c r="K120" s="1312"/>
    </row>
    <row r="121" spans="2:11">
      <c r="B121" s="1312"/>
      <c r="C121" s="1312"/>
      <c r="D121" s="1312"/>
      <c r="E121" s="1312"/>
      <c r="F121" s="1312"/>
      <c r="G121" s="1312"/>
      <c r="H121" s="1312"/>
      <c r="I121" s="1312"/>
      <c r="J121" s="1312"/>
      <c r="K121" s="1312"/>
    </row>
    <row r="122" spans="2:11">
      <c r="B122" s="1312"/>
      <c r="C122" s="1312"/>
      <c r="D122" s="1312"/>
      <c r="E122" s="1312"/>
      <c r="F122" s="1312"/>
      <c r="G122" s="1312"/>
      <c r="H122" s="1312"/>
      <c r="I122" s="1312"/>
      <c r="J122" s="1312"/>
      <c r="K122" s="1312"/>
    </row>
    <row r="123" spans="2:11">
      <c r="B123" s="1312"/>
      <c r="C123" s="1312"/>
      <c r="D123" s="1312"/>
      <c r="E123" s="1312"/>
      <c r="F123" s="1312"/>
      <c r="G123" s="1312"/>
      <c r="H123" s="1312"/>
      <c r="I123" s="1312"/>
      <c r="J123" s="1312"/>
      <c r="K123" s="1312"/>
    </row>
    <row r="126" spans="2:11" ht="15" thickBot="1">
      <c r="B126" s="1310" t="s">
        <v>1270</v>
      </c>
      <c r="C126" s="1310"/>
      <c r="D126" s="1310"/>
      <c r="E126" s="1310"/>
      <c r="F126" s="1310"/>
      <c r="G126" s="1310"/>
      <c r="H126" s="1310"/>
      <c r="I126" s="1310"/>
      <c r="J126" s="1310"/>
      <c r="K126" s="1310"/>
    </row>
    <row r="127" spans="2:11" ht="15" thickBot="1">
      <c r="B127" s="1310"/>
      <c r="C127" s="1310"/>
      <c r="D127" s="1310"/>
      <c r="E127" s="1310"/>
      <c r="F127" s="1310"/>
      <c r="G127" s="1310"/>
      <c r="H127" s="1310"/>
      <c r="I127" s="1310"/>
      <c r="J127" s="1310"/>
      <c r="K127" s="1310"/>
    </row>
    <row r="128" spans="2:11">
      <c r="B128" s="1307"/>
      <c r="C128" s="1307"/>
      <c r="D128" s="1307"/>
      <c r="E128" s="1307"/>
      <c r="F128" s="1307"/>
      <c r="G128" s="1307"/>
      <c r="H128" s="1307"/>
      <c r="I128" s="1307"/>
      <c r="J128" s="1307"/>
      <c r="K128" s="1307"/>
    </row>
    <row r="129" spans="2:11">
      <c r="B129" s="1308"/>
      <c r="C129" s="1308"/>
      <c r="D129" s="1308"/>
      <c r="E129" s="1308"/>
      <c r="F129" s="1308"/>
      <c r="G129" s="1308"/>
      <c r="H129" s="1308"/>
      <c r="I129" s="1308"/>
      <c r="J129" s="1308"/>
      <c r="K129" s="1308"/>
    </row>
    <row r="130" spans="2:11">
      <c r="B130" s="1308"/>
      <c r="C130" s="1308"/>
      <c r="D130" s="1308"/>
      <c r="E130" s="1308"/>
      <c r="F130" s="1308"/>
      <c r="G130" s="1308"/>
      <c r="H130" s="1308"/>
      <c r="I130" s="1308"/>
      <c r="J130" s="1308"/>
      <c r="K130" s="1308"/>
    </row>
    <row r="131" spans="2:11">
      <c r="B131" s="1308"/>
      <c r="C131" s="1308"/>
      <c r="D131" s="1308"/>
      <c r="E131" s="1308"/>
      <c r="F131" s="1308"/>
      <c r="G131" s="1308"/>
      <c r="H131" s="1308"/>
      <c r="I131" s="1308"/>
      <c r="J131" s="1308"/>
      <c r="K131" s="1308"/>
    </row>
    <row r="132" spans="2:11">
      <c r="B132" s="1308"/>
      <c r="C132" s="1308"/>
      <c r="D132" s="1308"/>
      <c r="E132" s="1308"/>
      <c r="F132" s="1308"/>
      <c r="G132" s="1308"/>
      <c r="H132" s="1308"/>
      <c r="I132" s="1308"/>
      <c r="J132" s="1308"/>
      <c r="K132" s="1308"/>
    </row>
    <row r="133" spans="2:11">
      <c r="B133" s="1308"/>
      <c r="C133" s="1308"/>
      <c r="D133" s="1308"/>
      <c r="E133" s="1308"/>
      <c r="F133" s="1308"/>
      <c r="G133" s="1308"/>
      <c r="H133" s="1308"/>
      <c r="I133" s="1308"/>
      <c r="J133" s="1308"/>
      <c r="K133" s="1308"/>
    </row>
    <row r="134" spans="2:11">
      <c r="B134" s="1308"/>
      <c r="C134" s="1308"/>
      <c r="D134" s="1308"/>
      <c r="E134" s="1308"/>
      <c r="F134" s="1308"/>
      <c r="G134" s="1308"/>
      <c r="H134" s="1308"/>
      <c r="I134" s="1308"/>
      <c r="J134" s="1308"/>
      <c r="K134" s="1308"/>
    </row>
    <row r="135" spans="2:11">
      <c r="B135" s="1308"/>
      <c r="C135" s="1308"/>
      <c r="D135" s="1308"/>
      <c r="E135" s="1308"/>
      <c r="F135" s="1308"/>
      <c r="G135" s="1308"/>
      <c r="H135" s="1308"/>
      <c r="I135" s="1308"/>
      <c r="J135" s="1308"/>
      <c r="K135" s="1308"/>
    </row>
    <row r="136" spans="2:11">
      <c r="B136" s="1308"/>
      <c r="C136" s="1308"/>
      <c r="D136" s="1308"/>
      <c r="E136" s="1308"/>
      <c r="F136" s="1308"/>
      <c r="G136" s="1308"/>
      <c r="H136" s="1308"/>
      <c r="I136" s="1308"/>
      <c r="J136" s="1308"/>
      <c r="K136" s="1308"/>
    </row>
    <row r="137" spans="2:11">
      <c r="B137" s="1308"/>
      <c r="C137" s="1308"/>
      <c r="D137" s="1308"/>
      <c r="E137" s="1308"/>
      <c r="F137" s="1308"/>
      <c r="G137" s="1308"/>
      <c r="H137" s="1308"/>
      <c r="I137" s="1308"/>
      <c r="J137" s="1308"/>
      <c r="K137" s="1308"/>
    </row>
    <row r="138" spans="2:11">
      <c r="B138" s="1308"/>
      <c r="C138" s="1308"/>
      <c r="D138" s="1308"/>
      <c r="E138" s="1308"/>
      <c r="F138" s="1308"/>
      <c r="G138" s="1308"/>
      <c r="H138" s="1308"/>
      <c r="I138" s="1308"/>
      <c r="J138" s="1308"/>
      <c r="K138" s="1308"/>
    </row>
    <row r="139" spans="2:11">
      <c r="B139" s="1308"/>
      <c r="C139" s="1308"/>
      <c r="D139" s="1308"/>
      <c r="E139" s="1308"/>
      <c r="F139" s="1308"/>
      <c r="G139" s="1308"/>
      <c r="H139" s="1308"/>
      <c r="I139" s="1308"/>
      <c r="J139" s="1308"/>
      <c r="K139" s="1308"/>
    </row>
    <row r="140" spans="2:11">
      <c r="B140" s="1308"/>
      <c r="C140" s="1308"/>
      <c r="D140" s="1308"/>
      <c r="E140" s="1308"/>
      <c r="F140" s="1308"/>
      <c r="G140" s="1308"/>
      <c r="H140" s="1308"/>
      <c r="I140" s="1308"/>
      <c r="J140" s="1308"/>
      <c r="K140" s="1308"/>
    </row>
  </sheetData>
  <sheetProtection selectLockedCells="1"/>
  <mergeCells count="162">
    <mergeCell ref="C92:E92"/>
    <mergeCell ref="C93:E93"/>
    <mergeCell ref="C94:E94"/>
    <mergeCell ref="C95:E95"/>
    <mergeCell ref="F80:H80"/>
    <mergeCell ref="F81:H81"/>
    <mergeCell ref="F82:H82"/>
    <mergeCell ref="F87:H87"/>
    <mergeCell ref="F88:H88"/>
    <mergeCell ref="F89:H89"/>
    <mergeCell ref="F92:H92"/>
    <mergeCell ref="C80:E80"/>
    <mergeCell ref="C81:E81"/>
    <mergeCell ref="C82:E82"/>
    <mergeCell ref="C83:E83"/>
    <mergeCell ref="C84:E84"/>
    <mergeCell ref="C85:E85"/>
    <mergeCell ref="C86:E86"/>
    <mergeCell ref="C87:E87"/>
    <mergeCell ref="C88:E88"/>
    <mergeCell ref="F93:H93"/>
    <mergeCell ref="B128:K140"/>
    <mergeCell ref="B113:K113"/>
    <mergeCell ref="F98:H98"/>
    <mergeCell ref="B104:E104"/>
    <mergeCell ref="F99:H99"/>
    <mergeCell ref="F100:H100"/>
    <mergeCell ref="F101:H101"/>
    <mergeCell ref="F102:H102"/>
    <mergeCell ref="F103:H103"/>
    <mergeCell ref="B98:E98"/>
    <mergeCell ref="B126:K127"/>
    <mergeCell ref="B112:E112"/>
    <mergeCell ref="F104:H104"/>
    <mergeCell ref="B116:K123"/>
    <mergeCell ref="B115:K115"/>
    <mergeCell ref="C27:J27"/>
    <mergeCell ref="B7:C7"/>
    <mergeCell ref="B8:C8"/>
    <mergeCell ref="H36:K36"/>
    <mergeCell ref="D10:K10"/>
    <mergeCell ref="B10:C10"/>
    <mergeCell ref="D34:E34"/>
    <mergeCell ref="F83:H83"/>
    <mergeCell ref="F84:H84"/>
    <mergeCell ref="C64:E64"/>
    <mergeCell ref="F64:G64"/>
    <mergeCell ref="B75:K75"/>
    <mergeCell ref="C79:E79"/>
    <mergeCell ref="B74:K74"/>
    <mergeCell ref="B70:E70"/>
    <mergeCell ref="F70:H70"/>
    <mergeCell ref="B69:E69"/>
    <mergeCell ref="F69:H69"/>
    <mergeCell ref="F48:G49"/>
    <mergeCell ref="F52:G52"/>
    <mergeCell ref="K48:K49"/>
    <mergeCell ref="C51:E51"/>
    <mergeCell ref="B76:E76"/>
    <mergeCell ref="F76:H76"/>
    <mergeCell ref="B46:K46"/>
    <mergeCell ref="B47:K47"/>
    <mergeCell ref="B48:E49"/>
    <mergeCell ref="B1:K1"/>
    <mergeCell ref="B2:C5"/>
    <mergeCell ref="D15:I15"/>
    <mergeCell ref="J15:K15"/>
    <mergeCell ref="B16:K16"/>
    <mergeCell ref="C38:K38"/>
    <mergeCell ref="B39:K41"/>
    <mergeCell ref="B33:B36"/>
    <mergeCell ref="B31:K31"/>
    <mergeCell ref="D2:K4"/>
    <mergeCell ref="D5:K5"/>
    <mergeCell ref="B13:K13"/>
    <mergeCell ref="C17:J17"/>
    <mergeCell ref="C18:J18"/>
    <mergeCell ref="C21:K21"/>
    <mergeCell ref="B22:K25"/>
    <mergeCell ref="B9:C9"/>
    <mergeCell ref="D9:K9"/>
    <mergeCell ref="D7:K7"/>
    <mergeCell ref="D8:K8"/>
    <mergeCell ref="B28:K29"/>
    <mergeCell ref="F36:G36"/>
    <mergeCell ref="F33:G33"/>
    <mergeCell ref="F34:G34"/>
    <mergeCell ref="H34:K34"/>
    <mergeCell ref="D33:E33"/>
    <mergeCell ref="H33:K33"/>
    <mergeCell ref="D35:E35"/>
    <mergeCell ref="H35:K35"/>
    <mergeCell ref="D36:E36"/>
    <mergeCell ref="F35:G35"/>
    <mergeCell ref="C50:E50"/>
    <mergeCell ref="I48:I49"/>
    <mergeCell ref="H48:H49"/>
    <mergeCell ref="J48:J49"/>
    <mergeCell ref="C77:E77"/>
    <mergeCell ref="C78:E78"/>
    <mergeCell ref="C63:E63"/>
    <mergeCell ref="F85:H85"/>
    <mergeCell ref="F86:H86"/>
    <mergeCell ref="F51:G51"/>
    <mergeCell ref="F53:G53"/>
    <mergeCell ref="F54:G54"/>
    <mergeCell ref="F55:G55"/>
    <mergeCell ref="F60:G60"/>
    <mergeCell ref="F61:G61"/>
    <mergeCell ref="B68:E68"/>
    <mergeCell ref="F68:H68"/>
    <mergeCell ref="F77:H77"/>
    <mergeCell ref="F78:H78"/>
    <mergeCell ref="F79:H79"/>
    <mergeCell ref="F96:H96"/>
    <mergeCell ref="B106:J107"/>
    <mergeCell ref="K106:K107"/>
    <mergeCell ref="B108:K108"/>
    <mergeCell ref="B109:K111"/>
    <mergeCell ref="B71:E71"/>
    <mergeCell ref="F71:H71"/>
    <mergeCell ref="C60:E60"/>
    <mergeCell ref="B72:E72"/>
    <mergeCell ref="F72:H72"/>
    <mergeCell ref="F90:H90"/>
    <mergeCell ref="F91:H91"/>
    <mergeCell ref="B99:E99"/>
    <mergeCell ref="B100:E100"/>
    <mergeCell ref="B101:E101"/>
    <mergeCell ref="B102:E102"/>
    <mergeCell ref="B103:E103"/>
    <mergeCell ref="F94:H94"/>
    <mergeCell ref="F95:H95"/>
    <mergeCell ref="C96:E96"/>
    <mergeCell ref="B97:K97"/>
    <mergeCell ref="C89:E89"/>
    <mergeCell ref="C90:E90"/>
    <mergeCell ref="C91:E91"/>
    <mergeCell ref="B44:K44"/>
    <mergeCell ref="C62:E62"/>
    <mergeCell ref="C61:E61"/>
    <mergeCell ref="K66:K67"/>
    <mergeCell ref="I66:I67"/>
    <mergeCell ref="J66:J67"/>
    <mergeCell ref="F56:G56"/>
    <mergeCell ref="C53:E53"/>
    <mergeCell ref="C55:E55"/>
    <mergeCell ref="B65:K65"/>
    <mergeCell ref="B66:E67"/>
    <mergeCell ref="F66:H67"/>
    <mergeCell ref="C59:E59"/>
    <mergeCell ref="C58:E58"/>
    <mergeCell ref="C57:E57"/>
    <mergeCell ref="C56:E56"/>
    <mergeCell ref="C54:E54"/>
    <mergeCell ref="F57:G57"/>
    <mergeCell ref="F58:G58"/>
    <mergeCell ref="F59:G59"/>
    <mergeCell ref="F62:G62"/>
    <mergeCell ref="F63:G63"/>
    <mergeCell ref="F50:G50"/>
    <mergeCell ref="C52:E52"/>
  </mergeCells>
  <conditionalFormatting sqref="B108:B109">
    <cfRule type="containsText" dxfId="17" priority="2" operator="containsText" text="Please describe reduction strategies underway, if any">
      <formula>NOT(ISERROR(SEARCH("Please describe reduction strategies underway, if any",B108)))</formula>
    </cfRule>
    <cfRule type="expression" dxfId="16" priority="92">
      <formula>#REF!="yes"</formula>
    </cfRule>
  </conditionalFormatting>
  <conditionalFormatting sqref="J15:K15">
    <cfRule type="containsText" dxfId="15" priority="16" operator="containsText" text="please">
      <formula>NOT(ISERROR(SEARCH("please",J15)))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9181B76-18F5-8246-93CB-6A5EA83663B2}">
          <x14:formula1>
            <xm:f>Source!$T$1:$T$4</xm:f>
          </x14:formula1>
          <xm:sqref>K106</xm:sqref>
        </x14:dataValidation>
        <x14:dataValidation type="list" allowBlank="1" showInputMessage="1" showErrorMessage="1" xr:uid="{E111BB2B-B38A-B74D-8AED-12CF31B0E736}">
          <x14:formula1>
            <xm:f>Source!$AV$1:$AV$5</xm:f>
          </x14:formula1>
          <xm:sqref>K68:K73</xm:sqref>
        </x14:dataValidation>
        <x14:dataValidation type="list" allowBlank="1" showInputMessage="1" showErrorMessage="1" xr:uid="{DF4E26D6-7AB2-451B-9FF0-8CA5A65412C1}">
          <x14:formula1>
            <xm:f>Source!$BG$2:$BG$10</xm:f>
          </x14:formula1>
          <xm:sqref>F99:H104</xm:sqref>
        </x14:dataValidation>
        <x14:dataValidation type="list" allowBlank="1" showInputMessage="1" showErrorMessage="1" xr:uid="{2E626267-29C5-4ED4-A078-358E3C5CAD2E}">
          <x14:formula1>
            <xm:f>Source!$I$2:$I$3</xm:f>
          </x14:formula1>
          <xm:sqref>K27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FB209"/>
  <sheetViews>
    <sheetView topLeftCell="A12" zoomScaleNormal="100" workbookViewId="0">
      <selection activeCell="D4" sqref="D4:AD4"/>
    </sheetView>
  </sheetViews>
  <sheetFormatPr defaultColWidth="0" defaultRowHeight="14.5" zeroHeight="1"/>
  <cols>
    <col min="1" max="1" width="1.7265625" style="252" customWidth="1"/>
    <col min="2" max="2" width="6.81640625" style="252" customWidth="1"/>
    <col min="3" max="3" width="5.453125" style="252" customWidth="1"/>
    <col min="4" max="4" width="18" style="252" customWidth="1"/>
    <col min="5" max="5" width="9.1796875" style="252" customWidth="1"/>
    <col min="6" max="6" width="8.26953125" style="252" customWidth="1"/>
    <col min="7" max="7" width="5" style="252" customWidth="1"/>
    <col min="8" max="8" width="13.26953125" style="252" customWidth="1"/>
    <col min="9" max="9" width="1.26953125" style="252" hidden="1" customWidth="1"/>
    <col min="10" max="10" width="5.1796875" style="252" customWidth="1"/>
    <col min="11" max="12" width="6.453125" style="252" customWidth="1"/>
    <col min="13" max="13" width="5.81640625" style="252" customWidth="1"/>
    <col min="14" max="14" width="17.1796875" style="252" customWidth="1"/>
    <col min="15" max="15" width="1.81640625" style="252" customWidth="1"/>
    <col min="16" max="16" width="3.7265625" style="252" customWidth="1"/>
    <col min="17" max="17" width="5.453125" style="252" customWidth="1"/>
    <col min="18" max="18" width="19" style="252" customWidth="1"/>
    <col min="19" max="19" width="6.453125" style="252" customWidth="1"/>
    <col min="20" max="20" width="6.7265625" style="252" customWidth="1"/>
    <col min="21" max="21" width="6.453125" style="252" customWidth="1"/>
    <col min="22" max="22" width="7.26953125" style="252" customWidth="1"/>
    <col min="23" max="23" width="1.26953125" style="252" hidden="1" customWidth="1"/>
    <col min="24" max="25" width="4.26953125" style="252" customWidth="1"/>
    <col min="26" max="26" width="5.7265625" style="252" customWidth="1"/>
    <col min="27" max="27" width="4.26953125" style="252" customWidth="1"/>
    <col min="28" max="29" width="7.26953125" style="252" customWidth="1"/>
    <col min="30" max="30" width="27.26953125" style="252" customWidth="1"/>
    <col min="31" max="31" width="9.1796875" style="82" customWidth="1"/>
    <col min="32" max="32" width="9.1796875" style="82" hidden="1" customWidth="1"/>
    <col min="33" max="16382" width="9.1796875" style="82" hidden="1"/>
    <col min="16383" max="16384" width="2.453125" style="82" hidden="1" customWidth="1"/>
  </cols>
  <sheetData>
    <row r="1" spans="1:30" ht="15" thickBot="1">
      <c r="A1" s="43"/>
      <c r="B1" s="1060" t="s">
        <v>23</v>
      </c>
      <c r="C1" s="1060"/>
      <c r="D1" s="1060"/>
      <c r="E1" s="1060"/>
      <c r="F1" s="1060"/>
      <c r="G1" s="1060"/>
      <c r="H1" s="1060"/>
      <c r="I1" s="1060"/>
      <c r="J1" s="1060"/>
      <c r="K1" s="1060"/>
      <c r="L1" s="1060"/>
      <c r="M1" s="1060"/>
      <c r="N1" s="1060"/>
      <c r="O1" s="1060"/>
      <c r="P1" s="1060"/>
      <c r="Q1" s="1060"/>
      <c r="R1" s="1060"/>
      <c r="S1" s="1060"/>
      <c r="T1" s="1060"/>
      <c r="U1" s="1060"/>
      <c r="V1" s="1060"/>
      <c r="W1" s="1060"/>
      <c r="X1" s="1060"/>
      <c r="Y1" s="1060"/>
      <c r="Z1" s="1060"/>
      <c r="AA1" s="1060"/>
      <c r="AB1" s="1060"/>
      <c r="AC1" s="1060"/>
      <c r="AD1" s="1060"/>
    </row>
    <row r="2" spans="1:30" ht="20.25" customHeight="1">
      <c r="A2" s="43"/>
      <c r="B2" s="1077" t="s">
        <v>1017</v>
      </c>
      <c r="C2" s="1331"/>
      <c r="D2" s="954" t="s">
        <v>1018</v>
      </c>
      <c r="E2" s="955"/>
      <c r="F2" s="955"/>
      <c r="G2" s="955"/>
      <c r="H2" s="955"/>
      <c r="I2" s="955"/>
      <c r="J2" s="955"/>
      <c r="K2" s="955"/>
      <c r="L2" s="955"/>
      <c r="M2" s="955"/>
      <c r="N2" s="955"/>
      <c r="O2" s="955"/>
      <c r="P2" s="955"/>
      <c r="Q2" s="955"/>
      <c r="R2" s="955"/>
      <c r="S2" s="955"/>
      <c r="T2" s="955"/>
      <c r="U2" s="955"/>
      <c r="V2" s="955"/>
      <c r="W2" s="955"/>
      <c r="X2" s="955"/>
      <c r="Y2" s="955"/>
      <c r="Z2" s="955"/>
      <c r="AA2" s="955"/>
      <c r="AB2" s="955"/>
      <c r="AC2" s="955"/>
      <c r="AD2" s="215"/>
    </row>
    <row r="3" spans="1:30" ht="20.25" customHeight="1">
      <c r="A3" s="43"/>
      <c r="B3" s="1077"/>
      <c r="C3" s="1331"/>
      <c r="D3" s="957"/>
      <c r="E3" s="958"/>
      <c r="F3" s="958"/>
      <c r="G3" s="958"/>
      <c r="H3" s="958"/>
      <c r="I3" s="958"/>
      <c r="J3" s="958"/>
      <c r="K3" s="958"/>
      <c r="L3" s="958"/>
      <c r="M3" s="958"/>
      <c r="N3" s="958"/>
      <c r="O3" s="958"/>
      <c r="P3" s="958"/>
      <c r="Q3" s="958"/>
      <c r="R3" s="958"/>
      <c r="S3" s="958"/>
      <c r="T3" s="958"/>
      <c r="U3" s="958"/>
      <c r="V3" s="958"/>
      <c r="W3" s="958"/>
      <c r="X3" s="958"/>
      <c r="Y3" s="958"/>
      <c r="Z3" s="958"/>
      <c r="AA3" s="958"/>
      <c r="AB3" s="958"/>
      <c r="AC3" s="958"/>
      <c r="AD3" s="215"/>
    </row>
    <row r="4" spans="1:30" ht="20.25" customHeight="1">
      <c r="A4" s="43"/>
      <c r="B4" s="1077"/>
      <c r="C4" s="1331"/>
      <c r="D4" s="1061" t="s">
        <v>392</v>
      </c>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row>
    <row r="5" spans="1:30" ht="21" customHeight="1">
      <c r="A5" s="43"/>
      <c r="B5" s="72"/>
      <c r="C5" s="72"/>
      <c r="D5" s="72"/>
      <c r="E5" s="72"/>
      <c r="F5" s="72"/>
      <c r="G5" s="72"/>
      <c r="H5" s="72"/>
      <c r="I5" s="72"/>
      <c r="J5" s="72"/>
      <c r="K5" s="72"/>
      <c r="L5" s="72"/>
      <c r="M5" s="72"/>
      <c r="N5" s="72"/>
      <c r="O5" s="43"/>
      <c r="P5" s="72"/>
      <c r="Q5" s="72"/>
      <c r="R5" s="72"/>
      <c r="S5" s="72"/>
      <c r="T5" s="72"/>
      <c r="U5" s="72"/>
      <c r="V5" s="72"/>
      <c r="W5" s="72"/>
      <c r="X5" s="72"/>
      <c r="Y5" s="72"/>
      <c r="Z5" s="72"/>
      <c r="AA5" s="72"/>
      <c r="AB5" s="72"/>
      <c r="AC5" s="72"/>
      <c r="AD5" s="72"/>
    </row>
    <row r="6" spans="1:30" s="303" customFormat="1" ht="15" hidden="1" customHeight="1">
      <c r="A6" s="532"/>
      <c r="B6" s="532"/>
      <c r="C6" s="532"/>
      <c r="D6" s="532"/>
      <c r="E6" s="532"/>
      <c r="F6" s="532"/>
      <c r="G6" s="532"/>
      <c r="H6" s="532"/>
      <c r="I6" s="585"/>
      <c r="J6" s="532"/>
      <c r="K6" s="255"/>
      <c r="L6" s="970" t="s">
        <v>27</v>
      </c>
      <c r="M6" s="970"/>
      <c r="N6" s="1199"/>
      <c r="O6" s="1197" t="e">
        <f>#REF!</f>
        <v>#REF!</v>
      </c>
      <c r="P6" s="1198"/>
      <c r="Q6" s="532"/>
      <c r="R6" s="532"/>
      <c r="S6" s="532"/>
      <c r="T6" s="532"/>
      <c r="U6" s="532"/>
      <c r="V6" s="532"/>
      <c r="W6" s="532"/>
      <c r="X6" s="532"/>
      <c r="Y6" s="532"/>
      <c r="Z6" s="532"/>
      <c r="AA6" s="532"/>
      <c r="AB6" s="532"/>
      <c r="AC6" s="532"/>
      <c r="AD6" s="532"/>
    </row>
    <row r="7" spans="1:30" s="303" customFormat="1" ht="15" hidden="1" customHeight="1" thickBot="1">
      <c r="A7" s="548"/>
      <c r="B7" s="548"/>
      <c r="C7" s="548"/>
      <c r="D7" s="70"/>
      <c r="E7" s="70"/>
      <c r="F7" s="70"/>
      <c r="G7" s="386"/>
      <c r="H7" s="70"/>
      <c r="I7" s="70"/>
      <c r="J7" s="548"/>
      <c r="K7" s="255"/>
      <c r="L7" s="548"/>
      <c r="M7" s="548"/>
      <c r="N7" s="548"/>
      <c r="O7" s="548"/>
      <c r="P7" s="548"/>
      <c r="Q7" s="548"/>
      <c r="R7" s="548"/>
      <c r="S7" s="548"/>
      <c r="T7" s="548"/>
      <c r="U7" s="548"/>
      <c r="V7" s="548"/>
      <c r="W7" s="548"/>
      <c r="X7" s="548"/>
      <c r="Y7" s="548"/>
      <c r="Z7" s="548"/>
      <c r="AA7" s="548"/>
      <c r="AB7" s="548"/>
      <c r="AC7" s="548"/>
      <c r="AD7" s="548"/>
    </row>
    <row r="8" spans="1:30" ht="15" customHeight="1">
      <c r="A8" s="43"/>
      <c r="B8" s="43"/>
      <c r="C8" s="215"/>
      <c r="D8" s="1077" t="s">
        <v>1019</v>
      </c>
      <c r="E8" s="1077"/>
      <c r="F8" s="1077"/>
      <c r="G8" s="1077"/>
      <c r="H8" s="1077"/>
      <c r="I8" s="1077"/>
      <c r="J8" s="1077"/>
      <c r="K8" s="1077"/>
      <c r="L8" s="1077"/>
      <c r="M8" s="1077"/>
      <c r="N8" s="1077"/>
      <c r="O8" s="1077"/>
      <c r="P8" s="1077"/>
      <c r="Q8" s="1077"/>
      <c r="R8" s="1077"/>
      <c r="S8" s="1077"/>
      <c r="T8" s="1077"/>
      <c r="U8" s="1077"/>
      <c r="V8" s="1331"/>
      <c r="W8" s="215"/>
      <c r="X8" s="1328" t="s">
        <v>258</v>
      </c>
      <c r="Y8" s="1329"/>
      <c r="Z8" s="1329"/>
      <c r="AA8" s="1329"/>
      <c r="AB8" s="1329"/>
      <c r="AC8" s="322"/>
      <c r="AD8" s="322"/>
    </row>
    <row r="9" spans="1:30" ht="20.25" customHeight="1">
      <c r="A9" s="43"/>
      <c r="B9" s="43"/>
      <c r="C9" s="215"/>
      <c r="D9" s="1077"/>
      <c r="E9" s="1077"/>
      <c r="F9" s="1077"/>
      <c r="G9" s="1077"/>
      <c r="H9" s="1077"/>
      <c r="I9" s="1077"/>
      <c r="J9" s="1077"/>
      <c r="K9" s="1077"/>
      <c r="L9" s="1077"/>
      <c r="M9" s="1077"/>
      <c r="N9" s="1077"/>
      <c r="O9" s="1077"/>
      <c r="P9" s="1077"/>
      <c r="Q9" s="1077"/>
      <c r="R9" s="1077"/>
      <c r="S9" s="1077"/>
      <c r="T9" s="1077"/>
      <c r="U9" s="1077"/>
      <c r="V9" s="1331"/>
      <c r="W9" s="215"/>
      <c r="X9" s="1328"/>
      <c r="Y9" s="1329"/>
      <c r="Z9" s="1329"/>
      <c r="AA9" s="1329"/>
      <c r="AB9" s="1329"/>
      <c r="AC9" s="322"/>
      <c r="AD9" s="322"/>
    </row>
    <row r="10" spans="1:30" ht="15" customHeight="1">
      <c r="A10" s="1120"/>
      <c r="B10" s="1120"/>
      <c r="C10" s="1120"/>
      <c r="D10" s="1120"/>
      <c r="E10" s="1120"/>
      <c r="F10" s="1120"/>
      <c r="G10" s="1120"/>
      <c r="H10" s="1120"/>
      <c r="I10" s="1120"/>
      <c r="J10" s="1120"/>
      <c r="K10" s="1120"/>
      <c r="L10" s="1120"/>
      <c r="M10" s="1120"/>
      <c r="N10" s="1120"/>
      <c r="O10" s="1120"/>
      <c r="P10" s="1120"/>
      <c r="Q10" s="1120"/>
      <c r="R10" s="1120"/>
      <c r="S10" s="1120"/>
      <c r="T10" s="1120"/>
      <c r="U10" s="1120"/>
      <c r="V10" s="1120"/>
      <c r="W10" s="1120"/>
      <c r="X10" s="1120"/>
      <c r="Y10" s="1120"/>
      <c r="Z10" s="1120"/>
      <c r="AA10" s="1120"/>
      <c r="AB10" s="1120"/>
      <c r="AC10" s="1120"/>
      <c r="AD10" s="43"/>
    </row>
    <row r="11" spans="1:30" ht="21" customHeight="1">
      <c r="A11" s="43"/>
      <c r="B11" s="1332" t="s">
        <v>1017</v>
      </c>
      <c r="C11" s="1332"/>
      <c r="D11" s="1332"/>
      <c r="E11" s="1332"/>
      <c r="F11" s="1332"/>
      <c r="G11" s="1332"/>
      <c r="H11" s="1332"/>
      <c r="I11" s="1332"/>
      <c r="J11" s="1332"/>
      <c r="K11" s="1332"/>
      <c r="L11" s="1332"/>
      <c r="M11" s="1332"/>
      <c r="N11" s="1332"/>
      <c r="O11" s="43"/>
      <c r="P11" s="1332" t="s">
        <v>1004</v>
      </c>
      <c r="Q11" s="1211"/>
      <c r="R11" s="1211"/>
      <c r="S11" s="1211"/>
      <c r="T11" s="1211"/>
      <c r="U11" s="1211"/>
      <c r="V11" s="1211"/>
      <c r="W11" s="1211"/>
      <c r="X11" s="1211"/>
      <c r="Y11" s="1211"/>
      <c r="Z11" s="1211"/>
      <c r="AA11" s="1211"/>
      <c r="AB11" s="1211"/>
      <c r="AC11" s="1211"/>
      <c r="AD11" s="1211"/>
    </row>
    <row r="12" spans="1:30" ht="33" customHeight="1" thickBot="1">
      <c r="A12" s="43"/>
      <c r="B12" s="1330" t="s">
        <v>1020</v>
      </c>
      <c r="C12" s="1330"/>
      <c r="D12" s="1330"/>
      <c r="E12" s="1330"/>
      <c r="F12" s="1330"/>
      <c r="G12" s="1330"/>
      <c r="H12" s="1330"/>
      <c r="I12" s="1330"/>
      <c r="J12" s="1330"/>
      <c r="K12" s="1330"/>
      <c r="L12" s="1330"/>
      <c r="M12" s="1330"/>
      <c r="N12" s="1330"/>
      <c r="O12" s="43"/>
      <c r="P12" s="1330" t="s">
        <v>1021</v>
      </c>
      <c r="Q12" s="1330"/>
      <c r="R12" s="1330"/>
      <c r="S12" s="1330"/>
      <c r="T12" s="1330"/>
      <c r="U12" s="1330"/>
      <c r="V12" s="1330"/>
      <c r="W12" s="1330"/>
      <c r="X12" s="1330"/>
      <c r="Y12" s="1330"/>
      <c r="Z12" s="1330"/>
      <c r="AA12" s="1330"/>
      <c r="AB12" s="1330"/>
      <c r="AC12" s="1330"/>
      <c r="AD12" s="1330"/>
    </row>
    <row r="13" spans="1:30" ht="15" customHeight="1">
      <c r="A13" s="43"/>
      <c r="B13" s="1336" t="s">
        <v>1022</v>
      </c>
      <c r="C13" s="1336"/>
      <c r="D13" s="1336"/>
      <c r="E13" s="1336"/>
      <c r="F13" s="1336"/>
      <c r="G13" s="1336"/>
      <c r="H13" s="1336"/>
      <c r="I13" s="1336"/>
      <c r="J13" s="1336"/>
      <c r="K13" s="1336"/>
      <c r="L13" s="1336"/>
      <c r="M13" s="597"/>
      <c r="N13" s="1337" t="s">
        <v>258</v>
      </c>
      <c r="O13" s="43"/>
      <c r="P13" s="1333" t="s">
        <v>972</v>
      </c>
      <c r="Q13" s="1333"/>
      <c r="R13" s="1333"/>
      <c r="S13" s="1333"/>
      <c r="T13" s="1333" t="s">
        <v>1006</v>
      </c>
      <c r="U13" s="1333"/>
      <c r="V13" s="1333"/>
      <c r="W13" s="219"/>
      <c r="X13" s="1334" t="s">
        <v>1007</v>
      </c>
      <c r="Y13" s="1333"/>
      <c r="Z13" s="1334" t="s">
        <v>1008</v>
      </c>
      <c r="AA13" s="1334"/>
      <c r="AB13" s="1334" t="s">
        <v>1009</v>
      </c>
      <c r="AC13" s="1334"/>
      <c r="AD13" s="1333" t="s">
        <v>321</v>
      </c>
    </row>
    <row r="14" spans="1:30" ht="21.75" customHeight="1" thickBot="1">
      <c r="A14" s="43"/>
      <c r="B14" s="1320"/>
      <c r="C14" s="1320"/>
      <c r="D14" s="1320"/>
      <c r="E14" s="1320"/>
      <c r="F14" s="1320"/>
      <c r="G14" s="1320"/>
      <c r="H14" s="1320"/>
      <c r="I14" s="1320"/>
      <c r="J14" s="1320"/>
      <c r="K14" s="1320"/>
      <c r="L14" s="1320"/>
      <c r="M14" s="598"/>
      <c r="N14" s="1253"/>
      <c r="O14" s="43"/>
      <c r="P14" s="1315"/>
      <c r="Q14" s="1315"/>
      <c r="R14" s="1315"/>
      <c r="S14" s="1315"/>
      <c r="T14" s="1315"/>
      <c r="U14" s="1315"/>
      <c r="V14" s="1315"/>
      <c r="W14" s="217"/>
      <c r="X14" s="1315"/>
      <c r="Y14" s="1315"/>
      <c r="Z14" s="1317"/>
      <c r="AA14" s="1317"/>
      <c r="AB14" s="1317"/>
      <c r="AC14" s="1317"/>
      <c r="AD14" s="1315"/>
    </row>
    <row r="15" spans="1:30" s="387" customFormat="1" ht="20.25" customHeight="1" thickBot="1">
      <c r="A15" s="253"/>
      <c r="B15" s="1338" t="str">
        <f>IF(N13="yes","Which of the following equipment do you operate?","")</f>
        <v/>
      </c>
      <c r="C15" s="1338"/>
      <c r="D15" s="1338"/>
      <c r="E15" s="1338"/>
      <c r="F15" s="1338"/>
      <c r="G15" s="1338"/>
      <c r="H15" s="1338"/>
      <c r="I15" s="1338"/>
      <c r="J15" s="1338"/>
      <c r="K15" s="1338"/>
      <c r="L15" s="1338"/>
      <c r="M15" s="1338"/>
      <c r="N15" s="1338"/>
      <c r="O15" s="50"/>
      <c r="P15" s="596">
        <v>1</v>
      </c>
      <c r="Q15" s="1335" t="str">
        <f>IFERROR(VLOOKUP($O$6&amp;$P15,'Landscaping Source'!$A:$P,2,FALSE)," ")</f>
        <v xml:space="preserve"> </v>
      </c>
      <c r="R15" s="1335"/>
      <c r="S15" s="1335"/>
      <c r="T15" s="1327" t="str">
        <f>IFERROR(VLOOKUP($O$6&amp;$P15,'Landscaping Source'!$A:$P,3,FALSE)," ")</f>
        <v xml:space="preserve"> </v>
      </c>
      <c r="U15" s="1327"/>
      <c r="V15" s="1327"/>
      <c r="W15" s="599"/>
      <c r="X15" s="1327" t="str">
        <f>IFERROR(VLOOKUP($O$6&amp;$P15,'Landscaping Source'!$A:$P,4,FALSE)," ")</f>
        <v xml:space="preserve"> </v>
      </c>
      <c r="Y15" s="1327"/>
      <c r="Z15" s="1327" t="str">
        <f>IFERROR(VLOOKUP($O$6&amp;$P15,'Landscaping Source'!$A:$P,5,FALSE)," ")</f>
        <v xml:space="preserve"> </v>
      </c>
      <c r="AA15" s="1327"/>
      <c r="AB15" s="1327" t="str">
        <f>IFERROR(VLOOKUP($O$6&amp;$P15,'Landscaping Source'!$A:$P,6,FALSE)," ")</f>
        <v xml:space="preserve"> </v>
      </c>
      <c r="AC15" s="1327"/>
      <c r="AD15" s="407"/>
    </row>
    <row r="16" spans="1:30" ht="20.25" customHeight="1" thickBot="1">
      <c r="B16" s="254" t="s">
        <v>1023</v>
      </c>
      <c r="C16" s="465" t="s">
        <v>1024</v>
      </c>
      <c r="D16" s="465"/>
      <c r="E16" s="466" t="s">
        <v>258</v>
      </c>
      <c r="F16" s="466"/>
      <c r="G16" s="467" t="str">
        <f>IF(E16="yes","       Please provide details here, if available (e.g. # of mowers, fuel type, etc.)","")</f>
        <v/>
      </c>
      <c r="H16" s="467"/>
      <c r="I16" s="467"/>
      <c r="J16" s="467"/>
      <c r="K16" s="467"/>
      <c r="L16" s="467"/>
      <c r="M16" s="467"/>
      <c r="N16" s="467"/>
      <c r="O16" s="43"/>
      <c r="P16" s="596">
        <v>2</v>
      </c>
      <c r="Q16" s="1327" t="str">
        <f>IFERROR(VLOOKUP($O$6&amp;$P16,'Landscaping Source'!$A:$P,2,FALSE)," ")</f>
        <v xml:space="preserve"> </v>
      </c>
      <c r="R16" s="1327"/>
      <c r="S16" s="1327"/>
      <c r="T16" s="1327" t="str">
        <f>IFERROR(VLOOKUP($O$6&amp;$P16,'Landscaping Source'!$A:$P,3,FALSE)," ")</f>
        <v xml:space="preserve"> </v>
      </c>
      <c r="U16" s="1327"/>
      <c r="V16" s="1327"/>
      <c r="W16" s="599"/>
      <c r="X16" s="1327" t="str">
        <f>IFERROR(VLOOKUP($O$6&amp;$P16,'Landscaping Source'!$A:$P,4,FALSE)," ")</f>
        <v xml:space="preserve"> </v>
      </c>
      <c r="Y16" s="1327"/>
      <c r="Z16" s="1327" t="str">
        <f>IFERROR(VLOOKUP($O$6&amp;$P16,'Landscaping Source'!$A:$P,5,FALSE)," ")</f>
        <v xml:space="preserve"> </v>
      </c>
      <c r="AA16" s="1327"/>
      <c r="AB16" s="1327" t="str">
        <f>IFERROR(VLOOKUP($O$6&amp;$P16,'Landscaping Source'!$A:$P,6,FALSE)," ")</f>
        <v xml:space="preserve"> </v>
      </c>
      <c r="AC16" s="1327"/>
      <c r="AD16" s="407"/>
    </row>
    <row r="17" spans="1:30" ht="20.25" customHeight="1" thickBot="1">
      <c r="B17" s="254" t="s">
        <v>1023</v>
      </c>
      <c r="C17" s="465" t="s">
        <v>1025</v>
      </c>
      <c r="D17" s="465"/>
      <c r="E17" s="466" t="s">
        <v>258</v>
      </c>
      <c r="F17" s="466"/>
      <c r="G17" s="467" t="str">
        <f t="shared" ref="G17:G19" si="0">IF(E17="yes","       Please provide details here, if available (e.g. # of mowers, fuel type, etc.)","")</f>
        <v/>
      </c>
      <c r="H17" s="467"/>
      <c r="I17" s="467"/>
      <c r="J17" s="467"/>
      <c r="K17" s="467"/>
      <c r="L17" s="467"/>
      <c r="M17" s="467"/>
      <c r="N17" s="467"/>
      <c r="O17" s="43"/>
      <c r="P17" s="596">
        <v>3</v>
      </c>
      <c r="Q17" s="1326" t="str">
        <f>IFERROR(VLOOKUP($O$6&amp;$P17,'Landscaping Source'!$A:$P,2,FALSE)," ")</f>
        <v xml:space="preserve"> </v>
      </c>
      <c r="R17" s="1326"/>
      <c r="S17" s="1326"/>
      <c r="T17" s="1327" t="str">
        <f>IFERROR(VLOOKUP($O$6&amp;$P17,'Landscaping Source'!$A:$P,3,FALSE)," ")</f>
        <v xml:space="preserve"> </v>
      </c>
      <c r="U17" s="1327"/>
      <c r="V17" s="1327"/>
      <c r="W17" s="599"/>
      <c r="X17" s="1327" t="str">
        <f>IFERROR(VLOOKUP($O$6&amp;$P17,'Landscaping Source'!$A:$P,4,FALSE)," ")</f>
        <v xml:space="preserve"> </v>
      </c>
      <c r="Y17" s="1327"/>
      <c r="Z17" s="1327" t="str">
        <f>IFERROR(VLOOKUP($O$6&amp;$P17,'Landscaping Source'!$A:$P,5,FALSE)," ")</f>
        <v xml:space="preserve"> </v>
      </c>
      <c r="AA17" s="1327"/>
      <c r="AB17" s="1327" t="str">
        <f>IFERROR(VLOOKUP($O$6&amp;$P17,'Landscaping Source'!$A:$P,6,FALSE)," ")</f>
        <v xml:space="preserve"> </v>
      </c>
      <c r="AC17" s="1327"/>
      <c r="AD17" s="407"/>
    </row>
    <row r="18" spans="1:30" ht="20.25" customHeight="1" thickBot="1">
      <c r="B18" s="254" t="s">
        <v>1023</v>
      </c>
      <c r="C18" s="465" t="s">
        <v>1026</v>
      </c>
      <c r="D18" s="465"/>
      <c r="E18" s="466" t="s">
        <v>258</v>
      </c>
      <c r="F18" s="466"/>
      <c r="G18" s="467" t="str">
        <f t="shared" si="0"/>
        <v/>
      </c>
      <c r="H18" s="467"/>
      <c r="I18" s="467"/>
      <c r="J18" s="467"/>
      <c r="K18" s="467"/>
      <c r="L18" s="467"/>
      <c r="M18" s="467"/>
      <c r="N18" s="467"/>
      <c r="O18" s="43"/>
      <c r="P18" s="596">
        <v>4</v>
      </c>
      <c r="Q18" s="1326" t="str">
        <f>IFERROR(VLOOKUP($O$6&amp;$P18,'Landscaping Source'!$A:$P,2,FALSE)," ")</f>
        <v xml:space="preserve"> </v>
      </c>
      <c r="R18" s="1326"/>
      <c r="S18" s="1326"/>
      <c r="T18" s="1327" t="str">
        <f>IFERROR(VLOOKUP($O$6&amp;$P18,'Landscaping Source'!$A:$P,3,FALSE)," ")</f>
        <v xml:space="preserve"> </v>
      </c>
      <c r="U18" s="1327"/>
      <c r="V18" s="1327"/>
      <c r="W18" s="599"/>
      <c r="X18" s="1327" t="str">
        <f>IFERROR(VLOOKUP($O$6&amp;$P18,'Landscaping Source'!$A:$P,4,FALSE)," ")</f>
        <v xml:space="preserve"> </v>
      </c>
      <c r="Y18" s="1327"/>
      <c r="Z18" s="1327" t="str">
        <f>IFERROR(VLOOKUP($O$6&amp;$P18,'Landscaping Source'!$A:$P,5,FALSE)," ")</f>
        <v xml:space="preserve"> </v>
      </c>
      <c r="AA18" s="1327"/>
      <c r="AB18" s="1327" t="str">
        <f>IFERROR(VLOOKUP($O$6&amp;$P18,'Landscaping Source'!$A:$P,6,FALSE)," ")</f>
        <v xml:space="preserve"> </v>
      </c>
      <c r="AC18" s="1327"/>
      <c r="AD18" s="407"/>
    </row>
    <row r="19" spans="1:30" ht="20.25" customHeight="1" thickBot="1">
      <c r="B19" s="254" t="s">
        <v>1023</v>
      </c>
      <c r="C19" s="465" t="s">
        <v>383</v>
      </c>
      <c r="D19" s="465"/>
      <c r="E19" s="466" t="s">
        <v>258</v>
      </c>
      <c r="F19" s="466"/>
      <c r="G19" s="467" t="str">
        <f t="shared" si="0"/>
        <v/>
      </c>
      <c r="H19" s="467"/>
      <c r="I19" s="467"/>
      <c r="J19" s="467"/>
      <c r="K19" s="467"/>
      <c r="L19" s="467"/>
      <c r="M19" s="467"/>
      <c r="N19" s="467"/>
      <c r="O19" s="43"/>
      <c r="P19" s="596">
        <v>5</v>
      </c>
      <c r="Q19" s="1326" t="str">
        <f>IFERROR(VLOOKUP($O$6&amp;$P19,'Landscaping Source'!$A:$P,2,FALSE)," ")</f>
        <v xml:space="preserve"> </v>
      </c>
      <c r="R19" s="1326"/>
      <c r="S19" s="1326"/>
      <c r="T19" s="1327" t="str">
        <f>IFERROR(VLOOKUP($O$6&amp;$P19,'Landscaping Source'!$A:$P,3,FALSE)," ")</f>
        <v xml:space="preserve"> </v>
      </c>
      <c r="U19" s="1327"/>
      <c r="V19" s="1327"/>
      <c r="W19" s="599"/>
      <c r="X19" s="1327" t="str">
        <f>IFERROR(VLOOKUP($O$6&amp;$P19,'Landscaping Source'!$A:$P,4,FALSE)," ")</f>
        <v xml:space="preserve"> </v>
      </c>
      <c r="Y19" s="1327"/>
      <c r="Z19" s="1327" t="str">
        <f>IFERROR(VLOOKUP($O$6&amp;$P19,'Landscaping Source'!$A:$P,5,FALSE)," ")</f>
        <v xml:space="preserve"> </v>
      </c>
      <c r="AA19" s="1327"/>
      <c r="AB19" s="1327" t="str">
        <f>IFERROR(VLOOKUP($O$6&amp;$P19,'Landscaping Source'!$A:$P,6,FALSE)," ")</f>
        <v xml:space="preserve"> </v>
      </c>
      <c r="AC19" s="1327"/>
      <c r="AD19" s="407"/>
    </row>
    <row r="20" spans="1:30" ht="18.75" customHeight="1" thickBot="1">
      <c r="B20" s="157"/>
      <c r="C20" s="157"/>
      <c r="D20" s="157"/>
      <c r="E20" s="157"/>
      <c r="F20" s="157"/>
      <c r="G20" s="157"/>
      <c r="H20" s="157"/>
      <c r="I20" s="157"/>
      <c r="J20" s="157"/>
      <c r="K20" s="157"/>
      <c r="L20" s="157"/>
      <c r="M20" s="157"/>
      <c r="N20" s="157"/>
      <c r="O20" s="43"/>
      <c r="P20" s="596">
        <v>6</v>
      </c>
      <c r="Q20" s="1326" t="str">
        <f>IFERROR(VLOOKUP($O$6&amp;$P20,'Landscaping Source'!$A:$P,2,FALSE)," ")</f>
        <v xml:space="preserve"> </v>
      </c>
      <c r="R20" s="1326"/>
      <c r="S20" s="1326"/>
      <c r="T20" s="1327" t="str">
        <f>IFERROR(VLOOKUP($O$6&amp;$P20,'Landscaping Source'!$A:$P,3,FALSE)," ")</f>
        <v xml:space="preserve"> </v>
      </c>
      <c r="U20" s="1327"/>
      <c r="V20" s="1327"/>
      <c r="W20" s="599"/>
      <c r="X20" s="1327" t="str">
        <f>IFERROR(VLOOKUP($O$6&amp;$P20,'Landscaping Source'!$A:$P,4,FALSE)," ")</f>
        <v xml:space="preserve"> </v>
      </c>
      <c r="Y20" s="1327"/>
      <c r="Z20" s="1327" t="str">
        <f>IFERROR(VLOOKUP($O$6&amp;$P20,'Landscaping Source'!$A:$P,5,FALSE)," ")</f>
        <v xml:space="preserve"> </v>
      </c>
      <c r="AA20" s="1327"/>
      <c r="AB20" s="1327" t="str">
        <f>IFERROR(VLOOKUP($O$6&amp;$P20,'Landscaping Source'!$A:$P,6,FALSE)," ")</f>
        <v xml:space="preserve"> </v>
      </c>
      <c r="AC20" s="1327"/>
      <c r="AD20" s="407"/>
    </row>
    <row r="21" spans="1:30" ht="23.25" customHeight="1" thickBot="1">
      <c r="B21" s="1321" t="s">
        <v>1027</v>
      </c>
      <c r="C21" s="1250"/>
      <c r="D21" s="1250"/>
      <c r="E21" s="1250"/>
      <c r="F21" s="1250"/>
      <c r="G21" s="1250"/>
      <c r="H21" s="1250"/>
      <c r="I21" s="1250"/>
      <c r="J21" s="1250"/>
      <c r="K21" s="1250"/>
      <c r="L21" s="1250"/>
      <c r="M21" s="591"/>
      <c r="N21" s="1252" t="s">
        <v>258</v>
      </c>
      <c r="O21" s="43"/>
      <c r="P21" s="596">
        <v>7</v>
      </c>
      <c r="Q21" s="1326" t="str">
        <f>IFERROR(VLOOKUP($O$6&amp;$P21,'Landscaping Source'!$A:$P,2,FALSE)," ")</f>
        <v xml:space="preserve"> </v>
      </c>
      <c r="R21" s="1326"/>
      <c r="S21" s="1326"/>
      <c r="T21" s="1327" t="str">
        <f>IFERROR(VLOOKUP($O$6&amp;$P21,'Landscaping Source'!$A:$P,3,FALSE)," ")</f>
        <v xml:space="preserve"> </v>
      </c>
      <c r="U21" s="1327"/>
      <c r="V21" s="1327"/>
      <c r="W21" s="599"/>
      <c r="X21" s="1327" t="str">
        <f>IFERROR(VLOOKUP($O$6&amp;$P21,'Landscaping Source'!$A:$P,4,FALSE)," ")</f>
        <v xml:space="preserve"> </v>
      </c>
      <c r="Y21" s="1327"/>
      <c r="Z21" s="1327" t="str">
        <f>IFERROR(VLOOKUP($O$6&amp;$P21,'Landscaping Source'!$A:$P,5,FALSE)," ")</f>
        <v xml:space="preserve"> </v>
      </c>
      <c r="AA21" s="1327"/>
      <c r="AB21" s="1327" t="str">
        <f>IFERROR(VLOOKUP($O$6&amp;$P21,'Landscaping Source'!$A:$P,6,FALSE)," ")</f>
        <v xml:space="preserve"> </v>
      </c>
      <c r="AC21" s="1327"/>
      <c r="AD21" s="407"/>
    </row>
    <row r="22" spans="1:30" ht="21.75" customHeight="1" thickBot="1">
      <c r="B22" s="1322"/>
      <c r="C22" s="1251"/>
      <c r="D22" s="1251"/>
      <c r="E22" s="1251"/>
      <c r="F22" s="1251"/>
      <c r="G22" s="1251"/>
      <c r="H22" s="1251"/>
      <c r="I22" s="1251"/>
      <c r="J22" s="1251"/>
      <c r="K22" s="1251"/>
      <c r="L22" s="1251"/>
      <c r="M22" s="592"/>
      <c r="N22" s="1253"/>
      <c r="O22" s="43"/>
      <c r="P22" s="596">
        <v>8</v>
      </c>
      <c r="Q22" s="1326" t="str">
        <f>IFERROR(VLOOKUP($O$6&amp;$P22,'Landscaping Source'!$A:$P,2,FALSE)," ")</f>
        <v xml:space="preserve"> </v>
      </c>
      <c r="R22" s="1326"/>
      <c r="S22" s="1326"/>
      <c r="T22" s="1327" t="str">
        <f>IFERROR(VLOOKUP($O$6&amp;$P22,'Landscaping Source'!$A:$P,3,FALSE)," ")</f>
        <v xml:space="preserve"> </v>
      </c>
      <c r="U22" s="1327"/>
      <c r="V22" s="1327"/>
      <c r="W22" s="599"/>
      <c r="X22" s="1327" t="str">
        <f>IFERROR(VLOOKUP($O$6&amp;$P22,'Landscaping Source'!$A:$P,4,FALSE)," ")</f>
        <v xml:space="preserve"> </v>
      </c>
      <c r="Y22" s="1327"/>
      <c r="Z22" s="1327" t="str">
        <f>IFERROR(VLOOKUP($O$6&amp;$P22,'Landscaping Source'!$A:$P,5,FALSE)," ")</f>
        <v xml:space="preserve"> </v>
      </c>
      <c r="AA22" s="1327"/>
      <c r="AB22" s="1327" t="str">
        <f>IFERROR(VLOOKUP($O$6&amp;$P22,'Landscaping Source'!$A:$P,6,FALSE)," ")</f>
        <v xml:space="preserve"> </v>
      </c>
      <c r="AC22" s="1327"/>
      <c r="AD22" s="407"/>
    </row>
    <row r="23" spans="1:30" ht="20.25" customHeight="1" thickBot="1">
      <c r="B23" s="1325" t="str">
        <f>IF(N21="yes","Please select any below that apply","")</f>
        <v/>
      </c>
      <c r="C23" s="1325"/>
      <c r="D23" s="1325"/>
      <c r="E23" s="1325"/>
      <c r="F23" s="1325"/>
      <c r="G23" s="1325"/>
      <c r="H23" s="1325"/>
      <c r="I23" s="1325"/>
      <c r="J23" s="1325"/>
      <c r="K23" s="1325"/>
      <c r="L23" s="1325"/>
      <c r="M23" s="1325"/>
      <c r="N23" s="1325"/>
      <c r="O23" s="43"/>
      <c r="P23" s="596">
        <v>9</v>
      </c>
      <c r="Q23" s="1326" t="str">
        <f>IFERROR(VLOOKUP($O$6&amp;$P23,'Landscaping Source'!$A:$P,2,FALSE)," ")</f>
        <v xml:space="preserve"> </v>
      </c>
      <c r="R23" s="1326"/>
      <c r="S23" s="1326"/>
      <c r="T23" s="1327" t="str">
        <f>IFERROR(VLOOKUP($O$6&amp;$P23,'Landscaping Source'!$A:$P,3,FALSE)," ")</f>
        <v xml:space="preserve"> </v>
      </c>
      <c r="U23" s="1327"/>
      <c r="V23" s="1327"/>
      <c r="W23" s="599"/>
      <c r="X23" s="1327" t="str">
        <f>IFERROR(VLOOKUP($O$6&amp;$P23,'Landscaping Source'!$A:$P,4,FALSE)," ")</f>
        <v xml:space="preserve"> </v>
      </c>
      <c r="Y23" s="1327"/>
      <c r="Z23" s="1327" t="str">
        <f>IFERROR(VLOOKUP($O$6&amp;$P23,'Landscaping Source'!$A:$P,5,FALSE)," ")</f>
        <v xml:space="preserve"> </v>
      </c>
      <c r="AA23" s="1327"/>
      <c r="AB23" s="1327" t="str">
        <f>IFERROR(VLOOKUP($O$6&amp;$P23,'Landscaping Source'!$A:$P,6,FALSE)," ")</f>
        <v xml:space="preserve"> </v>
      </c>
      <c r="AC23" s="1327"/>
      <c r="AD23" s="407"/>
    </row>
    <row r="24" spans="1:30" s="387" customFormat="1" ht="20.25" customHeight="1" thickBot="1">
      <c r="A24" s="253"/>
      <c r="B24" s="254" t="s">
        <v>1023</v>
      </c>
      <c r="C24" s="1323" t="s">
        <v>1028</v>
      </c>
      <c r="D24" s="1323"/>
      <c r="E24" s="1323"/>
      <c r="F24" s="1323"/>
      <c r="G24" s="1323"/>
      <c r="H24" s="429" t="s">
        <v>258</v>
      </c>
      <c r="I24" s="1324" t="str">
        <f>IF(H24="yes","       Please provide details here, if available","")</f>
        <v/>
      </c>
      <c r="J24" s="1324"/>
      <c r="K24" s="1324"/>
      <c r="L24" s="1324"/>
      <c r="M24" s="1324"/>
      <c r="N24" s="1324"/>
      <c r="O24" s="50"/>
      <c r="P24" s="596">
        <v>10</v>
      </c>
      <c r="Q24" s="1326" t="str">
        <f>IFERROR(VLOOKUP($O$6&amp;$P24,'Landscaping Source'!$A:$P,2,FALSE)," ")</f>
        <v xml:space="preserve"> </v>
      </c>
      <c r="R24" s="1326"/>
      <c r="S24" s="1326"/>
      <c r="T24" s="1327" t="str">
        <f>IFERROR(VLOOKUP($O$6&amp;$P24,'Landscaping Source'!$A:$P,3,FALSE)," ")</f>
        <v xml:space="preserve"> </v>
      </c>
      <c r="U24" s="1327"/>
      <c r="V24" s="1327"/>
      <c r="W24" s="599"/>
      <c r="X24" s="1327" t="str">
        <f>IFERROR(VLOOKUP($O$6&amp;$P24,'Landscaping Source'!$A:$P,4,FALSE)," ")</f>
        <v xml:space="preserve"> </v>
      </c>
      <c r="Y24" s="1327"/>
      <c r="Z24" s="1327" t="str">
        <f>IFERROR(VLOOKUP($O$6&amp;$P24,'Landscaping Source'!$A:$P,5,FALSE)," ")</f>
        <v xml:space="preserve"> </v>
      </c>
      <c r="AA24" s="1327"/>
      <c r="AB24" s="1327" t="str">
        <f>IFERROR(VLOOKUP($O$6&amp;$P24,'Landscaping Source'!$A:$P,6,FALSE)," ")</f>
        <v xml:space="preserve"> </v>
      </c>
      <c r="AC24" s="1327"/>
      <c r="AD24" s="407"/>
    </row>
    <row r="25" spans="1:30" s="387" customFormat="1" ht="20.25" customHeight="1" thickBot="1">
      <c r="A25" s="253"/>
      <c r="B25" s="254" t="s">
        <v>1023</v>
      </c>
      <c r="C25" s="1323" t="s">
        <v>1029</v>
      </c>
      <c r="D25" s="1323"/>
      <c r="E25" s="1323"/>
      <c r="F25" s="1323"/>
      <c r="G25" s="1323"/>
      <c r="H25" s="429" t="s">
        <v>258</v>
      </c>
      <c r="I25" s="1324" t="str">
        <f t="shared" ref="I25:I27" si="1">IF(H25="yes","       Please provide details here, if available","")</f>
        <v/>
      </c>
      <c r="J25" s="1324"/>
      <c r="K25" s="1324"/>
      <c r="L25" s="1324"/>
      <c r="M25" s="1324"/>
      <c r="N25" s="1324"/>
      <c r="O25" s="50"/>
      <c r="P25" s="596">
        <v>11</v>
      </c>
      <c r="Q25" s="1326" t="str">
        <f>IFERROR(VLOOKUP($O$6&amp;$P25,'Landscaping Source'!$A:$P,2,FALSE)," ")</f>
        <v xml:space="preserve"> </v>
      </c>
      <c r="R25" s="1326"/>
      <c r="S25" s="1326"/>
      <c r="T25" s="1327" t="str">
        <f>IFERROR(VLOOKUP($O$6&amp;$P25,'Landscaping Source'!$A:$P,3,FALSE)," ")</f>
        <v xml:space="preserve"> </v>
      </c>
      <c r="U25" s="1327"/>
      <c r="V25" s="1327"/>
      <c r="W25" s="599"/>
      <c r="X25" s="1327" t="str">
        <f>IFERROR(VLOOKUP($O$6&amp;$P25,'Landscaping Source'!$A:$P,4,FALSE)," ")</f>
        <v xml:space="preserve"> </v>
      </c>
      <c r="Y25" s="1327"/>
      <c r="Z25" s="1327" t="str">
        <f>IFERROR(VLOOKUP($O$6&amp;$P25,'Landscaping Source'!$A:$P,5,FALSE)," ")</f>
        <v xml:space="preserve"> </v>
      </c>
      <c r="AA25" s="1327"/>
      <c r="AB25" s="1327" t="str">
        <f>IFERROR(VLOOKUP($O$6&amp;$P25,'Landscaping Source'!$A:$P,6,FALSE)," ")</f>
        <v xml:space="preserve"> </v>
      </c>
      <c r="AC25" s="1327"/>
      <c r="AD25" s="407"/>
    </row>
    <row r="26" spans="1:30" s="387" customFormat="1" ht="20.25" customHeight="1" thickBot="1">
      <c r="A26" s="253"/>
      <c r="B26" s="254" t="s">
        <v>1023</v>
      </c>
      <c r="C26" s="1323" t="s">
        <v>1030</v>
      </c>
      <c r="D26" s="1323"/>
      <c r="E26" s="1323"/>
      <c r="F26" s="1323"/>
      <c r="G26" s="1323"/>
      <c r="H26" s="429" t="s">
        <v>258</v>
      </c>
      <c r="I26" s="1324" t="str">
        <f t="shared" si="1"/>
        <v/>
      </c>
      <c r="J26" s="1324"/>
      <c r="K26" s="1324"/>
      <c r="L26" s="1324"/>
      <c r="M26" s="1324"/>
      <c r="N26" s="1324"/>
      <c r="O26" s="50"/>
      <c r="P26" s="596">
        <v>12</v>
      </c>
      <c r="Q26" s="1326" t="str">
        <f>IFERROR(VLOOKUP($O$6&amp;$P26,'Landscaping Source'!$A:$P,2,FALSE)," ")</f>
        <v xml:space="preserve"> </v>
      </c>
      <c r="R26" s="1326"/>
      <c r="S26" s="1326"/>
      <c r="T26" s="1327" t="str">
        <f>IFERROR(VLOOKUP($O$6&amp;$P26,'Landscaping Source'!$A:$P,3,FALSE)," ")</f>
        <v xml:space="preserve"> </v>
      </c>
      <c r="U26" s="1327"/>
      <c r="V26" s="1327"/>
      <c r="W26" s="599"/>
      <c r="X26" s="1327" t="str">
        <f>IFERROR(VLOOKUP($O$6&amp;$P26,'Landscaping Source'!$A:$P,4,FALSE)," ")</f>
        <v xml:space="preserve"> </v>
      </c>
      <c r="Y26" s="1327"/>
      <c r="Z26" s="1327" t="str">
        <f>IFERROR(VLOOKUP($O$6&amp;$P26,'Landscaping Source'!$A:$P,5,FALSE)," ")</f>
        <v xml:space="preserve"> </v>
      </c>
      <c r="AA26" s="1327"/>
      <c r="AB26" s="1327" t="str">
        <f>IFERROR(VLOOKUP($O$6&amp;$P26,'Landscaping Source'!$A:$P,6,FALSE)," ")</f>
        <v xml:space="preserve"> </v>
      </c>
      <c r="AC26" s="1327"/>
      <c r="AD26" s="407"/>
    </row>
    <row r="27" spans="1:30" s="387" customFormat="1" ht="20.25" customHeight="1" thickBot="1">
      <c r="A27" s="253"/>
      <c r="B27" s="254" t="s">
        <v>1023</v>
      </c>
      <c r="C27" s="1323" t="s">
        <v>383</v>
      </c>
      <c r="D27" s="1323"/>
      <c r="E27" s="1323"/>
      <c r="F27" s="1323"/>
      <c r="G27" s="1323"/>
      <c r="H27" s="429" t="s">
        <v>258</v>
      </c>
      <c r="I27" s="1324" t="str">
        <f t="shared" si="1"/>
        <v/>
      </c>
      <c r="J27" s="1324"/>
      <c r="K27" s="1324"/>
      <c r="L27" s="1324"/>
      <c r="M27" s="1324"/>
      <c r="N27" s="1324"/>
      <c r="O27" s="50"/>
      <c r="P27" s="596">
        <v>13</v>
      </c>
      <c r="Q27" s="1326" t="str">
        <f>IFERROR(VLOOKUP($O$6&amp;$P27,'Landscaping Source'!$A:$P,2,FALSE)," ")</f>
        <v xml:space="preserve"> </v>
      </c>
      <c r="R27" s="1326"/>
      <c r="S27" s="1326"/>
      <c r="T27" s="1327" t="str">
        <f>IFERROR(VLOOKUP($O$6&amp;$P27,'Landscaping Source'!$A:$P,3,FALSE)," ")</f>
        <v xml:space="preserve"> </v>
      </c>
      <c r="U27" s="1327"/>
      <c r="V27" s="1327"/>
      <c r="W27" s="599"/>
      <c r="X27" s="1327" t="str">
        <f>IFERROR(VLOOKUP($O$6&amp;$P27,'Landscaping Source'!$A:$P,4,FALSE)," ")</f>
        <v xml:space="preserve"> </v>
      </c>
      <c r="Y27" s="1327"/>
      <c r="Z27" s="1327" t="str">
        <f>IFERROR(VLOOKUP($O$6&amp;$P27,'Landscaping Source'!$A:$P,5,FALSE)," ")</f>
        <v xml:space="preserve"> </v>
      </c>
      <c r="AA27" s="1327"/>
      <c r="AB27" s="1327" t="str">
        <f>IFERROR(VLOOKUP($O$6&amp;$P27,'Landscaping Source'!$A:$P,6,FALSE)," ")</f>
        <v xml:space="preserve"> </v>
      </c>
      <c r="AC27" s="1327"/>
      <c r="AD27" s="407"/>
    </row>
    <row r="28" spans="1:30" ht="20.25" customHeight="1" thickBot="1">
      <c r="O28" s="43"/>
      <c r="P28" s="596">
        <v>14</v>
      </c>
      <c r="Q28" s="1326" t="str">
        <f>IFERROR(VLOOKUP($O$6&amp;$P28,'Landscaping Source'!$A:$P,2,FALSE)," ")</f>
        <v xml:space="preserve"> </v>
      </c>
      <c r="R28" s="1326"/>
      <c r="S28" s="1326"/>
      <c r="T28" s="1327" t="str">
        <f>IFERROR(VLOOKUP($O$6&amp;$P28,'Landscaping Source'!$A:$P,3,FALSE)," ")</f>
        <v xml:space="preserve"> </v>
      </c>
      <c r="U28" s="1327"/>
      <c r="V28" s="1327"/>
      <c r="W28" s="599"/>
      <c r="X28" s="1327" t="str">
        <f>IFERROR(VLOOKUP($O$6&amp;$P28,'Landscaping Source'!$A:$P,4,FALSE)," ")</f>
        <v xml:space="preserve"> </v>
      </c>
      <c r="Y28" s="1327"/>
      <c r="Z28" s="1327" t="str">
        <f>IFERROR(VLOOKUP($O$6&amp;$P28,'Landscaping Source'!$A:$P,5,FALSE)," ")</f>
        <v xml:space="preserve"> </v>
      </c>
      <c r="AA28" s="1327"/>
      <c r="AB28" s="1327" t="str">
        <f>IFERROR(VLOOKUP($O$6&amp;$P28,'Landscaping Source'!$A:$P,6,FALSE)," ")</f>
        <v xml:space="preserve"> </v>
      </c>
      <c r="AC28" s="1327"/>
      <c r="AD28" s="407"/>
    </row>
    <row r="29" spans="1:30" ht="20.25" customHeight="1" thickBot="1">
      <c r="B29" s="1319" t="s">
        <v>1031</v>
      </c>
      <c r="C29" s="1319"/>
      <c r="D29" s="1319"/>
      <c r="E29" s="1319"/>
      <c r="F29" s="1319"/>
      <c r="G29" s="1319"/>
      <c r="H29" s="1319"/>
      <c r="I29" s="1319"/>
      <c r="J29" s="1319"/>
      <c r="K29" s="1319"/>
      <c r="L29" s="1319"/>
      <c r="M29" s="601"/>
      <c r="N29" s="1252" t="s">
        <v>258</v>
      </c>
      <c r="O29" s="43"/>
      <c r="P29" s="596">
        <v>15</v>
      </c>
      <c r="Q29" s="1326" t="str">
        <f>IFERROR(VLOOKUP($O$6&amp;$P29,'Landscaping Source'!$A:$P,2,FALSE)," ")</f>
        <v xml:space="preserve"> </v>
      </c>
      <c r="R29" s="1326"/>
      <c r="S29" s="1326"/>
      <c r="T29" s="1327" t="str">
        <f>IFERROR(VLOOKUP($O$6&amp;$P29,'Landscaping Source'!$A:$P,3,FALSE)," ")</f>
        <v xml:space="preserve"> </v>
      </c>
      <c r="U29" s="1327"/>
      <c r="V29" s="1327"/>
      <c r="W29" s="599"/>
      <c r="X29" s="1327" t="str">
        <f>IFERROR(VLOOKUP($O$6&amp;$P29,'Landscaping Source'!$A:$P,4,FALSE)," ")</f>
        <v xml:space="preserve"> </v>
      </c>
      <c r="Y29" s="1327"/>
      <c r="Z29" s="1327" t="str">
        <f>IFERROR(VLOOKUP($O$6&amp;$P29,'Landscaping Source'!$A:$P,5,FALSE)," ")</f>
        <v xml:space="preserve"> </v>
      </c>
      <c r="AA29" s="1327"/>
      <c r="AB29" s="1327" t="str">
        <f>IFERROR(VLOOKUP($O$6&amp;$P29,'Landscaping Source'!$A:$P,6,FALSE)," ")</f>
        <v xml:space="preserve"> </v>
      </c>
      <c r="AC29" s="1327"/>
      <c r="AD29" s="407"/>
    </row>
    <row r="30" spans="1:30" ht="21.75" customHeight="1" thickBot="1">
      <c r="B30" s="1320"/>
      <c r="C30" s="1320"/>
      <c r="D30" s="1320"/>
      <c r="E30" s="1320"/>
      <c r="F30" s="1320"/>
      <c r="G30" s="1320"/>
      <c r="H30" s="1320"/>
      <c r="I30" s="1320"/>
      <c r="J30" s="1320"/>
      <c r="K30" s="1320"/>
      <c r="L30" s="1320"/>
      <c r="M30" s="598"/>
      <c r="N30" s="1253"/>
      <c r="P30" s="1244" t="s">
        <v>1010</v>
      </c>
      <c r="Q30" s="1244"/>
      <c r="R30" s="1244"/>
      <c r="S30" s="1244"/>
      <c r="T30" s="1244"/>
      <c r="U30" s="1244"/>
      <c r="V30" s="1244"/>
      <c r="W30" s="1244"/>
      <c r="X30" s="1244"/>
      <c r="Y30" s="1244"/>
      <c r="Z30" s="1244"/>
      <c r="AA30" s="1244"/>
      <c r="AB30" s="1244"/>
      <c r="AC30" s="1244"/>
      <c r="AD30" s="1244"/>
    </row>
    <row r="31" spans="1:30" ht="15.75" customHeight="1">
      <c r="B31" s="1318" t="str">
        <f>IF(N29="yes","Please describe reduction strategies underway, if any","")</f>
        <v/>
      </c>
      <c r="C31" s="1318"/>
      <c r="D31" s="1318"/>
      <c r="E31" s="1318"/>
      <c r="F31" s="1318"/>
      <c r="G31" s="1318"/>
      <c r="H31" s="1318"/>
      <c r="I31" s="1318"/>
      <c r="J31" s="1318"/>
      <c r="K31" s="1318"/>
      <c r="L31" s="1318"/>
      <c r="M31" s="1318"/>
      <c r="N31" s="1318"/>
      <c r="P31" s="1314" t="s">
        <v>972</v>
      </c>
      <c r="Q31" s="1314"/>
      <c r="R31" s="1314"/>
      <c r="S31" s="1314"/>
      <c r="T31" s="1314" t="s">
        <v>1006</v>
      </c>
      <c r="U31" s="1314"/>
      <c r="V31" s="1314"/>
      <c r="W31" s="43"/>
      <c r="X31" s="1316" t="s">
        <v>1007</v>
      </c>
      <c r="Y31" s="1314"/>
      <c r="Z31" s="1316" t="s">
        <v>1008</v>
      </c>
      <c r="AA31" s="1316"/>
      <c r="AB31" s="1316" t="s">
        <v>1009</v>
      </c>
      <c r="AC31" s="1316"/>
      <c r="AD31" s="1314" t="s">
        <v>321</v>
      </c>
    </row>
    <row r="32" spans="1:30" ht="20.25" customHeight="1" thickBot="1">
      <c r="B32" s="1255"/>
      <c r="C32" s="1255"/>
      <c r="D32" s="1255"/>
      <c r="E32" s="1255"/>
      <c r="F32" s="1255"/>
      <c r="G32" s="1255"/>
      <c r="H32" s="1255"/>
      <c r="I32" s="1255"/>
      <c r="J32" s="1255"/>
      <c r="K32" s="1255"/>
      <c r="L32" s="1255"/>
      <c r="M32" s="1255"/>
      <c r="N32" s="1255"/>
      <c r="P32" s="1315"/>
      <c r="Q32" s="1315"/>
      <c r="R32" s="1315"/>
      <c r="S32" s="1315"/>
      <c r="T32" s="1315"/>
      <c r="U32" s="1315"/>
      <c r="V32" s="1315"/>
      <c r="W32" s="217"/>
      <c r="X32" s="1315"/>
      <c r="Y32" s="1315"/>
      <c r="Z32" s="1317"/>
      <c r="AA32" s="1317"/>
      <c r="AB32" s="1317"/>
      <c r="AC32" s="1317"/>
      <c r="AD32" s="1315"/>
    </row>
    <row r="33" spans="2:30" ht="20.25" customHeight="1" thickBot="1">
      <c r="B33" s="1255"/>
      <c r="C33" s="1255"/>
      <c r="D33" s="1255"/>
      <c r="E33" s="1255"/>
      <c r="F33" s="1255"/>
      <c r="G33" s="1255"/>
      <c r="H33" s="1255"/>
      <c r="I33" s="1255"/>
      <c r="J33" s="1255"/>
      <c r="K33" s="1255"/>
      <c r="L33" s="1255"/>
      <c r="M33" s="1255"/>
      <c r="N33" s="1255"/>
      <c r="P33" s="1256"/>
      <c r="Q33" s="1256"/>
      <c r="R33" s="1256"/>
      <c r="S33" s="1256"/>
      <c r="T33" s="1256"/>
      <c r="U33" s="1256"/>
      <c r="V33" s="1256"/>
      <c r="W33" s="408"/>
      <c r="X33" s="1256"/>
      <c r="Y33" s="1256"/>
      <c r="Z33" s="1256"/>
      <c r="AA33" s="1256"/>
      <c r="AB33" s="1256"/>
      <c r="AC33" s="1256"/>
      <c r="AD33" s="408"/>
    </row>
    <row r="34" spans="2:30" ht="20.25" customHeight="1" thickBot="1">
      <c r="B34" s="1255"/>
      <c r="C34" s="1255"/>
      <c r="D34" s="1255"/>
      <c r="E34" s="1255"/>
      <c r="F34" s="1255"/>
      <c r="G34" s="1255"/>
      <c r="H34" s="1255"/>
      <c r="I34" s="1255"/>
      <c r="J34" s="1255"/>
      <c r="K34" s="1255"/>
      <c r="L34" s="1255"/>
      <c r="M34" s="1255"/>
      <c r="N34" s="1255"/>
      <c r="P34" s="1256"/>
      <c r="Q34" s="1256"/>
      <c r="R34" s="1256"/>
      <c r="S34" s="1256"/>
      <c r="T34" s="1256"/>
      <c r="U34" s="1256"/>
      <c r="V34" s="1256"/>
      <c r="W34" s="408"/>
      <c r="X34" s="1256"/>
      <c r="Y34" s="1256"/>
      <c r="Z34" s="1256"/>
      <c r="AA34" s="1256"/>
      <c r="AB34" s="1256"/>
      <c r="AC34" s="1256"/>
      <c r="AD34" s="408"/>
    </row>
    <row r="35" spans="2:30" ht="20.25" customHeight="1" thickBot="1">
      <c r="P35" s="1256"/>
      <c r="Q35" s="1256"/>
      <c r="R35" s="1256"/>
      <c r="S35" s="1256"/>
      <c r="T35" s="1256"/>
      <c r="U35" s="1256"/>
      <c r="V35" s="1256"/>
      <c r="W35" s="408"/>
      <c r="X35" s="1256"/>
      <c r="Y35" s="1256"/>
      <c r="Z35" s="1256"/>
      <c r="AA35" s="1256"/>
      <c r="AB35" s="1256"/>
      <c r="AC35" s="1256"/>
      <c r="AD35" s="408"/>
    </row>
    <row r="36" spans="2:30" ht="19.5" customHeight="1" thickBot="1">
      <c r="P36" s="1256"/>
      <c r="Q36" s="1256"/>
      <c r="R36" s="1256"/>
      <c r="S36" s="1256"/>
      <c r="T36" s="1256"/>
      <c r="U36" s="1256"/>
      <c r="V36" s="1256"/>
      <c r="W36" s="409"/>
      <c r="X36" s="1256"/>
      <c r="Y36" s="1256"/>
      <c r="Z36" s="1256"/>
      <c r="AA36" s="1256"/>
      <c r="AB36" s="1256"/>
      <c r="AC36" s="1256"/>
      <c r="AD36" s="409"/>
    </row>
    <row r="37" spans="2:30" ht="19.5" customHeight="1" thickBot="1">
      <c r="P37" s="1256"/>
      <c r="Q37" s="1256"/>
      <c r="R37" s="1256"/>
      <c r="S37" s="1256"/>
      <c r="T37" s="1256"/>
      <c r="U37" s="1256"/>
      <c r="V37" s="1256"/>
      <c r="W37" s="409"/>
      <c r="X37" s="1256"/>
      <c r="Y37" s="1256"/>
      <c r="Z37" s="1256"/>
      <c r="AA37" s="1256"/>
      <c r="AB37" s="1256"/>
      <c r="AC37" s="1256"/>
      <c r="AD37" s="409"/>
    </row>
    <row r="209"/>
  </sheetData>
  <sheetProtection selectLockedCells="1"/>
  <mergeCells count="144">
    <mergeCell ref="Z16:AA16"/>
    <mergeCell ref="Z17:AA17"/>
    <mergeCell ref="Z18:AA18"/>
    <mergeCell ref="AB26:AC26"/>
    <mergeCell ref="AB27:AC27"/>
    <mergeCell ref="AB28:AC28"/>
    <mergeCell ref="AB29:AC29"/>
    <mergeCell ref="Z24:AA24"/>
    <mergeCell ref="Z25:AA25"/>
    <mergeCell ref="Z26:AA26"/>
    <mergeCell ref="Z27:AA27"/>
    <mergeCell ref="Z28:AA28"/>
    <mergeCell ref="AB15:AC15"/>
    <mergeCell ref="AB16:AC16"/>
    <mergeCell ref="AB17:AC17"/>
    <mergeCell ref="AB18:AC18"/>
    <mergeCell ref="AB19:AC19"/>
    <mergeCell ref="AB20:AC20"/>
    <mergeCell ref="AB21:AC21"/>
    <mergeCell ref="AB22:AC22"/>
    <mergeCell ref="AB23:AC23"/>
    <mergeCell ref="X17:Y17"/>
    <mergeCell ref="X18:Y18"/>
    <mergeCell ref="X19:Y19"/>
    <mergeCell ref="X20:Y20"/>
    <mergeCell ref="X21:Y21"/>
    <mergeCell ref="X22:Y22"/>
    <mergeCell ref="X23:Y23"/>
    <mergeCell ref="X24:Y24"/>
    <mergeCell ref="X25:Y25"/>
    <mergeCell ref="B13:L14"/>
    <mergeCell ref="N13:N14"/>
    <mergeCell ref="B15:N15"/>
    <mergeCell ref="C24:G24"/>
    <mergeCell ref="C25:G25"/>
    <mergeCell ref="Q28:S28"/>
    <mergeCell ref="Q29:S29"/>
    <mergeCell ref="T15:V15"/>
    <mergeCell ref="T16:V16"/>
    <mergeCell ref="T17:V17"/>
    <mergeCell ref="T18:V18"/>
    <mergeCell ref="T19:V19"/>
    <mergeCell ref="T20:V20"/>
    <mergeCell ref="T21:V21"/>
    <mergeCell ref="T22:V22"/>
    <mergeCell ref="T23:V23"/>
    <mergeCell ref="T24:V24"/>
    <mergeCell ref="T25:V25"/>
    <mergeCell ref="T26:V26"/>
    <mergeCell ref="T27:V27"/>
    <mergeCell ref="T28:V28"/>
    <mergeCell ref="Q16:S16"/>
    <mergeCell ref="Q17:S17"/>
    <mergeCell ref="Q18:S18"/>
    <mergeCell ref="AD13:AD14"/>
    <mergeCell ref="Q23:S23"/>
    <mergeCell ref="Q24:S24"/>
    <mergeCell ref="Q25:S25"/>
    <mergeCell ref="Z23:AA23"/>
    <mergeCell ref="Z21:AA21"/>
    <mergeCell ref="Z22:AA22"/>
    <mergeCell ref="P11:AD11"/>
    <mergeCell ref="P12:AD12"/>
    <mergeCell ref="P13:S14"/>
    <mergeCell ref="T13:V14"/>
    <mergeCell ref="X13:Y14"/>
    <mergeCell ref="Z13:AA14"/>
    <mergeCell ref="AB13:AC14"/>
    <mergeCell ref="Z15:AA15"/>
    <mergeCell ref="Q19:S19"/>
    <mergeCell ref="Q20:S20"/>
    <mergeCell ref="Q21:S21"/>
    <mergeCell ref="Q22:S22"/>
    <mergeCell ref="Q15:S15"/>
    <mergeCell ref="Z19:AA19"/>
    <mergeCell ref="Z20:AA20"/>
    <mergeCell ref="X15:Y15"/>
    <mergeCell ref="X16:Y16"/>
    <mergeCell ref="B1:AD1"/>
    <mergeCell ref="D2:AC3"/>
    <mergeCell ref="L6:N6"/>
    <mergeCell ref="O6:P6"/>
    <mergeCell ref="X8:AB9"/>
    <mergeCell ref="B12:N12"/>
    <mergeCell ref="B2:C4"/>
    <mergeCell ref="B11:N11"/>
    <mergeCell ref="D4:AD4"/>
    <mergeCell ref="A10:AC10"/>
    <mergeCell ref="D8:V9"/>
    <mergeCell ref="P30:AD30"/>
    <mergeCell ref="B31:N31"/>
    <mergeCell ref="B32:N34"/>
    <mergeCell ref="B29:L30"/>
    <mergeCell ref="B21:L22"/>
    <mergeCell ref="N21:N22"/>
    <mergeCell ref="C26:G26"/>
    <mergeCell ref="C27:G27"/>
    <mergeCell ref="I24:N24"/>
    <mergeCell ref="I25:N25"/>
    <mergeCell ref="I26:N26"/>
    <mergeCell ref="I27:N27"/>
    <mergeCell ref="N29:N30"/>
    <mergeCell ref="B23:N23"/>
    <mergeCell ref="Q26:S26"/>
    <mergeCell ref="Q27:S27"/>
    <mergeCell ref="T29:V29"/>
    <mergeCell ref="X26:Y26"/>
    <mergeCell ref="X27:Y27"/>
    <mergeCell ref="X28:Y28"/>
    <mergeCell ref="X29:Y29"/>
    <mergeCell ref="Z29:AA29"/>
    <mergeCell ref="AB24:AC24"/>
    <mergeCell ref="AB25:AC25"/>
    <mergeCell ref="P31:S32"/>
    <mergeCell ref="T31:V32"/>
    <mergeCell ref="X31:Y32"/>
    <mergeCell ref="Z31:AA32"/>
    <mergeCell ref="AB31:AC32"/>
    <mergeCell ref="AD31:AD32"/>
    <mergeCell ref="P33:S33"/>
    <mergeCell ref="P34:S34"/>
    <mergeCell ref="P35:S35"/>
    <mergeCell ref="Z33:AA33"/>
    <mergeCell ref="Z34:AA34"/>
    <mergeCell ref="Z35:AA35"/>
    <mergeCell ref="Z36:AA36"/>
    <mergeCell ref="Z37:AA37"/>
    <mergeCell ref="AB33:AC33"/>
    <mergeCell ref="AB34:AC34"/>
    <mergeCell ref="AB35:AC35"/>
    <mergeCell ref="AB36:AC36"/>
    <mergeCell ref="AB37:AC37"/>
    <mergeCell ref="P36:S36"/>
    <mergeCell ref="P37:S37"/>
    <mergeCell ref="T33:V33"/>
    <mergeCell ref="T34:V34"/>
    <mergeCell ref="T35:V35"/>
    <mergeCell ref="T36:V36"/>
    <mergeCell ref="T37:V37"/>
    <mergeCell ref="X33:Y33"/>
    <mergeCell ref="X34:Y34"/>
    <mergeCell ref="X35:Y35"/>
    <mergeCell ref="X36:Y36"/>
    <mergeCell ref="X37:Y37"/>
  </mergeCells>
  <conditionalFormatting sqref="B15 B16:N19">
    <cfRule type="expression" dxfId="14" priority="25">
      <formula>$N$13&lt;&gt;"yes"</formula>
    </cfRule>
  </conditionalFormatting>
  <conditionalFormatting sqref="B15">
    <cfRule type="containsText" dxfId="13" priority="63" operator="containsText" text="Which of the following equipment do you operate?">
      <formula>NOT(ISERROR(SEARCH("Which of the following equipment do you operate?",B15)))</formula>
    </cfRule>
  </conditionalFormatting>
  <conditionalFormatting sqref="B16:B19">
    <cfRule type="expression" dxfId="12" priority="65">
      <formula>B15=" "</formula>
    </cfRule>
  </conditionalFormatting>
  <conditionalFormatting sqref="B24:B27">
    <cfRule type="expression" dxfId="11" priority="56">
      <formula>B23=" "</formula>
    </cfRule>
  </conditionalFormatting>
  <conditionalFormatting sqref="B31:B32">
    <cfRule type="expression" dxfId="10" priority="41">
      <formula>$N$29="yes"</formula>
    </cfRule>
    <cfRule type="containsText" dxfId="9" priority="76" operator="containsText" text="Please describe reduction strategies underway, if any">
      <formula>NOT(ISERROR(SEARCH("Please describe reduction strategies underway, if any",B31)))</formula>
    </cfRule>
  </conditionalFormatting>
  <conditionalFormatting sqref="B23:N23">
    <cfRule type="expression" dxfId="8" priority="46">
      <formula>$N$21="yes"</formula>
    </cfRule>
  </conditionalFormatting>
  <conditionalFormatting sqref="B23:N27">
    <cfRule type="expression" dxfId="7" priority="45">
      <formula>$N$21&lt;&gt;"yes"</formula>
    </cfRule>
  </conditionalFormatting>
  <conditionalFormatting sqref="B24:N27">
    <cfRule type="expression" dxfId="6" priority="27">
      <formula>$N$21="yes"</formula>
    </cfRule>
  </conditionalFormatting>
  <conditionalFormatting sqref="C16:C19">
    <cfRule type="containsText" dxfId="5" priority="59" operator="containsText" text="Which of the following equipment do you operate?">
      <formula>NOT(ISERROR(SEARCH("Which of the following equipment do you operate?",C16)))</formula>
    </cfRule>
  </conditionalFormatting>
  <conditionalFormatting sqref="C24:C27">
    <cfRule type="containsText" dxfId="4" priority="48" operator="containsText" text="Which of the following equipment do you operate?">
      <formula>NOT(ISERROR(SEARCH("Which of the following equipment do you operate?",C24)))</formula>
    </cfRule>
  </conditionalFormatting>
  <conditionalFormatting sqref="C25:C27">
    <cfRule type="expression" dxfId="3" priority="47">
      <formula>$N$21&lt;&gt;"yes"</formula>
    </cfRule>
  </conditionalFormatting>
  <conditionalFormatting sqref="G16:G19">
    <cfRule type="containsText" dxfId="2" priority="71" operator="containsText" text="Please provide details here, if available (e.g. # of mowers, fuel type, etc.)">
      <formula>NOT(ISERROR(SEARCH("Please provide details here, if available (e.g. # of mowers, fuel type, etc.)",G16)))</formula>
    </cfRule>
  </conditionalFormatting>
  <conditionalFormatting sqref="I24:M27">
    <cfRule type="expression" dxfId="1" priority="43">
      <formula>H24="yes"</formula>
    </cfRule>
  </conditionalFormatting>
  <conditionalFormatting sqref="N24:N27">
    <cfRule type="expression" dxfId="0" priority="78">
      <formula>L24="yes"</formula>
    </cfRule>
  </conditionalFormatting>
  <pageMargins left="0.7" right="0.7" top="0.75" bottom="0.75" header="0.3" footer="0.3"/>
  <pageSetup orientation="portrait" r:id="rId1"/>
  <ignoredErrors>
    <ignoredError sqref="N24 B31 J24:L24 H16:L16 N16 G17:N19 G16 M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Source!$T$1:$T$4</xm:f>
          </x14:formula1>
          <xm:sqref>N21:N22 N29:N30 N13:N14 E16:F19 H24:H27 F25:F27</xm:sqref>
        </x14:dataValidation>
        <x14:dataValidation type="list" allowBlank="1" showInputMessage="1" showErrorMessage="1" xr:uid="{00000000-0002-0000-1800-000001000000}">
          <x14:formula1>
            <xm:f>Source!$AD$1:$AD$4</xm:f>
          </x14:formula1>
          <xm:sqref>X8</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filterMode="1"/>
  <dimension ref="A1:AU134"/>
  <sheetViews>
    <sheetView zoomScale="70" zoomScaleNormal="70" workbookViewId="0">
      <pane ySplit="1" topLeftCell="A2" activePane="bottomLeft" state="frozen"/>
      <selection pane="bottomLeft" activeCell="N55" sqref="N55"/>
    </sheetView>
  </sheetViews>
  <sheetFormatPr defaultColWidth="9.1796875" defaultRowHeight="14.5"/>
  <cols>
    <col min="1" max="1" width="44.7265625" bestFit="1" customWidth="1"/>
    <col min="2" max="2" width="47.1796875" style="382" customWidth="1"/>
    <col min="3" max="3" width="35.81640625" style="382" customWidth="1"/>
    <col min="4" max="4" width="23.453125" style="382" customWidth="1"/>
    <col min="5" max="7" width="29.453125" style="382" customWidth="1"/>
    <col min="8" max="8" width="23.453125" style="382" customWidth="1"/>
    <col min="9" max="9" width="89.26953125" style="382" customWidth="1"/>
    <col min="10" max="10" width="20.453125" style="48" customWidth="1"/>
    <col min="11" max="11" width="13.453125" style="46" customWidth="1"/>
    <col min="12" max="12" width="18.453125" style="46" customWidth="1"/>
    <col min="13" max="13" width="85.453125" style="46" customWidth="1"/>
    <col min="14" max="14" width="26.453125" style="381" customWidth="1"/>
    <col min="15" max="47" width="9.1796875" style="50"/>
    <col min="48" max="16384" width="9.1796875" style="46"/>
  </cols>
  <sheetData>
    <row r="1" spans="1:47" ht="59.25" customHeight="1">
      <c r="A1" s="396" t="s">
        <v>980</v>
      </c>
      <c r="B1" s="388" t="s">
        <v>972</v>
      </c>
      <c r="C1" s="323" t="s">
        <v>1006</v>
      </c>
      <c r="D1" s="323" t="s">
        <v>1032</v>
      </c>
      <c r="E1" s="323" t="s">
        <v>1033</v>
      </c>
      <c r="F1" s="324" t="s">
        <v>1009</v>
      </c>
      <c r="G1" s="324" t="s">
        <v>1034</v>
      </c>
      <c r="H1" s="324" t="s">
        <v>38</v>
      </c>
      <c r="I1" s="323" t="s">
        <v>321</v>
      </c>
      <c r="J1" s="325" t="s">
        <v>1035</v>
      </c>
      <c r="K1" s="326" t="s">
        <v>1036</v>
      </c>
      <c r="L1" s="323" t="s">
        <v>1037</v>
      </c>
      <c r="M1" s="327" t="s">
        <v>1038</v>
      </c>
      <c r="N1" s="323" t="s">
        <v>1039</v>
      </c>
      <c r="O1" s="323" t="s">
        <v>434</v>
      </c>
      <c r="P1" s="323"/>
    </row>
    <row r="2" spans="1:47" s="336" customFormat="1" ht="15.5" hidden="1">
      <c r="A2" s="334" t="str">
        <f>N2&amp;O2</f>
        <v>Bridgewater State University1</v>
      </c>
      <c r="B2" s="349" t="s">
        <v>1040</v>
      </c>
      <c r="C2" s="329" t="s">
        <v>1041</v>
      </c>
      <c r="D2" s="330">
        <v>0.16</v>
      </c>
      <c r="E2" s="329">
        <v>2012</v>
      </c>
      <c r="F2" s="329" t="s">
        <v>1042</v>
      </c>
      <c r="G2" s="331"/>
      <c r="H2" s="332"/>
      <c r="I2" s="331"/>
      <c r="J2" s="333" t="s">
        <v>1043</v>
      </c>
      <c r="K2" s="333" t="s">
        <v>1044</v>
      </c>
      <c r="L2" s="333" t="s">
        <v>1043</v>
      </c>
      <c r="M2" s="334"/>
      <c r="N2" s="328" t="s">
        <v>61</v>
      </c>
      <c r="O2" s="335">
        <v>1</v>
      </c>
      <c r="P2" s="335" t="str">
        <f>VLOOKUP(N2,Source!F:F,1,FALSE)</f>
        <v>Bridgewater State University</v>
      </c>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row>
    <row r="3" spans="1:47" s="336" customFormat="1" ht="43.5" hidden="1">
      <c r="A3" s="334" t="str">
        <f t="shared" ref="A3:A75" si="0">N3&amp;O3</f>
        <v>Bristol Comm. College1</v>
      </c>
      <c r="B3" s="349" t="s">
        <v>1045</v>
      </c>
      <c r="C3" s="329" t="s">
        <v>1046</v>
      </c>
      <c r="D3" s="337">
        <v>5.7000000000000002E-2</v>
      </c>
      <c r="E3" s="329">
        <v>2019</v>
      </c>
      <c r="F3" s="338" t="s">
        <v>1047</v>
      </c>
      <c r="G3" s="329" t="s">
        <v>1043</v>
      </c>
      <c r="H3" s="339" t="s">
        <v>1048</v>
      </c>
      <c r="I3" s="338" t="s">
        <v>1049</v>
      </c>
      <c r="J3" s="333" t="s">
        <v>1043</v>
      </c>
      <c r="K3" s="333" t="s">
        <v>1043</v>
      </c>
      <c r="L3" s="333" t="s">
        <v>1043</v>
      </c>
      <c r="M3" s="334" t="s">
        <v>1050</v>
      </c>
      <c r="N3" s="328" t="s">
        <v>28</v>
      </c>
      <c r="O3" s="335">
        <v>1</v>
      </c>
      <c r="P3" s="335" t="str">
        <f>VLOOKUP(N3,Source!F:F,1,FALSE)</f>
        <v>Bristol Comm. College</v>
      </c>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row>
    <row r="4" spans="1:47" s="336" customFormat="1" ht="29" hidden="1">
      <c r="A4" s="334" t="str">
        <f t="shared" si="0"/>
        <v>Bristol Comm. College2</v>
      </c>
      <c r="B4" s="349" t="s">
        <v>1045</v>
      </c>
      <c r="C4" s="329" t="s">
        <v>1051</v>
      </c>
      <c r="D4" s="340" t="s">
        <v>51</v>
      </c>
      <c r="E4" s="331" t="s">
        <v>51</v>
      </c>
      <c r="F4" s="329" t="s">
        <v>1042</v>
      </c>
      <c r="G4" s="329" t="s">
        <v>1044</v>
      </c>
      <c r="H4" s="339" t="s">
        <v>1048</v>
      </c>
      <c r="I4" s="331" t="s">
        <v>1052</v>
      </c>
      <c r="J4" s="341" t="s">
        <v>1044</v>
      </c>
      <c r="K4" s="342" t="s">
        <v>1043</v>
      </c>
      <c r="L4" s="333" t="s">
        <v>1043</v>
      </c>
      <c r="M4" s="334"/>
      <c r="N4" s="328" t="s">
        <v>28</v>
      </c>
      <c r="O4" s="335">
        <v>2</v>
      </c>
      <c r="P4" s="335" t="str">
        <f>VLOOKUP(N4,Source!F:F,1,FALSE)</f>
        <v>Bristol Comm. College</v>
      </c>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row>
    <row r="5" spans="1:47" s="336" customFormat="1" ht="29" hidden="1">
      <c r="A5" s="334" t="str">
        <f t="shared" si="0"/>
        <v>Bristol Comm. College3</v>
      </c>
      <c r="B5" s="349" t="s">
        <v>1053</v>
      </c>
      <c r="C5" s="329" t="s">
        <v>1041</v>
      </c>
      <c r="D5" s="330" t="s">
        <v>51</v>
      </c>
      <c r="E5" s="329">
        <v>2016</v>
      </c>
      <c r="F5" s="329" t="s">
        <v>1042</v>
      </c>
      <c r="G5" s="329" t="s">
        <v>1043</v>
      </c>
      <c r="H5" s="339" t="s">
        <v>1048</v>
      </c>
      <c r="I5" s="343" t="s">
        <v>1054</v>
      </c>
      <c r="J5" s="333" t="s">
        <v>1043</v>
      </c>
      <c r="K5" s="342" t="s">
        <v>1043</v>
      </c>
      <c r="L5" s="333" t="s">
        <v>1043</v>
      </c>
      <c r="M5" s="334" t="s">
        <v>1055</v>
      </c>
      <c r="N5" s="328" t="s">
        <v>28</v>
      </c>
      <c r="O5" s="335">
        <v>3</v>
      </c>
      <c r="P5" s="335" t="str">
        <f>VLOOKUP(N5,Source!F:F,1,FALSE)</f>
        <v>Bristol Comm. College</v>
      </c>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row>
    <row r="6" spans="1:47" s="336" customFormat="1" ht="29" hidden="1">
      <c r="A6" s="334" t="str">
        <f t="shared" si="0"/>
        <v>Dept. of Conservation and Recreation1</v>
      </c>
      <c r="B6" s="349" t="s">
        <v>1056</v>
      </c>
      <c r="C6" s="329" t="s">
        <v>1057</v>
      </c>
      <c r="D6" s="344">
        <v>5.0000000000000001E-3</v>
      </c>
      <c r="E6" s="345">
        <v>2017</v>
      </c>
      <c r="F6" s="329" t="s">
        <v>1042</v>
      </c>
      <c r="G6" s="331"/>
      <c r="H6" s="331"/>
      <c r="I6" s="343" t="s">
        <v>1058</v>
      </c>
      <c r="J6" s="341" t="s">
        <v>1044</v>
      </c>
      <c r="K6" s="346" t="s">
        <v>1044</v>
      </c>
      <c r="L6" s="333" t="s">
        <v>1043</v>
      </c>
      <c r="M6" s="334"/>
      <c r="N6" s="328" t="s">
        <v>96</v>
      </c>
      <c r="O6" s="335">
        <v>1</v>
      </c>
      <c r="P6" s="335" t="str">
        <f>VLOOKUP(N6,Source!F:F,1,FALSE)</f>
        <v>Dept. of Conservation and Recreation</v>
      </c>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row>
    <row r="7" spans="1:47" s="336" customFormat="1" ht="101.5" hidden="1">
      <c r="A7" s="334" t="str">
        <f t="shared" si="0"/>
        <v>Dept. of Conservation and Recreation2</v>
      </c>
      <c r="B7" s="349" t="s">
        <v>1059</v>
      </c>
      <c r="C7" s="329" t="s">
        <v>1051</v>
      </c>
      <c r="D7" s="604">
        <v>4</v>
      </c>
      <c r="E7" s="329">
        <v>1994</v>
      </c>
      <c r="F7" s="329" t="s">
        <v>1042</v>
      </c>
      <c r="G7" s="329" t="s">
        <v>1044</v>
      </c>
      <c r="H7" s="339" t="s">
        <v>1060</v>
      </c>
      <c r="I7" s="343" t="s">
        <v>1061</v>
      </c>
      <c r="J7" s="341" t="s">
        <v>1044</v>
      </c>
      <c r="K7" s="346" t="s">
        <v>1044</v>
      </c>
      <c r="L7" s="333" t="s">
        <v>1043</v>
      </c>
      <c r="M7" s="334"/>
      <c r="N7" s="328" t="s">
        <v>96</v>
      </c>
      <c r="O7" s="335">
        <v>2</v>
      </c>
      <c r="P7" s="335" t="str">
        <f>VLOOKUP(N7,Source!F:F,1,FALSE)</f>
        <v>Dept. of Conservation and Recreation</v>
      </c>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row>
    <row r="8" spans="1:47" s="336" customFormat="1" ht="29" hidden="1">
      <c r="A8" s="334" t="str">
        <f t="shared" si="0"/>
        <v>Dept. of Conservation and Recreation3</v>
      </c>
      <c r="B8" s="349" t="s">
        <v>1059</v>
      </c>
      <c r="C8" s="329" t="s">
        <v>1057</v>
      </c>
      <c r="D8" s="602">
        <v>6.5000000000000002E-2</v>
      </c>
      <c r="E8" s="329">
        <v>2013</v>
      </c>
      <c r="F8" s="329" t="s">
        <v>1042</v>
      </c>
      <c r="G8" s="329" t="s">
        <v>1044</v>
      </c>
      <c r="H8" s="339" t="s">
        <v>1060</v>
      </c>
      <c r="I8" s="347" t="s">
        <v>1062</v>
      </c>
      <c r="J8" s="341" t="s">
        <v>1044</v>
      </c>
      <c r="K8" s="346" t="s">
        <v>1044</v>
      </c>
      <c r="L8" s="333" t="s">
        <v>1043</v>
      </c>
      <c r="M8" s="334"/>
      <c r="N8" s="328" t="s">
        <v>96</v>
      </c>
      <c r="O8" s="335">
        <v>3</v>
      </c>
      <c r="P8" s="335" t="str">
        <f>VLOOKUP(N8,Source!F:F,1,FALSE)</f>
        <v>Dept. of Conservation and Recreation</v>
      </c>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row>
    <row r="9" spans="1:47" s="336" customFormat="1" ht="87" hidden="1">
      <c r="A9" s="334" t="str">
        <f t="shared" si="0"/>
        <v>Dept. of Conservation and Recreation4</v>
      </c>
      <c r="B9" s="349" t="s">
        <v>1063</v>
      </c>
      <c r="C9" s="348" t="s">
        <v>1046</v>
      </c>
      <c r="D9" s="603">
        <v>2</v>
      </c>
      <c r="E9" s="349">
        <v>2017</v>
      </c>
      <c r="F9" s="329" t="s">
        <v>1042</v>
      </c>
      <c r="G9" s="329" t="s">
        <v>1043</v>
      </c>
      <c r="H9" s="339" t="s">
        <v>1064</v>
      </c>
      <c r="I9" s="343" t="s">
        <v>1065</v>
      </c>
      <c r="J9" s="339" t="s">
        <v>1044</v>
      </c>
      <c r="K9" s="346" t="s">
        <v>1044</v>
      </c>
      <c r="L9" s="333" t="s">
        <v>1043</v>
      </c>
      <c r="M9" s="334"/>
      <c r="N9" s="328" t="s">
        <v>96</v>
      </c>
      <c r="O9" s="335">
        <v>4</v>
      </c>
      <c r="P9" s="335" t="str">
        <f>VLOOKUP(N9,Source!F:F,1,FALSE)</f>
        <v>Dept. of Conservation and Recreation</v>
      </c>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row>
    <row r="10" spans="1:47" s="336" customFormat="1" ht="29" hidden="1">
      <c r="A10" s="334" t="str">
        <f t="shared" si="0"/>
        <v>Dept. of Conservation and Recreation5</v>
      </c>
      <c r="B10" s="349" t="s">
        <v>1066</v>
      </c>
      <c r="C10" s="329" t="s">
        <v>1057</v>
      </c>
      <c r="D10" s="602">
        <v>1.7000000000000001E-2</v>
      </c>
      <c r="E10" s="349">
        <v>2016</v>
      </c>
      <c r="F10" s="329" t="s">
        <v>1042</v>
      </c>
      <c r="G10" s="331"/>
      <c r="H10" s="339" t="s">
        <v>1064</v>
      </c>
      <c r="I10" s="345" t="s">
        <v>1067</v>
      </c>
      <c r="J10" s="339" t="s">
        <v>1044</v>
      </c>
      <c r="K10" s="346" t="s">
        <v>1044</v>
      </c>
      <c r="L10" s="333" t="s">
        <v>1043</v>
      </c>
      <c r="M10" s="334"/>
      <c r="N10" s="328" t="s">
        <v>96</v>
      </c>
      <c r="O10" s="335">
        <v>5</v>
      </c>
      <c r="P10" s="335" t="str">
        <f>VLOOKUP(N10,Source!F:F,1,FALSE)</f>
        <v>Dept. of Conservation and Recreation</v>
      </c>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row>
    <row r="11" spans="1:47" s="336" customFormat="1" ht="29" hidden="1">
      <c r="A11" s="334" t="str">
        <f t="shared" si="0"/>
        <v>Dept. of Conservation and Recreation6</v>
      </c>
      <c r="B11" s="389" t="s">
        <v>1068</v>
      </c>
      <c r="C11" s="329" t="s">
        <v>1051</v>
      </c>
      <c r="D11" s="350" t="s">
        <v>1069</v>
      </c>
      <c r="E11" s="349">
        <v>2017</v>
      </c>
      <c r="F11" s="329" t="s">
        <v>1042</v>
      </c>
      <c r="G11" s="331"/>
      <c r="H11" s="331"/>
      <c r="I11" s="345" t="s">
        <v>1069</v>
      </c>
      <c r="J11" s="346" t="s">
        <v>1043</v>
      </c>
      <c r="K11" s="346" t="s">
        <v>1043</v>
      </c>
      <c r="L11" s="333" t="s">
        <v>1043</v>
      </c>
      <c r="M11" s="334"/>
      <c r="N11" s="328" t="s">
        <v>96</v>
      </c>
      <c r="O11" s="335">
        <v>6</v>
      </c>
      <c r="P11" s="335" t="str">
        <f>VLOOKUP(N11,Source!F:F,1,FALSE)</f>
        <v>Dept. of Conservation and Recreation</v>
      </c>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row>
    <row r="12" spans="1:47" s="336" customFormat="1" ht="29" hidden="1">
      <c r="A12" s="334" t="str">
        <f t="shared" si="0"/>
        <v>Dept. of Conservation and Recreation7</v>
      </c>
      <c r="B12" s="389" t="s">
        <v>1070</v>
      </c>
      <c r="C12" s="348" t="s">
        <v>1046</v>
      </c>
      <c r="D12" s="345" t="s">
        <v>51</v>
      </c>
      <c r="E12" s="351" t="s">
        <v>51</v>
      </c>
      <c r="F12" s="329" t="s">
        <v>1042</v>
      </c>
      <c r="G12" s="331"/>
      <c r="H12" s="331"/>
      <c r="I12" s="345"/>
      <c r="J12" s="346" t="s">
        <v>1043</v>
      </c>
      <c r="K12" s="346" t="s">
        <v>1043</v>
      </c>
      <c r="L12" s="333" t="s">
        <v>1043</v>
      </c>
      <c r="M12" s="334"/>
      <c r="N12" s="328" t="s">
        <v>96</v>
      </c>
      <c r="O12" s="335">
        <v>7</v>
      </c>
      <c r="P12" s="335" t="str">
        <f>VLOOKUP(N12,Source!F:F,1,FALSE)</f>
        <v>Dept. of Conservation and Recreation</v>
      </c>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row>
    <row r="13" spans="1:47" s="336" customFormat="1" ht="29" hidden="1">
      <c r="A13" s="334" t="str">
        <f t="shared" si="0"/>
        <v>Dept. of Conservation and Recreation8</v>
      </c>
      <c r="B13" s="390" t="s">
        <v>1071</v>
      </c>
      <c r="C13" s="329" t="s">
        <v>1046</v>
      </c>
      <c r="D13" s="602">
        <v>2.12</v>
      </c>
      <c r="E13" s="349">
        <v>2017</v>
      </c>
      <c r="F13" s="329" t="s">
        <v>1042</v>
      </c>
      <c r="G13" s="352" t="s">
        <v>1044</v>
      </c>
      <c r="H13" s="353" t="s">
        <v>1072</v>
      </c>
      <c r="I13" s="343" t="s">
        <v>1073</v>
      </c>
      <c r="J13" s="339" t="s">
        <v>1074</v>
      </c>
      <c r="K13" s="346" t="s">
        <v>1044</v>
      </c>
      <c r="L13" s="333" t="s">
        <v>1043</v>
      </c>
      <c r="M13" s="334"/>
      <c r="N13" s="328" t="s">
        <v>96</v>
      </c>
      <c r="O13" s="335">
        <v>8</v>
      </c>
      <c r="P13" s="335" t="str">
        <f>VLOOKUP(N13,Source!F:F,1,FALSE)</f>
        <v>Dept. of Conservation and Recreation</v>
      </c>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row>
    <row r="14" spans="1:47" s="336" customFormat="1" ht="43.5" hidden="1">
      <c r="A14" s="334" t="str">
        <f t="shared" si="0"/>
        <v>Dept. of Conservation and Recreation9</v>
      </c>
      <c r="B14" s="390" t="s">
        <v>1075</v>
      </c>
      <c r="C14" s="329" t="s">
        <v>1046</v>
      </c>
      <c r="D14" s="602">
        <v>6.5</v>
      </c>
      <c r="E14" s="349">
        <v>2017</v>
      </c>
      <c r="F14" s="329" t="s">
        <v>1042</v>
      </c>
      <c r="G14" s="352" t="s">
        <v>1044</v>
      </c>
      <c r="H14" s="353" t="s">
        <v>1072</v>
      </c>
      <c r="I14" s="343" t="s">
        <v>1076</v>
      </c>
      <c r="J14" s="339" t="s">
        <v>1074</v>
      </c>
      <c r="K14" s="346" t="s">
        <v>1044</v>
      </c>
      <c r="L14" s="333" t="s">
        <v>1043</v>
      </c>
      <c r="M14" s="334"/>
      <c r="N14" s="328" t="s">
        <v>96</v>
      </c>
      <c r="O14" s="335">
        <v>9</v>
      </c>
      <c r="P14" s="335" t="str">
        <f>VLOOKUP(N14,Source!F:F,1,FALSE)</f>
        <v>Dept. of Conservation and Recreation</v>
      </c>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row>
    <row r="15" spans="1:47" s="356" customFormat="1" ht="98.25" hidden="1" customHeight="1">
      <c r="A15" s="334" t="str">
        <f t="shared" si="0"/>
        <v>Dept. of Conservation and Recreation10</v>
      </c>
      <c r="B15" s="390" t="s">
        <v>1077</v>
      </c>
      <c r="C15" s="329" t="s">
        <v>1051</v>
      </c>
      <c r="D15" s="602">
        <v>35</v>
      </c>
      <c r="E15" s="352">
        <v>2014</v>
      </c>
      <c r="F15" s="329" t="s">
        <v>1042</v>
      </c>
      <c r="G15" s="352" t="s">
        <v>1044</v>
      </c>
      <c r="H15" s="353" t="s">
        <v>1072</v>
      </c>
      <c r="I15" s="343" t="s">
        <v>1078</v>
      </c>
      <c r="J15" s="339" t="s">
        <v>1074</v>
      </c>
      <c r="K15" s="346" t="s">
        <v>1044</v>
      </c>
      <c r="L15" s="333" t="s">
        <v>1043</v>
      </c>
      <c r="M15" s="354" t="s">
        <v>1079</v>
      </c>
      <c r="N15" s="328" t="s">
        <v>96</v>
      </c>
      <c r="O15" s="335">
        <v>10</v>
      </c>
      <c r="P15" s="335" t="str">
        <f>VLOOKUP(N15,Source!F:F,1,FALSE)</f>
        <v>Dept. of Conservation and Recreation</v>
      </c>
      <c r="Q15" s="355"/>
      <c r="R15" s="355"/>
      <c r="S15" s="355"/>
      <c r="T15" s="355"/>
      <c r="U15" s="355"/>
      <c r="V15" s="355"/>
      <c r="W15" s="355"/>
      <c r="X15" s="355"/>
      <c r="Y15" s="355"/>
      <c r="Z15" s="355"/>
      <c r="AA15" s="355"/>
      <c r="AB15" s="355"/>
      <c r="AC15" s="355"/>
      <c r="AD15" s="355"/>
      <c r="AE15" s="355"/>
      <c r="AF15" s="355"/>
      <c r="AG15" s="355"/>
      <c r="AH15" s="355"/>
      <c r="AI15" s="355"/>
      <c r="AJ15" s="355"/>
      <c r="AK15" s="355"/>
      <c r="AL15" s="355"/>
      <c r="AM15" s="355"/>
      <c r="AN15" s="355"/>
      <c r="AO15" s="355"/>
      <c r="AP15" s="355"/>
      <c r="AQ15" s="355"/>
      <c r="AR15" s="355"/>
      <c r="AS15" s="355"/>
      <c r="AT15" s="355"/>
      <c r="AU15" s="355"/>
    </row>
    <row r="16" spans="1:47" s="336" customFormat="1" ht="58" hidden="1">
      <c r="A16" s="334" t="str">
        <f t="shared" si="0"/>
        <v>Dept. of Conservation and Recreation11</v>
      </c>
      <c r="B16" s="391" t="s">
        <v>1080</v>
      </c>
      <c r="C16" s="329" t="s">
        <v>1046</v>
      </c>
      <c r="D16" s="331" t="s">
        <v>1069</v>
      </c>
      <c r="E16" s="331">
        <v>2019</v>
      </c>
      <c r="F16" s="329" t="s">
        <v>1047</v>
      </c>
      <c r="G16" s="329"/>
      <c r="H16" s="329"/>
      <c r="I16" s="343" t="s">
        <v>1081</v>
      </c>
      <c r="J16" s="346" t="s">
        <v>1043</v>
      </c>
      <c r="K16" s="346" t="s">
        <v>1043</v>
      </c>
      <c r="L16" s="333" t="s">
        <v>1043</v>
      </c>
      <c r="M16" s="334"/>
      <c r="N16" s="328" t="s">
        <v>96</v>
      </c>
      <c r="O16" s="335">
        <v>11</v>
      </c>
      <c r="P16" s="335" t="str">
        <f>VLOOKUP(N16,Source!F:F,1,FALSE)</f>
        <v>Dept. of Conservation and Recreation</v>
      </c>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row>
    <row r="17" spans="1:47" s="336" customFormat="1" ht="48" hidden="1" customHeight="1">
      <c r="A17" s="334" t="str">
        <f t="shared" si="0"/>
        <v>Dept. of Correction1</v>
      </c>
      <c r="B17" s="349" t="s">
        <v>1082</v>
      </c>
      <c r="C17" s="329" t="s">
        <v>1046</v>
      </c>
      <c r="D17" s="330">
        <v>3.5</v>
      </c>
      <c r="E17" s="329">
        <v>2017</v>
      </c>
      <c r="F17" s="329" t="s">
        <v>1042</v>
      </c>
      <c r="G17" s="331" t="s">
        <v>1043</v>
      </c>
      <c r="H17" s="331" t="s">
        <v>1083</v>
      </c>
      <c r="I17" s="357" t="s">
        <v>1084</v>
      </c>
      <c r="J17" s="341" t="s">
        <v>1044</v>
      </c>
      <c r="K17" s="346" t="s">
        <v>1044</v>
      </c>
      <c r="L17" s="333" t="s">
        <v>1043</v>
      </c>
      <c r="M17" s="358" t="s">
        <v>1085</v>
      </c>
      <c r="N17" s="328" t="s">
        <v>97</v>
      </c>
      <c r="O17" s="335">
        <v>1</v>
      </c>
      <c r="P17" s="335" t="str">
        <f>VLOOKUP(N17,Source!F:F,1,FALSE)</f>
        <v>Dept. of Correction</v>
      </c>
      <c r="Q17" s="335"/>
      <c r="R17" s="335"/>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row>
    <row r="18" spans="1:47" s="336" customFormat="1" ht="30" hidden="1" customHeight="1">
      <c r="A18" s="334" t="str">
        <f t="shared" si="0"/>
        <v>Dept. of Correction2</v>
      </c>
      <c r="B18" s="392" t="s">
        <v>1086</v>
      </c>
      <c r="C18" s="352" t="s">
        <v>1046</v>
      </c>
      <c r="D18" s="360">
        <v>2.6</v>
      </c>
      <c r="E18" s="352">
        <v>2017</v>
      </c>
      <c r="F18" s="352" t="s">
        <v>1042</v>
      </c>
      <c r="G18" s="331" t="s">
        <v>1043</v>
      </c>
      <c r="H18" s="331" t="s">
        <v>1083</v>
      </c>
      <c r="I18" s="357" t="s">
        <v>1084</v>
      </c>
      <c r="J18" s="341" t="s">
        <v>1044</v>
      </c>
      <c r="K18" s="346" t="s">
        <v>1044</v>
      </c>
      <c r="L18" s="333" t="s">
        <v>1043</v>
      </c>
      <c r="M18" s="358" t="s">
        <v>1087</v>
      </c>
      <c r="N18" s="328" t="s">
        <v>97</v>
      </c>
      <c r="O18" s="335">
        <v>2</v>
      </c>
      <c r="P18" s="335" t="str">
        <f>VLOOKUP(N18,Source!F:F,1,FALSE)</f>
        <v>Dept. of Correction</v>
      </c>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row>
    <row r="19" spans="1:47" s="336" customFormat="1" ht="30" hidden="1" customHeight="1">
      <c r="A19" s="334" t="str">
        <f t="shared" si="0"/>
        <v>Dept. of Correction3</v>
      </c>
      <c r="B19" s="392" t="s">
        <v>1088</v>
      </c>
      <c r="C19" s="352" t="s">
        <v>1057</v>
      </c>
      <c r="D19" s="360" t="s">
        <v>756</v>
      </c>
      <c r="E19" s="352" t="s">
        <v>756</v>
      </c>
      <c r="F19" s="352" t="s">
        <v>1089</v>
      </c>
      <c r="G19" s="331"/>
      <c r="H19" s="331"/>
      <c r="I19" s="357"/>
      <c r="J19" s="341"/>
      <c r="K19" s="346"/>
      <c r="L19" s="333"/>
      <c r="M19" s="358"/>
      <c r="N19" s="328" t="s">
        <v>97</v>
      </c>
      <c r="O19" s="335">
        <v>3</v>
      </c>
      <c r="P19" s="335" t="str">
        <f>VLOOKUP(N19,Source!F:F,1,FALSE)</f>
        <v>Dept. of Correction</v>
      </c>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row>
    <row r="20" spans="1:47" s="336" customFormat="1" hidden="1">
      <c r="A20" s="334" t="str">
        <f t="shared" si="0"/>
        <v>Dept. of Public Health1</v>
      </c>
      <c r="B20" s="349" t="s">
        <v>1090</v>
      </c>
      <c r="C20" s="329" t="s">
        <v>1046</v>
      </c>
      <c r="D20" s="330">
        <v>2.7</v>
      </c>
      <c r="E20" s="329">
        <v>2017</v>
      </c>
      <c r="F20" s="329" t="s">
        <v>1042</v>
      </c>
      <c r="G20" s="329" t="s">
        <v>1044</v>
      </c>
      <c r="H20" s="329" t="s">
        <v>1091</v>
      </c>
      <c r="I20" s="329" t="s">
        <v>1092</v>
      </c>
      <c r="J20" s="341" t="s">
        <v>1044</v>
      </c>
      <c r="K20" s="361" t="s">
        <v>1044</v>
      </c>
      <c r="L20" s="333" t="s">
        <v>1043</v>
      </c>
      <c r="M20" s="362" t="s">
        <v>1093</v>
      </c>
      <c r="N20" s="328" t="s">
        <v>109</v>
      </c>
      <c r="O20" s="335">
        <v>1</v>
      </c>
      <c r="P20" s="335" t="str">
        <f>VLOOKUP(N20,Source!F:F,1,FALSE)</f>
        <v>Dept. of Public Health</v>
      </c>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row>
    <row r="21" spans="1:47" s="336" customFormat="1" ht="43.5" hidden="1">
      <c r="A21" s="334" t="str">
        <f t="shared" si="0"/>
        <v>Dept. of Public Health2</v>
      </c>
      <c r="B21" s="349" t="s">
        <v>1090</v>
      </c>
      <c r="C21" s="329" t="s">
        <v>1051</v>
      </c>
      <c r="D21" s="330">
        <v>4.25</v>
      </c>
      <c r="E21" s="331">
        <v>2009</v>
      </c>
      <c r="F21" s="329" t="s">
        <v>1042</v>
      </c>
      <c r="G21" s="329" t="s">
        <v>1043</v>
      </c>
      <c r="H21" s="329" t="s">
        <v>1091</v>
      </c>
      <c r="I21" s="329" t="s">
        <v>1094</v>
      </c>
      <c r="J21" s="341" t="s">
        <v>1095</v>
      </c>
      <c r="K21" s="361" t="s">
        <v>1044</v>
      </c>
      <c r="L21" s="333" t="s">
        <v>1043</v>
      </c>
      <c r="M21" s="362"/>
      <c r="N21" s="328" t="s">
        <v>109</v>
      </c>
      <c r="O21" s="335">
        <v>2</v>
      </c>
      <c r="P21" s="335" t="str">
        <f>VLOOKUP(N21,Source!F:F,1,FALSE)</f>
        <v>Dept. of Public Health</v>
      </c>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row>
    <row r="22" spans="1:47" s="336" customFormat="1" hidden="1">
      <c r="A22" s="334" t="str">
        <f t="shared" si="0"/>
        <v>Dept. of State Police1</v>
      </c>
      <c r="B22" s="349" t="s">
        <v>1096</v>
      </c>
      <c r="C22" s="329" t="s">
        <v>1051</v>
      </c>
      <c r="D22" s="330">
        <v>14.7</v>
      </c>
      <c r="E22" s="329">
        <v>2016</v>
      </c>
      <c r="F22" s="329" t="s">
        <v>1042</v>
      </c>
      <c r="G22" s="331"/>
      <c r="H22" s="329" t="s">
        <v>1097</v>
      </c>
      <c r="I22" s="329"/>
      <c r="J22" s="341" t="s">
        <v>1044</v>
      </c>
      <c r="K22" s="346" t="s">
        <v>1044</v>
      </c>
      <c r="L22" s="333" t="s">
        <v>1043</v>
      </c>
      <c r="M22" s="334"/>
      <c r="N22" s="328" t="s">
        <v>110</v>
      </c>
      <c r="O22" s="335">
        <v>1</v>
      </c>
      <c r="P22" s="335" t="str">
        <f>VLOOKUP(N22,Source!F:F,1,FALSE)</f>
        <v>Dept. of State Police</v>
      </c>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row>
    <row r="23" spans="1:47" s="336" customFormat="1" hidden="1">
      <c r="A23" s="334" t="str">
        <f t="shared" si="0"/>
        <v>Dept. of State Police2</v>
      </c>
      <c r="B23" s="349" t="s">
        <v>1096</v>
      </c>
      <c r="C23" s="329" t="s">
        <v>1051</v>
      </c>
      <c r="D23" s="330">
        <v>3.06</v>
      </c>
      <c r="E23" s="329">
        <v>2016</v>
      </c>
      <c r="F23" s="329" t="s">
        <v>1042</v>
      </c>
      <c r="G23" s="331"/>
      <c r="H23" s="329" t="s">
        <v>1097</v>
      </c>
      <c r="I23" s="329"/>
      <c r="J23" s="341" t="s">
        <v>1044</v>
      </c>
      <c r="K23" s="346" t="s">
        <v>1044</v>
      </c>
      <c r="L23" s="333" t="s">
        <v>1043</v>
      </c>
      <c r="M23" s="334"/>
      <c r="N23" s="328" t="s">
        <v>110</v>
      </c>
      <c r="O23" s="335">
        <v>2</v>
      </c>
      <c r="P23" s="335" t="str">
        <f>VLOOKUP(N23,Source!F:F,1,FALSE)</f>
        <v>Dept. of State Police</v>
      </c>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row>
    <row r="24" spans="1:47" s="336" customFormat="1" ht="96" hidden="1" customHeight="1">
      <c r="A24" s="334" t="str">
        <f t="shared" si="0"/>
        <v>Dept. of Fish and Game1</v>
      </c>
      <c r="B24" s="349" t="s">
        <v>1098</v>
      </c>
      <c r="C24" s="329" t="s">
        <v>1046</v>
      </c>
      <c r="D24" s="330">
        <v>2</v>
      </c>
      <c r="E24" s="329">
        <v>2016</v>
      </c>
      <c r="F24" s="329" t="s">
        <v>1042</v>
      </c>
      <c r="G24" s="331"/>
      <c r="H24" s="353" t="s">
        <v>1099</v>
      </c>
      <c r="I24" s="329" t="s">
        <v>1100</v>
      </c>
      <c r="J24" s="341" t="s">
        <v>1044</v>
      </c>
      <c r="K24" s="346" t="s">
        <v>1044</v>
      </c>
      <c r="L24" s="333" t="s">
        <v>1043</v>
      </c>
      <c r="M24" s="334"/>
      <c r="N24" s="328" t="s">
        <v>107</v>
      </c>
      <c r="O24" s="335">
        <v>1</v>
      </c>
      <c r="P24" s="335" t="str">
        <f>VLOOKUP(N24,Source!F:F,1,FALSE)</f>
        <v>Dept. of Fish and Game</v>
      </c>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row>
    <row r="25" spans="1:47" s="336" customFormat="1" ht="60" hidden="1" customHeight="1">
      <c r="A25" s="334" t="str">
        <f t="shared" si="0"/>
        <v>Holyoke Comm. College1</v>
      </c>
      <c r="B25" s="349" t="s">
        <v>1101</v>
      </c>
      <c r="C25" s="329" t="s">
        <v>1041</v>
      </c>
      <c r="D25" s="330">
        <v>0.05</v>
      </c>
      <c r="E25" s="329">
        <v>2005</v>
      </c>
      <c r="F25" s="329" t="s">
        <v>1042</v>
      </c>
      <c r="G25" s="331"/>
      <c r="H25" s="331"/>
      <c r="I25" s="331"/>
      <c r="J25" s="341"/>
      <c r="K25" s="346" t="s">
        <v>1044</v>
      </c>
      <c r="L25" s="333" t="s">
        <v>1043</v>
      </c>
      <c r="M25" s="334"/>
      <c r="N25" s="328" t="s">
        <v>134</v>
      </c>
      <c r="O25" s="335">
        <v>1</v>
      </c>
      <c r="P25" s="335" t="str">
        <f>VLOOKUP(N25,Source!F:F,1,FALSE)</f>
        <v>Holyoke Comm. College</v>
      </c>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row>
    <row r="26" spans="1:47" s="336" customFormat="1" ht="45" hidden="1" customHeight="1">
      <c r="A26" s="334" t="str">
        <f t="shared" si="0"/>
        <v>Mass. Bay Transportation Authority1</v>
      </c>
      <c r="B26" s="392" t="s">
        <v>1102</v>
      </c>
      <c r="C26" s="329" t="s">
        <v>1041</v>
      </c>
      <c r="D26" s="330">
        <v>0.03</v>
      </c>
      <c r="E26" s="329">
        <v>2016</v>
      </c>
      <c r="F26" s="352" t="s">
        <v>1042</v>
      </c>
      <c r="G26" s="331"/>
      <c r="H26" s="352" t="s">
        <v>1103</v>
      </c>
      <c r="I26" s="352" t="s">
        <v>1104</v>
      </c>
      <c r="J26" s="341" t="s">
        <v>1044</v>
      </c>
      <c r="K26" s="346" t="s">
        <v>1044</v>
      </c>
      <c r="L26" s="333" t="s">
        <v>1043</v>
      </c>
      <c r="M26" s="334"/>
      <c r="N26" s="359" t="s">
        <v>1105</v>
      </c>
      <c r="O26" s="335">
        <v>1</v>
      </c>
      <c r="P26" s="335" t="str">
        <f>VLOOKUP(N26,Source!F:F,1,FALSE)</f>
        <v>Mass. Bay Transportation Authority</v>
      </c>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row>
    <row r="27" spans="1:47" s="336" customFormat="1" ht="45" hidden="1" customHeight="1">
      <c r="A27" s="334" t="str">
        <f t="shared" si="0"/>
        <v>Mass. Bay Transportation Authority2</v>
      </c>
      <c r="B27" s="392" t="s">
        <v>1106</v>
      </c>
      <c r="C27" s="329" t="s">
        <v>1041</v>
      </c>
      <c r="D27" s="330">
        <v>0.05</v>
      </c>
      <c r="E27" s="329">
        <v>2017</v>
      </c>
      <c r="F27" s="352" t="s">
        <v>1042</v>
      </c>
      <c r="G27" s="331"/>
      <c r="H27" s="352" t="s">
        <v>1103</v>
      </c>
      <c r="I27" s="352" t="s">
        <v>1107</v>
      </c>
      <c r="J27" s="341" t="s">
        <v>1044</v>
      </c>
      <c r="K27" s="346" t="s">
        <v>1044</v>
      </c>
      <c r="L27" s="333" t="s">
        <v>1043</v>
      </c>
      <c r="M27" s="334"/>
      <c r="N27" s="359" t="s">
        <v>1105</v>
      </c>
      <c r="O27" s="335">
        <v>2</v>
      </c>
      <c r="P27" s="335" t="str">
        <f>VLOOKUP(N27,Source!F:F,1,FALSE)</f>
        <v>Mass. Bay Transportation Authority</v>
      </c>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row>
    <row r="28" spans="1:47" s="336" customFormat="1" ht="45" hidden="1" customHeight="1">
      <c r="A28" s="334" t="str">
        <f t="shared" si="0"/>
        <v>Mass. College of Art &amp; Design1</v>
      </c>
      <c r="B28" s="392" t="s">
        <v>1108</v>
      </c>
      <c r="C28" s="329" t="s">
        <v>1057</v>
      </c>
      <c r="D28" s="363" t="s">
        <v>756</v>
      </c>
      <c r="E28" s="364">
        <v>2019</v>
      </c>
      <c r="F28" s="352" t="s">
        <v>1089</v>
      </c>
      <c r="G28" s="331"/>
      <c r="H28" s="352" t="s">
        <v>1109</v>
      </c>
      <c r="I28" s="352" t="s">
        <v>1110</v>
      </c>
      <c r="J28" s="341"/>
      <c r="K28" s="346" t="s">
        <v>1043</v>
      </c>
      <c r="L28" s="333" t="s">
        <v>1043</v>
      </c>
      <c r="M28" s="334"/>
      <c r="N28" s="359" t="s">
        <v>146</v>
      </c>
      <c r="O28" s="335">
        <v>1</v>
      </c>
      <c r="P28" s="335" t="str">
        <f>VLOOKUP(N28,Source!F:F,1,FALSE)</f>
        <v>Mass. College of Art &amp; Design</v>
      </c>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5"/>
      <c r="AN28" s="335"/>
      <c r="AO28" s="335"/>
      <c r="AP28" s="335"/>
      <c r="AQ28" s="335"/>
      <c r="AR28" s="335"/>
      <c r="AS28" s="335"/>
      <c r="AT28" s="335"/>
      <c r="AU28" s="335"/>
    </row>
    <row r="29" spans="1:47" s="336" customFormat="1" ht="45" hidden="1" customHeight="1">
      <c r="A29" s="334" t="str">
        <f t="shared" si="0"/>
        <v>Mass. College of Liberal Arts1</v>
      </c>
      <c r="B29" s="392" t="s">
        <v>1111</v>
      </c>
      <c r="C29" s="329" t="s">
        <v>1041</v>
      </c>
      <c r="D29" s="330">
        <v>0.01</v>
      </c>
      <c r="E29" s="329">
        <v>2013</v>
      </c>
      <c r="F29" s="352" t="s">
        <v>1042</v>
      </c>
      <c r="G29" s="331"/>
      <c r="H29" s="352"/>
      <c r="I29" s="364" t="s">
        <v>1112</v>
      </c>
      <c r="J29" s="341" t="s">
        <v>1044</v>
      </c>
      <c r="K29" s="346" t="s">
        <v>1044</v>
      </c>
      <c r="L29" s="333" t="s">
        <v>1043</v>
      </c>
      <c r="M29" s="334"/>
      <c r="N29" s="359" t="s">
        <v>148</v>
      </c>
      <c r="O29" s="335">
        <v>1</v>
      </c>
      <c r="P29" s="335" t="str">
        <f>VLOOKUP(N29,Source!F:F,1,FALSE)</f>
        <v>Mass. College of Liberal Arts</v>
      </c>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row>
    <row r="30" spans="1:47" s="336" customFormat="1" ht="45" hidden="1" customHeight="1">
      <c r="A30" s="334" t="str">
        <f t="shared" si="0"/>
        <v>Mass. College of Liberal Arts2</v>
      </c>
      <c r="B30" s="393" t="s">
        <v>1113</v>
      </c>
      <c r="C30" s="518" t="s">
        <v>1057</v>
      </c>
      <c r="D30" s="340">
        <v>7.0000000000000001E-3</v>
      </c>
      <c r="E30" s="345">
        <v>2019</v>
      </c>
      <c r="F30" s="352" t="s">
        <v>1042</v>
      </c>
      <c r="G30" s="331" t="s">
        <v>51</v>
      </c>
      <c r="H30" s="352" t="s">
        <v>1114</v>
      </c>
      <c r="I30" s="353" t="s">
        <v>1115</v>
      </c>
      <c r="J30" s="341"/>
      <c r="K30" s="342" t="s">
        <v>1043</v>
      </c>
      <c r="L30" s="341" t="s">
        <v>1044</v>
      </c>
      <c r="M30" s="334"/>
      <c r="N30" s="359" t="s">
        <v>148</v>
      </c>
      <c r="O30" s="335">
        <v>2</v>
      </c>
      <c r="P30" s="335" t="str">
        <f>VLOOKUP(N30,Source!F:F,1,FALSE)</f>
        <v>Mass. College of Liberal Arts</v>
      </c>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row>
    <row r="31" spans="1:47" s="336" customFormat="1" ht="45" hidden="1" customHeight="1">
      <c r="A31" s="334" t="str">
        <f t="shared" si="0"/>
        <v>Mass. College of Liberal Arts3</v>
      </c>
      <c r="B31" s="393" t="s">
        <v>1116</v>
      </c>
      <c r="C31" s="365" t="s">
        <v>1057</v>
      </c>
      <c r="D31" s="340">
        <v>0.1</v>
      </c>
      <c r="E31" s="345">
        <v>2019</v>
      </c>
      <c r="F31" s="352" t="s">
        <v>1042</v>
      </c>
      <c r="G31" s="331"/>
      <c r="H31" s="517"/>
      <c r="I31" s="353"/>
      <c r="J31" s="341"/>
      <c r="K31" s="342"/>
      <c r="L31" s="341"/>
      <c r="M31" s="334"/>
      <c r="N31" s="359" t="s">
        <v>148</v>
      </c>
      <c r="O31" s="335">
        <v>3</v>
      </c>
      <c r="P31" s="335" t="str">
        <f>VLOOKUP(N31,Source!F:F,1,FALSE)</f>
        <v>Mass. College of Liberal Arts</v>
      </c>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row>
    <row r="32" spans="1:47" s="336" customFormat="1" ht="45" hidden="1" customHeight="1">
      <c r="A32" s="334" t="str">
        <f t="shared" si="0"/>
        <v>Massasoit Comm. College1</v>
      </c>
      <c r="B32" s="349" t="s">
        <v>1117</v>
      </c>
      <c r="C32" s="329" t="s">
        <v>1118</v>
      </c>
      <c r="D32" s="366">
        <f>1.43/2</f>
        <v>0.71499999999999997</v>
      </c>
      <c r="E32" s="329">
        <v>2010</v>
      </c>
      <c r="F32" s="329" t="s">
        <v>1042</v>
      </c>
      <c r="G32" s="329" t="s">
        <v>1044</v>
      </c>
      <c r="H32" s="367" t="s">
        <v>1119</v>
      </c>
      <c r="I32" s="329" t="s">
        <v>1120</v>
      </c>
      <c r="J32" s="341"/>
      <c r="K32" s="333" t="s">
        <v>1044</v>
      </c>
      <c r="L32" s="333" t="s">
        <v>1043</v>
      </c>
      <c r="M32" s="358" t="s">
        <v>1121</v>
      </c>
      <c r="N32" s="328" t="s">
        <v>168</v>
      </c>
      <c r="O32" s="335">
        <v>1</v>
      </c>
      <c r="P32" s="335" t="str">
        <f>VLOOKUP(N32,Source!F:F,1,FALSE)</f>
        <v>Massasoit Comm. College</v>
      </c>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row>
    <row r="33" spans="1:47" s="336" customFormat="1" ht="45" hidden="1" customHeight="1">
      <c r="A33" s="334" t="str">
        <f t="shared" si="0"/>
        <v>Massasoit Comm. College2</v>
      </c>
      <c r="B33" s="349" t="s">
        <v>1117</v>
      </c>
      <c r="C33" s="329" t="s">
        <v>1051</v>
      </c>
      <c r="D33" s="366">
        <f>1.43/2</f>
        <v>0.71499999999999997</v>
      </c>
      <c r="E33" s="329">
        <v>2010</v>
      </c>
      <c r="F33" s="329" t="s">
        <v>1042</v>
      </c>
      <c r="G33" s="329" t="s">
        <v>1044</v>
      </c>
      <c r="H33" s="367" t="s">
        <v>1119</v>
      </c>
      <c r="I33" s="329" t="s">
        <v>1122</v>
      </c>
      <c r="J33" s="341" t="s">
        <v>1044</v>
      </c>
      <c r="K33" s="333" t="s">
        <v>1044</v>
      </c>
      <c r="L33" s="333" t="s">
        <v>1043</v>
      </c>
      <c r="M33" s="334"/>
      <c r="N33" s="328" t="s">
        <v>168</v>
      </c>
      <c r="O33" s="335">
        <v>2</v>
      </c>
      <c r="P33" s="335" t="str">
        <f>VLOOKUP(N33,Source!F:F,1,FALSE)</f>
        <v>Massasoit Comm. College</v>
      </c>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5"/>
      <c r="AN33" s="335"/>
      <c r="AO33" s="335"/>
      <c r="AP33" s="335"/>
      <c r="AQ33" s="335"/>
      <c r="AR33" s="335"/>
      <c r="AS33" s="335"/>
      <c r="AT33" s="335"/>
      <c r="AU33" s="335"/>
    </row>
    <row r="34" spans="1:47" s="336" customFormat="1" ht="45" hidden="1" customHeight="1">
      <c r="A34" s="334" t="str">
        <f t="shared" si="0"/>
        <v>Massasoit Comm. College3</v>
      </c>
      <c r="B34" s="349" t="s">
        <v>1117</v>
      </c>
      <c r="C34" s="352" t="s">
        <v>1046</v>
      </c>
      <c r="D34" s="360">
        <v>0.41</v>
      </c>
      <c r="E34" s="329">
        <v>2010</v>
      </c>
      <c r="F34" s="352" t="s">
        <v>1042</v>
      </c>
      <c r="G34" s="329" t="s">
        <v>1044</v>
      </c>
      <c r="H34" s="367" t="s">
        <v>1119</v>
      </c>
      <c r="I34" s="329" t="s">
        <v>1122</v>
      </c>
      <c r="J34" s="341" t="s">
        <v>1044</v>
      </c>
      <c r="K34" s="333" t="s">
        <v>1044</v>
      </c>
      <c r="L34" s="333" t="s">
        <v>1043</v>
      </c>
      <c r="M34" s="334"/>
      <c r="N34" s="328" t="s">
        <v>168</v>
      </c>
      <c r="O34" s="335">
        <v>3</v>
      </c>
      <c r="P34" s="335" t="str">
        <f>VLOOKUP(N34,Source!F:F,1,FALSE)</f>
        <v>Massasoit Comm. College</v>
      </c>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c r="AQ34" s="335"/>
      <c r="AR34" s="335"/>
      <c r="AS34" s="335"/>
      <c r="AT34" s="335"/>
      <c r="AU34" s="335"/>
    </row>
    <row r="35" spans="1:47" s="336" customFormat="1" ht="45" hidden="1" customHeight="1">
      <c r="A35" s="334" t="str">
        <f t="shared" si="0"/>
        <v>MassDEP - owned1</v>
      </c>
      <c r="B35" s="392" t="s">
        <v>1123</v>
      </c>
      <c r="C35" s="329" t="s">
        <v>1041</v>
      </c>
      <c r="D35" s="330">
        <v>8.0000000000000002E-3</v>
      </c>
      <c r="E35" s="329">
        <v>2012</v>
      </c>
      <c r="F35" s="352" t="s">
        <v>1042</v>
      </c>
      <c r="G35" s="331"/>
      <c r="H35" s="352"/>
      <c r="I35" s="329" t="s">
        <v>1124</v>
      </c>
      <c r="J35" s="341" t="s">
        <v>1044</v>
      </c>
      <c r="K35" s="333" t="s">
        <v>1044</v>
      </c>
      <c r="L35" s="333" t="s">
        <v>1043</v>
      </c>
      <c r="M35" s="334"/>
      <c r="N35" s="359" t="s">
        <v>179</v>
      </c>
      <c r="O35" s="335">
        <v>1</v>
      </c>
      <c r="P35" s="335" t="str">
        <f>VLOOKUP(N35,Source!F:F,1,FALSE)</f>
        <v>MassDEP - owned</v>
      </c>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row>
    <row r="36" spans="1:47" s="336" customFormat="1" ht="45" hidden="1" customHeight="1">
      <c r="A36" s="334" t="str">
        <f t="shared" si="0"/>
        <v>MassDOT - Highway &amp; Turnpike Divisions1</v>
      </c>
      <c r="B36" s="392" t="s">
        <v>1125</v>
      </c>
      <c r="C36" s="329" t="s">
        <v>1046</v>
      </c>
      <c r="D36" s="330">
        <v>0.1</v>
      </c>
      <c r="E36" s="329">
        <v>2014</v>
      </c>
      <c r="F36" s="352" t="s">
        <v>1042</v>
      </c>
      <c r="G36" s="329" t="s">
        <v>1043</v>
      </c>
      <c r="H36" s="353" t="s">
        <v>1126</v>
      </c>
      <c r="I36" s="329" t="s">
        <v>1127</v>
      </c>
      <c r="J36" s="341" t="s">
        <v>1044</v>
      </c>
      <c r="K36" s="333" t="s">
        <v>1044</v>
      </c>
      <c r="L36" s="333" t="s">
        <v>1043</v>
      </c>
      <c r="M36" s="334"/>
      <c r="N36" s="359" t="s">
        <v>180</v>
      </c>
      <c r="O36" s="335">
        <v>1</v>
      </c>
      <c r="P36" s="335" t="str">
        <f>VLOOKUP(N36,Source!F:F,1,FALSE)</f>
        <v>MassDOT - Highway &amp; Turnpike Divisions</v>
      </c>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row>
    <row r="37" spans="1:47" s="336" customFormat="1" ht="45" hidden="1" customHeight="1">
      <c r="A37" s="334" t="str">
        <f t="shared" si="0"/>
        <v>MassDOT - Highway &amp; Turnpike Divisions2</v>
      </c>
      <c r="B37" s="392" t="s">
        <v>1128</v>
      </c>
      <c r="C37" s="329" t="s">
        <v>1046</v>
      </c>
      <c r="D37" s="330">
        <v>7.0000000000000001E-3</v>
      </c>
      <c r="E37" s="329">
        <v>2016</v>
      </c>
      <c r="F37" s="352" t="s">
        <v>1042</v>
      </c>
      <c r="G37" s="329" t="s">
        <v>1043</v>
      </c>
      <c r="H37" s="353" t="s">
        <v>1126</v>
      </c>
      <c r="I37" s="368" t="s">
        <v>1129</v>
      </c>
      <c r="J37" s="341" t="s">
        <v>1044</v>
      </c>
      <c r="K37" s="333" t="s">
        <v>1044</v>
      </c>
      <c r="L37" s="333" t="s">
        <v>1043</v>
      </c>
      <c r="M37" s="369"/>
      <c r="N37" s="359" t="s">
        <v>180</v>
      </c>
      <c r="O37" s="335">
        <v>2</v>
      </c>
      <c r="P37" s="335" t="str">
        <f>VLOOKUP(N37,Source!F:F,1,FALSE)</f>
        <v>MassDOT - Highway &amp; Turnpike Divisions</v>
      </c>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row>
    <row r="38" spans="1:47" s="336" customFormat="1" ht="45" hidden="1" customHeight="1">
      <c r="A38" s="334" t="str">
        <f t="shared" si="0"/>
        <v>MassDOT - Highway &amp; Turnpike Divisions3</v>
      </c>
      <c r="B38" s="392" t="s">
        <v>1130</v>
      </c>
      <c r="C38" s="329" t="s">
        <v>1046</v>
      </c>
      <c r="D38" s="330">
        <v>1</v>
      </c>
      <c r="E38" s="329">
        <v>2014</v>
      </c>
      <c r="F38" s="352" t="s">
        <v>1042</v>
      </c>
      <c r="G38" s="329" t="s">
        <v>1044</v>
      </c>
      <c r="H38" s="353" t="s">
        <v>1126</v>
      </c>
      <c r="I38" s="368" t="s">
        <v>1131</v>
      </c>
      <c r="J38" s="341" t="s">
        <v>1044</v>
      </c>
      <c r="K38" s="333" t="s">
        <v>1044</v>
      </c>
      <c r="L38" s="333" t="s">
        <v>1043</v>
      </c>
      <c r="M38" s="369"/>
      <c r="N38" s="359" t="s">
        <v>180</v>
      </c>
      <c r="O38" s="335">
        <v>3</v>
      </c>
      <c r="P38" s="335" t="str">
        <f>VLOOKUP(N38,Source!F:F,1,FALSE)</f>
        <v>MassDOT - Highway &amp; Turnpike Divisions</v>
      </c>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row>
    <row r="39" spans="1:47" s="336" customFormat="1" ht="45" hidden="1" customHeight="1">
      <c r="A39" s="334" t="str">
        <f t="shared" si="0"/>
        <v>MassDOT - Highway &amp; Turnpike Divisions4</v>
      </c>
      <c r="B39" s="392" t="s">
        <v>1132</v>
      </c>
      <c r="C39" s="329" t="s">
        <v>1046</v>
      </c>
      <c r="D39" s="330">
        <v>0.5</v>
      </c>
      <c r="E39" s="329">
        <v>2013</v>
      </c>
      <c r="F39" s="352" t="s">
        <v>1042</v>
      </c>
      <c r="G39" s="329" t="s">
        <v>1043</v>
      </c>
      <c r="H39" s="353" t="s">
        <v>1126</v>
      </c>
      <c r="I39" s="368" t="s">
        <v>1131</v>
      </c>
      <c r="J39" s="341" t="s">
        <v>1044</v>
      </c>
      <c r="K39" s="333" t="s">
        <v>1044</v>
      </c>
      <c r="L39" s="333" t="s">
        <v>1043</v>
      </c>
      <c r="M39" s="369"/>
      <c r="N39" s="359" t="s">
        <v>180</v>
      </c>
      <c r="O39" s="335">
        <v>4</v>
      </c>
      <c r="P39" s="335" t="str">
        <f>VLOOKUP(N39,Source!F:F,1,FALSE)</f>
        <v>MassDOT - Highway &amp; Turnpike Divisions</v>
      </c>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row>
    <row r="40" spans="1:47" s="336" customFormat="1" ht="45" hidden="1" customHeight="1">
      <c r="A40" s="334" t="str">
        <f t="shared" si="0"/>
        <v>MassDOT - Highway &amp; Turnpike Divisions5</v>
      </c>
      <c r="B40" s="392" t="s">
        <v>956</v>
      </c>
      <c r="C40" s="329" t="s">
        <v>1046</v>
      </c>
      <c r="D40" s="330">
        <v>2</v>
      </c>
      <c r="E40" s="329">
        <v>2006</v>
      </c>
      <c r="F40" s="352" t="s">
        <v>1042</v>
      </c>
      <c r="G40" s="329" t="s">
        <v>1043</v>
      </c>
      <c r="H40" s="353" t="s">
        <v>1126</v>
      </c>
      <c r="I40" s="329" t="s">
        <v>1133</v>
      </c>
      <c r="J40" s="341" t="s">
        <v>1044</v>
      </c>
      <c r="K40" s="333" t="s">
        <v>1044</v>
      </c>
      <c r="L40" s="333" t="s">
        <v>1043</v>
      </c>
      <c r="M40" s="369"/>
      <c r="N40" s="359" t="s">
        <v>180</v>
      </c>
      <c r="O40" s="335">
        <v>5</v>
      </c>
      <c r="P40" s="335" t="str">
        <f>VLOOKUP(N40,Source!F:F,1,FALSE)</f>
        <v>MassDOT - Highway &amp; Turnpike Divisions</v>
      </c>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row>
    <row r="41" spans="1:47" s="336" customFormat="1" ht="45" hidden="1" customHeight="1">
      <c r="A41" s="334" t="str">
        <f t="shared" si="0"/>
        <v>MassDOT - Highway &amp; Turnpike Divisions6</v>
      </c>
      <c r="B41" s="392" t="s">
        <v>1134</v>
      </c>
      <c r="C41" s="329" t="s">
        <v>1046</v>
      </c>
      <c r="D41" s="340" t="s">
        <v>1135</v>
      </c>
      <c r="E41" s="329">
        <v>2002</v>
      </c>
      <c r="F41" s="352" t="s">
        <v>1042</v>
      </c>
      <c r="G41" s="329" t="s">
        <v>1043</v>
      </c>
      <c r="H41" s="353" t="s">
        <v>1126</v>
      </c>
      <c r="I41" s="368" t="s">
        <v>1131</v>
      </c>
      <c r="J41" s="341" t="s">
        <v>1044</v>
      </c>
      <c r="K41" s="333" t="s">
        <v>1044</v>
      </c>
      <c r="L41" s="333" t="s">
        <v>1043</v>
      </c>
      <c r="M41" s="369"/>
      <c r="N41" s="359" t="s">
        <v>180</v>
      </c>
      <c r="O41" s="335">
        <v>6</v>
      </c>
      <c r="P41" s="335" t="str">
        <f>VLOOKUP(N41,Source!F:F,1,FALSE)</f>
        <v>MassDOT - Highway &amp; Turnpike Divisions</v>
      </c>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row>
    <row r="42" spans="1:47" s="336" customFormat="1" ht="45" hidden="1" customHeight="1">
      <c r="A42" s="334" t="str">
        <f t="shared" si="0"/>
        <v>MassDOT - Highway &amp; Turnpike Divisions7</v>
      </c>
      <c r="B42" s="392" t="s">
        <v>1136</v>
      </c>
      <c r="C42" s="329" t="s">
        <v>1046</v>
      </c>
      <c r="D42" s="330">
        <v>0.5</v>
      </c>
      <c r="E42" s="329">
        <v>2016</v>
      </c>
      <c r="F42" s="352" t="s">
        <v>1042</v>
      </c>
      <c r="G42" s="329" t="s">
        <v>1043</v>
      </c>
      <c r="H42" s="353" t="s">
        <v>1126</v>
      </c>
      <c r="I42" s="368" t="s">
        <v>1131</v>
      </c>
      <c r="J42" s="341" t="s">
        <v>1044</v>
      </c>
      <c r="K42" s="333" t="s">
        <v>1044</v>
      </c>
      <c r="L42" s="333" t="s">
        <v>1043</v>
      </c>
      <c r="M42" s="369"/>
      <c r="N42" s="359" t="s">
        <v>180</v>
      </c>
      <c r="O42" s="335">
        <v>7</v>
      </c>
      <c r="P42" s="335" t="str">
        <f>VLOOKUP(N42,Source!F:F,1,FALSE)</f>
        <v>MassDOT - Highway &amp; Turnpike Divisions</v>
      </c>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row>
    <row r="43" spans="1:47" s="336" customFormat="1" ht="45" hidden="1" customHeight="1">
      <c r="A43" s="334" t="str">
        <f t="shared" si="0"/>
        <v>MassDOT - Highway &amp; Turnpike Divisions8</v>
      </c>
      <c r="B43" s="392" t="s">
        <v>1137</v>
      </c>
      <c r="C43" s="329" t="s">
        <v>1046</v>
      </c>
      <c r="D43" s="330">
        <v>1</v>
      </c>
      <c r="E43" s="329">
        <v>2011</v>
      </c>
      <c r="F43" s="352" t="s">
        <v>1042</v>
      </c>
      <c r="G43" s="329" t="s">
        <v>1043</v>
      </c>
      <c r="H43" s="353" t="s">
        <v>1126</v>
      </c>
      <c r="I43" s="368" t="s">
        <v>1131</v>
      </c>
      <c r="J43" s="341" t="s">
        <v>1044</v>
      </c>
      <c r="K43" s="333" t="s">
        <v>1044</v>
      </c>
      <c r="L43" s="333" t="s">
        <v>1043</v>
      </c>
      <c r="M43" s="369"/>
      <c r="N43" s="359" t="s">
        <v>180</v>
      </c>
      <c r="O43" s="335">
        <v>8</v>
      </c>
      <c r="P43" s="335" t="str">
        <f>VLOOKUP(N43,Source!F:F,1,FALSE)</f>
        <v>MassDOT - Highway &amp; Turnpike Divisions</v>
      </c>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row>
    <row r="44" spans="1:47" s="336" customFormat="1" ht="45" hidden="1" customHeight="1">
      <c r="A44" s="334" t="str">
        <f t="shared" si="0"/>
        <v>MassDOT - Highway &amp; Turnpike Divisions9</v>
      </c>
      <c r="B44" s="392" t="s">
        <v>1138</v>
      </c>
      <c r="C44" s="329" t="s">
        <v>1046</v>
      </c>
      <c r="D44" s="330">
        <v>1.5</v>
      </c>
      <c r="E44" s="329">
        <v>2016</v>
      </c>
      <c r="F44" s="352" t="s">
        <v>1042</v>
      </c>
      <c r="G44" s="331"/>
      <c r="H44" s="353" t="s">
        <v>1126</v>
      </c>
      <c r="I44" s="329" t="s">
        <v>1139</v>
      </c>
      <c r="J44" s="341" t="s">
        <v>1044</v>
      </c>
      <c r="K44" s="333" t="s">
        <v>1044</v>
      </c>
      <c r="L44" s="333" t="s">
        <v>1043</v>
      </c>
      <c r="M44" s="334"/>
      <c r="N44" s="359" t="s">
        <v>180</v>
      </c>
      <c r="O44" s="335">
        <v>9</v>
      </c>
      <c r="P44" s="335" t="str">
        <f>VLOOKUP(N44,Source!F:F,1,FALSE)</f>
        <v>MassDOT - Highway &amp; Turnpike Divisions</v>
      </c>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row>
    <row r="45" spans="1:47" s="336" customFormat="1" ht="45" hidden="1" customHeight="1">
      <c r="A45" s="334" t="str">
        <f t="shared" si="0"/>
        <v>MassDOT - Highway &amp; Turnpike Divisions10</v>
      </c>
      <c r="B45" s="392" t="s">
        <v>1140</v>
      </c>
      <c r="C45" s="329" t="s">
        <v>1046</v>
      </c>
      <c r="D45" s="370" t="s">
        <v>756</v>
      </c>
      <c r="E45" s="329">
        <v>2019</v>
      </c>
      <c r="F45" s="352" t="s">
        <v>1089</v>
      </c>
      <c r="G45" s="329" t="s">
        <v>1043</v>
      </c>
      <c r="H45" s="353" t="s">
        <v>1126</v>
      </c>
      <c r="I45" s="603" t="s">
        <v>1141</v>
      </c>
      <c r="J45" s="333" t="s">
        <v>1043</v>
      </c>
      <c r="K45" s="333" t="s">
        <v>1043</v>
      </c>
      <c r="L45" s="333" t="s">
        <v>1043</v>
      </c>
      <c r="M45" s="334"/>
      <c r="N45" s="359" t="s">
        <v>180</v>
      </c>
      <c r="O45" s="335">
        <v>10</v>
      </c>
      <c r="P45" s="335" t="str">
        <f>VLOOKUP(N45,Source!F:F,1,FALSE)</f>
        <v>MassDOT - Highway &amp; Turnpike Divisions</v>
      </c>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row>
    <row r="46" spans="1:47" s="336" customFormat="1" ht="45" hidden="1" customHeight="1">
      <c r="A46" s="334" t="str">
        <f t="shared" si="0"/>
        <v>MassDOT - Highway &amp; Turnpike Divisions11</v>
      </c>
      <c r="B46" s="392" t="s">
        <v>1142</v>
      </c>
      <c r="C46" s="329" t="s">
        <v>1051</v>
      </c>
      <c r="D46" s="1339">
        <v>12</v>
      </c>
      <c r="E46" s="329">
        <v>2015</v>
      </c>
      <c r="F46" s="352" t="s">
        <v>1042</v>
      </c>
      <c r="G46" s="331"/>
      <c r="H46" s="353" t="s">
        <v>1126</v>
      </c>
      <c r="I46" s="1342" t="s">
        <v>1143</v>
      </c>
      <c r="J46" s="341" t="s">
        <v>1044</v>
      </c>
      <c r="K46" s="333" t="s">
        <v>1044</v>
      </c>
      <c r="L46" s="333" t="s">
        <v>1043</v>
      </c>
      <c r="M46" s="334"/>
      <c r="N46" s="359" t="s">
        <v>180</v>
      </c>
      <c r="O46" s="335">
        <v>11</v>
      </c>
      <c r="P46" s="335" t="str">
        <f>VLOOKUP(N46,Source!F:F,1,FALSE)</f>
        <v>MassDOT - Highway &amp; Turnpike Divisions</v>
      </c>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row>
    <row r="47" spans="1:47" s="336" customFormat="1" ht="45" hidden="1" customHeight="1">
      <c r="A47" s="334" t="str">
        <f t="shared" si="0"/>
        <v>MassDOT - Highway &amp; Turnpike Divisions12</v>
      </c>
      <c r="B47" s="394" t="s">
        <v>1144</v>
      </c>
      <c r="C47" s="329" t="s">
        <v>1051</v>
      </c>
      <c r="D47" s="1340"/>
      <c r="E47" s="329">
        <v>2015</v>
      </c>
      <c r="F47" s="352" t="s">
        <v>1042</v>
      </c>
      <c r="G47" s="331"/>
      <c r="H47" s="353" t="s">
        <v>1126</v>
      </c>
      <c r="I47" s="1343"/>
      <c r="J47" s="341" t="s">
        <v>1044</v>
      </c>
      <c r="K47" s="333" t="s">
        <v>1044</v>
      </c>
      <c r="L47" s="333" t="s">
        <v>1043</v>
      </c>
      <c r="M47" s="334"/>
      <c r="N47" s="359" t="s">
        <v>180</v>
      </c>
      <c r="O47" s="335">
        <v>12</v>
      </c>
      <c r="P47" s="335" t="str">
        <f>VLOOKUP(N47,Source!F:F,1,FALSE)</f>
        <v>MassDOT - Highway &amp; Turnpike Divisions</v>
      </c>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row>
    <row r="48" spans="1:47" s="336" customFormat="1" ht="45" hidden="1" customHeight="1">
      <c r="A48" s="334" t="str">
        <f t="shared" si="0"/>
        <v>MassDOT - Highway &amp; Turnpike Divisions13</v>
      </c>
      <c r="B48" s="394" t="s">
        <v>1145</v>
      </c>
      <c r="C48" s="329" t="s">
        <v>1051</v>
      </c>
      <c r="D48" s="1340"/>
      <c r="E48" s="329">
        <v>2015</v>
      </c>
      <c r="F48" s="352" t="s">
        <v>1042</v>
      </c>
      <c r="G48" s="331"/>
      <c r="H48" s="353" t="s">
        <v>1126</v>
      </c>
      <c r="I48" s="1343"/>
      <c r="J48" s="341" t="s">
        <v>1044</v>
      </c>
      <c r="K48" s="333" t="s">
        <v>1044</v>
      </c>
      <c r="L48" s="333" t="s">
        <v>1043</v>
      </c>
      <c r="M48" s="334"/>
      <c r="N48" s="359" t="s">
        <v>180</v>
      </c>
      <c r="O48" s="335">
        <v>13</v>
      </c>
      <c r="P48" s="335" t="str">
        <f>VLOOKUP(N48,Source!F:F,1,FALSE)</f>
        <v>MassDOT - Highway &amp; Turnpike Divisions</v>
      </c>
      <c r="Q48" s="335"/>
      <c r="R48" s="335"/>
      <c r="S48" s="335"/>
      <c r="T48" s="335"/>
      <c r="U48" s="335"/>
      <c r="V48" s="335"/>
      <c r="W48" s="335"/>
      <c r="X48" s="335"/>
      <c r="Y48" s="335"/>
      <c r="Z48" s="335"/>
      <c r="AA48" s="335"/>
      <c r="AB48" s="335"/>
      <c r="AC48" s="335"/>
      <c r="AD48" s="335"/>
      <c r="AE48" s="335"/>
      <c r="AF48" s="335"/>
      <c r="AG48" s="335"/>
      <c r="AH48" s="335"/>
      <c r="AI48" s="335"/>
      <c r="AJ48" s="335"/>
      <c r="AK48" s="335"/>
      <c r="AL48" s="335"/>
      <c r="AM48" s="335"/>
      <c r="AN48" s="335"/>
      <c r="AO48" s="335"/>
      <c r="AP48" s="335"/>
      <c r="AQ48" s="335"/>
      <c r="AR48" s="335"/>
      <c r="AS48" s="335"/>
      <c r="AT48" s="335"/>
      <c r="AU48" s="335"/>
    </row>
    <row r="49" spans="1:47" s="336" customFormat="1" ht="45" hidden="1" customHeight="1">
      <c r="A49" s="334" t="str">
        <f t="shared" si="0"/>
        <v>MassDOT - Highway &amp; Turnpike Divisions14</v>
      </c>
      <c r="B49" s="394" t="s">
        <v>1146</v>
      </c>
      <c r="C49" s="329" t="s">
        <v>1051</v>
      </c>
      <c r="D49" s="1341"/>
      <c r="E49" s="329">
        <v>2011</v>
      </c>
      <c r="F49" s="352" t="s">
        <v>1042</v>
      </c>
      <c r="G49" s="331"/>
      <c r="H49" s="353" t="s">
        <v>1126</v>
      </c>
      <c r="I49" s="1344"/>
      <c r="J49" s="341" t="s">
        <v>1044</v>
      </c>
      <c r="K49" s="333" t="s">
        <v>1044</v>
      </c>
      <c r="L49" s="333" t="s">
        <v>1043</v>
      </c>
      <c r="M49" s="334"/>
      <c r="N49" s="359" t="s">
        <v>180</v>
      </c>
      <c r="O49" s="335">
        <v>14</v>
      </c>
      <c r="P49" s="335" t="str">
        <f>VLOOKUP(N49,Source!F:F,1,FALSE)</f>
        <v>MassDOT - Highway &amp; Turnpike Divisions</v>
      </c>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5"/>
      <c r="AU49" s="335"/>
    </row>
    <row r="50" spans="1:47" s="336" customFormat="1" ht="45" hidden="1" customHeight="1">
      <c r="A50" s="334" t="str">
        <f t="shared" si="0"/>
        <v>MassDOT - Highway &amp; Turnpike Divisions15</v>
      </c>
      <c r="B50" s="392" t="s">
        <v>1147</v>
      </c>
      <c r="C50" s="329" t="s">
        <v>1051</v>
      </c>
      <c r="D50" s="1339">
        <v>3</v>
      </c>
      <c r="E50" s="329">
        <v>2008</v>
      </c>
      <c r="F50" s="352" t="s">
        <v>1042</v>
      </c>
      <c r="G50" s="331"/>
      <c r="H50" s="353" t="s">
        <v>1126</v>
      </c>
      <c r="I50" s="1342" t="s">
        <v>1148</v>
      </c>
      <c r="J50" s="341" t="s">
        <v>1044</v>
      </c>
      <c r="K50" s="333" t="s">
        <v>1044</v>
      </c>
      <c r="L50" s="333" t="s">
        <v>1043</v>
      </c>
      <c r="M50" s="334"/>
      <c r="N50" s="359" t="s">
        <v>180</v>
      </c>
      <c r="O50" s="335">
        <v>15</v>
      </c>
      <c r="P50" s="335" t="str">
        <f>VLOOKUP(N50,Source!F:F,1,FALSE)</f>
        <v>MassDOT - Highway &amp; Turnpike Divisions</v>
      </c>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row>
    <row r="51" spans="1:47" s="336" customFormat="1" ht="45" hidden="1" customHeight="1">
      <c r="A51" s="334" t="str">
        <f t="shared" si="0"/>
        <v>MassDOT - Highway &amp; Turnpike Divisions16</v>
      </c>
      <c r="B51" s="392" t="s">
        <v>1149</v>
      </c>
      <c r="C51" s="329" t="s">
        <v>1051</v>
      </c>
      <c r="D51" s="1340"/>
      <c r="E51" s="329">
        <v>2015</v>
      </c>
      <c r="F51" s="352" t="s">
        <v>1042</v>
      </c>
      <c r="G51" s="331"/>
      <c r="H51" s="353" t="s">
        <v>1126</v>
      </c>
      <c r="I51" s="1343"/>
      <c r="J51" s="341" t="s">
        <v>1044</v>
      </c>
      <c r="K51" s="333" t="s">
        <v>1044</v>
      </c>
      <c r="L51" s="333" t="s">
        <v>1043</v>
      </c>
      <c r="M51" s="334"/>
      <c r="N51" s="359" t="s">
        <v>180</v>
      </c>
      <c r="O51" s="335">
        <v>16</v>
      </c>
      <c r="P51" s="335" t="str">
        <f>VLOOKUP(N51,Source!F:F,1,FALSE)</f>
        <v>MassDOT - Highway &amp; Turnpike Divisions</v>
      </c>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row>
    <row r="52" spans="1:47" s="336" customFormat="1" ht="45" hidden="1" customHeight="1">
      <c r="A52" s="334" t="str">
        <f t="shared" si="0"/>
        <v>MassDOT - Highway &amp; Turnpike Divisions17</v>
      </c>
      <c r="B52" s="392" t="s">
        <v>1150</v>
      </c>
      <c r="C52" s="329" t="s">
        <v>1051</v>
      </c>
      <c r="D52" s="1341"/>
      <c r="E52" s="329">
        <v>2008</v>
      </c>
      <c r="F52" s="352" t="s">
        <v>1042</v>
      </c>
      <c r="G52" s="331"/>
      <c r="H52" s="353" t="s">
        <v>1126</v>
      </c>
      <c r="I52" s="1344"/>
      <c r="J52" s="341" t="s">
        <v>1044</v>
      </c>
      <c r="K52" s="333" t="s">
        <v>1044</v>
      </c>
      <c r="L52" s="333" t="s">
        <v>1043</v>
      </c>
      <c r="M52" s="334"/>
      <c r="N52" s="359" t="s">
        <v>180</v>
      </c>
      <c r="O52" s="335">
        <v>17</v>
      </c>
      <c r="P52" s="335" t="str">
        <f>VLOOKUP(N52,Source!F:F,1,FALSE)</f>
        <v>MassDOT - Highway &amp; Turnpike Divisions</v>
      </c>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5"/>
    </row>
    <row r="53" spans="1:47" s="336" customFormat="1" ht="45" hidden="1" customHeight="1">
      <c r="A53" s="334" t="str">
        <f t="shared" si="0"/>
        <v>MassDOT - Highway &amp; Turnpike Divisions18</v>
      </c>
      <c r="B53" s="392" t="s">
        <v>1151</v>
      </c>
      <c r="C53" s="329" t="s">
        <v>1051</v>
      </c>
      <c r="D53" s="330">
        <v>5</v>
      </c>
      <c r="E53" s="329">
        <v>2015</v>
      </c>
      <c r="F53" s="352" t="s">
        <v>1042</v>
      </c>
      <c r="G53" s="329" t="s">
        <v>1044</v>
      </c>
      <c r="H53" s="353" t="s">
        <v>1126</v>
      </c>
      <c r="I53" s="329" t="s">
        <v>1152</v>
      </c>
      <c r="J53" s="341" t="s">
        <v>1044</v>
      </c>
      <c r="K53" s="333" t="s">
        <v>1044</v>
      </c>
      <c r="L53" s="333" t="s">
        <v>1043</v>
      </c>
      <c r="M53" s="334"/>
      <c r="N53" s="359" t="s">
        <v>180</v>
      </c>
      <c r="O53" s="335">
        <v>18</v>
      </c>
      <c r="P53" s="335" t="str">
        <f>VLOOKUP(N53,Source!F:F,1,FALSE)</f>
        <v>MassDOT - Highway &amp; Turnpike Divisions</v>
      </c>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row>
    <row r="54" spans="1:47" s="336" customFormat="1" ht="45" hidden="1" customHeight="1">
      <c r="A54" s="334" t="str">
        <f t="shared" si="0"/>
        <v>MassDOT - Highway &amp; Turnpike Divisions19</v>
      </c>
      <c r="B54" s="392" t="s">
        <v>1153</v>
      </c>
      <c r="C54" s="329" t="s">
        <v>1051</v>
      </c>
      <c r="D54" s="340" t="s">
        <v>51</v>
      </c>
      <c r="E54" s="329">
        <v>2011</v>
      </c>
      <c r="F54" s="352" t="s">
        <v>1042</v>
      </c>
      <c r="G54" s="331"/>
      <c r="H54" s="353" t="s">
        <v>1126</v>
      </c>
      <c r="I54" s="329" t="s">
        <v>1154</v>
      </c>
      <c r="J54" s="341" t="s">
        <v>1044</v>
      </c>
      <c r="K54" s="333" t="s">
        <v>1044</v>
      </c>
      <c r="L54" s="333" t="s">
        <v>1043</v>
      </c>
      <c r="M54" s="334"/>
      <c r="N54" s="359" t="s">
        <v>180</v>
      </c>
      <c r="O54" s="335">
        <v>19</v>
      </c>
      <c r="P54" s="335" t="str">
        <f>VLOOKUP(N54,Source!F:F,1,FALSE)</f>
        <v>MassDOT - Highway &amp; Turnpike Divisions</v>
      </c>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row>
    <row r="55" spans="1:47" s="336" customFormat="1" ht="45" hidden="1" customHeight="1">
      <c r="A55" s="334" t="s">
        <v>601</v>
      </c>
      <c r="B55" s="392" t="s">
        <v>1155</v>
      </c>
      <c r="C55" s="329" t="s">
        <v>1057</v>
      </c>
      <c r="D55" s="340" t="s">
        <v>756</v>
      </c>
      <c r="E55" s="329" t="s">
        <v>756</v>
      </c>
      <c r="F55" s="352" t="s">
        <v>1156</v>
      </c>
      <c r="G55" s="331"/>
      <c r="H55" s="353"/>
      <c r="I55" s="329" t="s">
        <v>1157</v>
      </c>
      <c r="J55" s="341"/>
      <c r="K55" s="333"/>
      <c r="L55" s="333"/>
      <c r="M55" s="334"/>
      <c r="N55" s="359" t="s">
        <v>151</v>
      </c>
      <c r="O55" s="335">
        <v>1</v>
      </c>
      <c r="P55" s="335" t="str">
        <f>VLOOKUP(N55,Source!F:F,1,FALSE)</f>
        <v>Mass. Maritime Academy</v>
      </c>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row>
    <row r="56" spans="1:47" s="336" customFormat="1" ht="45" hidden="1" customHeight="1">
      <c r="A56" s="334" t="str">
        <f t="shared" si="0"/>
        <v>Mass. Water Resources Authority1</v>
      </c>
      <c r="B56" s="349" t="s">
        <v>1158</v>
      </c>
      <c r="C56" s="329" t="s">
        <v>1046</v>
      </c>
      <c r="D56" s="340" t="s">
        <v>51</v>
      </c>
      <c r="E56" s="331" t="s">
        <v>51</v>
      </c>
      <c r="F56" s="329" t="s">
        <v>1042</v>
      </c>
      <c r="G56" s="331"/>
      <c r="H56" s="339" t="s">
        <v>164</v>
      </c>
      <c r="I56" s="345" t="s">
        <v>1159</v>
      </c>
      <c r="J56" s="346" t="s">
        <v>1043</v>
      </c>
      <c r="K56" s="333" t="s">
        <v>1043</v>
      </c>
      <c r="L56" s="333" t="s">
        <v>1043</v>
      </c>
      <c r="M56" s="334"/>
      <c r="N56" s="359" t="s">
        <v>159</v>
      </c>
      <c r="O56" s="335">
        <v>1</v>
      </c>
      <c r="P56" s="335" t="str">
        <f>VLOOKUP(N56,Source!F:F,1,FALSE)</f>
        <v>Mass. Water Resources Authority</v>
      </c>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row>
    <row r="57" spans="1:47" s="336" customFormat="1" ht="45" hidden="1" customHeight="1">
      <c r="A57" s="334" t="str">
        <f t="shared" si="0"/>
        <v>Mass. Water Resources Authority2</v>
      </c>
      <c r="B57" s="351" t="s">
        <v>756</v>
      </c>
      <c r="C57" s="329" t="s">
        <v>1051</v>
      </c>
      <c r="D57" s="340" t="s">
        <v>51</v>
      </c>
      <c r="E57" s="331" t="s">
        <v>51</v>
      </c>
      <c r="F57" s="329" t="s">
        <v>1042</v>
      </c>
      <c r="G57" s="331"/>
      <c r="H57" s="339" t="s">
        <v>164</v>
      </c>
      <c r="I57" s="345" t="s">
        <v>1159</v>
      </c>
      <c r="J57" s="346" t="s">
        <v>1043</v>
      </c>
      <c r="K57" s="333" t="s">
        <v>1043</v>
      </c>
      <c r="L57" s="333" t="s">
        <v>1043</v>
      </c>
      <c r="M57" s="334"/>
      <c r="N57" s="359" t="s">
        <v>159</v>
      </c>
      <c r="O57" s="335">
        <v>2</v>
      </c>
      <c r="P57" s="335" t="str">
        <f>VLOOKUP(N57,Source!F:F,1,FALSE)</f>
        <v>Mass. Water Resources Authority</v>
      </c>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row>
    <row r="58" spans="1:47" s="336" customFormat="1" ht="45" hidden="1" customHeight="1">
      <c r="A58" s="334" t="str">
        <f t="shared" si="0"/>
        <v>North Shore Comm. College1</v>
      </c>
      <c r="B58" s="392" t="s">
        <v>1160</v>
      </c>
      <c r="C58" s="329" t="s">
        <v>1041</v>
      </c>
      <c r="D58" s="330">
        <v>0.03</v>
      </c>
      <c r="E58" s="329">
        <v>2011</v>
      </c>
      <c r="F58" s="352" t="s">
        <v>1042</v>
      </c>
      <c r="G58" s="331"/>
      <c r="H58" s="353" t="s">
        <v>196</v>
      </c>
      <c r="I58" s="352"/>
      <c r="J58" s="371" t="s">
        <v>1044</v>
      </c>
      <c r="K58" s="346" t="s">
        <v>1044</v>
      </c>
      <c r="L58" s="333" t="s">
        <v>1043</v>
      </c>
      <c r="M58" s="334"/>
      <c r="N58" s="359" t="s">
        <v>195</v>
      </c>
      <c r="O58" s="335">
        <v>1</v>
      </c>
      <c r="P58" s="335" t="str">
        <f>VLOOKUP(N58,Source!F:F,1,FALSE)</f>
        <v>North Shore Comm. College</v>
      </c>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row>
    <row r="59" spans="1:47" s="336" customFormat="1" ht="45" hidden="1" customHeight="1">
      <c r="A59" s="334" t="str">
        <f t="shared" si="0"/>
        <v>North Shore Comm. College2</v>
      </c>
      <c r="B59" s="392" t="s">
        <v>1161</v>
      </c>
      <c r="C59" s="329" t="s">
        <v>1162</v>
      </c>
      <c r="D59" s="330">
        <v>1</v>
      </c>
      <c r="E59" s="329">
        <v>2012</v>
      </c>
      <c r="F59" s="352" t="s">
        <v>1042</v>
      </c>
      <c r="G59" s="331"/>
      <c r="H59" s="353"/>
      <c r="I59" s="352"/>
      <c r="J59" s="371"/>
      <c r="K59" s="346"/>
      <c r="L59" s="333"/>
      <c r="M59" s="334"/>
      <c r="N59" s="359" t="s">
        <v>195</v>
      </c>
      <c r="O59" s="335">
        <v>2</v>
      </c>
      <c r="P59" s="335" t="str">
        <f>VLOOKUP(N59,Source!F:F,1,FALSE)</f>
        <v>North Shore Comm. College</v>
      </c>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row>
    <row r="60" spans="1:47" s="336" customFormat="1" ht="45" hidden="1" customHeight="1">
      <c r="A60" s="334" t="str">
        <f t="shared" si="0"/>
        <v>Quinsigamond Comm. College1</v>
      </c>
      <c r="B60" s="392" t="s">
        <v>1163</v>
      </c>
      <c r="C60" s="352" t="s">
        <v>1046</v>
      </c>
      <c r="D60" s="372">
        <v>0.67</v>
      </c>
      <c r="E60" s="352">
        <v>2019</v>
      </c>
      <c r="F60" s="352" t="s">
        <v>1047</v>
      </c>
      <c r="G60" s="352" t="s">
        <v>1043</v>
      </c>
      <c r="H60" s="339" t="s">
        <v>1164</v>
      </c>
      <c r="I60" s="352" t="s">
        <v>1165</v>
      </c>
      <c r="J60" s="342" t="s">
        <v>1043</v>
      </c>
      <c r="K60" s="346" t="s">
        <v>1043</v>
      </c>
      <c r="L60" s="333" t="s">
        <v>1043</v>
      </c>
      <c r="M60" s="334"/>
      <c r="N60" s="359" t="s">
        <v>204</v>
      </c>
      <c r="O60" s="335">
        <v>1</v>
      </c>
      <c r="P60" s="335" t="str">
        <f>VLOOKUP(N60,Source!F:F,1,FALSE)</f>
        <v>Quinsigamond Comm. College</v>
      </c>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row>
    <row r="61" spans="1:47" s="336" customFormat="1" ht="45" hidden="1" customHeight="1">
      <c r="A61" s="334" t="str">
        <f t="shared" si="0"/>
        <v>Salem State University1</v>
      </c>
      <c r="B61" s="392" t="s">
        <v>1166</v>
      </c>
      <c r="C61" s="329" t="s">
        <v>1041</v>
      </c>
      <c r="D61" s="360">
        <v>0.13</v>
      </c>
      <c r="E61" s="329">
        <v>2010</v>
      </c>
      <c r="F61" s="352" t="s">
        <v>1042</v>
      </c>
      <c r="G61" s="352" t="s">
        <v>1043</v>
      </c>
      <c r="H61" s="353" t="s">
        <v>212</v>
      </c>
      <c r="I61" s="352" t="s">
        <v>1167</v>
      </c>
      <c r="J61" s="341" t="s">
        <v>1044</v>
      </c>
      <c r="K61" s="346" t="s">
        <v>1044</v>
      </c>
      <c r="L61" s="333" t="s">
        <v>1043</v>
      </c>
      <c r="M61" s="334"/>
      <c r="N61" s="359" t="s">
        <v>211</v>
      </c>
      <c r="O61" s="335">
        <v>1</v>
      </c>
      <c r="P61" s="335" t="str">
        <f>VLOOKUP(N61,Source!F:F,1,FALSE)</f>
        <v>Salem State University</v>
      </c>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row>
    <row r="62" spans="1:47" s="336" customFormat="1" ht="92.25" hidden="1" customHeight="1">
      <c r="A62" s="334" t="str">
        <f t="shared" si="0"/>
        <v>UMass Amherst1</v>
      </c>
      <c r="B62" s="349" t="s">
        <v>1168</v>
      </c>
      <c r="C62" s="329" t="s">
        <v>1057</v>
      </c>
      <c r="D62" s="330">
        <v>0.18</v>
      </c>
      <c r="E62" s="329">
        <v>2016</v>
      </c>
      <c r="F62" s="329" t="s">
        <v>1042</v>
      </c>
      <c r="G62" s="329" t="s">
        <v>1044</v>
      </c>
      <c r="H62" s="339" t="s">
        <v>223</v>
      </c>
      <c r="I62" s="329"/>
      <c r="J62" s="341" t="s">
        <v>1044</v>
      </c>
      <c r="K62" s="346" t="s">
        <v>1044</v>
      </c>
      <c r="L62" s="333" t="s">
        <v>1043</v>
      </c>
      <c r="M62" s="334"/>
      <c r="N62" s="328" t="s">
        <v>222</v>
      </c>
      <c r="O62" s="335">
        <v>1</v>
      </c>
      <c r="P62" s="335" t="str">
        <f>VLOOKUP(N62,Source!F:F,1,FALSE)</f>
        <v>UMass Amherst</v>
      </c>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row>
    <row r="63" spans="1:47" s="336" customFormat="1" ht="101.5" hidden="1">
      <c r="A63" s="334" t="str">
        <f t="shared" si="0"/>
        <v>UMass Amherst2</v>
      </c>
      <c r="B63" s="349" t="s">
        <v>1169</v>
      </c>
      <c r="C63" s="329" t="s">
        <v>1041</v>
      </c>
      <c r="D63" s="330">
        <v>0.34</v>
      </c>
      <c r="E63" s="329">
        <v>2014</v>
      </c>
      <c r="F63" s="329" t="s">
        <v>1042</v>
      </c>
      <c r="G63" s="331"/>
      <c r="H63" s="339" t="s">
        <v>223</v>
      </c>
      <c r="I63" s="329" t="s">
        <v>1170</v>
      </c>
      <c r="J63" s="373" t="s">
        <v>1044</v>
      </c>
      <c r="K63" s="346" t="s">
        <v>1044</v>
      </c>
      <c r="L63" s="333" t="s">
        <v>1043</v>
      </c>
      <c r="M63" s="334"/>
      <c r="N63" s="328" t="s">
        <v>222</v>
      </c>
      <c r="O63" s="335">
        <v>2</v>
      </c>
      <c r="P63" s="335" t="str">
        <f>VLOOKUP(N63,Source!F:F,1,FALSE)</f>
        <v>UMass Amherst</v>
      </c>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row>
    <row r="64" spans="1:47" s="336" customFormat="1" ht="72.5" hidden="1">
      <c r="A64" s="334" t="str">
        <f t="shared" si="0"/>
        <v>UMass Amherst3</v>
      </c>
      <c r="B64" s="349" t="s">
        <v>1171</v>
      </c>
      <c r="C64" s="329" t="s">
        <v>1041</v>
      </c>
      <c r="D64" s="330" t="s">
        <v>51</v>
      </c>
      <c r="E64" s="329">
        <v>2017</v>
      </c>
      <c r="F64" s="329" t="s">
        <v>1042</v>
      </c>
      <c r="G64" s="331"/>
      <c r="H64" s="339" t="s">
        <v>223</v>
      </c>
      <c r="I64" s="329" t="s">
        <v>1172</v>
      </c>
      <c r="J64" s="341" t="s">
        <v>1173</v>
      </c>
      <c r="K64" s="346" t="s">
        <v>1044</v>
      </c>
      <c r="L64" s="333" t="s">
        <v>1043</v>
      </c>
      <c r="M64" s="334"/>
      <c r="N64" s="328" t="s">
        <v>222</v>
      </c>
      <c r="O64" s="335">
        <v>3</v>
      </c>
      <c r="P64" s="335" t="str">
        <f>VLOOKUP(N64,Source!F:F,1,FALSE)</f>
        <v>UMass Amherst</v>
      </c>
      <c r="Q64" s="335"/>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row>
    <row r="65" spans="1:47" s="336" customFormat="1" ht="43.5" hidden="1">
      <c r="A65" s="334" t="str">
        <f t="shared" si="0"/>
        <v>UMass Amherst4</v>
      </c>
      <c r="B65" s="349" t="s">
        <v>1174</v>
      </c>
      <c r="C65" s="329" t="s">
        <v>1051</v>
      </c>
      <c r="D65" s="330">
        <v>0.8</v>
      </c>
      <c r="E65" s="329">
        <v>2019</v>
      </c>
      <c r="F65" s="329" t="s">
        <v>1042</v>
      </c>
      <c r="G65" s="329" t="s">
        <v>1043</v>
      </c>
      <c r="H65" s="339" t="s">
        <v>1175</v>
      </c>
      <c r="I65" s="329" t="s">
        <v>1176</v>
      </c>
      <c r="J65" s="341" t="s">
        <v>1044</v>
      </c>
      <c r="K65" s="346" t="s">
        <v>1044</v>
      </c>
      <c r="L65" s="333" t="s">
        <v>1043</v>
      </c>
      <c r="M65" s="334"/>
      <c r="N65" s="328" t="s">
        <v>222</v>
      </c>
      <c r="O65" s="335">
        <v>4</v>
      </c>
      <c r="P65" s="335" t="str">
        <f>VLOOKUP(N65,Source!F:F,1,FALSE)</f>
        <v>UMass Amherst</v>
      </c>
      <c r="Q65" s="335"/>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row>
    <row r="66" spans="1:47" s="336" customFormat="1" ht="50.15" hidden="1" customHeight="1">
      <c r="A66" s="334" t="str">
        <f t="shared" si="0"/>
        <v>UMass Amherst5</v>
      </c>
      <c r="B66" s="349" t="s">
        <v>1177</v>
      </c>
      <c r="C66" s="329" t="s">
        <v>1051</v>
      </c>
      <c r="D66" s="330">
        <v>4</v>
      </c>
      <c r="E66" s="329">
        <v>2019</v>
      </c>
      <c r="F66" s="329" t="s">
        <v>1042</v>
      </c>
      <c r="G66" s="329" t="s">
        <v>1044</v>
      </c>
      <c r="H66" s="339" t="s">
        <v>1175</v>
      </c>
      <c r="I66" s="329" t="s">
        <v>1178</v>
      </c>
      <c r="J66" s="341" t="s">
        <v>1044</v>
      </c>
      <c r="K66" s="346" t="s">
        <v>1044</v>
      </c>
      <c r="L66" s="333" t="s">
        <v>1043</v>
      </c>
      <c r="M66" s="334"/>
      <c r="N66" s="328" t="s">
        <v>222</v>
      </c>
      <c r="O66" s="335">
        <v>5</v>
      </c>
      <c r="P66" s="335" t="str">
        <f>VLOOKUP(N66,Source!F:F,1,FALSE)</f>
        <v>UMass Amherst</v>
      </c>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335"/>
    </row>
    <row r="67" spans="1:47" s="336" customFormat="1" ht="48" hidden="1" customHeight="1">
      <c r="A67" s="334" t="str">
        <f t="shared" si="0"/>
        <v>UMass Amherst6</v>
      </c>
      <c r="B67" s="349" t="s">
        <v>1179</v>
      </c>
      <c r="C67" s="329" t="s">
        <v>1051</v>
      </c>
      <c r="D67" s="330">
        <v>1.6E-2</v>
      </c>
      <c r="E67" s="329">
        <v>2019</v>
      </c>
      <c r="F67" s="329" t="s">
        <v>1042</v>
      </c>
      <c r="G67" s="329" t="s">
        <v>1043</v>
      </c>
      <c r="H67" s="339" t="s">
        <v>1175</v>
      </c>
      <c r="I67" s="329" t="s">
        <v>1180</v>
      </c>
      <c r="J67" s="341" t="s">
        <v>1044</v>
      </c>
      <c r="K67" s="346" t="s">
        <v>1044</v>
      </c>
      <c r="L67" s="333" t="s">
        <v>1043</v>
      </c>
      <c r="M67" s="334"/>
      <c r="N67" s="328" t="s">
        <v>222</v>
      </c>
      <c r="O67" s="335">
        <v>6</v>
      </c>
      <c r="P67" s="335" t="str">
        <f>VLOOKUP(N67,Source!F:F,1,FALSE)</f>
        <v>UMass Amherst</v>
      </c>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335"/>
    </row>
    <row r="68" spans="1:47" s="336" customFormat="1" ht="48" hidden="1" customHeight="1">
      <c r="A68" s="334" t="str">
        <f t="shared" si="0"/>
        <v>UMass Amherst7</v>
      </c>
      <c r="B68" s="349" t="s">
        <v>1181</v>
      </c>
      <c r="C68" s="329" t="s">
        <v>1051</v>
      </c>
      <c r="D68" s="330">
        <v>0.26</v>
      </c>
      <c r="E68" s="329">
        <v>2019</v>
      </c>
      <c r="F68" s="329" t="s">
        <v>1042</v>
      </c>
      <c r="G68" s="329" t="s">
        <v>1043</v>
      </c>
      <c r="H68" s="339" t="s">
        <v>1175</v>
      </c>
      <c r="I68" s="329" t="s">
        <v>1180</v>
      </c>
      <c r="J68" s="341" t="s">
        <v>1044</v>
      </c>
      <c r="K68" s="346" t="s">
        <v>1044</v>
      </c>
      <c r="L68" s="333" t="s">
        <v>1043</v>
      </c>
      <c r="M68" s="334"/>
      <c r="N68" s="328" t="s">
        <v>222</v>
      </c>
      <c r="O68" s="335">
        <v>7</v>
      </c>
      <c r="P68" s="335" t="str">
        <f>VLOOKUP(N68,Source!F:F,1,FALSE)</f>
        <v>UMass Amherst</v>
      </c>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row>
    <row r="69" spans="1:47" s="336" customFormat="1" ht="48" hidden="1" customHeight="1">
      <c r="A69" s="334" t="str">
        <f t="shared" si="0"/>
        <v>UMass Amherst8</v>
      </c>
      <c r="B69" s="349" t="s">
        <v>1182</v>
      </c>
      <c r="C69" s="329" t="s">
        <v>1183</v>
      </c>
      <c r="D69" s="330" t="s">
        <v>756</v>
      </c>
      <c r="E69" s="329" t="s">
        <v>1183</v>
      </c>
      <c r="F69" s="329" t="s">
        <v>1042</v>
      </c>
      <c r="G69" s="329"/>
      <c r="H69" s="339"/>
      <c r="I69" s="329"/>
      <c r="J69" s="341"/>
      <c r="K69" s="346" t="s">
        <v>1043</v>
      </c>
      <c r="L69" s="346" t="s">
        <v>806</v>
      </c>
      <c r="M69" s="334"/>
      <c r="N69" s="328" t="s">
        <v>222</v>
      </c>
      <c r="O69" s="335">
        <v>8</v>
      </c>
      <c r="P69" s="335" t="s">
        <v>222</v>
      </c>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row>
    <row r="70" spans="1:47" s="336" customFormat="1" ht="48" hidden="1" customHeight="1">
      <c r="A70" s="334" t="str">
        <f t="shared" si="0"/>
        <v>UMass Amherst9</v>
      </c>
      <c r="B70" s="349" t="s">
        <v>1184</v>
      </c>
      <c r="C70" s="329" t="s">
        <v>1183</v>
      </c>
      <c r="D70" s="330">
        <v>75</v>
      </c>
      <c r="E70" s="329">
        <v>2017</v>
      </c>
      <c r="F70" s="329" t="s">
        <v>1042</v>
      </c>
      <c r="G70" s="329"/>
      <c r="H70" s="339"/>
      <c r="I70" s="329" t="s">
        <v>1185</v>
      </c>
      <c r="J70" s="341"/>
      <c r="K70" s="346" t="s">
        <v>1043</v>
      </c>
      <c r="L70" s="333" t="s">
        <v>806</v>
      </c>
      <c r="M70" s="334"/>
      <c r="N70" s="328" t="s">
        <v>222</v>
      </c>
      <c r="O70" s="335">
        <v>9</v>
      </c>
      <c r="P70" s="335" t="s">
        <v>222</v>
      </c>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row>
    <row r="71" spans="1:47" s="336" customFormat="1" ht="48" hidden="1" customHeight="1">
      <c r="A71" s="334" t="str">
        <f t="shared" si="0"/>
        <v>UMass Amherst10</v>
      </c>
      <c r="B71" s="349" t="s">
        <v>1186</v>
      </c>
      <c r="C71" s="329" t="s">
        <v>1057</v>
      </c>
      <c r="D71" s="330" t="s">
        <v>756</v>
      </c>
      <c r="E71" s="329">
        <v>2018</v>
      </c>
      <c r="F71" s="329" t="s">
        <v>1042</v>
      </c>
      <c r="G71" s="329"/>
      <c r="H71" s="339"/>
      <c r="I71" s="329" t="s">
        <v>1187</v>
      </c>
      <c r="J71" s="341"/>
      <c r="K71" s="346" t="s">
        <v>1043</v>
      </c>
      <c r="L71" s="333" t="s">
        <v>806</v>
      </c>
      <c r="M71" s="334"/>
      <c r="N71" s="328" t="s">
        <v>222</v>
      </c>
      <c r="O71" s="335">
        <v>10</v>
      </c>
      <c r="P71" s="335" t="s">
        <v>222</v>
      </c>
      <c r="Q71" s="335"/>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row>
    <row r="72" spans="1:47" s="336" customFormat="1" ht="48" hidden="1" customHeight="1">
      <c r="A72" s="334" t="str">
        <f t="shared" si="0"/>
        <v>UMass Boston1</v>
      </c>
      <c r="B72" s="349" t="s">
        <v>1188</v>
      </c>
      <c r="C72" s="329" t="s">
        <v>1046</v>
      </c>
      <c r="D72" s="331" t="s">
        <v>51</v>
      </c>
      <c r="E72" s="329">
        <v>2015</v>
      </c>
      <c r="F72" s="329" t="s">
        <v>1042</v>
      </c>
      <c r="G72" s="331"/>
      <c r="H72" s="339" t="s">
        <v>228</v>
      </c>
      <c r="I72" s="329"/>
      <c r="J72" s="342" t="s">
        <v>1043</v>
      </c>
      <c r="K72" s="346" t="s">
        <v>1043</v>
      </c>
      <c r="L72" s="333" t="s">
        <v>1043</v>
      </c>
      <c r="M72" s="334"/>
      <c r="N72" s="328" t="s">
        <v>227</v>
      </c>
      <c r="O72" s="335">
        <v>1</v>
      </c>
      <c r="P72" s="335" t="str">
        <f>VLOOKUP(N72,Source!F:F,1,FALSE)</f>
        <v>UMass Boston</v>
      </c>
      <c r="Q72" s="335"/>
      <c r="R72" s="335"/>
      <c r="S72" s="335"/>
      <c r="T72" s="335"/>
      <c r="U72" s="335"/>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5"/>
    </row>
    <row r="73" spans="1:47" s="336" customFormat="1" ht="48" hidden="1" customHeight="1">
      <c r="A73" s="334" t="str">
        <f t="shared" si="0"/>
        <v>UMass Boston2</v>
      </c>
      <c r="B73" s="349" t="s">
        <v>1189</v>
      </c>
      <c r="C73" s="329" t="s">
        <v>1046</v>
      </c>
      <c r="D73" s="331" t="s">
        <v>756</v>
      </c>
      <c r="E73" s="329" t="s">
        <v>756</v>
      </c>
      <c r="F73" s="329" t="s">
        <v>1042</v>
      </c>
      <c r="G73" s="331"/>
      <c r="H73" s="339"/>
      <c r="I73" s="329"/>
      <c r="J73" s="342"/>
      <c r="K73" s="346"/>
      <c r="L73" s="333"/>
      <c r="M73" s="334"/>
      <c r="N73" s="328" t="s">
        <v>227</v>
      </c>
      <c r="O73" s="335">
        <v>2</v>
      </c>
      <c r="P73" s="335" t="str">
        <f>VLOOKUP(N73,Source!F:F,1,FALSE)</f>
        <v>UMass Boston</v>
      </c>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5"/>
      <c r="AN73" s="335"/>
      <c r="AO73" s="335"/>
      <c r="AP73" s="335"/>
      <c r="AQ73" s="335"/>
      <c r="AR73" s="335"/>
      <c r="AS73" s="335"/>
      <c r="AT73" s="335"/>
      <c r="AU73" s="335"/>
    </row>
    <row r="74" spans="1:47" s="336" customFormat="1" ht="48" hidden="1" customHeight="1">
      <c r="A74" s="334" t="str">
        <f t="shared" si="0"/>
        <v>UMass Boston3</v>
      </c>
      <c r="B74" s="349" t="s">
        <v>1190</v>
      </c>
      <c r="C74" s="329" t="s">
        <v>1046</v>
      </c>
      <c r="D74" s="331" t="s">
        <v>756</v>
      </c>
      <c r="E74" s="329" t="s">
        <v>756</v>
      </c>
      <c r="F74" s="329" t="s">
        <v>1042</v>
      </c>
      <c r="G74" s="331"/>
      <c r="H74" s="339"/>
      <c r="I74" s="329"/>
      <c r="J74" s="342"/>
      <c r="K74" s="346"/>
      <c r="L74" s="333"/>
      <c r="M74" s="334"/>
      <c r="N74" s="328" t="s">
        <v>227</v>
      </c>
      <c r="O74" s="335">
        <v>3</v>
      </c>
      <c r="P74" s="335" t="str">
        <f>VLOOKUP(N74,Source!F:F,1,FALSE)</f>
        <v>UMass Boston</v>
      </c>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row>
    <row r="75" spans="1:47" s="336" customFormat="1" ht="48" customHeight="1">
      <c r="A75" s="334" t="str">
        <f t="shared" si="0"/>
        <v>UMass Lowell1</v>
      </c>
      <c r="B75" s="349" t="s">
        <v>1191</v>
      </c>
      <c r="C75" s="329" t="s">
        <v>1041</v>
      </c>
      <c r="D75" s="330">
        <v>1.7000000000000001E-2</v>
      </c>
      <c r="E75" s="329">
        <v>2014</v>
      </c>
      <c r="F75" s="329" t="s">
        <v>1042</v>
      </c>
      <c r="G75" s="352" t="s">
        <v>1043</v>
      </c>
      <c r="H75" s="339" t="s">
        <v>1192</v>
      </c>
      <c r="I75" s="329" t="s">
        <v>1193</v>
      </c>
      <c r="J75" s="373" t="s">
        <v>1044</v>
      </c>
      <c r="K75" s="346" t="s">
        <v>1044</v>
      </c>
      <c r="L75" s="333" t="s">
        <v>1043</v>
      </c>
      <c r="M75" s="334"/>
      <c r="N75" s="328" t="s">
        <v>234</v>
      </c>
      <c r="O75" s="335">
        <v>1</v>
      </c>
      <c r="P75" s="335" t="str">
        <f>VLOOKUP(N75,Source!F:F,1,FALSE)</f>
        <v>UMass Lowell</v>
      </c>
      <c r="Q75" s="335"/>
      <c r="R75" s="335"/>
      <c r="S75" s="335"/>
      <c r="T75" s="335"/>
      <c r="U75" s="335"/>
      <c r="V75" s="335"/>
      <c r="W75" s="335"/>
      <c r="X75" s="335"/>
      <c r="Y75" s="335"/>
      <c r="Z75" s="335"/>
      <c r="AA75" s="335"/>
      <c r="AB75" s="335"/>
      <c r="AC75" s="335"/>
      <c r="AD75" s="335"/>
      <c r="AE75" s="335"/>
      <c r="AF75" s="335"/>
      <c r="AG75" s="335"/>
      <c r="AH75" s="335"/>
      <c r="AI75" s="335"/>
      <c r="AJ75" s="335"/>
      <c r="AK75" s="335"/>
      <c r="AL75" s="335"/>
      <c r="AM75" s="335"/>
      <c r="AN75" s="335"/>
      <c r="AO75" s="335"/>
      <c r="AP75" s="335"/>
      <c r="AQ75" s="335"/>
      <c r="AR75" s="335"/>
      <c r="AS75" s="335"/>
      <c r="AT75" s="335"/>
      <c r="AU75" s="335"/>
    </row>
    <row r="76" spans="1:47" s="336" customFormat="1" ht="63" customHeight="1">
      <c r="A76" s="334" t="str">
        <f t="shared" ref="A76:A104" si="1">N76&amp;O76</f>
        <v>UMass Lowell2</v>
      </c>
      <c r="B76" s="349" t="s">
        <v>1194</v>
      </c>
      <c r="C76" s="352" t="s">
        <v>1046</v>
      </c>
      <c r="D76" s="360">
        <v>0.75</v>
      </c>
      <c r="E76" s="352">
        <v>2018</v>
      </c>
      <c r="F76" s="352" t="s">
        <v>1042</v>
      </c>
      <c r="G76" s="352" t="s">
        <v>1043</v>
      </c>
      <c r="H76" s="339" t="s">
        <v>1192</v>
      </c>
      <c r="I76" s="374" t="s">
        <v>1195</v>
      </c>
      <c r="J76" s="373" t="s">
        <v>1044</v>
      </c>
      <c r="K76" s="346" t="s">
        <v>1044</v>
      </c>
      <c r="L76" s="333" t="s">
        <v>1043</v>
      </c>
      <c r="M76" s="334"/>
      <c r="N76" s="359" t="s">
        <v>234</v>
      </c>
      <c r="O76" s="335">
        <v>2</v>
      </c>
      <c r="P76" s="335" t="str">
        <f>VLOOKUP(N76,Source!F:F,1,FALSE)</f>
        <v>UMass Lowell</v>
      </c>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row>
    <row r="77" spans="1:47" s="336" customFormat="1" ht="63" customHeight="1">
      <c r="A77" s="334" t="str">
        <f t="shared" si="1"/>
        <v>UMass Lowell3</v>
      </c>
      <c r="B77" s="349" t="s">
        <v>1196</v>
      </c>
      <c r="C77" s="352" t="s">
        <v>1046</v>
      </c>
      <c r="D77" s="375" t="s">
        <v>756</v>
      </c>
      <c r="E77" s="352">
        <v>2020</v>
      </c>
      <c r="F77" s="352" t="s">
        <v>1089</v>
      </c>
      <c r="G77" s="352" t="s">
        <v>1043</v>
      </c>
      <c r="H77" s="339" t="s">
        <v>1192</v>
      </c>
      <c r="I77" s="374" t="s">
        <v>1197</v>
      </c>
      <c r="J77" s="342" t="s">
        <v>1043</v>
      </c>
      <c r="K77" s="342" t="s">
        <v>1043</v>
      </c>
      <c r="L77" s="333" t="s">
        <v>1043</v>
      </c>
      <c r="M77" s="334"/>
      <c r="N77" s="359" t="s">
        <v>234</v>
      </c>
      <c r="O77" s="335">
        <v>3</v>
      </c>
      <c r="P77" s="335" t="str">
        <f>VLOOKUP(N77,Source!F:F,1,FALSE)</f>
        <v>UMass Lowell</v>
      </c>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5"/>
      <c r="AP77" s="335"/>
      <c r="AQ77" s="335"/>
      <c r="AR77" s="335"/>
      <c r="AS77" s="335"/>
      <c r="AT77" s="335"/>
      <c r="AU77" s="335"/>
    </row>
    <row r="78" spans="1:47" s="336" customFormat="1" hidden="1">
      <c r="A78" s="334" t="str">
        <f t="shared" si="1"/>
        <v>Westfield State University1</v>
      </c>
      <c r="B78" s="395"/>
      <c r="C78" s="331"/>
      <c r="D78" s="340" t="s">
        <v>51</v>
      </c>
      <c r="E78" s="352" t="s">
        <v>51</v>
      </c>
      <c r="F78" s="331"/>
      <c r="G78" s="331"/>
      <c r="H78" s="353" t="s">
        <v>1198</v>
      </c>
      <c r="I78" s="352" t="s">
        <v>1199</v>
      </c>
      <c r="J78" s="342" t="s">
        <v>1043</v>
      </c>
      <c r="K78" s="346" t="s">
        <v>1043</v>
      </c>
      <c r="L78" s="341" t="s">
        <v>1044</v>
      </c>
      <c r="M78" s="334"/>
      <c r="N78" s="359" t="s">
        <v>244</v>
      </c>
      <c r="O78" s="335">
        <v>1</v>
      </c>
      <c r="P78" s="335" t="str">
        <f>VLOOKUP(N78,Source!F:F,1,FALSE)</f>
        <v>Westfield State University</v>
      </c>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row>
    <row r="79" spans="1:47" s="336" customFormat="1" ht="29" hidden="1">
      <c r="A79" s="334" t="str">
        <f t="shared" si="1"/>
        <v>Dept. of Conservation and Recreation12</v>
      </c>
      <c r="B79" s="615" t="s">
        <v>2387</v>
      </c>
      <c r="C79" s="615" t="s">
        <v>2407</v>
      </c>
      <c r="D79" s="851" t="s">
        <v>2408</v>
      </c>
      <c r="E79" s="615">
        <v>2020</v>
      </c>
      <c r="F79" s="615" t="s">
        <v>1089</v>
      </c>
      <c r="G79" s="615" t="s">
        <v>1043</v>
      </c>
      <c r="H79" s="865" t="s">
        <v>2417</v>
      </c>
      <c r="I79" s="615" t="s">
        <v>2418</v>
      </c>
      <c r="J79" s="614"/>
      <c r="K79" s="614" t="s">
        <v>1043</v>
      </c>
      <c r="L79" s="614"/>
      <c r="M79" s="866"/>
      <c r="N79" s="880" t="s">
        <v>96</v>
      </c>
      <c r="O79" s="335">
        <v>12</v>
      </c>
      <c r="P79" s="335" t="str">
        <f>VLOOKUP(N79,Source!F:F,1,FALSE)</f>
        <v>Dept. of Conservation and Recreation</v>
      </c>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row>
    <row r="80" spans="1:47" s="336" customFormat="1" ht="29" hidden="1">
      <c r="A80" s="334" t="str">
        <f t="shared" si="1"/>
        <v>Dept. of Conservation and Recreation13</v>
      </c>
      <c r="B80" s="615" t="s">
        <v>2388</v>
      </c>
      <c r="C80" s="615" t="s">
        <v>2407</v>
      </c>
      <c r="D80" s="852" t="s">
        <v>756</v>
      </c>
      <c r="E80" s="849">
        <v>2020</v>
      </c>
      <c r="F80" s="615" t="s">
        <v>1089</v>
      </c>
      <c r="G80" s="851"/>
      <c r="H80" s="865" t="s">
        <v>2419</v>
      </c>
      <c r="I80" s="615" t="s">
        <v>2420</v>
      </c>
      <c r="J80" s="614"/>
      <c r="K80" s="614"/>
      <c r="L80" s="614"/>
      <c r="M80" s="846" t="s">
        <v>2421</v>
      </c>
      <c r="N80" s="880" t="s">
        <v>96</v>
      </c>
      <c r="O80" s="335">
        <v>13</v>
      </c>
      <c r="P80" s="335" t="str">
        <f>VLOOKUP(N80,Source!F:F,1,FALSE)</f>
        <v>Dept. of Conservation and Recreation</v>
      </c>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row>
    <row r="81" spans="1:46" s="336" customFormat="1" ht="29" hidden="1">
      <c r="A81" s="334" t="str">
        <f t="shared" si="1"/>
        <v>Dept. of Conservation and Recreation14</v>
      </c>
      <c r="B81" s="615" t="s">
        <v>2389</v>
      </c>
      <c r="C81" s="615" t="s">
        <v>2407</v>
      </c>
      <c r="D81" s="853" t="s">
        <v>756</v>
      </c>
      <c r="E81" s="849">
        <v>2020</v>
      </c>
      <c r="F81" s="615" t="s">
        <v>1089</v>
      </c>
      <c r="G81" s="615" t="s">
        <v>1043</v>
      </c>
      <c r="H81" s="865" t="s">
        <v>2419</v>
      </c>
      <c r="I81" s="623" t="s">
        <v>2422</v>
      </c>
      <c r="J81" s="614"/>
      <c r="K81" s="614" t="s">
        <v>1044</v>
      </c>
      <c r="L81" s="614"/>
      <c r="M81" s="618"/>
      <c r="N81" s="880" t="s">
        <v>96</v>
      </c>
      <c r="O81" s="335">
        <v>14</v>
      </c>
      <c r="P81" s="335" t="str">
        <f>VLOOKUP(N81,Source!F:F,1,FALSE)</f>
        <v>Dept. of Conservation and Recreation</v>
      </c>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row>
    <row r="82" spans="1:46" s="336" customFormat="1" ht="130.5" hidden="1">
      <c r="A82" s="334" t="str">
        <f t="shared" si="1"/>
        <v>Dept. of Conservation and Recreation15</v>
      </c>
      <c r="B82" s="615" t="s">
        <v>2390</v>
      </c>
      <c r="C82" s="615" t="s">
        <v>2409</v>
      </c>
      <c r="D82" s="615">
        <v>0.1</v>
      </c>
      <c r="E82" s="615">
        <v>2020</v>
      </c>
      <c r="F82" s="615" t="s">
        <v>1042</v>
      </c>
      <c r="G82" s="615" t="s">
        <v>1044</v>
      </c>
      <c r="H82" s="865" t="s">
        <v>2423</v>
      </c>
      <c r="I82" s="615" t="s">
        <v>2424</v>
      </c>
      <c r="J82" s="614"/>
      <c r="K82" s="614" t="s">
        <v>1043</v>
      </c>
      <c r="L82" s="614"/>
      <c r="M82" s="867" t="s">
        <v>2425</v>
      </c>
      <c r="N82" s="880" t="s">
        <v>96</v>
      </c>
      <c r="O82" s="335">
        <v>15</v>
      </c>
      <c r="P82" s="335" t="str">
        <f>VLOOKUP(N82,Source!F:F,1,FALSE)</f>
        <v>Dept. of Conservation and Recreation</v>
      </c>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row>
    <row r="83" spans="1:46" s="336" customFormat="1" ht="29" hidden="1">
      <c r="A83" s="334" t="str">
        <f t="shared" si="1"/>
        <v>Dept. of Conservation and Recreation16</v>
      </c>
      <c r="B83" s="615" t="s">
        <v>2391</v>
      </c>
      <c r="C83" s="615" t="s">
        <v>2409</v>
      </c>
      <c r="D83" s="851"/>
      <c r="E83" s="615">
        <v>2022</v>
      </c>
      <c r="F83" s="851" t="s">
        <v>1047</v>
      </c>
      <c r="G83" s="615" t="s">
        <v>1043</v>
      </c>
      <c r="H83" s="865" t="s">
        <v>2426</v>
      </c>
      <c r="I83" s="615" t="s">
        <v>2427</v>
      </c>
      <c r="J83" s="614"/>
      <c r="K83" s="614"/>
      <c r="L83" s="614"/>
      <c r="M83" s="866"/>
      <c r="N83" s="880" t="s">
        <v>96</v>
      </c>
      <c r="O83" s="335">
        <v>16</v>
      </c>
      <c r="P83" s="335" t="str">
        <f>VLOOKUP(N83,Source!F:F,1,FALSE)</f>
        <v>Dept. of Conservation and Recreation</v>
      </c>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c r="AT83" s="335"/>
    </row>
    <row r="84" spans="1:46" s="336" customFormat="1" ht="29" hidden="1">
      <c r="A84" s="334" t="str">
        <f t="shared" si="1"/>
        <v>Dept. of Conservation and Recreation17</v>
      </c>
      <c r="B84" s="615" t="s">
        <v>2392</v>
      </c>
      <c r="C84" s="851"/>
      <c r="D84" s="851"/>
      <c r="E84" s="615">
        <v>2020</v>
      </c>
      <c r="F84" s="615" t="s">
        <v>1089</v>
      </c>
      <c r="G84" s="615"/>
      <c r="H84" s="865" t="s">
        <v>2417</v>
      </c>
      <c r="I84" s="615" t="s">
        <v>2428</v>
      </c>
      <c r="J84" s="867"/>
      <c r="K84" s="614" t="s">
        <v>1043</v>
      </c>
      <c r="L84" s="614"/>
      <c r="M84" s="866"/>
      <c r="N84" s="880" t="s">
        <v>96</v>
      </c>
      <c r="O84" s="335">
        <v>17</v>
      </c>
      <c r="P84" s="335" t="str">
        <f>VLOOKUP(N84,Source!F:F,1,FALSE)</f>
        <v>Dept. of Conservation and Recreation</v>
      </c>
      <c r="Q84" s="335"/>
      <c r="R84" s="335"/>
      <c r="S84" s="335"/>
      <c r="T84" s="335"/>
      <c r="U84" s="335"/>
      <c r="V84" s="335"/>
      <c r="W84" s="335"/>
      <c r="X84" s="335"/>
      <c r="Y84" s="335"/>
      <c r="Z84" s="335"/>
      <c r="AA84" s="335"/>
      <c r="AB84" s="335"/>
      <c r="AC84" s="335"/>
      <c r="AD84" s="335"/>
      <c r="AE84" s="335"/>
      <c r="AF84" s="335"/>
      <c r="AG84" s="335"/>
      <c r="AH84" s="335"/>
      <c r="AI84" s="335"/>
      <c r="AJ84" s="335"/>
      <c r="AK84" s="335"/>
      <c r="AL84" s="335"/>
      <c r="AM84" s="335"/>
      <c r="AN84" s="335"/>
      <c r="AO84" s="335"/>
      <c r="AP84" s="335"/>
      <c r="AQ84" s="335"/>
      <c r="AR84" s="335"/>
      <c r="AS84" s="335"/>
      <c r="AT84" s="335"/>
    </row>
    <row r="85" spans="1:46" s="336" customFormat="1" ht="29" hidden="1">
      <c r="A85" s="334" t="str">
        <f t="shared" si="1"/>
        <v>Dept. of Conservation and Recreation18</v>
      </c>
      <c r="B85" s="615" t="s">
        <v>2393</v>
      </c>
      <c r="C85" s="846" t="s">
        <v>2409</v>
      </c>
      <c r="D85" s="854" t="s">
        <v>756</v>
      </c>
      <c r="E85" s="615" t="s">
        <v>2410</v>
      </c>
      <c r="F85" s="615" t="s">
        <v>1089</v>
      </c>
      <c r="G85" s="615"/>
      <c r="H85" s="865" t="s">
        <v>2429</v>
      </c>
      <c r="I85" s="868" t="s">
        <v>2430</v>
      </c>
      <c r="J85" s="867"/>
      <c r="K85" s="614"/>
      <c r="L85" s="614"/>
      <c r="M85" s="866"/>
      <c r="N85" s="880" t="s">
        <v>96</v>
      </c>
      <c r="O85" s="335">
        <v>18</v>
      </c>
      <c r="P85" s="335" t="str">
        <f>VLOOKUP(N85,Source!F:F,1,FALSE)</f>
        <v>Dept. of Conservation and Recreation</v>
      </c>
      <c r="Q85" s="335"/>
      <c r="R85" s="335"/>
      <c r="S85" s="335"/>
      <c r="T85" s="335"/>
      <c r="U85" s="335"/>
      <c r="V85" s="335"/>
      <c r="W85" s="335"/>
      <c r="X85" s="335"/>
      <c r="Y85" s="335"/>
      <c r="Z85" s="335"/>
      <c r="AA85" s="335"/>
      <c r="AB85" s="335"/>
      <c r="AC85" s="335"/>
      <c r="AD85" s="335"/>
      <c r="AE85" s="335"/>
      <c r="AF85" s="335"/>
      <c r="AG85" s="335"/>
      <c r="AH85" s="335"/>
      <c r="AI85" s="335"/>
      <c r="AJ85" s="335"/>
      <c r="AK85" s="335"/>
      <c r="AL85" s="335"/>
      <c r="AM85" s="335"/>
      <c r="AN85" s="335"/>
      <c r="AO85" s="335"/>
      <c r="AP85" s="335"/>
      <c r="AQ85" s="335"/>
      <c r="AR85" s="335"/>
      <c r="AS85" s="335"/>
      <c r="AT85" s="335"/>
    </row>
    <row r="86" spans="1:46" s="336" customFormat="1" ht="58" hidden="1">
      <c r="A86" s="334" t="str">
        <f t="shared" si="1"/>
        <v>Dept. of Correction4</v>
      </c>
      <c r="B86" s="845" t="s">
        <v>2394</v>
      </c>
      <c r="C86" s="850" t="s">
        <v>1046</v>
      </c>
      <c r="D86" s="855">
        <v>0.2</v>
      </c>
      <c r="E86" s="849">
        <v>2022</v>
      </c>
      <c r="F86" s="850" t="s">
        <v>1089</v>
      </c>
      <c r="G86" s="849"/>
      <c r="H86" s="849" t="s">
        <v>1083</v>
      </c>
      <c r="I86" s="869" t="s">
        <v>2431</v>
      </c>
      <c r="J86" s="867"/>
      <c r="K86" s="614" t="s">
        <v>1043</v>
      </c>
      <c r="L86" s="618"/>
      <c r="M86" s="618" t="s">
        <v>2432</v>
      </c>
      <c r="N86" s="881" t="s">
        <v>97</v>
      </c>
      <c r="O86" s="335">
        <v>4</v>
      </c>
      <c r="P86" s="335" t="str">
        <f>VLOOKUP(N86,Source!F:F,1,FALSE)</f>
        <v>Dept. of Correction</v>
      </c>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row>
    <row r="87" spans="1:46" s="336" customFormat="1" ht="29" hidden="1">
      <c r="A87" s="334" t="str">
        <f t="shared" si="1"/>
        <v>Dept. of Mental Health1</v>
      </c>
      <c r="B87" s="846" t="s">
        <v>1090</v>
      </c>
      <c r="C87" s="846" t="s">
        <v>2409</v>
      </c>
      <c r="D87" s="856">
        <v>0.25</v>
      </c>
      <c r="E87" s="846">
        <v>2022</v>
      </c>
      <c r="F87" s="846" t="s">
        <v>1042</v>
      </c>
      <c r="G87" s="846" t="s">
        <v>1044</v>
      </c>
      <c r="H87" s="846" t="s">
        <v>1091</v>
      </c>
      <c r="I87" s="869" t="s">
        <v>2433</v>
      </c>
      <c r="J87" s="867" t="s">
        <v>1044</v>
      </c>
      <c r="K87" s="621" t="s">
        <v>1044</v>
      </c>
      <c r="L87" s="618" t="s">
        <v>1043</v>
      </c>
      <c r="M87" s="618"/>
      <c r="N87" s="880" t="s">
        <v>108</v>
      </c>
      <c r="O87" s="335">
        <v>1</v>
      </c>
      <c r="P87" s="335" t="str">
        <f>VLOOKUP(N87,Source!F:F,1,FALSE)</f>
        <v>Dept. of Mental Health</v>
      </c>
      <c r="Q87" s="335"/>
      <c r="R87" s="335"/>
      <c r="S87" s="335"/>
      <c r="T87" s="335"/>
      <c r="U87" s="335"/>
      <c r="V87" s="335"/>
      <c r="W87" s="335"/>
      <c r="X87" s="335"/>
      <c r="Y87" s="335"/>
      <c r="Z87" s="335"/>
      <c r="AA87" s="335"/>
      <c r="AB87" s="335"/>
      <c r="AC87" s="335"/>
      <c r="AD87" s="335"/>
      <c r="AE87" s="335"/>
      <c r="AF87" s="335"/>
      <c r="AG87" s="335"/>
      <c r="AH87" s="335"/>
      <c r="AI87" s="335"/>
      <c r="AJ87" s="335"/>
      <c r="AK87" s="335"/>
      <c r="AL87" s="335"/>
      <c r="AM87" s="335"/>
      <c r="AN87" s="335"/>
      <c r="AO87" s="335"/>
      <c r="AP87" s="335"/>
      <c r="AQ87" s="335"/>
      <c r="AR87" s="335"/>
      <c r="AS87" s="335"/>
      <c r="AT87" s="335"/>
    </row>
    <row r="88" spans="1:46" s="336" customFormat="1" ht="29" hidden="1">
      <c r="A88" s="334" t="str">
        <f t="shared" si="1"/>
        <v>Dept. of Mental Health2</v>
      </c>
      <c r="B88" s="846" t="s">
        <v>571</v>
      </c>
      <c r="C88" s="846" t="s">
        <v>2411</v>
      </c>
      <c r="D88" s="856"/>
      <c r="E88" s="849">
        <v>2020</v>
      </c>
      <c r="F88" s="849"/>
      <c r="G88" s="849"/>
      <c r="H88" s="849" t="s">
        <v>2434</v>
      </c>
      <c r="I88" s="869" t="s">
        <v>2435</v>
      </c>
      <c r="J88" s="867"/>
      <c r="K88" s="621"/>
      <c r="L88" s="618"/>
      <c r="M88" s="618"/>
      <c r="N88" s="880" t="s">
        <v>108</v>
      </c>
      <c r="O88" s="335">
        <v>2</v>
      </c>
      <c r="P88" s="335" t="str">
        <f>VLOOKUP(N88,Source!F:F,1,FALSE)</f>
        <v>Dept. of Mental Health</v>
      </c>
      <c r="Q88" s="335"/>
      <c r="R88" s="335"/>
      <c r="S88" s="335"/>
      <c r="T88" s="335"/>
      <c r="U88" s="335"/>
      <c r="V88" s="335"/>
      <c r="W88" s="335"/>
      <c r="X88" s="335"/>
      <c r="Y88" s="335"/>
      <c r="Z88" s="335"/>
      <c r="AA88" s="335"/>
      <c r="AB88" s="335"/>
      <c r="AC88" s="335"/>
      <c r="AD88" s="335"/>
      <c r="AE88" s="335"/>
      <c r="AF88" s="335"/>
      <c r="AG88" s="335"/>
      <c r="AH88" s="335"/>
      <c r="AI88" s="335"/>
      <c r="AJ88" s="335"/>
      <c r="AK88" s="335"/>
      <c r="AL88" s="335"/>
      <c r="AM88" s="335"/>
      <c r="AN88" s="335"/>
      <c r="AO88" s="335"/>
      <c r="AP88" s="335"/>
      <c r="AQ88" s="335"/>
      <c r="AR88" s="335"/>
      <c r="AS88" s="335"/>
      <c r="AT88" s="335"/>
    </row>
    <row r="89" spans="1:46" s="336" customFormat="1" hidden="1">
      <c r="A89" s="334" t="str">
        <f t="shared" si="1"/>
        <v>Framingham State University1</v>
      </c>
      <c r="B89" s="847" t="s">
        <v>2395</v>
      </c>
      <c r="C89" s="847" t="s">
        <v>2411</v>
      </c>
      <c r="D89" s="857">
        <v>0.01</v>
      </c>
      <c r="E89" s="847">
        <v>2020</v>
      </c>
      <c r="F89" s="847" t="s">
        <v>1042</v>
      </c>
      <c r="G89" s="847" t="s">
        <v>756</v>
      </c>
      <c r="H89" s="870"/>
      <c r="I89" s="847" t="s">
        <v>2436</v>
      </c>
      <c r="J89" s="871" t="s">
        <v>756</v>
      </c>
      <c r="K89" s="872" t="s">
        <v>1043</v>
      </c>
      <c r="L89" s="872" t="s">
        <v>1043</v>
      </c>
      <c r="M89" s="872"/>
      <c r="N89" s="882" t="s">
        <v>36</v>
      </c>
      <c r="O89" s="335">
        <v>1</v>
      </c>
      <c r="P89" s="335" t="str">
        <f>VLOOKUP(N89,Source!F:F,1,FALSE)</f>
        <v>Framingham State University</v>
      </c>
      <c r="Q89" s="335"/>
      <c r="R89" s="335"/>
      <c r="S89" s="335"/>
      <c r="T89" s="335"/>
      <c r="U89" s="335"/>
      <c r="V89" s="335"/>
      <c r="W89" s="335"/>
      <c r="X89" s="335"/>
      <c r="Y89" s="335"/>
      <c r="Z89" s="335"/>
      <c r="AA89" s="335"/>
      <c r="AB89" s="335"/>
      <c r="AC89" s="335"/>
      <c r="AD89" s="335"/>
      <c r="AE89" s="335"/>
      <c r="AF89" s="335"/>
      <c r="AG89" s="335"/>
      <c r="AH89" s="335"/>
      <c r="AI89" s="335"/>
      <c r="AJ89" s="335"/>
      <c r="AK89" s="335"/>
      <c r="AL89" s="335"/>
      <c r="AM89" s="335"/>
      <c r="AN89" s="335"/>
      <c r="AO89" s="335"/>
      <c r="AP89" s="335"/>
      <c r="AQ89" s="335"/>
      <c r="AR89" s="335"/>
      <c r="AS89" s="335"/>
      <c r="AT89" s="335"/>
    </row>
    <row r="90" spans="1:46" s="336" customFormat="1" hidden="1">
      <c r="A90" s="334" t="str">
        <f t="shared" si="1"/>
        <v>Mass. Bay Comm. College1</v>
      </c>
      <c r="B90" s="846" t="s">
        <v>2396</v>
      </c>
      <c r="C90" s="846" t="s">
        <v>2412</v>
      </c>
      <c r="D90" s="858"/>
      <c r="E90" s="846">
        <v>2020</v>
      </c>
      <c r="F90" s="846" t="s">
        <v>1042</v>
      </c>
      <c r="G90" s="846"/>
      <c r="H90" s="873" t="s">
        <v>143</v>
      </c>
      <c r="I90" s="846" t="s">
        <v>2437</v>
      </c>
      <c r="J90" s="618" t="s">
        <v>1043</v>
      </c>
      <c r="K90" s="618" t="s">
        <v>1043</v>
      </c>
      <c r="L90" s="618" t="s">
        <v>1043</v>
      </c>
      <c r="M90" s="618"/>
      <c r="N90" s="880" t="s">
        <v>142</v>
      </c>
      <c r="O90" s="335">
        <v>1</v>
      </c>
      <c r="P90" s="335" t="str">
        <f>VLOOKUP(N90,Source!F:F,1,FALSE)</f>
        <v>Mass. Bay Comm. College</v>
      </c>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row>
    <row r="91" spans="1:46" s="336" customFormat="1" ht="29" hidden="1">
      <c r="A91" s="334" t="str">
        <f t="shared" si="1"/>
        <v>Mass. College of Art &amp; Design2</v>
      </c>
      <c r="B91" s="848" t="s">
        <v>1108</v>
      </c>
      <c r="C91" s="848" t="s">
        <v>2411</v>
      </c>
      <c r="D91" s="859">
        <v>0.4</v>
      </c>
      <c r="E91" s="860">
        <v>2022</v>
      </c>
      <c r="F91" s="848" t="s">
        <v>1047</v>
      </c>
      <c r="G91" s="847" t="s">
        <v>756</v>
      </c>
      <c r="H91" s="847" t="s">
        <v>2438</v>
      </c>
      <c r="I91" s="848" t="s">
        <v>2439</v>
      </c>
      <c r="J91" s="871"/>
      <c r="K91" s="872" t="s">
        <v>1043</v>
      </c>
      <c r="L91" s="872" t="s">
        <v>1043</v>
      </c>
      <c r="M91" s="872" t="s">
        <v>2440</v>
      </c>
      <c r="N91" s="883" t="s">
        <v>146</v>
      </c>
      <c r="O91" s="335">
        <v>2</v>
      </c>
      <c r="P91" s="335" t="str">
        <f>VLOOKUP(N91,Source!F:F,1,FALSE)</f>
        <v>Mass. College of Art &amp; Design</v>
      </c>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c r="AQ91" s="335"/>
      <c r="AR91" s="335"/>
      <c r="AS91" s="335"/>
      <c r="AT91" s="335"/>
    </row>
    <row r="92" spans="1:46" s="336" customFormat="1" hidden="1">
      <c r="A92" s="334" t="str">
        <f t="shared" si="1"/>
        <v>North Shore Comm. College3</v>
      </c>
      <c r="B92" s="849" t="s">
        <v>2270</v>
      </c>
      <c r="C92" s="850" t="s">
        <v>2411</v>
      </c>
      <c r="D92" s="858">
        <v>0.01</v>
      </c>
      <c r="E92" s="846">
        <v>2022</v>
      </c>
      <c r="F92" s="850" t="s">
        <v>1042</v>
      </c>
      <c r="G92" s="849"/>
      <c r="H92" s="845"/>
      <c r="I92" s="845" t="s">
        <v>2441</v>
      </c>
      <c r="J92" s="874"/>
      <c r="K92" s="614" t="s">
        <v>1043</v>
      </c>
      <c r="L92" s="618"/>
      <c r="M92" s="615" t="s">
        <v>2442</v>
      </c>
      <c r="N92" s="881" t="s">
        <v>195</v>
      </c>
      <c r="O92" s="335">
        <v>3</v>
      </c>
      <c r="P92" s="335" t="str">
        <f>VLOOKUP(N92,Source!F:F,1,FALSE)</f>
        <v>North Shore Comm. College</v>
      </c>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row>
    <row r="93" spans="1:46" s="336" customFormat="1" hidden="1">
      <c r="A93" s="334" t="str">
        <f t="shared" si="1"/>
        <v>Salem State University2</v>
      </c>
      <c r="B93" s="850" t="s">
        <v>2397</v>
      </c>
      <c r="C93" s="850" t="s">
        <v>1004</v>
      </c>
      <c r="D93" s="855" t="s">
        <v>2413</v>
      </c>
      <c r="E93" s="850" t="s">
        <v>2414</v>
      </c>
      <c r="F93" s="850" t="s">
        <v>1042</v>
      </c>
      <c r="G93" s="850"/>
      <c r="H93" s="875" t="s">
        <v>212</v>
      </c>
      <c r="I93" s="850"/>
      <c r="J93" s="876"/>
      <c r="K93" s="618"/>
      <c r="L93" s="618"/>
      <c r="M93" s="846"/>
      <c r="N93" s="881" t="s">
        <v>211</v>
      </c>
      <c r="O93" s="335">
        <v>2</v>
      </c>
      <c r="P93" s="335" t="str">
        <f>VLOOKUP(N93,Source!F:F,1,FALSE)</f>
        <v>Salem State University</v>
      </c>
      <c r="Q93" s="335"/>
      <c r="R93" s="335"/>
      <c r="S93" s="335"/>
      <c r="T93" s="335"/>
      <c r="U93" s="335"/>
      <c r="V93" s="335"/>
      <c r="W93" s="335"/>
      <c r="X93" s="335"/>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row>
    <row r="94" spans="1:46" s="336" customFormat="1" ht="29" hidden="1">
      <c r="A94" s="334" t="str">
        <f t="shared" si="1"/>
        <v>UMass Boston4</v>
      </c>
      <c r="B94" s="846" t="s">
        <v>2398</v>
      </c>
      <c r="C94" s="846" t="s">
        <v>2409</v>
      </c>
      <c r="D94" s="614">
        <v>4</v>
      </c>
      <c r="E94" s="846">
        <v>2022</v>
      </c>
      <c r="F94" s="846" t="s">
        <v>1047</v>
      </c>
      <c r="G94" s="846" t="s">
        <v>756</v>
      </c>
      <c r="H94" s="865" t="s">
        <v>2443</v>
      </c>
      <c r="I94" s="614"/>
      <c r="J94" s="876"/>
      <c r="K94" s="614" t="s">
        <v>1043</v>
      </c>
      <c r="L94" s="618"/>
      <c r="M94" s="614"/>
      <c r="N94" s="880" t="s">
        <v>227</v>
      </c>
      <c r="O94" s="335">
        <v>4</v>
      </c>
      <c r="P94" s="335" t="str">
        <f>VLOOKUP(N94,Source!F:F,1,FALSE)</f>
        <v>UMass Boston</v>
      </c>
      <c r="Q94" s="335"/>
      <c r="R94" s="335"/>
      <c r="S94" s="335"/>
      <c r="T94" s="335"/>
      <c r="U94" s="335"/>
      <c r="V94" s="335"/>
      <c r="W94" s="335"/>
      <c r="X94" s="335"/>
      <c r="Y94" s="335"/>
      <c r="Z94" s="335"/>
      <c r="AA94" s="335"/>
      <c r="AB94" s="335"/>
      <c r="AC94" s="335"/>
      <c r="AD94" s="335"/>
      <c r="AE94" s="335"/>
      <c r="AF94" s="335"/>
      <c r="AG94" s="335"/>
      <c r="AH94" s="335"/>
      <c r="AI94" s="335"/>
      <c r="AJ94" s="335"/>
      <c r="AK94" s="335"/>
      <c r="AL94" s="335"/>
      <c r="AM94" s="335"/>
      <c r="AN94" s="335"/>
      <c r="AO94" s="335"/>
      <c r="AP94" s="335"/>
      <c r="AQ94" s="335"/>
      <c r="AR94" s="335"/>
      <c r="AS94" s="335"/>
      <c r="AT94" s="335"/>
    </row>
    <row r="95" spans="1:46" s="336" customFormat="1" hidden="1">
      <c r="A95" s="334" t="str">
        <f t="shared" si="1"/>
        <v>UMass Boston5</v>
      </c>
      <c r="B95" s="847" t="s">
        <v>2398</v>
      </c>
      <c r="C95" s="847" t="s">
        <v>2411</v>
      </c>
      <c r="D95" s="847">
        <v>4</v>
      </c>
      <c r="E95" s="847">
        <v>2022</v>
      </c>
      <c r="F95" s="847" t="s">
        <v>1047</v>
      </c>
      <c r="G95" s="847" t="s">
        <v>756</v>
      </c>
      <c r="H95" s="877" t="s">
        <v>2443</v>
      </c>
      <c r="I95" s="847" t="s">
        <v>2444</v>
      </c>
      <c r="J95" s="878" t="s">
        <v>1043</v>
      </c>
      <c r="K95" s="872" t="s">
        <v>1043</v>
      </c>
      <c r="L95" s="872" t="s">
        <v>1043</v>
      </c>
      <c r="M95" s="872" t="s">
        <v>2445</v>
      </c>
      <c r="N95" s="882" t="s">
        <v>227</v>
      </c>
      <c r="O95" s="335">
        <v>5</v>
      </c>
      <c r="P95" s="335" t="str">
        <f>VLOOKUP(N95,Source!F:F,1,FALSE)</f>
        <v>UMass Boston</v>
      </c>
      <c r="Q95" s="335"/>
      <c r="R95" s="335"/>
      <c r="S95" s="335"/>
      <c r="T95" s="335"/>
      <c r="U95" s="335"/>
      <c r="V95" s="335"/>
      <c r="W95" s="335"/>
      <c r="X95" s="335"/>
      <c r="Y95" s="335"/>
      <c r="Z95" s="335"/>
      <c r="AA95" s="335"/>
      <c r="AB95" s="335"/>
      <c r="AC95" s="335"/>
      <c r="AD95" s="335"/>
      <c r="AE95" s="335"/>
      <c r="AF95" s="335"/>
      <c r="AG95" s="335"/>
      <c r="AH95" s="335"/>
      <c r="AI95" s="335"/>
      <c r="AJ95" s="335"/>
      <c r="AK95" s="335"/>
      <c r="AL95" s="335"/>
      <c r="AM95" s="335"/>
      <c r="AN95" s="335"/>
      <c r="AO95" s="335"/>
      <c r="AP95" s="335"/>
      <c r="AQ95" s="335"/>
      <c r="AR95" s="335"/>
      <c r="AS95" s="335"/>
      <c r="AT95" s="335"/>
    </row>
    <row r="96" spans="1:46" s="336" customFormat="1" hidden="1">
      <c r="A96" s="334" t="str">
        <f t="shared" si="1"/>
        <v>UMass Medical1</v>
      </c>
      <c r="B96" s="846" t="s">
        <v>2399</v>
      </c>
      <c r="C96" s="846" t="s">
        <v>2411</v>
      </c>
      <c r="D96" s="861"/>
      <c r="E96" s="846">
        <v>2024</v>
      </c>
      <c r="F96" s="846" t="s">
        <v>1089</v>
      </c>
      <c r="G96" s="846"/>
      <c r="H96" s="877" t="s">
        <v>1793</v>
      </c>
      <c r="I96" s="846"/>
      <c r="J96" s="867"/>
      <c r="K96" s="618"/>
      <c r="L96" s="618"/>
      <c r="M96" s="618"/>
      <c r="N96" s="882" t="s">
        <v>239</v>
      </c>
      <c r="O96" s="335">
        <v>1</v>
      </c>
      <c r="P96" s="335" t="str">
        <f>VLOOKUP(N96,Source!F:F,1,FALSE)</f>
        <v>UMass Medical</v>
      </c>
      <c r="Q96" s="335"/>
      <c r="R96" s="335"/>
      <c r="S96" s="335"/>
      <c r="T96" s="335"/>
      <c r="U96" s="335"/>
      <c r="V96" s="335"/>
      <c r="W96" s="335"/>
      <c r="X96" s="335"/>
      <c r="Y96" s="335"/>
      <c r="Z96" s="335"/>
      <c r="AA96" s="335"/>
      <c r="AB96" s="335"/>
      <c r="AC96" s="335"/>
      <c r="AD96" s="335"/>
      <c r="AE96" s="335"/>
      <c r="AF96" s="335"/>
      <c r="AG96" s="335"/>
      <c r="AH96" s="335"/>
      <c r="AI96" s="335"/>
      <c r="AJ96" s="335"/>
      <c r="AK96" s="335"/>
      <c r="AL96" s="335"/>
      <c r="AM96" s="335"/>
      <c r="AN96" s="335"/>
      <c r="AO96" s="335"/>
      <c r="AP96" s="335"/>
      <c r="AQ96" s="335"/>
      <c r="AR96" s="335"/>
      <c r="AS96" s="335"/>
      <c r="AT96" s="335"/>
    </row>
    <row r="97" spans="1:47" s="336" customFormat="1" hidden="1">
      <c r="A97" s="334" t="str">
        <f t="shared" si="1"/>
        <v>UMass Medical2</v>
      </c>
      <c r="B97" s="846" t="s">
        <v>2400</v>
      </c>
      <c r="C97" s="846" t="s">
        <v>2411</v>
      </c>
      <c r="D97" s="861"/>
      <c r="E97" s="846">
        <v>2024</v>
      </c>
      <c r="F97" s="846" t="s">
        <v>1089</v>
      </c>
      <c r="G97" s="846"/>
      <c r="H97" s="877" t="s">
        <v>1793</v>
      </c>
      <c r="I97" s="846"/>
      <c r="J97" s="867"/>
      <c r="K97" s="618"/>
      <c r="L97" s="618"/>
      <c r="M97" s="618"/>
      <c r="N97" s="882" t="s">
        <v>239</v>
      </c>
      <c r="O97" s="335">
        <v>2</v>
      </c>
      <c r="P97" s="335" t="str">
        <f>VLOOKUP(N97,Source!F:F,1,FALSE)</f>
        <v>UMass Medical</v>
      </c>
      <c r="Q97" s="335"/>
      <c r="R97" s="335"/>
      <c r="S97" s="335"/>
      <c r="T97" s="335"/>
      <c r="U97" s="335"/>
      <c r="V97" s="335"/>
      <c r="W97" s="335"/>
      <c r="X97" s="335"/>
      <c r="Y97" s="335"/>
      <c r="Z97" s="335"/>
      <c r="AA97" s="335"/>
      <c r="AB97" s="335"/>
      <c r="AC97" s="335"/>
      <c r="AD97" s="335"/>
      <c r="AE97" s="335"/>
      <c r="AF97" s="335"/>
      <c r="AG97" s="335"/>
      <c r="AH97" s="335"/>
      <c r="AI97" s="335"/>
      <c r="AJ97" s="335"/>
      <c r="AK97" s="335"/>
      <c r="AL97" s="335"/>
      <c r="AM97" s="335"/>
      <c r="AN97" s="335"/>
      <c r="AO97" s="335"/>
      <c r="AP97" s="335"/>
      <c r="AQ97" s="335"/>
      <c r="AR97" s="335"/>
      <c r="AS97" s="335"/>
      <c r="AT97" s="335"/>
    </row>
    <row r="98" spans="1:47" s="336" customFormat="1" ht="29" hidden="1">
      <c r="A98" s="334" t="str">
        <f t="shared" si="1"/>
        <v>UMass Medical3</v>
      </c>
      <c r="B98" s="847" t="s">
        <v>2401</v>
      </c>
      <c r="C98" s="846" t="s">
        <v>2409</v>
      </c>
      <c r="D98" s="847">
        <v>0.6</v>
      </c>
      <c r="E98" s="847">
        <v>2023</v>
      </c>
      <c r="F98" s="847" t="s">
        <v>1089</v>
      </c>
      <c r="G98" s="847"/>
      <c r="H98" s="877" t="s">
        <v>1793</v>
      </c>
      <c r="I98" s="847" t="s">
        <v>2446</v>
      </c>
      <c r="J98" s="878"/>
      <c r="K98" s="872"/>
      <c r="L98" s="872"/>
      <c r="M98" s="872"/>
      <c r="N98" s="882" t="s">
        <v>239</v>
      </c>
      <c r="O98" s="335">
        <v>3</v>
      </c>
      <c r="P98" s="335" t="str">
        <f>VLOOKUP(N98,Source!F:F,1,FALSE)</f>
        <v>UMass Medical</v>
      </c>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5"/>
      <c r="AR98" s="335"/>
      <c r="AS98" s="335"/>
      <c r="AT98" s="335"/>
    </row>
    <row r="99" spans="1:47" s="336" customFormat="1" hidden="1">
      <c r="A99" s="334" t="str">
        <f t="shared" si="1"/>
        <v>UMass Dartmouth1</v>
      </c>
      <c r="B99" s="847" t="s">
        <v>2402</v>
      </c>
      <c r="C99" s="847" t="s">
        <v>2407</v>
      </c>
      <c r="D99" s="847">
        <v>12</v>
      </c>
      <c r="E99" s="847" t="s">
        <v>2415</v>
      </c>
      <c r="F99" s="847" t="s">
        <v>1047</v>
      </c>
      <c r="G99" s="847" t="s">
        <v>756</v>
      </c>
      <c r="H99" s="877" t="s">
        <v>230</v>
      </c>
      <c r="I99" s="847" t="s">
        <v>2447</v>
      </c>
      <c r="J99" s="878"/>
      <c r="K99" s="872"/>
      <c r="L99" s="872"/>
      <c r="M99" s="872"/>
      <c r="N99" s="882" t="s">
        <v>229</v>
      </c>
      <c r="O99" s="335">
        <v>1</v>
      </c>
      <c r="P99" s="335" t="str">
        <f>VLOOKUP(N99,Source!F:F,1,FALSE)</f>
        <v>UMass Dartmouth</v>
      </c>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row>
    <row r="100" spans="1:47" s="336" customFormat="1" hidden="1">
      <c r="A100" s="334" t="str">
        <f t="shared" si="1"/>
        <v>UMass Dartmouth2</v>
      </c>
      <c r="B100" s="847" t="s">
        <v>2403</v>
      </c>
      <c r="C100" s="847" t="s">
        <v>2411</v>
      </c>
      <c r="D100" s="847">
        <v>1</v>
      </c>
      <c r="E100" s="847">
        <v>2022</v>
      </c>
      <c r="F100" s="847" t="s">
        <v>1089</v>
      </c>
      <c r="G100" s="847" t="s">
        <v>756</v>
      </c>
      <c r="H100" s="877" t="s">
        <v>230</v>
      </c>
      <c r="I100" s="847"/>
      <c r="J100" s="878"/>
      <c r="K100" s="872"/>
      <c r="L100" s="872"/>
      <c r="M100" s="872" t="s">
        <v>2448</v>
      </c>
      <c r="N100" s="882" t="s">
        <v>229</v>
      </c>
      <c r="O100" s="335">
        <v>2</v>
      </c>
      <c r="P100" s="335" t="str">
        <f>VLOOKUP(N100,Source!F:F,1,FALSE)</f>
        <v>UMass Dartmouth</v>
      </c>
      <c r="Q100" s="335"/>
      <c r="R100" s="335"/>
      <c r="S100" s="335"/>
      <c r="T100" s="335"/>
      <c r="U100" s="335"/>
      <c r="V100" s="335"/>
      <c r="W100" s="335"/>
      <c r="X100" s="335"/>
      <c r="Y100" s="335"/>
      <c r="Z100" s="335"/>
      <c r="AA100" s="335"/>
      <c r="AB100" s="335"/>
      <c r="AC100" s="335"/>
      <c r="AD100" s="335"/>
      <c r="AE100" s="335"/>
      <c r="AF100" s="335"/>
      <c r="AG100" s="335"/>
      <c r="AH100" s="335"/>
      <c r="AI100" s="335"/>
      <c r="AJ100" s="335"/>
      <c r="AK100" s="335"/>
      <c r="AL100" s="335"/>
      <c r="AM100" s="335"/>
      <c r="AN100" s="335"/>
      <c r="AO100" s="335"/>
      <c r="AP100" s="335"/>
      <c r="AQ100" s="335"/>
      <c r="AR100" s="335"/>
      <c r="AS100" s="335"/>
      <c r="AT100" s="335"/>
    </row>
    <row r="101" spans="1:47" s="336" customFormat="1" ht="29">
      <c r="A101" s="334" t="str">
        <f t="shared" si="1"/>
        <v>UMass Lowell4</v>
      </c>
      <c r="B101" s="846" t="s">
        <v>2404</v>
      </c>
      <c r="C101" s="850" t="s">
        <v>2409</v>
      </c>
      <c r="D101" s="862">
        <v>0.5</v>
      </c>
      <c r="E101" s="850">
        <v>2022</v>
      </c>
      <c r="F101" s="850" t="s">
        <v>1042</v>
      </c>
      <c r="G101" s="850"/>
      <c r="H101" s="865"/>
      <c r="I101" s="879"/>
      <c r="J101" s="876"/>
      <c r="K101" s="876" t="s">
        <v>1043</v>
      </c>
      <c r="L101" s="618"/>
      <c r="M101" s="614" t="s">
        <v>2449</v>
      </c>
      <c r="N101" s="881" t="s">
        <v>234</v>
      </c>
      <c r="O101" s="335">
        <v>4</v>
      </c>
      <c r="P101" s="335" t="str">
        <f>VLOOKUP(N101,Source!F:F,1,FALSE)</f>
        <v>UMass Lowell</v>
      </c>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row>
    <row r="102" spans="1:47" s="336" customFormat="1" ht="29">
      <c r="A102" s="334" t="str">
        <f t="shared" si="1"/>
        <v>UMass Lowell5</v>
      </c>
      <c r="B102" s="846" t="s">
        <v>1196</v>
      </c>
      <c r="C102" s="850" t="s">
        <v>2409</v>
      </c>
      <c r="D102" s="862">
        <v>0.25</v>
      </c>
      <c r="E102" s="850">
        <v>2021</v>
      </c>
      <c r="F102" s="850" t="s">
        <v>1042</v>
      </c>
      <c r="G102" s="850" t="s">
        <v>1043</v>
      </c>
      <c r="H102" s="865"/>
      <c r="I102" s="879" t="s">
        <v>1197</v>
      </c>
      <c r="J102" s="876" t="s">
        <v>1043</v>
      </c>
      <c r="K102" s="876" t="s">
        <v>1043</v>
      </c>
      <c r="L102" s="618" t="s">
        <v>1043</v>
      </c>
      <c r="M102" s="614"/>
      <c r="N102" s="881" t="s">
        <v>234</v>
      </c>
      <c r="O102" s="335">
        <v>5</v>
      </c>
      <c r="P102" s="335" t="str">
        <f>VLOOKUP(N102,Source!F:F,1,FALSE)</f>
        <v>UMass Lowell</v>
      </c>
      <c r="Q102" s="335"/>
      <c r="R102" s="335"/>
      <c r="S102" s="335"/>
      <c r="T102" s="335"/>
      <c r="U102" s="335"/>
      <c r="V102" s="335"/>
      <c r="W102" s="335"/>
      <c r="X102" s="335"/>
      <c r="Y102" s="335"/>
      <c r="Z102" s="335"/>
      <c r="AA102" s="335"/>
      <c r="AB102" s="335"/>
      <c r="AC102" s="335"/>
      <c r="AD102" s="335"/>
      <c r="AE102" s="335"/>
      <c r="AF102" s="335"/>
      <c r="AG102" s="335"/>
      <c r="AH102" s="335"/>
      <c r="AI102" s="335"/>
      <c r="AJ102" s="335"/>
      <c r="AK102" s="335"/>
      <c r="AL102" s="335"/>
      <c r="AM102" s="335"/>
      <c r="AN102" s="335"/>
      <c r="AO102" s="335"/>
      <c r="AP102" s="335"/>
      <c r="AQ102" s="335"/>
      <c r="AR102" s="335"/>
      <c r="AS102" s="335"/>
      <c r="AT102" s="335"/>
    </row>
    <row r="103" spans="1:47" s="336" customFormat="1" hidden="1">
      <c r="A103" s="334" t="str">
        <f t="shared" si="1"/>
        <v>Westfield State University2</v>
      </c>
      <c r="B103" s="846" t="s">
        <v>2405</v>
      </c>
      <c r="C103" s="846" t="s">
        <v>2416</v>
      </c>
      <c r="D103" s="863">
        <v>4.0000000000000001E-3</v>
      </c>
      <c r="E103" s="352">
        <v>2023</v>
      </c>
      <c r="F103" s="352" t="s">
        <v>1042</v>
      </c>
      <c r="G103" s="850"/>
      <c r="H103" s="865"/>
      <c r="I103" s="879"/>
      <c r="J103" s="876"/>
      <c r="K103" s="876"/>
      <c r="L103" s="618"/>
      <c r="M103" s="614"/>
      <c r="N103" s="884" t="s">
        <v>244</v>
      </c>
      <c r="O103" s="335">
        <v>2</v>
      </c>
      <c r="P103" s="335" t="str">
        <f>VLOOKUP(N103,Source!F:F,1,FALSE)</f>
        <v>Westfield State University</v>
      </c>
      <c r="Q103" s="335"/>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5"/>
      <c r="AR103" s="335"/>
      <c r="AS103" s="335"/>
      <c r="AT103" s="335"/>
    </row>
    <row r="104" spans="1:47" s="336" customFormat="1" hidden="1">
      <c r="A104" s="334" t="str">
        <f t="shared" si="1"/>
        <v>Westfield State University3</v>
      </c>
      <c r="B104" s="846" t="s">
        <v>2406</v>
      </c>
      <c r="C104" s="850" t="s">
        <v>2416</v>
      </c>
      <c r="D104" s="864">
        <v>3.0000000000000001E-3</v>
      </c>
      <c r="E104" s="352">
        <v>2022</v>
      </c>
      <c r="F104" s="352" t="s">
        <v>1042</v>
      </c>
      <c r="G104" s="850"/>
      <c r="H104" s="865"/>
      <c r="I104" s="879"/>
      <c r="J104" s="876"/>
      <c r="K104" s="876"/>
      <c r="L104" s="618"/>
      <c r="M104" s="614"/>
      <c r="N104" s="881" t="s">
        <v>244</v>
      </c>
      <c r="O104" s="335">
        <v>3</v>
      </c>
      <c r="P104" s="335" t="str">
        <f>VLOOKUP(N104,Source!F:F,1,FALSE)</f>
        <v>Westfield State University</v>
      </c>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5"/>
      <c r="AR104" s="335"/>
      <c r="AS104" s="335"/>
      <c r="AT104" s="335"/>
    </row>
    <row r="105" spans="1:47" s="356" customFormat="1">
      <c r="B105" s="377"/>
      <c r="C105" s="377"/>
      <c r="D105" s="378"/>
      <c r="E105" s="377"/>
      <c r="F105" s="377"/>
      <c r="G105" s="377"/>
      <c r="H105" s="379"/>
      <c r="I105" s="377"/>
      <c r="J105" s="380"/>
      <c r="K105" s="46"/>
      <c r="L105" s="46"/>
      <c r="N105" s="376"/>
      <c r="O105" s="355"/>
      <c r="P105" s="355"/>
      <c r="Q105" s="355"/>
      <c r="R105" s="355"/>
      <c r="S105" s="355"/>
      <c r="T105" s="355"/>
      <c r="U105" s="355"/>
      <c r="V105" s="355"/>
      <c r="W105" s="355"/>
      <c r="X105" s="355"/>
      <c r="Y105" s="355"/>
      <c r="Z105" s="355"/>
      <c r="AA105" s="355"/>
      <c r="AB105" s="355"/>
      <c r="AC105" s="355"/>
      <c r="AD105" s="355"/>
      <c r="AE105" s="355"/>
      <c r="AF105" s="355"/>
      <c r="AG105" s="355"/>
      <c r="AH105" s="355"/>
      <c r="AI105" s="355"/>
      <c r="AJ105" s="355"/>
      <c r="AK105" s="355"/>
      <c r="AL105" s="355"/>
      <c r="AM105" s="355"/>
      <c r="AN105" s="355"/>
      <c r="AO105" s="355"/>
      <c r="AP105" s="355"/>
      <c r="AQ105" s="355"/>
      <c r="AR105" s="355"/>
      <c r="AS105" s="355"/>
      <c r="AT105" s="355"/>
      <c r="AU105" s="355"/>
    </row>
    <row r="106" spans="1:47">
      <c r="A106" s="46"/>
      <c r="D106" s="383">
        <f>SUM(D2:D78)</f>
        <v>194.62900000000002</v>
      </c>
    </row>
    <row r="108" spans="1:47">
      <c r="A108" s="46"/>
      <c r="D108" s="381"/>
      <c r="E108" s="385"/>
      <c r="F108" s="385"/>
      <c r="G108" s="385"/>
      <c r="N108" s="384"/>
    </row>
    <row r="109" spans="1:47">
      <c r="A109" s="46"/>
      <c r="E109" s="385"/>
      <c r="F109" s="385"/>
      <c r="G109" s="385"/>
      <c r="N109" s="384"/>
    </row>
    <row r="110" spans="1:47">
      <c r="A110" s="46"/>
      <c r="E110" s="385"/>
      <c r="F110" s="385"/>
      <c r="G110" s="385"/>
      <c r="N110" s="384"/>
    </row>
    <row r="111" spans="1:47">
      <c r="A111" s="46"/>
      <c r="E111" s="385"/>
      <c r="F111" s="385"/>
      <c r="G111" s="385"/>
      <c r="N111" s="384"/>
    </row>
    <row r="112" spans="1:47">
      <c r="A112" s="46"/>
      <c r="E112" s="385"/>
      <c r="F112" s="385"/>
      <c r="G112" s="385"/>
      <c r="N112" s="384"/>
    </row>
    <row r="113" spans="1:14">
      <c r="A113" s="46"/>
      <c r="E113" s="385"/>
      <c r="F113" s="385"/>
      <c r="G113" s="385"/>
      <c r="N113" s="384"/>
    </row>
    <row r="114" spans="1:14">
      <c r="A114" s="46"/>
      <c r="D114" s="381"/>
      <c r="E114" s="385"/>
      <c r="F114" s="385"/>
      <c r="G114" s="385"/>
      <c r="N114" s="384"/>
    </row>
    <row r="115" spans="1:14">
      <c r="A115" s="46"/>
      <c r="E115" s="385"/>
      <c r="F115" s="385"/>
      <c r="G115" s="385"/>
      <c r="N115" s="384"/>
    </row>
    <row r="116" spans="1:14">
      <c r="A116" s="46"/>
      <c r="B116" s="385"/>
      <c r="C116" s="385"/>
      <c r="D116" s="385"/>
      <c r="E116" s="385"/>
      <c r="F116" s="385"/>
      <c r="G116" s="385"/>
      <c r="N116" s="384"/>
    </row>
    <row r="117" spans="1:14">
      <c r="A117" s="46"/>
      <c r="B117" s="385"/>
      <c r="C117" s="385"/>
      <c r="D117" s="385"/>
      <c r="E117" s="385"/>
      <c r="F117" s="385"/>
      <c r="G117" s="385"/>
      <c r="N117" s="384"/>
    </row>
    <row r="118" spans="1:14">
      <c r="A118" s="46"/>
      <c r="B118" s="385"/>
      <c r="C118" s="385"/>
      <c r="D118" s="385"/>
      <c r="E118" s="385"/>
      <c r="F118" s="385"/>
      <c r="G118" s="385"/>
      <c r="N118" s="384"/>
    </row>
    <row r="119" spans="1:14">
      <c r="A119" s="46"/>
      <c r="B119" s="385"/>
      <c r="C119" s="385"/>
      <c r="D119" s="385"/>
      <c r="E119" s="385"/>
      <c r="F119" s="385"/>
      <c r="G119" s="385"/>
      <c r="I119" s="48"/>
      <c r="N119" s="384"/>
    </row>
    <row r="120" spans="1:14">
      <c r="A120" s="46"/>
      <c r="B120" s="385"/>
      <c r="C120" s="385"/>
      <c r="D120" s="385"/>
      <c r="E120" s="385"/>
      <c r="F120" s="385"/>
      <c r="G120" s="385"/>
      <c r="I120" s="48"/>
      <c r="N120" s="384"/>
    </row>
    <row r="121" spans="1:14">
      <c r="A121" s="46"/>
      <c r="B121" s="385"/>
      <c r="C121" s="385"/>
      <c r="D121" s="385"/>
      <c r="E121" s="385"/>
      <c r="F121" s="385"/>
      <c r="G121" s="385"/>
      <c r="I121" s="48"/>
      <c r="N121" s="384"/>
    </row>
    <row r="122" spans="1:14">
      <c r="A122" s="46"/>
      <c r="B122" s="385"/>
      <c r="C122" s="385"/>
      <c r="D122" s="385"/>
      <c r="E122" s="385"/>
      <c r="F122" s="385"/>
      <c r="G122" s="385"/>
      <c r="I122" s="48"/>
      <c r="N122" s="384"/>
    </row>
    <row r="123" spans="1:14">
      <c r="A123" s="46"/>
      <c r="B123" s="385"/>
      <c r="C123" s="385"/>
      <c r="D123" s="385"/>
      <c r="E123" s="385"/>
      <c r="F123" s="385"/>
      <c r="G123" s="385"/>
      <c r="I123" s="48"/>
      <c r="N123" s="384"/>
    </row>
    <row r="124" spans="1:14">
      <c r="A124" s="46"/>
      <c r="B124" s="385"/>
      <c r="C124" s="385"/>
      <c r="D124" s="385"/>
      <c r="E124" s="385"/>
      <c r="F124" s="385"/>
      <c r="G124" s="385"/>
      <c r="I124" s="48"/>
      <c r="N124" s="384"/>
    </row>
    <row r="125" spans="1:14">
      <c r="A125" s="46"/>
      <c r="B125" s="385"/>
      <c r="C125" s="385"/>
      <c r="D125" s="385"/>
      <c r="E125" s="385"/>
      <c r="F125" s="385"/>
      <c r="G125" s="385"/>
      <c r="I125" s="48"/>
      <c r="N125" s="384"/>
    </row>
    <row r="126" spans="1:14">
      <c r="A126" s="46"/>
      <c r="B126" s="385"/>
      <c r="C126" s="385"/>
      <c r="D126" s="385"/>
      <c r="E126" s="385"/>
      <c r="F126" s="385"/>
      <c r="G126" s="385"/>
      <c r="I126" s="48"/>
      <c r="N126" s="384"/>
    </row>
    <row r="127" spans="1:14">
      <c r="A127" s="46"/>
      <c r="B127" s="385"/>
      <c r="C127" s="385"/>
      <c r="D127" s="385"/>
      <c r="E127" s="385"/>
      <c r="F127" s="385"/>
      <c r="G127" s="385"/>
      <c r="I127" s="48"/>
      <c r="N127" s="384"/>
    </row>
    <row r="128" spans="1:14">
      <c r="A128" s="46"/>
      <c r="B128" s="385"/>
      <c r="C128" s="385"/>
      <c r="D128" s="385"/>
      <c r="E128" s="385"/>
      <c r="F128" s="385"/>
      <c r="G128" s="385"/>
      <c r="I128" s="48"/>
      <c r="N128" s="384"/>
    </row>
    <row r="129" spans="1:14">
      <c r="A129" s="46"/>
      <c r="B129" s="385"/>
      <c r="C129" s="385"/>
      <c r="D129" s="385"/>
      <c r="E129" s="385"/>
      <c r="F129" s="385"/>
      <c r="G129" s="385"/>
      <c r="I129" s="48"/>
      <c r="N129" s="384"/>
    </row>
    <row r="130" spans="1:14">
      <c r="A130" s="46"/>
      <c r="B130" s="385"/>
      <c r="C130" s="385"/>
      <c r="D130" s="385"/>
      <c r="E130" s="385"/>
      <c r="F130" s="385"/>
      <c r="G130" s="385"/>
      <c r="I130" s="48"/>
      <c r="N130" s="384"/>
    </row>
    <row r="131" spans="1:14">
      <c r="A131" s="46"/>
      <c r="B131" s="385"/>
      <c r="C131" s="385"/>
      <c r="D131" s="385"/>
      <c r="E131" s="385"/>
      <c r="F131" s="385"/>
      <c r="G131" s="385"/>
      <c r="I131" s="48"/>
      <c r="N131" s="384"/>
    </row>
    <row r="132" spans="1:14">
      <c r="A132" s="46"/>
      <c r="B132" s="385"/>
      <c r="C132" s="385"/>
      <c r="D132" s="385"/>
      <c r="E132" s="385"/>
      <c r="F132" s="385"/>
      <c r="G132" s="385"/>
      <c r="I132" s="48"/>
      <c r="N132" s="384"/>
    </row>
    <row r="133" spans="1:14">
      <c r="A133" s="46"/>
      <c r="B133" s="385"/>
      <c r="C133" s="385"/>
      <c r="D133" s="385"/>
      <c r="E133" s="385"/>
      <c r="F133" s="385"/>
      <c r="G133" s="385"/>
      <c r="I133" s="48"/>
      <c r="N133" s="384"/>
    </row>
    <row r="134" spans="1:14">
      <c r="A134" s="46"/>
      <c r="B134" s="385"/>
      <c r="C134" s="385"/>
      <c r="D134" s="385"/>
      <c r="E134" s="385"/>
      <c r="F134" s="385"/>
      <c r="G134" s="385"/>
      <c r="I134" s="48"/>
      <c r="N134" s="384"/>
    </row>
  </sheetData>
  <autoFilter ref="A1:P104" xr:uid="{00000000-0009-0000-0000-000019000000}">
    <filterColumn colId="0">
      <filters>
        <filter val="UMass Lowell1"/>
        <filter val="UMass Lowell2"/>
        <filter val="UMass Lowell3"/>
        <filter val="UMass Lowell4"/>
        <filter val="UMass Lowell5"/>
      </filters>
    </filterColumn>
  </autoFilter>
  <mergeCells count="4">
    <mergeCell ref="D46:D49"/>
    <mergeCell ref="I46:I49"/>
    <mergeCell ref="D50:D52"/>
    <mergeCell ref="I50:I52"/>
  </mergeCells>
  <dataValidations count="1">
    <dataValidation type="list" allowBlank="1" showInputMessage="1" showErrorMessage="1" sqref="C105:C1048576 C1 F20:F29 F32:F54 F1:F18 F56:F1048576" xr:uid="{00000000-0002-0000-1900-000000000000}"/>
  </dataValidations>
  <hyperlinks>
    <hyperlink ref="I30" r:id="rId1" xr:uid="{00000000-0004-0000-1900-000000000000}"/>
    <hyperlink ref="J6" r:id="rId2" xr:uid="{00000000-0004-0000-1900-000001000000}"/>
    <hyperlink ref="H60" r:id="rId3" xr:uid="{00000000-0004-0000-1900-000002000000}"/>
    <hyperlink ref="J64" r:id="rId4" location="7.%20ROOFTOP%20COURTYARD" xr:uid="{00000000-0004-0000-1900-000003000000}"/>
    <hyperlink ref="H7" r:id="rId5" xr:uid="{00000000-0004-0000-1900-000004000000}"/>
    <hyperlink ref="H8" r:id="rId6" xr:uid="{00000000-0004-0000-1900-000005000000}"/>
    <hyperlink ref="J9" r:id="rId7" xr:uid="{00000000-0004-0000-1900-000006000000}"/>
    <hyperlink ref="J10" r:id="rId8" xr:uid="{00000000-0004-0000-1900-000007000000}"/>
    <hyperlink ref="H9" r:id="rId9" xr:uid="{00000000-0004-0000-1900-000008000000}"/>
    <hyperlink ref="H10" r:id="rId10" xr:uid="{00000000-0004-0000-1900-000009000000}"/>
    <hyperlink ref="J4" r:id="rId11" xr:uid="{00000000-0004-0000-1900-00000A000000}"/>
    <hyperlink ref="H4" r:id="rId12" display="mailto:joe.desa@bristolcc.edu" xr:uid="{00000000-0004-0000-1900-00000B000000}"/>
    <hyperlink ref="J7" r:id="rId13" xr:uid="{00000000-0004-0000-1900-00000C000000}"/>
    <hyperlink ref="J8" r:id="rId14" xr:uid="{00000000-0004-0000-1900-00000D000000}"/>
    <hyperlink ref="H56" r:id="rId15" xr:uid="{00000000-0004-0000-1900-00000E000000}"/>
    <hyperlink ref="H57" r:id="rId16" xr:uid="{00000000-0004-0000-1900-00000F000000}"/>
    <hyperlink ref="H24" r:id="rId17" xr:uid="{00000000-0004-0000-1900-000010000000}"/>
    <hyperlink ref="H72" r:id="rId18" xr:uid="{00000000-0004-0000-1900-000011000000}"/>
    <hyperlink ref="J61" r:id="rId19" xr:uid="{00000000-0004-0000-1900-000012000000}"/>
    <hyperlink ref="H58" r:id="rId20" xr:uid="{00000000-0004-0000-1900-000013000000}"/>
    <hyperlink ref="J75" r:id="rId21" xr:uid="{00000000-0004-0000-1900-000014000000}"/>
    <hyperlink ref="J63" r:id="rId22" xr:uid="{00000000-0004-0000-1900-000015000000}"/>
    <hyperlink ref="J62" r:id="rId23" xr:uid="{00000000-0004-0000-1900-000016000000}"/>
    <hyperlink ref="J58" r:id="rId24" xr:uid="{00000000-0004-0000-1900-000017000000}"/>
    <hyperlink ref="J35" r:id="rId25" xr:uid="{00000000-0004-0000-1900-000018000000}"/>
    <hyperlink ref="H75" r:id="rId26" xr:uid="{00000000-0004-0000-1900-000019000000}"/>
    <hyperlink ref="H76:H77" r:id="rId27" display="Erik Shaw" xr:uid="{00000000-0004-0000-1900-00001A000000}"/>
    <hyperlink ref="H61" r:id="rId28" xr:uid="{00000000-0004-0000-1900-00001B000000}"/>
    <hyperlink ref="H62" r:id="rId29" xr:uid="{00000000-0004-0000-1900-00001C000000}"/>
    <hyperlink ref="H5" r:id="rId30" display="mailto:joe.desa@bristolcc.edu" xr:uid="{00000000-0004-0000-1900-00001D000000}"/>
    <hyperlink ref="J17" r:id="rId31" xr:uid="{00000000-0004-0000-1900-00001E000000}"/>
    <hyperlink ref="J18" r:id="rId32" xr:uid="{00000000-0004-0000-1900-00001F000000}"/>
    <hyperlink ref="J20" r:id="rId33" xr:uid="{00000000-0004-0000-1900-000020000000}"/>
    <hyperlink ref="J22" r:id="rId34" xr:uid="{00000000-0004-0000-1900-000021000000}"/>
    <hyperlink ref="J23" r:id="rId35" xr:uid="{00000000-0004-0000-1900-000022000000}"/>
    <hyperlink ref="J24" r:id="rId36" xr:uid="{00000000-0004-0000-1900-000023000000}"/>
    <hyperlink ref="J26" r:id="rId37" xr:uid="{00000000-0004-0000-1900-000024000000}"/>
    <hyperlink ref="J27" r:id="rId38" xr:uid="{00000000-0004-0000-1900-000025000000}"/>
    <hyperlink ref="J33" r:id="rId39" xr:uid="{00000000-0004-0000-1900-000026000000}"/>
    <hyperlink ref="J34" r:id="rId40" xr:uid="{00000000-0004-0000-1900-000027000000}"/>
    <hyperlink ref="H3" r:id="rId41" display="mailto:joe.desa@bristolcc.edu" xr:uid="{00000000-0004-0000-1900-000028000000}"/>
    <hyperlink ref="J29" r:id="rId42" xr:uid="{00000000-0004-0000-1900-000029000000}"/>
    <hyperlink ref="H36:H39" r:id="rId43" display="Tara Mitchell" xr:uid="{00000000-0004-0000-1900-00002A000000}"/>
    <hyperlink ref="K1" r:id="rId44" location="interactive-map-" xr:uid="{00000000-0004-0000-1900-00002B000000}"/>
    <hyperlink ref="L78" r:id="rId45" xr:uid="{00000000-0004-0000-1900-00002C000000}"/>
    <hyperlink ref="L30" r:id="rId46" xr:uid="{00000000-0004-0000-1900-00002D000000}"/>
    <hyperlink ref="H40" r:id="rId47" xr:uid="{00000000-0004-0000-1900-00002E000000}"/>
    <hyperlink ref="J36:J44" r:id="rId48" display="Yes" xr:uid="{00000000-0004-0000-1900-00002F000000}"/>
    <hyperlink ref="J46:J54" r:id="rId49" display="Yes" xr:uid="{00000000-0004-0000-1900-000030000000}"/>
    <hyperlink ref="H13" r:id="rId50" xr:uid="{00000000-0004-0000-1900-000031000000}"/>
    <hyperlink ref="H14" r:id="rId51" xr:uid="{00000000-0004-0000-1900-000032000000}"/>
    <hyperlink ref="H15" r:id="rId52" xr:uid="{00000000-0004-0000-1900-000033000000}"/>
    <hyperlink ref="H41" r:id="rId53" xr:uid="{00000000-0004-0000-1900-000034000000}"/>
    <hyperlink ref="H42" r:id="rId54" xr:uid="{00000000-0004-0000-1900-000035000000}"/>
    <hyperlink ref="H43" r:id="rId55" xr:uid="{00000000-0004-0000-1900-000036000000}"/>
    <hyperlink ref="H44" r:id="rId56" xr:uid="{00000000-0004-0000-1900-000037000000}"/>
    <hyperlink ref="H45" r:id="rId57" xr:uid="{00000000-0004-0000-1900-000038000000}"/>
    <hyperlink ref="H46" r:id="rId58" xr:uid="{00000000-0004-0000-1900-000039000000}"/>
    <hyperlink ref="H47" r:id="rId59" xr:uid="{00000000-0004-0000-1900-00003A000000}"/>
    <hyperlink ref="H48" r:id="rId60" xr:uid="{00000000-0004-0000-1900-00003B000000}"/>
    <hyperlink ref="H49" r:id="rId61" xr:uid="{00000000-0004-0000-1900-00003C000000}"/>
    <hyperlink ref="H50" r:id="rId62" xr:uid="{00000000-0004-0000-1900-00003D000000}"/>
    <hyperlink ref="H51" r:id="rId63" xr:uid="{00000000-0004-0000-1900-00003E000000}"/>
    <hyperlink ref="H52" r:id="rId64" xr:uid="{00000000-0004-0000-1900-00003F000000}"/>
    <hyperlink ref="H53" r:id="rId65" xr:uid="{00000000-0004-0000-1900-000040000000}"/>
    <hyperlink ref="H54" r:id="rId66" xr:uid="{00000000-0004-0000-1900-000041000000}"/>
    <hyperlink ref="H78" r:id="rId67" xr:uid="{00000000-0004-0000-1900-000042000000}"/>
    <hyperlink ref="J76" r:id="rId68" xr:uid="{00000000-0004-0000-1900-000043000000}"/>
    <hyperlink ref="H32" r:id="rId69" xr:uid="{00000000-0004-0000-1900-000044000000}"/>
    <hyperlink ref="H33:H34" r:id="rId70" display="Andrew Oguma and Michael Bankson" xr:uid="{00000000-0004-0000-1900-000045000000}"/>
    <hyperlink ref="H65" r:id="rId71" xr:uid="{00000000-0004-0000-1900-000046000000}"/>
    <hyperlink ref="H66:H68" r:id="rId72" display="Lee Michalopoulos " xr:uid="{00000000-0004-0000-1900-000047000000}"/>
    <hyperlink ref="J65" r:id="rId73" xr:uid="{00000000-0004-0000-1900-000048000000}"/>
    <hyperlink ref="J66:J68" r:id="rId74" display="Yes" xr:uid="{00000000-0004-0000-1900-000049000000}"/>
    <hyperlink ref="B86" r:id="rId75" xr:uid="{95C5CAFB-FAD5-4D85-A50E-5BBE6F0829ED}"/>
    <hyperlink ref="H79" r:id="rId76" xr:uid="{4FB8D29A-E48B-483A-A452-EAC214392650}"/>
    <hyperlink ref="H82" r:id="rId77" xr:uid="{C1A10857-7337-48C0-B715-B642C3C50DC4}"/>
    <hyperlink ref="M82" r:id="rId78" xr:uid="{C48590F8-02CC-4640-B608-B001F5540F3F}"/>
    <hyperlink ref="H84" r:id="rId79" xr:uid="{95E148D7-5C0E-42AC-88BC-23A9C6847891}"/>
    <hyperlink ref="J83:J84" r:id="rId80" display="Yes" xr:uid="{86980376-9F59-49F9-A2D6-387AA6E7837D}"/>
    <hyperlink ref="J86" r:id="rId81" display="Yes" xr:uid="{6F73A226-A340-4BC9-B0C2-0E592EE78495}"/>
    <hyperlink ref="J87:J88" r:id="rId82" display="Yes" xr:uid="{FA170190-6A80-48D1-BBCC-93EFA003D2E4}"/>
    <hyperlink ref="J87" r:id="rId83" xr:uid="{EA4FB8C6-9E39-4D35-8E56-9CDC81FD8DA9}"/>
    <hyperlink ref="J89" r:id="rId84" display="Yes" xr:uid="{BACA25F5-BDD1-407E-9E77-72C3871B7B99}"/>
    <hyperlink ref="J90" r:id="rId85" display="Yes" xr:uid="{887DCCDC-07A5-40F6-95A1-504861F20259}"/>
    <hyperlink ref="H90" r:id="rId86" xr:uid="{3B732097-F587-4942-B15E-1C9DE905A08E}"/>
    <hyperlink ref="I92" r:id="rId87" xr:uid="{D5D549F4-B1CA-46B2-904B-3BBDDB1D3A7B}"/>
  </hyperlinks>
  <pageMargins left="0.7" right="0.7" top="0.75" bottom="0.75" header="0.3" footer="0.3"/>
  <legacyDrawing r:id="rId8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FBFB4-FF22-4ECB-80A1-4504EBD71A22}">
  <dimension ref="A1:F154"/>
  <sheetViews>
    <sheetView workbookViewId="0">
      <selection activeCell="A132" sqref="A132"/>
    </sheetView>
  </sheetViews>
  <sheetFormatPr defaultRowHeight="14.5"/>
  <cols>
    <col min="1" max="1" width="40.7265625" customWidth="1"/>
    <col min="2" max="2" width="31.453125" style="49" customWidth="1"/>
    <col min="3" max="3" width="21.08984375" customWidth="1"/>
    <col min="4" max="4" width="17.26953125" customWidth="1"/>
    <col min="5" max="5" width="11.90625" customWidth="1"/>
    <col min="6" max="6" width="80.36328125" customWidth="1"/>
    <col min="7" max="7" width="12.453125" bestFit="1" customWidth="1"/>
    <col min="8" max="8" width="8.26953125" bestFit="1" customWidth="1"/>
    <col min="9" max="9" width="16.1796875" bestFit="1" customWidth="1"/>
  </cols>
  <sheetData>
    <row r="1" spans="1:6">
      <c r="A1" s="670" t="s">
        <v>1276</v>
      </c>
      <c r="B1" s="670" t="s">
        <v>972</v>
      </c>
      <c r="C1" s="670" t="s">
        <v>1012</v>
      </c>
      <c r="D1" s="670" t="s">
        <v>1013</v>
      </c>
      <c r="E1" s="670" t="s">
        <v>1014</v>
      </c>
      <c r="F1" s="670" t="s">
        <v>1015</v>
      </c>
    </row>
    <row r="2" spans="1:6" ht="29">
      <c r="A2" s="669" t="s">
        <v>1275</v>
      </c>
      <c r="B2" s="346" t="s">
        <v>222</v>
      </c>
      <c r="C2" s="669" t="s">
        <v>1219</v>
      </c>
      <c r="D2" s="669" t="s">
        <v>1273</v>
      </c>
      <c r="E2" s="669">
        <v>2</v>
      </c>
      <c r="F2" s="329" t="s">
        <v>1274</v>
      </c>
    </row>
    <row r="3" spans="1:6">
      <c r="A3" s="669" t="s">
        <v>1582</v>
      </c>
      <c r="B3" s="346" t="s">
        <v>222</v>
      </c>
      <c r="C3" s="346" t="s">
        <v>1263</v>
      </c>
      <c r="D3" s="346" t="s">
        <v>1575</v>
      </c>
      <c r="E3" s="346">
        <v>2</v>
      </c>
      <c r="F3" s="329"/>
    </row>
    <row r="4" spans="1:6">
      <c r="A4" s="669" t="s">
        <v>1583</v>
      </c>
      <c r="B4" s="346" t="s">
        <v>222</v>
      </c>
      <c r="C4" s="346" t="s">
        <v>1262</v>
      </c>
      <c r="D4" s="346" t="s">
        <v>1575</v>
      </c>
      <c r="E4" s="346">
        <v>2</v>
      </c>
      <c r="F4" s="329"/>
    </row>
    <row r="5" spans="1:6">
      <c r="A5" s="669" t="s">
        <v>1584</v>
      </c>
      <c r="B5" s="346" t="s">
        <v>222</v>
      </c>
      <c r="C5" s="346" t="s">
        <v>1549</v>
      </c>
      <c r="D5" s="346" t="s">
        <v>1575</v>
      </c>
      <c r="E5" s="346">
        <v>1</v>
      </c>
      <c r="F5" s="329"/>
    </row>
    <row r="6" spans="1:6">
      <c r="A6" s="669" t="s">
        <v>1585</v>
      </c>
      <c r="B6" s="346" t="s">
        <v>222</v>
      </c>
      <c r="C6" s="346" t="s">
        <v>1265</v>
      </c>
      <c r="D6" s="346" t="s">
        <v>1575</v>
      </c>
      <c r="E6" s="346">
        <v>2</v>
      </c>
      <c r="F6" s="329"/>
    </row>
    <row r="7" spans="1:6">
      <c r="A7" s="669" t="s">
        <v>1586</v>
      </c>
      <c r="B7" s="346" t="s">
        <v>222</v>
      </c>
      <c r="C7" s="346" t="s">
        <v>1550</v>
      </c>
      <c r="D7" s="346" t="s">
        <v>1575</v>
      </c>
      <c r="E7" s="346">
        <v>2</v>
      </c>
      <c r="F7" s="329"/>
    </row>
    <row r="8" spans="1:6">
      <c r="A8" s="669" t="s">
        <v>1587</v>
      </c>
      <c r="B8" s="346" t="s">
        <v>222</v>
      </c>
      <c r="C8" s="346" t="s">
        <v>1551</v>
      </c>
      <c r="D8" s="346" t="s">
        <v>1575</v>
      </c>
      <c r="E8" s="346">
        <v>2</v>
      </c>
      <c r="F8" s="329"/>
    </row>
    <row r="9" spans="1:6">
      <c r="A9" s="669" t="s">
        <v>1588</v>
      </c>
      <c r="B9" s="346" t="s">
        <v>1326</v>
      </c>
      <c r="C9" s="346" t="s">
        <v>1540</v>
      </c>
      <c r="D9" s="346" t="s">
        <v>1571</v>
      </c>
      <c r="E9" s="346">
        <v>1</v>
      </c>
      <c r="F9" s="346"/>
    </row>
    <row r="10" spans="1:6">
      <c r="A10" s="669" t="s">
        <v>1589</v>
      </c>
      <c r="B10" s="346" t="s">
        <v>1326</v>
      </c>
      <c r="C10" s="346" t="s">
        <v>1541</v>
      </c>
      <c r="D10" s="346" t="s">
        <v>1572</v>
      </c>
      <c r="E10" s="346">
        <v>2</v>
      </c>
      <c r="F10" s="346"/>
    </row>
    <row r="11" spans="1:6">
      <c r="A11" s="669" t="s">
        <v>1590</v>
      </c>
      <c r="B11" s="346" t="s">
        <v>1326</v>
      </c>
      <c r="C11" s="346" t="s">
        <v>1542</v>
      </c>
      <c r="D11" s="346" t="s">
        <v>1572</v>
      </c>
      <c r="E11" s="346">
        <v>2</v>
      </c>
      <c r="F11" s="346"/>
    </row>
    <row r="12" spans="1:6">
      <c r="A12" s="669" t="s">
        <v>1591</v>
      </c>
      <c r="B12" s="346" t="s">
        <v>1326</v>
      </c>
      <c r="C12" s="346" t="s">
        <v>1543</v>
      </c>
      <c r="D12" s="346" t="s">
        <v>1573</v>
      </c>
      <c r="E12" s="346">
        <v>1</v>
      </c>
      <c r="F12" s="346"/>
    </row>
    <row r="13" spans="1:6">
      <c r="A13" s="669" t="s">
        <v>1592</v>
      </c>
      <c r="B13" s="346" t="s">
        <v>1326</v>
      </c>
      <c r="C13" s="346" t="s">
        <v>1544</v>
      </c>
      <c r="D13" s="346" t="s">
        <v>1573</v>
      </c>
      <c r="E13" s="346">
        <v>1</v>
      </c>
      <c r="F13" s="346"/>
    </row>
    <row r="14" spans="1:6">
      <c r="A14" s="669" t="s">
        <v>1593</v>
      </c>
      <c r="B14" s="346" t="s">
        <v>1516</v>
      </c>
      <c r="C14" s="346" t="s">
        <v>1545</v>
      </c>
      <c r="D14" s="346" t="s">
        <v>1574</v>
      </c>
      <c r="E14" s="346">
        <v>1</v>
      </c>
      <c r="F14" s="346"/>
    </row>
    <row r="15" spans="1:6">
      <c r="A15" s="669" t="s">
        <v>1594</v>
      </c>
      <c r="B15" s="346" t="s">
        <v>1517</v>
      </c>
      <c r="C15" s="346" t="s">
        <v>1545</v>
      </c>
      <c r="D15" s="346" t="s">
        <v>1574</v>
      </c>
      <c r="E15" s="346">
        <v>1</v>
      </c>
      <c r="F15" s="346"/>
    </row>
    <row r="16" spans="1:6">
      <c r="A16" s="669" t="s">
        <v>1595</v>
      </c>
      <c r="B16" s="346" t="s">
        <v>1518</v>
      </c>
      <c r="C16" s="346" t="s">
        <v>1258</v>
      </c>
      <c r="D16" s="346" t="s">
        <v>1573</v>
      </c>
      <c r="E16" s="346">
        <v>2</v>
      </c>
      <c r="F16" s="346"/>
    </row>
    <row r="17" spans="1:6">
      <c r="A17" s="669" t="s">
        <v>1596</v>
      </c>
      <c r="B17" s="346" t="s">
        <v>1519</v>
      </c>
      <c r="C17" s="346" t="s">
        <v>1258</v>
      </c>
      <c r="D17" s="346" t="s">
        <v>1575</v>
      </c>
      <c r="E17" s="346">
        <v>1</v>
      </c>
      <c r="F17" s="346"/>
    </row>
    <row r="18" spans="1:6">
      <c r="A18" s="669" t="s">
        <v>1597</v>
      </c>
      <c r="B18" s="346" t="s">
        <v>1520</v>
      </c>
      <c r="C18" s="346" t="s">
        <v>1263</v>
      </c>
      <c r="D18" s="671"/>
      <c r="E18" s="671">
        <v>1</v>
      </c>
      <c r="F18" s="346"/>
    </row>
    <row r="19" spans="1:6">
      <c r="A19" s="669" t="s">
        <v>1598</v>
      </c>
      <c r="B19" s="333" t="s">
        <v>785</v>
      </c>
      <c r="C19" s="346" t="s">
        <v>1546</v>
      </c>
      <c r="D19" s="346" t="s">
        <v>1576</v>
      </c>
      <c r="E19" s="346">
        <v>2</v>
      </c>
      <c r="F19" s="346"/>
    </row>
    <row r="20" spans="1:6">
      <c r="A20" s="669" t="s">
        <v>1599</v>
      </c>
      <c r="B20" s="333" t="s">
        <v>785</v>
      </c>
      <c r="C20" s="346" t="s">
        <v>1546</v>
      </c>
      <c r="D20" s="346" t="s">
        <v>1577</v>
      </c>
      <c r="E20" s="346">
        <v>1</v>
      </c>
      <c r="F20" s="346"/>
    </row>
    <row r="21" spans="1:6">
      <c r="A21" s="669" t="s">
        <v>1600</v>
      </c>
      <c r="B21" s="333" t="s">
        <v>785</v>
      </c>
      <c r="C21" s="672" t="s">
        <v>1547</v>
      </c>
      <c r="D21" s="346"/>
      <c r="E21" s="671"/>
      <c r="F21" s="346"/>
    </row>
    <row r="22" spans="1:6">
      <c r="A22" s="669" t="s">
        <v>1601</v>
      </c>
      <c r="B22" s="333" t="s">
        <v>794</v>
      </c>
      <c r="C22" s="333" t="s">
        <v>1546</v>
      </c>
      <c r="D22" s="346"/>
      <c r="E22" s="346">
        <v>8</v>
      </c>
      <c r="F22" s="346"/>
    </row>
    <row r="23" spans="1:6">
      <c r="A23" s="669" t="s">
        <v>1602</v>
      </c>
      <c r="B23" s="333" t="s">
        <v>794</v>
      </c>
      <c r="C23" s="333" t="s">
        <v>1548</v>
      </c>
      <c r="D23" s="346"/>
      <c r="E23" s="346">
        <v>1</v>
      </c>
      <c r="F23" s="346"/>
    </row>
    <row r="24" spans="1:6">
      <c r="A24" s="669" t="s">
        <v>1603</v>
      </c>
      <c r="B24" s="346" t="s">
        <v>1521</v>
      </c>
      <c r="C24" s="346" t="s">
        <v>1552</v>
      </c>
      <c r="D24" s="346" t="s">
        <v>1578</v>
      </c>
      <c r="E24" s="346">
        <v>3</v>
      </c>
      <c r="F24" s="346"/>
    </row>
    <row r="25" spans="1:6">
      <c r="A25" s="669" t="s">
        <v>1604</v>
      </c>
      <c r="B25" s="346" t="s">
        <v>1521</v>
      </c>
      <c r="C25" s="346" t="s">
        <v>1553</v>
      </c>
      <c r="D25" s="346" t="s">
        <v>1578</v>
      </c>
      <c r="E25" s="346">
        <v>1</v>
      </c>
      <c r="F25" s="346"/>
    </row>
    <row r="26" spans="1:6">
      <c r="A26" s="669" t="s">
        <v>1605</v>
      </c>
      <c r="B26" s="346" t="s">
        <v>1521</v>
      </c>
      <c r="C26" s="346" t="s">
        <v>1262</v>
      </c>
      <c r="D26" s="346" t="s">
        <v>1579</v>
      </c>
      <c r="E26" s="346">
        <v>3</v>
      </c>
      <c r="F26" s="346"/>
    </row>
    <row r="27" spans="1:6">
      <c r="A27" s="669" t="s">
        <v>1606</v>
      </c>
      <c r="B27" s="346" t="s">
        <v>1521</v>
      </c>
      <c r="C27" s="346" t="s">
        <v>1554</v>
      </c>
      <c r="D27" s="346" t="s">
        <v>1579</v>
      </c>
      <c r="E27" s="346">
        <v>6</v>
      </c>
      <c r="F27" s="346"/>
    </row>
    <row r="28" spans="1:6">
      <c r="A28" s="669" t="s">
        <v>1607</v>
      </c>
      <c r="B28" s="346" t="s">
        <v>1522</v>
      </c>
      <c r="C28" s="346" t="s">
        <v>1262</v>
      </c>
      <c r="D28" s="346" t="s">
        <v>1580</v>
      </c>
      <c r="E28" s="346">
        <v>5</v>
      </c>
      <c r="F28" s="346"/>
    </row>
    <row r="29" spans="1:6">
      <c r="A29" s="669" t="s">
        <v>1608</v>
      </c>
      <c r="B29" s="346" t="s">
        <v>1523</v>
      </c>
      <c r="C29" s="346" t="s">
        <v>1262</v>
      </c>
      <c r="D29" s="346" t="s">
        <v>1579</v>
      </c>
      <c r="E29" s="346">
        <v>1</v>
      </c>
      <c r="F29" s="346"/>
    </row>
    <row r="30" spans="1:6">
      <c r="A30" s="669" t="s">
        <v>1609</v>
      </c>
      <c r="B30" s="346" t="s">
        <v>1523</v>
      </c>
      <c r="C30" s="346" t="s">
        <v>1551</v>
      </c>
      <c r="D30" s="346" t="s">
        <v>1579</v>
      </c>
      <c r="E30" s="346">
        <v>1</v>
      </c>
      <c r="F30" s="346"/>
    </row>
    <row r="31" spans="1:6">
      <c r="A31" s="669" t="s">
        <v>1610</v>
      </c>
      <c r="B31" s="346" t="s">
        <v>1524</v>
      </c>
      <c r="C31" s="346" t="s">
        <v>1541</v>
      </c>
      <c r="D31" s="346" t="s">
        <v>1575</v>
      </c>
      <c r="E31" s="346">
        <v>2</v>
      </c>
      <c r="F31" s="346"/>
    </row>
    <row r="32" spans="1:6">
      <c r="A32" s="669" t="s">
        <v>1611</v>
      </c>
      <c r="B32" s="346" t="s">
        <v>1524</v>
      </c>
      <c r="C32" s="346" t="s">
        <v>1555</v>
      </c>
      <c r="D32" s="346" t="s">
        <v>1579</v>
      </c>
      <c r="E32" s="346">
        <v>2</v>
      </c>
      <c r="F32" s="346"/>
    </row>
    <row r="33" spans="1:6">
      <c r="A33" s="669" t="s">
        <v>1612</v>
      </c>
      <c r="B33" s="346" t="s">
        <v>1524</v>
      </c>
      <c r="C33" s="346" t="s">
        <v>1556</v>
      </c>
      <c r="D33" s="346" t="s">
        <v>1579</v>
      </c>
      <c r="E33" s="346">
        <v>2</v>
      </c>
      <c r="F33" s="346"/>
    </row>
    <row r="34" spans="1:6">
      <c r="A34" s="669" t="s">
        <v>1613</v>
      </c>
      <c r="B34" s="346" t="s">
        <v>1524</v>
      </c>
      <c r="C34" s="346" t="s">
        <v>1264</v>
      </c>
      <c r="D34" s="346" t="s">
        <v>1579</v>
      </c>
      <c r="E34" s="346">
        <v>1</v>
      </c>
      <c r="F34" s="346"/>
    </row>
    <row r="35" spans="1:6">
      <c r="A35" s="669" t="s">
        <v>1614</v>
      </c>
      <c r="B35" s="346" t="s">
        <v>1524</v>
      </c>
      <c r="C35" s="346" t="s">
        <v>1557</v>
      </c>
      <c r="D35" s="346" t="s">
        <v>1579</v>
      </c>
      <c r="E35" s="346">
        <v>1</v>
      </c>
      <c r="F35" s="346"/>
    </row>
    <row r="36" spans="1:6">
      <c r="A36" s="669" t="s">
        <v>1615</v>
      </c>
      <c r="B36" s="346" t="s">
        <v>1526</v>
      </c>
      <c r="C36" s="346" t="s">
        <v>1559</v>
      </c>
      <c r="D36" s="346"/>
      <c r="E36" s="346">
        <v>1</v>
      </c>
      <c r="F36" s="346"/>
    </row>
    <row r="37" spans="1:6">
      <c r="A37" s="669" t="s">
        <v>1616</v>
      </c>
      <c r="B37" s="346" t="s">
        <v>1526</v>
      </c>
      <c r="C37" s="346" t="s">
        <v>1560</v>
      </c>
      <c r="D37" s="346"/>
      <c r="E37" s="346">
        <v>1</v>
      </c>
      <c r="F37" s="346"/>
    </row>
    <row r="38" spans="1:6">
      <c r="A38" s="669" t="s">
        <v>1617</v>
      </c>
      <c r="B38" s="346" t="s">
        <v>1526</v>
      </c>
      <c r="C38" s="346" t="s">
        <v>1264</v>
      </c>
      <c r="D38" s="346"/>
      <c r="E38" s="346">
        <v>1</v>
      </c>
      <c r="F38" s="346"/>
    </row>
    <row r="39" spans="1:6">
      <c r="A39" s="669" t="s">
        <v>1618</v>
      </c>
      <c r="B39" s="346" t="s">
        <v>1526</v>
      </c>
      <c r="C39" s="346" t="s">
        <v>1561</v>
      </c>
      <c r="D39" s="346"/>
      <c r="E39" s="346">
        <v>1</v>
      </c>
      <c r="F39" s="346"/>
    </row>
    <row r="40" spans="1:6">
      <c r="A40" s="669" t="s">
        <v>1619</v>
      </c>
      <c r="B40" s="346" t="s">
        <v>1526</v>
      </c>
      <c r="C40" s="346" t="s">
        <v>1562</v>
      </c>
      <c r="D40" s="346"/>
      <c r="E40" s="346"/>
      <c r="F40" s="346"/>
    </row>
    <row r="41" spans="1:6">
      <c r="A41" s="669" t="s">
        <v>1620</v>
      </c>
      <c r="B41" s="346" t="s">
        <v>1526</v>
      </c>
      <c r="C41" s="346" t="s">
        <v>1563</v>
      </c>
      <c r="D41" s="346"/>
      <c r="E41" s="346"/>
      <c r="F41" s="346"/>
    </row>
    <row r="42" spans="1:6">
      <c r="A42" s="669" t="s">
        <v>1621</v>
      </c>
      <c r="B42" s="346" t="s">
        <v>1526</v>
      </c>
      <c r="C42" s="346" t="s">
        <v>1564</v>
      </c>
      <c r="D42" s="346"/>
      <c r="E42" s="346">
        <v>1</v>
      </c>
      <c r="F42" s="346"/>
    </row>
    <row r="43" spans="1:6">
      <c r="A43" s="669" t="s">
        <v>1622</v>
      </c>
      <c r="B43" s="346" t="s">
        <v>1526</v>
      </c>
      <c r="C43" s="346" t="s">
        <v>1565</v>
      </c>
      <c r="D43" s="346"/>
      <c r="E43" s="346">
        <v>1</v>
      </c>
      <c r="F43" s="346"/>
    </row>
    <row r="44" spans="1:6">
      <c r="A44" s="669" t="s">
        <v>1623</v>
      </c>
      <c r="B44" s="346" t="s">
        <v>1526</v>
      </c>
      <c r="C44" s="346" t="s">
        <v>1566</v>
      </c>
      <c r="D44" s="346"/>
      <c r="E44" s="346"/>
      <c r="F44" s="346"/>
    </row>
    <row r="45" spans="1:6">
      <c r="A45" s="669" t="s">
        <v>1624</v>
      </c>
      <c r="B45" s="346" t="s">
        <v>1527</v>
      </c>
      <c r="C45" s="346" t="s">
        <v>1567</v>
      </c>
      <c r="D45" s="346"/>
      <c r="E45" s="346">
        <v>1</v>
      </c>
      <c r="F45" s="346"/>
    </row>
    <row r="46" spans="1:6">
      <c r="A46" s="669" t="s">
        <v>1625</v>
      </c>
      <c r="B46" s="346" t="s">
        <v>1527</v>
      </c>
      <c r="C46" s="346" t="s">
        <v>1560</v>
      </c>
      <c r="D46" s="346"/>
      <c r="E46" s="346">
        <v>1</v>
      </c>
      <c r="F46" s="346"/>
    </row>
    <row r="47" spans="1:6">
      <c r="A47" s="669" t="s">
        <v>1626</v>
      </c>
      <c r="B47" s="346" t="s">
        <v>1527</v>
      </c>
      <c r="C47" s="346" t="s">
        <v>1264</v>
      </c>
      <c r="D47" s="346"/>
      <c r="E47" s="346">
        <v>1</v>
      </c>
      <c r="F47" s="346"/>
    </row>
    <row r="48" spans="1:6">
      <c r="A48" s="669" t="s">
        <v>1627</v>
      </c>
      <c r="B48" s="346" t="s">
        <v>1527</v>
      </c>
      <c r="C48" s="346" t="s">
        <v>1561</v>
      </c>
      <c r="D48" s="346"/>
      <c r="E48" s="346">
        <v>1</v>
      </c>
      <c r="F48" s="346"/>
    </row>
    <row r="49" spans="1:6">
      <c r="A49" s="669" t="s">
        <v>1628</v>
      </c>
      <c r="B49" s="346" t="s">
        <v>1527</v>
      </c>
      <c r="C49" s="346" t="s">
        <v>1562</v>
      </c>
      <c r="D49" s="346"/>
      <c r="E49" s="346"/>
      <c r="F49" s="346"/>
    </row>
    <row r="50" spans="1:6">
      <c r="A50" s="669" t="s">
        <v>1629</v>
      </c>
      <c r="B50" s="346" t="s">
        <v>1527</v>
      </c>
      <c r="C50" s="346" t="s">
        <v>1563</v>
      </c>
      <c r="D50" s="346"/>
      <c r="E50" s="346"/>
      <c r="F50" s="346"/>
    </row>
    <row r="51" spans="1:6">
      <c r="A51" s="669" t="s">
        <v>1630</v>
      </c>
      <c r="B51" s="346" t="s">
        <v>1528</v>
      </c>
      <c r="C51" s="346" t="s">
        <v>1567</v>
      </c>
      <c r="D51" s="346"/>
      <c r="E51" s="346">
        <v>1</v>
      </c>
      <c r="F51" s="346"/>
    </row>
    <row r="52" spans="1:6">
      <c r="A52" s="669" t="s">
        <v>1631</v>
      </c>
      <c r="B52" s="346" t="s">
        <v>1528</v>
      </c>
      <c r="C52" s="346" t="s">
        <v>1560</v>
      </c>
      <c r="D52" s="346"/>
      <c r="E52" s="346">
        <v>1</v>
      </c>
      <c r="F52" s="346"/>
    </row>
    <row r="53" spans="1:6">
      <c r="A53" s="669" t="s">
        <v>1632</v>
      </c>
      <c r="B53" s="346" t="s">
        <v>1528</v>
      </c>
      <c r="C53" s="346" t="s">
        <v>1264</v>
      </c>
      <c r="D53" s="346"/>
      <c r="E53" s="346">
        <v>1</v>
      </c>
      <c r="F53" s="346"/>
    </row>
    <row r="54" spans="1:6">
      <c r="A54" s="669" t="s">
        <v>1633</v>
      </c>
      <c r="B54" s="346" t="s">
        <v>1528</v>
      </c>
      <c r="C54" s="346" t="s">
        <v>1561</v>
      </c>
      <c r="D54" s="346"/>
      <c r="E54" s="346">
        <v>1</v>
      </c>
      <c r="F54" s="346"/>
    </row>
    <row r="55" spans="1:6">
      <c r="A55" s="669" t="s">
        <v>1634</v>
      </c>
      <c r="B55" s="346" t="s">
        <v>1528</v>
      </c>
      <c r="C55" s="346" t="s">
        <v>1562</v>
      </c>
      <c r="D55" s="346"/>
      <c r="E55" s="346"/>
      <c r="F55" s="346"/>
    </row>
    <row r="56" spans="1:6">
      <c r="A56" s="669" t="s">
        <v>1635</v>
      </c>
      <c r="B56" s="346" t="s">
        <v>1528</v>
      </c>
      <c r="C56" s="346" t="s">
        <v>1563</v>
      </c>
      <c r="D56" s="346"/>
      <c r="E56" s="346"/>
      <c r="F56" s="346"/>
    </row>
    <row r="57" spans="1:6">
      <c r="A57" s="669" t="s">
        <v>1636</v>
      </c>
      <c r="B57" s="346" t="s">
        <v>1528</v>
      </c>
      <c r="C57" s="346" t="s">
        <v>1564</v>
      </c>
      <c r="D57" s="346"/>
      <c r="E57" s="346">
        <v>1</v>
      </c>
      <c r="F57" s="346"/>
    </row>
    <row r="58" spans="1:6">
      <c r="A58" s="669" t="s">
        <v>1637</v>
      </c>
      <c r="B58" s="346" t="s">
        <v>1528</v>
      </c>
      <c r="C58" s="346" t="s">
        <v>1565</v>
      </c>
      <c r="D58" s="346"/>
      <c r="E58" s="346">
        <v>1</v>
      </c>
      <c r="F58" s="346"/>
    </row>
    <row r="59" spans="1:6">
      <c r="A59" s="669" t="s">
        <v>1638</v>
      </c>
      <c r="B59" s="346" t="s">
        <v>1529</v>
      </c>
      <c r="C59" s="346" t="s">
        <v>1567</v>
      </c>
      <c r="D59" s="346"/>
      <c r="E59" s="346">
        <v>1</v>
      </c>
      <c r="F59" s="346"/>
    </row>
    <row r="60" spans="1:6">
      <c r="A60" s="669" t="s">
        <v>1639</v>
      </c>
      <c r="B60" s="346" t="s">
        <v>1529</v>
      </c>
      <c r="C60" s="346" t="s">
        <v>1560</v>
      </c>
      <c r="D60" s="346"/>
      <c r="E60" s="346">
        <v>1</v>
      </c>
      <c r="F60" s="346"/>
    </row>
    <row r="61" spans="1:6">
      <c r="A61" s="669" t="s">
        <v>1640</v>
      </c>
      <c r="B61" s="346" t="s">
        <v>1529</v>
      </c>
      <c r="C61" s="346" t="s">
        <v>1264</v>
      </c>
      <c r="D61" s="346"/>
      <c r="E61" s="346">
        <v>1</v>
      </c>
      <c r="F61" s="346"/>
    </row>
    <row r="62" spans="1:6">
      <c r="A62" s="669" t="s">
        <v>1641</v>
      </c>
      <c r="B62" s="346" t="s">
        <v>1529</v>
      </c>
      <c r="C62" s="346" t="s">
        <v>1561</v>
      </c>
      <c r="D62" s="346"/>
      <c r="E62" s="346">
        <v>1</v>
      </c>
      <c r="F62" s="346"/>
    </row>
    <row r="63" spans="1:6">
      <c r="A63" s="669" t="s">
        <v>1642</v>
      </c>
      <c r="B63" s="346" t="s">
        <v>1529</v>
      </c>
      <c r="C63" s="346" t="s">
        <v>1562</v>
      </c>
      <c r="D63" s="346"/>
      <c r="E63" s="346"/>
      <c r="F63" s="346"/>
    </row>
    <row r="64" spans="1:6">
      <c r="A64" s="669" t="s">
        <v>1643</v>
      </c>
      <c r="B64" s="346" t="s">
        <v>1529</v>
      </c>
      <c r="C64" s="346" t="s">
        <v>1563</v>
      </c>
      <c r="D64" s="346"/>
      <c r="E64" s="346"/>
      <c r="F64" s="346"/>
    </row>
    <row r="65" spans="1:6">
      <c r="A65" s="669" t="s">
        <v>1644</v>
      </c>
      <c r="B65" s="346" t="s">
        <v>1529</v>
      </c>
      <c r="C65" s="346" t="s">
        <v>1565</v>
      </c>
      <c r="D65" s="346"/>
      <c r="E65" s="346"/>
      <c r="F65" s="346"/>
    </row>
    <row r="66" spans="1:6">
      <c r="A66" s="669" t="s">
        <v>1645</v>
      </c>
      <c r="B66" s="346" t="s">
        <v>1530</v>
      </c>
      <c r="C66" s="346" t="s">
        <v>1568</v>
      </c>
      <c r="D66" s="346"/>
      <c r="E66" s="346">
        <v>2</v>
      </c>
      <c r="F66" s="346"/>
    </row>
    <row r="67" spans="1:6">
      <c r="A67" s="669" t="s">
        <v>1646</v>
      </c>
      <c r="B67" s="346" t="s">
        <v>1530</v>
      </c>
      <c r="C67" s="346" t="s">
        <v>1560</v>
      </c>
      <c r="D67" s="346"/>
      <c r="E67" s="346">
        <v>1</v>
      </c>
      <c r="F67" s="346"/>
    </row>
    <row r="68" spans="1:6">
      <c r="A68" s="669" t="s">
        <v>1647</v>
      </c>
      <c r="B68" s="346" t="s">
        <v>1530</v>
      </c>
      <c r="C68" s="346" t="s">
        <v>1264</v>
      </c>
      <c r="D68" s="346"/>
      <c r="E68" s="346">
        <v>1</v>
      </c>
      <c r="F68" s="346"/>
    </row>
    <row r="69" spans="1:6">
      <c r="A69" s="669" t="s">
        <v>1648</v>
      </c>
      <c r="B69" s="346" t="s">
        <v>1530</v>
      </c>
      <c r="C69" s="346" t="s">
        <v>1569</v>
      </c>
      <c r="D69" s="346"/>
      <c r="E69" s="346">
        <v>2</v>
      </c>
      <c r="F69" s="346"/>
    </row>
    <row r="70" spans="1:6">
      <c r="A70" s="669" t="s">
        <v>1649</v>
      </c>
      <c r="B70" s="346" t="s">
        <v>1530</v>
      </c>
      <c r="C70" s="346" t="s">
        <v>1551</v>
      </c>
      <c r="D70" s="346"/>
      <c r="E70" s="346">
        <v>1</v>
      </c>
      <c r="F70" s="346"/>
    </row>
    <row r="71" spans="1:6">
      <c r="A71" s="669" t="s">
        <v>1650</v>
      </c>
      <c r="B71" s="346" t="s">
        <v>1530</v>
      </c>
      <c r="C71" s="346" t="s">
        <v>1570</v>
      </c>
      <c r="D71" s="346"/>
      <c r="E71" s="346"/>
      <c r="F71" s="346"/>
    </row>
    <row r="72" spans="1:6">
      <c r="A72" s="669" t="s">
        <v>1651</v>
      </c>
      <c r="B72" s="346" t="s">
        <v>1530</v>
      </c>
      <c r="C72" s="346" t="s">
        <v>1563</v>
      </c>
      <c r="D72" s="346"/>
      <c r="E72" s="346"/>
      <c r="F72" s="346"/>
    </row>
    <row r="73" spans="1:6">
      <c r="A73" s="669" t="s">
        <v>1652</v>
      </c>
      <c r="B73" s="346" t="s">
        <v>1530</v>
      </c>
      <c r="C73" s="346" t="s">
        <v>1565</v>
      </c>
      <c r="D73" s="346"/>
      <c r="E73" s="346">
        <v>1</v>
      </c>
      <c r="F73" s="346"/>
    </row>
    <row r="74" spans="1:6">
      <c r="A74" s="669" t="s">
        <v>1653</v>
      </c>
      <c r="B74" s="346" t="s">
        <v>1531</v>
      </c>
      <c r="C74" s="346" t="s">
        <v>1567</v>
      </c>
      <c r="D74" s="346"/>
      <c r="E74" s="346">
        <v>1</v>
      </c>
      <c r="F74" s="346"/>
    </row>
    <row r="75" spans="1:6">
      <c r="A75" s="669" t="s">
        <v>1654</v>
      </c>
      <c r="B75" s="346" t="s">
        <v>1531</v>
      </c>
      <c r="C75" s="346" t="s">
        <v>1560</v>
      </c>
      <c r="D75" s="346"/>
      <c r="E75" s="346">
        <v>1</v>
      </c>
      <c r="F75" s="346"/>
    </row>
    <row r="76" spans="1:6">
      <c r="A76" s="669" t="s">
        <v>1655</v>
      </c>
      <c r="B76" s="346" t="s">
        <v>1531</v>
      </c>
      <c r="C76" s="346" t="s">
        <v>1264</v>
      </c>
      <c r="D76" s="346"/>
      <c r="E76" s="346">
        <v>1</v>
      </c>
      <c r="F76" s="346"/>
    </row>
    <row r="77" spans="1:6">
      <c r="A77" s="669" t="s">
        <v>1656</v>
      </c>
      <c r="B77" s="346" t="s">
        <v>1531</v>
      </c>
      <c r="C77" s="346" t="s">
        <v>1561</v>
      </c>
      <c r="D77" s="346"/>
      <c r="E77" s="346">
        <v>1</v>
      </c>
      <c r="F77" s="346"/>
    </row>
    <row r="78" spans="1:6">
      <c r="A78" s="669" t="s">
        <v>1657</v>
      </c>
      <c r="B78" s="346" t="s">
        <v>1531</v>
      </c>
      <c r="C78" s="346" t="s">
        <v>1562</v>
      </c>
      <c r="D78" s="346"/>
      <c r="E78" s="346"/>
      <c r="F78" s="346"/>
    </row>
    <row r="79" spans="1:6">
      <c r="A79" s="669" t="s">
        <v>1658</v>
      </c>
      <c r="B79" s="346" t="s">
        <v>1531</v>
      </c>
      <c r="C79" s="346" t="s">
        <v>1563</v>
      </c>
      <c r="D79" s="346"/>
      <c r="E79" s="346"/>
      <c r="F79" s="346"/>
    </row>
    <row r="80" spans="1:6">
      <c r="A80" s="669" t="s">
        <v>1659</v>
      </c>
      <c r="B80" s="346" t="s">
        <v>1532</v>
      </c>
      <c r="C80" s="346" t="s">
        <v>1567</v>
      </c>
      <c r="D80" s="346"/>
      <c r="E80" s="346">
        <v>1</v>
      </c>
      <c r="F80" s="346"/>
    </row>
    <row r="81" spans="1:6">
      <c r="A81" s="669" t="s">
        <v>1660</v>
      </c>
      <c r="B81" s="346" t="s">
        <v>1532</v>
      </c>
      <c r="C81" s="346" t="s">
        <v>1560</v>
      </c>
      <c r="D81" s="346"/>
      <c r="E81" s="346">
        <v>1</v>
      </c>
      <c r="F81" s="346"/>
    </row>
    <row r="82" spans="1:6">
      <c r="A82" s="669" t="s">
        <v>1661</v>
      </c>
      <c r="B82" s="346" t="s">
        <v>1532</v>
      </c>
      <c r="C82" s="346" t="s">
        <v>1264</v>
      </c>
      <c r="D82" s="346"/>
      <c r="E82" s="346">
        <v>1</v>
      </c>
      <c r="F82" s="346"/>
    </row>
    <row r="83" spans="1:6">
      <c r="A83" s="669" t="s">
        <v>1662</v>
      </c>
      <c r="B83" s="346" t="s">
        <v>1532</v>
      </c>
      <c r="C83" s="346" t="s">
        <v>1561</v>
      </c>
      <c r="D83" s="346"/>
      <c r="E83" s="346">
        <v>1</v>
      </c>
      <c r="F83" s="346"/>
    </row>
    <row r="84" spans="1:6">
      <c r="A84" s="669" t="s">
        <v>1663</v>
      </c>
      <c r="B84" s="346" t="s">
        <v>1532</v>
      </c>
      <c r="C84" s="346" t="s">
        <v>1562</v>
      </c>
      <c r="D84" s="346"/>
      <c r="E84" s="346"/>
      <c r="F84" s="346"/>
    </row>
    <row r="85" spans="1:6">
      <c r="A85" s="669" t="s">
        <v>1664</v>
      </c>
      <c r="B85" s="346" t="s">
        <v>1532</v>
      </c>
      <c r="C85" s="346" t="s">
        <v>1563</v>
      </c>
      <c r="D85" s="346"/>
      <c r="E85" s="346"/>
      <c r="F85" s="346"/>
    </row>
    <row r="86" spans="1:6">
      <c r="A86" s="669" t="s">
        <v>1665</v>
      </c>
      <c r="B86" s="346" t="s">
        <v>1533</v>
      </c>
      <c r="C86" s="346" t="s">
        <v>1567</v>
      </c>
      <c r="D86" s="346"/>
      <c r="E86" s="346">
        <v>1</v>
      </c>
      <c r="F86" s="346"/>
    </row>
    <row r="87" spans="1:6">
      <c r="A87" s="669" t="s">
        <v>1666</v>
      </c>
      <c r="B87" s="346" t="s">
        <v>1533</v>
      </c>
      <c r="C87" s="346" t="s">
        <v>1560</v>
      </c>
      <c r="D87" s="346"/>
      <c r="E87" s="346">
        <v>1</v>
      </c>
      <c r="F87" s="346"/>
    </row>
    <row r="88" spans="1:6">
      <c r="A88" s="669" t="s">
        <v>1667</v>
      </c>
      <c r="B88" s="346" t="s">
        <v>1533</v>
      </c>
      <c r="C88" s="346" t="s">
        <v>1264</v>
      </c>
      <c r="D88" s="346"/>
      <c r="E88" s="346">
        <v>1</v>
      </c>
      <c r="F88" s="346"/>
    </row>
    <row r="89" spans="1:6">
      <c r="A89" s="669" t="s">
        <v>1668</v>
      </c>
      <c r="B89" s="346" t="s">
        <v>1533</v>
      </c>
      <c r="C89" s="346" t="s">
        <v>1561</v>
      </c>
      <c r="D89" s="346"/>
      <c r="E89" s="346">
        <v>1</v>
      </c>
      <c r="F89" s="346"/>
    </row>
    <row r="90" spans="1:6">
      <c r="A90" s="669" t="s">
        <v>1669</v>
      </c>
      <c r="B90" s="346" t="s">
        <v>1533</v>
      </c>
      <c r="C90" s="346" t="s">
        <v>1562</v>
      </c>
      <c r="D90" s="346"/>
      <c r="E90" s="346"/>
      <c r="F90" s="346"/>
    </row>
    <row r="91" spans="1:6">
      <c r="A91" s="669" t="s">
        <v>1670</v>
      </c>
      <c r="B91" s="346" t="s">
        <v>1533</v>
      </c>
      <c r="C91" s="346" t="s">
        <v>1563</v>
      </c>
      <c r="D91" s="346"/>
      <c r="E91" s="346"/>
      <c r="F91" s="346"/>
    </row>
    <row r="92" spans="1:6">
      <c r="A92" s="669" t="s">
        <v>1671</v>
      </c>
      <c r="B92" s="346" t="s">
        <v>1533</v>
      </c>
      <c r="C92" s="346" t="s">
        <v>1565</v>
      </c>
      <c r="D92" s="346"/>
      <c r="E92" s="346">
        <v>1</v>
      </c>
      <c r="F92" s="346"/>
    </row>
    <row r="93" spans="1:6">
      <c r="A93" s="669" t="s">
        <v>1672</v>
      </c>
      <c r="B93" s="346" t="s">
        <v>1534</v>
      </c>
      <c r="C93" s="346" t="s">
        <v>1567</v>
      </c>
      <c r="D93" s="346"/>
      <c r="E93" s="346">
        <v>1</v>
      </c>
      <c r="F93" s="346"/>
    </row>
    <row r="94" spans="1:6">
      <c r="A94" s="669" t="s">
        <v>1673</v>
      </c>
      <c r="B94" s="346" t="s">
        <v>1534</v>
      </c>
      <c r="C94" s="346" t="s">
        <v>1560</v>
      </c>
      <c r="D94" s="346"/>
      <c r="E94" s="346">
        <v>1</v>
      </c>
      <c r="F94" s="346"/>
    </row>
    <row r="95" spans="1:6">
      <c r="A95" s="669" t="s">
        <v>1674</v>
      </c>
      <c r="B95" s="346" t="s">
        <v>1534</v>
      </c>
      <c r="C95" s="346" t="s">
        <v>1264</v>
      </c>
      <c r="D95" s="346"/>
      <c r="E95" s="346">
        <v>1</v>
      </c>
      <c r="F95" s="346"/>
    </row>
    <row r="96" spans="1:6">
      <c r="A96" s="669" t="s">
        <v>1675</v>
      </c>
      <c r="B96" s="346" t="s">
        <v>1534</v>
      </c>
      <c r="C96" s="346" t="s">
        <v>1561</v>
      </c>
      <c r="D96" s="346"/>
      <c r="E96" s="346">
        <v>1</v>
      </c>
      <c r="F96" s="346"/>
    </row>
    <row r="97" spans="1:6">
      <c r="A97" s="669" t="s">
        <v>1676</v>
      </c>
      <c r="B97" s="346" t="s">
        <v>1534</v>
      </c>
      <c r="C97" s="346" t="s">
        <v>1562</v>
      </c>
      <c r="D97" s="346"/>
      <c r="E97" s="346"/>
      <c r="F97" s="346"/>
    </row>
    <row r="98" spans="1:6">
      <c r="A98" s="669" t="s">
        <v>1677</v>
      </c>
      <c r="B98" s="346" t="s">
        <v>1534</v>
      </c>
      <c r="C98" s="346" t="s">
        <v>1563</v>
      </c>
      <c r="D98" s="346"/>
      <c r="E98" s="346"/>
      <c r="F98" s="346"/>
    </row>
    <row r="99" spans="1:6">
      <c r="A99" s="669" t="s">
        <v>1678</v>
      </c>
      <c r="B99" s="346" t="s">
        <v>1534</v>
      </c>
      <c r="C99" s="346" t="s">
        <v>1565</v>
      </c>
      <c r="D99" s="346"/>
      <c r="E99" s="346">
        <v>1</v>
      </c>
      <c r="F99" s="346"/>
    </row>
    <row r="100" spans="1:6">
      <c r="A100" s="669" t="s">
        <v>1679</v>
      </c>
      <c r="B100" s="346" t="s">
        <v>1535</v>
      </c>
      <c r="C100" s="346" t="s">
        <v>1567</v>
      </c>
      <c r="D100" s="346"/>
      <c r="E100" s="346">
        <v>1</v>
      </c>
      <c r="F100" s="346"/>
    </row>
    <row r="101" spans="1:6">
      <c r="A101" s="669" t="s">
        <v>1680</v>
      </c>
      <c r="B101" s="346" t="s">
        <v>1535</v>
      </c>
      <c r="C101" s="346" t="s">
        <v>1560</v>
      </c>
      <c r="D101" s="346"/>
      <c r="E101" s="346">
        <v>1</v>
      </c>
      <c r="F101" s="346"/>
    </row>
    <row r="102" spans="1:6">
      <c r="A102" s="669" t="s">
        <v>1681</v>
      </c>
      <c r="B102" s="346" t="s">
        <v>1535</v>
      </c>
      <c r="C102" s="346" t="s">
        <v>1264</v>
      </c>
      <c r="D102" s="346"/>
      <c r="E102" s="346">
        <v>1</v>
      </c>
      <c r="F102" s="346"/>
    </row>
    <row r="103" spans="1:6">
      <c r="A103" s="669" t="s">
        <v>1682</v>
      </c>
      <c r="B103" s="346" t="s">
        <v>1535</v>
      </c>
      <c r="C103" s="346" t="s">
        <v>1561</v>
      </c>
      <c r="D103" s="346"/>
      <c r="E103" s="346">
        <v>1</v>
      </c>
      <c r="F103" s="346"/>
    </row>
    <row r="104" spans="1:6">
      <c r="A104" s="669" t="s">
        <v>1683</v>
      </c>
      <c r="B104" s="346" t="s">
        <v>1535</v>
      </c>
      <c r="C104" s="346" t="s">
        <v>1562</v>
      </c>
      <c r="D104" s="346"/>
      <c r="E104" s="346"/>
      <c r="F104" s="346"/>
    </row>
    <row r="105" spans="1:6">
      <c r="A105" s="669" t="s">
        <v>1684</v>
      </c>
      <c r="B105" s="346" t="s">
        <v>1535</v>
      </c>
      <c r="C105" s="346" t="s">
        <v>1563</v>
      </c>
      <c r="D105" s="346"/>
      <c r="E105" s="346"/>
      <c r="F105" s="346"/>
    </row>
    <row r="106" spans="1:6">
      <c r="A106" s="669" t="s">
        <v>1685</v>
      </c>
      <c r="B106" s="346" t="s">
        <v>1535</v>
      </c>
      <c r="C106" s="346" t="s">
        <v>1565</v>
      </c>
      <c r="D106" s="346"/>
      <c r="E106" s="346">
        <v>1</v>
      </c>
      <c r="F106" s="346"/>
    </row>
    <row r="107" spans="1:6">
      <c r="A107" s="669" t="s">
        <v>1686</v>
      </c>
      <c r="B107" s="346" t="s">
        <v>1536</v>
      </c>
      <c r="C107" s="346" t="s">
        <v>1565</v>
      </c>
      <c r="D107" s="346"/>
      <c r="E107" s="346">
        <v>1</v>
      </c>
      <c r="F107" s="346"/>
    </row>
    <row r="108" spans="1:6">
      <c r="A108" s="669" t="s">
        <v>1687</v>
      </c>
      <c r="B108" s="346" t="s">
        <v>1537</v>
      </c>
      <c r="C108" s="346" t="s">
        <v>1567</v>
      </c>
      <c r="D108" s="346"/>
      <c r="E108" s="346">
        <v>1</v>
      </c>
      <c r="F108" s="346"/>
    </row>
    <row r="109" spans="1:6">
      <c r="A109" s="669" t="s">
        <v>1688</v>
      </c>
      <c r="B109" s="346" t="s">
        <v>1537</v>
      </c>
      <c r="C109" s="346" t="s">
        <v>1560</v>
      </c>
      <c r="D109" s="346"/>
      <c r="E109" s="346">
        <v>1</v>
      </c>
      <c r="F109" s="346"/>
    </row>
    <row r="110" spans="1:6">
      <c r="A110" s="669" t="s">
        <v>1689</v>
      </c>
      <c r="B110" s="346" t="s">
        <v>1537</v>
      </c>
      <c r="C110" s="346" t="s">
        <v>1264</v>
      </c>
      <c r="D110" s="346"/>
      <c r="E110" s="346">
        <v>1</v>
      </c>
      <c r="F110" s="346"/>
    </row>
    <row r="111" spans="1:6">
      <c r="A111" s="669" t="s">
        <v>1690</v>
      </c>
      <c r="B111" s="346" t="s">
        <v>1537</v>
      </c>
      <c r="C111" s="346" t="s">
        <v>1561</v>
      </c>
      <c r="D111" s="346"/>
      <c r="E111" s="346">
        <v>1</v>
      </c>
      <c r="F111" s="346"/>
    </row>
    <row r="112" spans="1:6">
      <c r="A112" s="669" t="s">
        <v>1691</v>
      </c>
      <c r="B112" s="346" t="s">
        <v>1537</v>
      </c>
      <c r="C112" s="346" t="s">
        <v>1562</v>
      </c>
      <c r="D112" s="346"/>
      <c r="E112" s="346"/>
      <c r="F112" s="346"/>
    </row>
    <row r="113" spans="1:6">
      <c r="A113" s="669" t="s">
        <v>1692</v>
      </c>
      <c r="B113" s="346" t="s">
        <v>1537</v>
      </c>
      <c r="C113" s="346" t="s">
        <v>1563</v>
      </c>
      <c r="D113" s="346"/>
      <c r="E113" s="346"/>
      <c r="F113" s="346"/>
    </row>
    <row r="114" spans="1:6">
      <c r="A114" s="669" t="s">
        <v>1693</v>
      </c>
      <c r="B114" s="346" t="s">
        <v>1538</v>
      </c>
      <c r="C114" s="346" t="s">
        <v>1567</v>
      </c>
      <c r="D114" s="346"/>
      <c r="E114" s="346">
        <v>1</v>
      </c>
      <c r="F114" s="346"/>
    </row>
    <row r="115" spans="1:6">
      <c r="A115" s="669" t="s">
        <v>1694</v>
      </c>
      <c r="B115" s="346" t="s">
        <v>1538</v>
      </c>
      <c r="C115" s="346" t="s">
        <v>1560</v>
      </c>
      <c r="D115" s="346"/>
      <c r="E115" s="346">
        <v>1</v>
      </c>
      <c r="F115" s="346"/>
    </row>
    <row r="116" spans="1:6">
      <c r="A116" s="669" t="s">
        <v>1695</v>
      </c>
      <c r="B116" s="346" t="s">
        <v>1538</v>
      </c>
      <c r="C116" s="346" t="s">
        <v>1264</v>
      </c>
      <c r="D116" s="346"/>
      <c r="E116" s="346">
        <v>1</v>
      </c>
      <c r="F116" s="346"/>
    </row>
    <row r="117" spans="1:6">
      <c r="A117" s="669" t="s">
        <v>1696</v>
      </c>
      <c r="B117" s="346" t="s">
        <v>1538</v>
      </c>
      <c r="C117" s="346" t="s">
        <v>1561</v>
      </c>
      <c r="D117" s="346"/>
      <c r="E117" s="346">
        <v>1</v>
      </c>
      <c r="F117" s="346"/>
    </row>
    <row r="118" spans="1:6">
      <c r="A118" s="669" t="s">
        <v>1697</v>
      </c>
      <c r="B118" s="346" t="s">
        <v>1538</v>
      </c>
      <c r="C118" s="346" t="s">
        <v>1562</v>
      </c>
      <c r="D118" s="346"/>
      <c r="E118" s="346"/>
      <c r="F118" s="346"/>
    </row>
    <row r="119" spans="1:6">
      <c r="A119" s="669" t="s">
        <v>1698</v>
      </c>
      <c r="B119" s="346" t="s">
        <v>1538</v>
      </c>
      <c r="C119" s="346" t="s">
        <v>1563</v>
      </c>
      <c r="D119" s="346"/>
      <c r="E119" s="346"/>
      <c r="F119" s="346"/>
    </row>
    <row r="120" spans="1:6">
      <c r="A120" s="669" t="s">
        <v>1699</v>
      </c>
      <c r="B120" s="346" t="s">
        <v>1538</v>
      </c>
      <c r="C120" s="346" t="s">
        <v>1565</v>
      </c>
      <c r="D120" s="346"/>
      <c r="E120" s="346">
        <v>1</v>
      </c>
      <c r="F120" s="346"/>
    </row>
    <row r="121" spans="1:6">
      <c r="A121" s="669" t="s">
        <v>1700</v>
      </c>
      <c r="B121" s="346" t="s">
        <v>1539</v>
      </c>
      <c r="C121" s="346" t="s">
        <v>1567</v>
      </c>
      <c r="D121" s="346"/>
      <c r="E121" s="346">
        <v>1</v>
      </c>
      <c r="F121" s="346"/>
    </row>
    <row r="122" spans="1:6">
      <c r="A122" s="669" t="s">
        <v>1701</v>
      </c>
      <c r="B122" s="346" t="s">
        <v>1539</v>
      </c>
      <c r="C122" s="346" t="s">
        <v>1560</v>
      </c>
      <c r="D122" s="346"/>
      <c r="E122" s="346">
        <v>1</v>
      </c>
      <c r="F122" s="346"/>
    </row>
    <row r="123" spans="1:6">
      <c r="A123" s="669" t="s">
        <v>1702</v>
      </c>
      <c r="B123" s="346" t="s">
        <v>1539</v>
      </c>
      <c r="C123" s="346" t="s">
        <v>1264</v>
      </c>
      <c r="D123" s="346"/>
      <c r="E123" s="346">
        <v>1</v>
      </c>
      <c r="F123" s="346"/>
    </row>
    <row r="124" spans="1:6">
      <c r="A124" s="669" t="s">
        <v>1703</v>
      </c>
      <c r="B124" s="346" t="s">
        <v>1539</v>
      </c>
      <c r="C124" s="346" t="s">
        <v>1561</v>
      </c>
      <c r="D124" s="346"/>
      <c r="E124" s="346">
        <v>1</v>
      </c>
      <c r="F124" s="346"/>
    </row>
    <row r="125" spans="1:6">
      <c r="A125" s="669" t="s">
        <v>1704</v>
      </c>
      <c r="B125" s="346" t="s">
        <v>1539</v>
      </c>
      <c r="C125" s="346" t="s">
        <v>1562</v>
      </c>
      <c r="D125" s="346"/>
      <c r="E125" s="346"/>
      <c r="F125" s="346"/>
    </row>
    <row r="126" spans="1:6">
      <c r="A126" s="669" t="s">
        <v>1705</v>
      </c>
      <c r="B126" s="346" t="s">
        <v>1539</v>
      </c>
      <c r="C126" s="346" t="s">
        <v>1563</v>
      </c>
      <c r="D126" s="346"/>
      <c r="E126" s="346"/>
      <c r="F126" s="346"/>
    </row>
    <row r="127" spans="1:6">
      <c r="A127" s="669" t="s">
        <v>1706</v>
      </c>
      <c r="B127" s="346" t="s">
        <v>1525</v>
      </c>
      <c r="C127" s="346" t="s">
        <v>1541</v>
      </c>
      <c r="D127" s="346" t="s">
        <v>1581</v>
      </c>
      <c r="E127" s="346">
        <v>1</v>
      </c>
      <c r="F127" s="346"/>
    </row>
    <row r="128" spans="1:6">
      <c r="A128" s="669" t="s">
        <v>1707</v>
      </c>
      <c r="B128" s="346" t="s">
        <v>1525</v>
      </c>
      <c r="C128" s="346" t="s">
        <v>1265</v>
      </c>
      <c r="D128" s="346" t="s">
        <v>1581</v>
      </c>
      <c r="E128" s="346">
        <v>1</v>
      </c>
      <c r="F128" s="346"/>
    </row>
    <row r="129" spans="1:6">
      <c r="A129" s="669" t="s">
        <v>1708</v>
      </c>
      <c r="B129" s="346" t="s">
        <v>1525</v>
      </c>
      <c r="C129" s="346" t="s">
        <v>1558</v>
      </c>
      <c r="D129" s="346" t="s">
        <v>1581</v>
      </c>
      <c r="E129" s="346">
        <v>1</v>
      </c>
      <c r="F129" s="346"/>
    </row>
    <row r="130" spans="1:6">
      <c r="A130" s="669" t="s">
        <v>1709</v>
      </c>
      <c r="B130" s="346" t="s">
        <v>1525</v>
      </c>
      <c r="C130" s="346" t="s">
        <v>1263</v>
      </c>
      <c r="D130" s="346" t="s">
        <v>1581</v>
      </c>
      <c r="E130" s="346">
        <v>1</v>
      </c>
      <c r="F130" s="346"/>
    </row>
    <row r="131" spans="1:6">
      <c r="A131" s="669" t="s">
        <v>2452</v>
      </c>
      <c r="B131" s="620" t="s">
        <v>2450</v>
      </c>
      <c r="C131" s="620" t="s">
        <v>1262</v>
      </c>
      <c r="D131" s="620" t="s">
        <v>1579</v>
      </c>
      <c r="E131" s="620">
        <v>2</v>
      </c>
    </row>
    <row r="132" spans="1:6">
      <c r="A132" s="669" t="s">
        <v>2453</v>
      </c>
      <c r="B132" s="620" t="s">
        <v>2450</v>
      </c>
      <c r="C132" s="620" t="s">
        <v>1265</v>
      </c>
      <c r="D132" s="620" t="s">
        <v>1579</v>
      </c>
      <c r="E132" s="620">
        <v>1</v>
      </c>
    </row>
    <row r="133" spans="1:6">
      <c r="A133" s="669" t="s">
        <v>2454</v>
      </c>
      <c r="B133" s="620" t="s">
        <v>608</v>
      </c>
      <c r="C133" s="620" t="s">
        <v>1262</v>
      </c>
      <c r="D133" s="620"/>
      <c r="E133" s="620">
        <v>3</v>
      </c>
    </row>
    <row r="134" spans="1:6">
      <c r="A134" s="669" t="s">
        <v>2455</v>
      </c>
      <c r="B134" s="620" t="s">
        <v>608</v>
      </c>
      <c r="C134" s="620" t="s">
        <v>1263</v>
      </c>
      <c r="D134" s="620"/>
      <c r="E134" s="620">
        <v>3</v>
      </c>
    </row>
    <row r="135" spans="1:6">
      <c r="A135" s="669" t="s">
        <v>2456</v>
      </c>
      <c r="B135" s="620" t="s">
        <v>608</v>
      </c>
      <c r="C135" s="620" t="s">
        <v>2451</v>
      </c>
      <c r="D135" s="620"/>
      <c r="E135" s="620">
        <v>1</v>
      </c>
    </row>
    <row r="136" spans="1:6">
      <c r="A136" s="669" t="s">
        <v>2463</v>
      </c>
      <c r="B136" s="620" t="s">
        <v>2457</v>
      </c>
      <c r="C136" s="620" t="s">
        <v>1263</v>
      </c>
      <c r="D136" s="620" t="s">
        <v>2462</v>
      </c>
      <c r="E136" s="620">
        <v>1</v>
      </c>
    </row>
    <row r="137" spans="1:6">
      <c r="A137" s="669" t="s">
        <v>2464</v>
      </c>
      <c r="B137" s="620" t="s">
        <v>2457</v>
      </c>
      <c r="C137" s="620" t="s">
        <v>1264</v>
      </c>
      <c r="D137" s="620" t="s">
        <v>2462</v>
      </c>
      <c r="E137" s="620">
        <v>1</v>
      </c>
    </row>
    <row r="138" spans="1:6">
      <c r="A138" s="669" t="s">
        <v>2465</v>
      </c>
      <c r="B138" s="620" t="s">
        <v>2457</v>
      </c>
      <c r="C138" s="620" t="s">
        <v>756</v>
      </c>
      <c r="D138" s="620" t="s">
        <v>2462</v>
      </c>
      <c r="E138" s="620">
        <v>1</v>
      </c>
    </row>
    <row r="139" spans="1:6">
      <c r="A139" s="669" t="s">
        <v>2466</v>
      </c>
      <c r="B139" s="620" t="s">
        <v>2458</v>
      </c>
      <c r="C139" s="620" t="s">
        <v>1263</v>
      </c>
      <c r="D139" s="620" t="s">
        <v>2462</v>
      </c>
      <c r="E139" s="620">
        <v>1</v>
      </c>
    </row>
    <row r="140" spans="1:6">
      <c r="A140" s="669" t="s">
        <v>2467</v>
      </c>
      <c r="B140" s="620" t="s">
        <v>2458</v>
      </c>
      <c r="C140" s="620" t="s">
        <v>1264</v>
      </c>
      <c r="D140" s="620" t="s">
        <v>2462</v>
      </c>
      <c r="E140" s="620">
        <v>1</v>
      </c>
    </row>
    <row r="141" spans="1:6">
      <c r="A141" s="669" t="s">
        <v>2468</v>
      </c>
      <c r="B141" s="620" t="s">
        <v>2458</v>
      </c>
      <c r="C141" s="620" t="s">
        <v>1551</v>
      </c>
      <c r="D141" s="620" t="s">
        <v>2462</v>
      </c>
      <c r="E141" s="620">
        <v>1</v>
      </c>
    </row>
    <row r="142" spans="1:6">
      <c r="A142" s="669" t="s">
        <v>2469</v>
      </c>
      <c r="B142" s="620" t="s">
        <v>2458</v>
      </c>
      <c r="C142" s="620" t="s">
        <v>1265</v>
      </c>
      <c r="D142" s="620" t="s">
        <v>2462</v>
      </c>
      <c r="E142" s="620">
        <v>1</v>
      </c>
    </row>
    <row r="143" spans="1:6">
      <c r="A143" s="669" t="s">
        <v>2470</v>
      </c>
      <c r="B143" s="620" t="s">
        <v>2459</v>
      </c>
      <c r="C143" s="620" t="s">
        <v>1263</v>
      </c>
      <c r="D143" s="620" t="s">
        <v>2462</v>
      </c>
      <c r="E143" s="620">
        <v>1</v>
      </c>
    </row>
    <row r="144" spans="1:6">
      <c r="A144" s="669" t="s">
        <v>2471</v>
      </c>
      <c r="B144" s="620" t="s">
        <v>2459</v>
      </c>
      <c r="C144" s="620" t="s">
        <v>1264</v>
      </c>
      <c r="D144" s="620" t="s">
        <v>2462</v>
      </c>
      <c r="E144" s="620">
        <v>1</v>
      </c>
    </row>
    <row r="145" spans="1:5">
      <c r="A145" s="669" t="s">
        <v>2472</v>
      </c>
      <c r="B145" s="620" t="s">
        <v>2459</v>
      </c>
      <c r="C145" s="620" t="s">
        <v>1551</v>
      </c>
      <c r="D145" s="620" t="s">
        <v>2462</v>
      </c>
      <c r="E145" s="620">
        <v>1</v>
      </c>
    </row>
    <row r="146" spans="1:5">
      <c r="A146" s="669" t="s">
        <v>2473</v>
      </c>
      <c r="B146" s="620" t="s">
        <v>2460</v>
      </c>
      <c r="C146" s="620" t="s">
        <v>1263</v>
      </c>
      <c r="D146" s="620" t="s">
        <v>2462</v>
      </c>
      <c r="E146" s="620">
        <v>1</v>
      </c>
    </row>
    <row r="147" spans="1:5">
      <c r="A147" s="669" t="s">
        <v>2474</v>
      </c>
      <c r="B147" s="620" t="s">
        <v>2460</v>
      </c>
      <c r="C147" s="620" t="s">
        <v>1264</v>
      </c>
      <c r="D147" s="620" t="s">
        <v>2462</v>
      </c>
      <c r="E147" s="620">
        <v>1</v>
      </c>
    </row>
    <row r="148" spans="1:5">
      <c r="A148" s="669" t="s">
        <v>2475</v>
      </c>
      <c r="B148" s="620" t="s">
        <v>2460</v>
      </c>
      <c r="C148" s="620" t="s">
        <v>756</v>
      </c>
      <c r="D148" s="620" t="s">
        <v>2462</v>
      </c>
      <c r="E148" s="620">
        <v>1</v>
      </c>
    </row>
    <row r="149" spans="1:5">
      <c r="A149" s="669" t="s">
        <v>2476</v>
      </c>
      <c r="B149" s="620" t="s">
        <v>2460</v>
      </c>
      <c r="C149" s="620" t="s">
        <v>756</v>
      </c>
      <c r="D149" s="620" t="s">
        <v>2462</v>
      </c>
      <c r="E149" s="620">
        <v>1</v>
      </c>
    </row>
    <row r="150" spans="1:5">
      <c r="A150" s="669" t="s">
        <v>2477</v>
      </c>
      <c r="B150" s="620" t="s">
        <v>2461</v>
      </c>
      <c r="C150" s="620" t="s">
        <v>1263</v>
      </c>
      <c r="D150" s="620" t="s">
        <v>2462</v>
      </c>
      <c r="E150" s="620">
        <v>2</v>
      </c>
    </row>
    <row r="151" spans="1:5">
      <c r="A151" s="669" t="s">
        <v>2478</v>
      </c>
      <c r="B151" s="620" t="s">
        <v>2461</v>
      </c>
      <c r="C151" s="620" t="s">
        <v>1264</v>
      </c>
      <c r="D151" s="620" t="s">
        <v>2462</v>
      </c>
      <c r="E151" s="620">
        <v>1</v>
      </c>
    </row>
    <row r="152" spans="1:5">
      <c r="A152" s="669" t="s">
        <v>2479</v>
      </c>
      <c r="B152" s="620" t="s">
        <v>2461</v>
      </c>
      <c r="C152" s="620" t="s">
        <v>1551</v>
      </c>
      <c r="D152" s="620" t="s">
        <v>2462</v>
      </c>
      <c r="E152" s="620">
        <v>1</v>
      </c>
    </row>
    <row r="153" spans="1:5">
      <c r="A153" s="669" t="s">
        <v>2480</v>
      </c>
      <c r="B153" s="620" t="s">
        <v>2461</v>
      </c>
      <c r="C153" s="620" t="s">
        <v>756</v>
      </c>
      <c r="D153" s="620" t="s">
        <v>2462</v>
      </c>
      <c r="E153" s="620">
        <v>1</v>
      </c>
    </row>
    <row r="154" spans="1:5">
      <c r="A154" s="669" t="s">
        <v>2481</v>
      </c>
      <c r="B154" s="620" t="s">
        <v>2461</v>
      </c>
      <c r="C154" s="620" t="s">
        <v>756</v>
      </c>
      <c r="D154" s="620" t="s">
        <v>2462</v>
      </c>
      <c r="E154" s="620">
        <v>1</v>
      </c>
    </row>
  </sheetData>
  <autoFilter ref="A1:F135" xr:uid="{268FBFB4-FF22-4ECB-80A1-4504EBD71A22}"/>
  <phoneticPr fontId="79" type="noConversion"/>
  <pageMargins left="0.7" right="0.7" top="0.75" bottom="0.75" header="0.3" footer="0.3"/>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rgb="FF92D050"/>
  </sheetPr>
  <dimension ref="A1:BG53"/>
  <sheetViews>
    <sheetView workbookViewId="0">
      <selection activeCell="A13" sqref="A13"/>
    </sheetView>
  </sheetViews>
  <sheetFormatPr defaultColWidth="8.81640625" defaultRowHeight="14.5"/>
  <cols>
    <col min="1" max="1" width="50.7265625" bestFit="1" customWidth="1"/>
    <col min="2" max="2" width="50.7265625" customWidth="1"/>
    <col min="4" max="4" width="13.1796875" bestFit="1" customWidth="1"/>
    <col min="6" max="6" width="41.26953125" customWidth="1"/>
    <col min="7" max="7" width="22.1796875" style="87" customWidth="1"/>
    <col min="9" max="9" width="26.453125" bestFit="1" customWidth="1"/>
    <col min="18" max="18" width="9.1796875"/>
    <col min="19" max="19" width="14.26953125" bestFit="1" customWidth="1"/>
    <col min="20" max="20" width="29" bestFit="1" customWidth="1"/>
    <col min="21" max="22" width="49" bestFit="1" customWidth="1"/>
    <col min="24" max="24" width="44.1796875" bestFit="1" customWidth="1"/>
    <col min="26" max="26" width="44.1796875" bestFit="1" customWidth="1"/>
    <col min="28" max="28" width="44.1796875" bestFit="1" customWidth="1"/>
    <col min="30" max="30" width="39.1796875" bestFit="1" customWidth="1"/>
    <col min="33" max="33" width="43.81640625" bestFit="1" customWidth="1"/>
    <col min="35" max="35" width="32.7265625" bestFit="1" customWidth="1"/>
    <col min="37" max="37" width="37.26953125" bestFit="1" customWidth="1"/>
    <col min="39" max="39" width="26.1796875" bestFit="1" customWidth="1"/>
    <col min="43" max="43" width="18.1796875" bestFit="1" customWidth="1"/>
    <col min="48" max="48" width="12.26953125" bestFit="1" customWidth="1"/>
    <col min="59" max="59" width="24.81640625" customWidth="1"/>
  </cols>
  <sheetData>
    <row r="1" spans="1:59" ht="15" customHeight="1">
      <c r="A1" s="1" t="s">
        <v>314</v>
      </c>
      <c r="B1" s="1" t="s">
        <v>314</v>
      </c>
      <c r="D1" s="1" t="s">
        <v>363</v>
      </c>
      <c r="F1" s="19" t="s">
        <v>433</v>
      </c>
      <c r="G1" s="85" t="s">
        <v>1822</v>
      </c>
      <c r="I1" s="19" t="s">
        <v>258</v>
      </c>
      <c r="L1" s="1" t="s">
        <v>1200</v>
      </c>
      <c r="M1" s="1" t="s">
        <v>1201</v>
      </c>
      <c r="N1" s="1" t="s">
        <v>379</v>
      </c>
      <c r="O1" s="1" t="s">
        <v>1202</v>
      </c>
      <c r="P1" s="2" t="s">
        <v>1203</v>
      </c>
      <c r="Q1" s="2" t="s">
        <v>1204</v>
      </c>
      <c r="S1" s="1" t="s">
        <v>258</v>
      </c>
      <c r="T1" s="1" t="s">
        <v>258</v>
      </c>
      <c r="U1" s="1" t="s">
        <v>258</v>
      </c>
      <c r="V1" s="1" t="s">
        <v>258</v>
      </c>
      <c r="W1" s="1" t="s">
        <v>258</v>
      </c>
      <c r="X1" s="1" t="s">
        <v>258</v>
      </c>
      <c r="Z1" s="1" t="s">
        <v>429</v>
      </c>
      <c r="AB1" s="1" t="s">
        <v>258</v>
      </c>
      <c r="AD1" s="19" t="s">
        <v>258</v>
      </c>
      <c r="AG1" s="19" t="s">
        <v>338</v>
      </c>
      <c r="AI1" s="19" t="s">
        <v>429</v>
      </c>
      <c r="AK1" s="19" t="s">
        <v>1205</v>
      </c>
      <c r="AM1" s="19" t="s">
        <v>338</v>
      </c>
      <c r="AO1" s="19" t="s">
        <v>258</v>
      </c>
      <c r="AQ1" s="19" t="s">
        <v>828</v>
      </c>
      <c r="AS1" s="19" t="s">
        <v>258</v>
      </c>
      <c r="AV1" s="19" t="s">
        <v>258</v>
      </c>
      <c r="AZ1" s="19" t="s">
        <v>258</v>
      </c>
      <c r="BC1" s="644" t="s">
        <v>1501</v>
      </c>
      <c r="BD1" s="644" t="s">
        <v>1504</v>
      </c>
      <c r="BE1" s="644" t="s">
        <v>1505</v>
      </c>
      <c r="BG1" s="19" t="s">
        <v>258</v>
      </c>
    </row>
    <row r="2" spans="1:59" ht="15.5">
      <c r="A2" s="17" t="s">
        <v>1206</v>
      </c>
      <c r="B2" s="17" t="s">
        <v>1207</v>
      </c>
      <c r="D2" s="17" t="s">
        <v>792</v>
      </c>
      <c r="F2" s="19" t="s">
        <v>50</v>
      </c>
      <c r="G2" s="86" t="s">
        <v>51</v>
      </c>
      <c r="I2" s="17" t="s">
        <v>1044</v>
      </c>
      <c r="L2" s="17" t="s">
        <v>348</v>
      </c>
      <c r="M2" s="17" t="s">
        <v>351</v>
      </c>
      <c r="N2" s="17" t="s">
        <v>351</v>
      </c>
      <c r="O2" s="17" t="s">
        <v>360</v>
      </c>
      <c r="P2" s="17" t="s">
        <v>358</v>
      </c>
      <c r="Q2" s="17" t="s">
        <v>348</v>
      </c>
      <c r="S2" s="17" t="s">
        <v>1208</v>
      </c>
      <c r="T2" s="17" t="s">
        <v>1044</v>
      </c>
      <c r="U2" s="17" t="s">
        <v>1209</v>
      </c>
      <c r="V2" s="17" t="s">
        <v>1210</v>
      </c>
      <c r="W2" s="17" t="s">
        <v>898</v>
      </c>
      <c r="X2" s="17" t="s">
        <v>1211</v>
      </c>
      <c r="Z2" s="17" t="s">
        <v>1212</v>
      </c>
      <c r="AB2" s="59" t="s">
        <v>873</v>
      </c>
      <c r="AD2" s="17" t="s">
        <v>1213</v>
      </c>
      <c r="AG2" s="17" t="s">
        <v>1214</v>
      </c>
      <c r="AI2" s="17" t="s">
        <v>1215</v>
      </c>
      <c r="AK2" s="17" t="s">
        <v>442</v>
      </c>
      <c r="AM2" s="17" t="s">
        <v>1216</v>
      </c>
      <c r="AO2" t="s">
        <v>1217</v>
      </c>
      <c r="AQ2" t="s">
        <v>1218</v>
      </c>
      <c r="AS2" t="s">
        <v>1044</v>
      </c>
      <c r="AV2" t="s">
        <v>1042</v>
      </c>
      <c r="AZ2" s="401" t="s">
        <v>442</v>
      </c>
      <c r="BC2" t="s">
        <v>1044</v>
      </c>
      <c r="BD2" t="s">
        <v>1044</v>
      </c>
      <c r="BE2" t="s">
        <v>1044</v>
      </c>
      <c r="BG2" t="s">
        <v>1219</v>
      </c>
    </row>
    <row r="3" spans="1:59" ht="15.5">
      <c r="A3" s="17" t="s">
        <v>1220</v>
      </c>
      <c r="B3" s="17" t="s">
        <v>783</v>
      </c>
      <c r="D3" s="17" t="s">
        <v>1221</v>
      </c>
      <c r="F3" s="410" t="s">
        <v>52</v>
      </c>
      <c r="G3" s="612">
        <v>304401</v>
      </c>
      <c r="I3" s="17" t="s">
        <v>1043</v>
      </c>
      <c r="L3" s="17" t="s">
        <v>1222</v>
      </c>
      <c r="M3" s="17" t="s">
        <v>1223</v>
      </c>
      <c r="N3" s="17" t="s">
        <v>1204</v>
      </c>
      <c r="O3" s="17" t="s">
        <v>1224</v>
      </c>
      <c r="P3" s="17" t="s">
        <v>1224</v>
      </c>
      <c r="Q3" s="17" t="s">
        <v>1222</v>
      </c>
      <c r="S3" s="17" t="s">
        <v>1043</v>
      </c>
      <c r="T3" s="17" t="s">
        <v>1043</v>
      </c>
      <c r="U3" s="17" t="s">
        <v>1225</v>
      </c>
      <c r="V3" s="17" t="s">
        <v>1226</v>
      </c>
      <c r="W3" s="17" t="s">
        <v>874</v>
      </c>
      <c r="X3" s="17" t="s">
        <v>1227</v>
      </c>
      <c r="Z3" s="17" t="s">
        <v>1228</v>
      </c>
      <c r="AB3" s="59" t="s">
        <v>909</v>
      </c>
      <c r="AD3" s="17" t="s">
        <v>1229</v>
      </c>
      <c r="AG3" s="17" t="s">
        <v>1230</v>
      </c>
      <c r="AI3" s="17" t="s">
        <v>439</v>
      </c>
      <c r="AK3" s="17" t="s">
        <v>1231</v>
      </c>
      <c r="AM3" s="17" t="s">
        <v>1232</v>
      </c>
      <c r="AO3" t="s">
        <v>1233</v>
      </c>
      <c r="AQ3" t="s">
        <v>1234</v>
      </c>
      <c r="AS3" t="s">
        <v>1043</v>
      </c>
      <c r="AV3" t="s">
        <v>1047</v>
      </c>
      <c r="AZ3" s="401" t="s">
        <v>1231</v>
      </c>
      <c r="BC3" t="s">
        <v>1043</v>
      </c>
      <c r="BD3" t="s">
        <v>1043</v>
      </c>
      <c r="BE3" t="s">
        <v>1043</v>
      </c>
      <c r="BG3" t="s">
        <v>1235</v>
      </c>
    </row>
    <row r="4" spans="1:59" ht="15.5">
      <c r="A4" s="17" t="s">
        <v>297</v>
      </c>
      <c r="B4" s="17" t="s">
        <v>1236</v>
      </c>
      <c r="D4" s="17" t="s">
        <v>779</v>
      </c>
      <c r="F4" s="410" t="s">
        <v>61</v>
      </c>
      <c r="G4" s="613">
        <v>2062731</v>
      </c>
      <c r="I4" s="17" t="s">
        <v>1237</v>
      </c>
      <c r="L4" s="17" t="s">
        <v>1224</v>
      </c>
      <c r="M4" s="17" t="s">
        <v>1204</v>
      </c>
      <c r="O4" s="17" t="s">
        <v>792</v>
      </c>
      <c r="P4" s="17" t="s">
        <v>792</v>
      </c>
      <c r="Q4" s="17" t="s">
        <v>1224</v>
      </c>
      <c r="S4" s="17" t="s">
        <v>1238</v>
      </c>
      <c r="T4" s="17" t="s">
        <v>1239</v>
      </c>
      <c r="U4" s="17" t="s">
        <v>1240</v>
      </c>
      <c r="V4" s="17"/>
      <c r="W4" s="17" t="s">
        <v>1515</v>
      </c>
      <c r="X4" s="17" t="s">
        <v>383</v>
      </c>
      <c r="Z4" s="17" t="s">
        <v>383</v>
      </c>
      <c r="AB4" s="59" t="s">
        <v>1241</v>
      </c>
      <c r="AD4" s="17" t="s">
        <v>1242</v>
      </c>
      <c r="AG4" s="17" t="s">
        <v>1243</v>
      </c>
      <c r="AI4" s="17" t="s">
        <v>1244</v>
      </c>
      <c r="AK4" s="17" t="s">
        <v>1245</v>
      </c>
      <c r="AM4" s="17" t="s">
        <v>1246</v>
      </c>
      <c r="AO4" t="s">
        <v>383</v>
      </c>
      <c r="AQ4" t="s">
        <v>1247</v>
      </c>
      <c r="AS4" t="s">
        <v>1248</v>
      </c>
      <c r="AV4" t="s">
        <v>1089</v>
      </c>
      <c r="AZ4" s="401" t="s">
        <v>1245</v>
      </c>
      <c r="BC4" t="s">
        <v>1257</v>
      </c>
      <c r="BD4" t="s">
        <v>1503</v>
      </c>
      <c r="BG4" t="s">
        <v>1249</v>
      </c>
    </row>
    <row r="5" spans="1:59" ht="15.5">
      <c r="A5" s="17" t="s">
        <v>296</v>
      </c>
      <c r="B5" s="17" t="s">
        <v>1250</v>
      </c>
      <c r="D5" s="17" t="s">
        <v>1251</v>
      </c>
      <c r="F5" s="410" t="s">
        <v>28</v>
      </c>
      <c r="G5" s="612">
        <v>404491</v>
      </c>
      <c r="L5" s="17" t="s">
        <v>792</v>
      </c>
      <c r="O5" s="17" t="s">
        <v>779</v>
      </c>
      <c r="P5" s="17" t="s">
        <v>1204</v>
      </c>
      <c r="Q5" s="17" t="s">
        <v>792</v>
      </c>
      <c r="S5" s="17" t="s">
        <v>1252</v>
      </c>
      <c r="T5" s="17" t="s">
        <v>1253</v>
      </c>
      <c r="U5" s="17" t="s">
        <v>1254</v>
      </c>
      <c r="V5" s="17" t="s">
        <v>383</v>
      </c>
      <c r="W5" s="17" t="s">
        <v>383</v>
      </c>
      <c r="X5" s="17"/>
      <c r="AB5" s="59" t="s">
        <v>383</v>
      </c>
      <c r="AG5" s="17" t="s">
        <v>383</v>
      </c>
      <c r="AK5" s="17" t="s">
        <v>1255</v>
      </c>
      <c r="AQ5" t="s">
        <v>379</v>
      </c>
      <c r="AS5" t="s">
        <v>1256</v>
      </c>
      <c r="AV5" t="s">
        <v>1257</v>
      </c>
      <c r="AZ5" s="401" t="s">
        <v>1255</v>
      </c>
      <c r="BG5" t="s">
        <v>1258</v>
      </c>
    </row>
    <row r="6" spans="1:59" ht="16" thickBot="1">
      <c r="A6" s="17" t="s">
        <v>466</v>
      </c>
      <c r="B6" s="17" t="s">
        <v>763</v>
      </c>
      <c r="D6" s="17" t="s">
        <v>1259</v>
      </c>
      <c r="F6" s="410" t="s">
        <v>76</v>
      </c>
      <c r="G6" s="612">
        <v>487235</v>
      </c>
      <c r="L6" s="17" t="s">
        <v>351</v>
      </c>
      <c r="O6" s="17" t="s">
        <v>1204</v>
      </c>
      <c r="Q6" s="17" t="s">
        <v>351</v>
      </c>
      <c r="AK6" s="17" t="s">
        <v>383</v>
      </c>
      <c r="AQ6" t="s">
        <v>1260</v>
      </c>
      <c r="AZ6" s="402" t="s">
        <v>1261</v>
      </c>
      <c r="BG6" t="s">
        <v>1262</v>
      </c>
    </row>
    <row r="7" spans="1:59" ht="15.5">
      <c r="A7" s="17" t="s">
        <v>502</v>
      </c>
      <c r="B7" s="17" t="s">
        <v>383</v>
      </c>
      <c r="D7" s="17" t="s">
        <v>383</v>
      </c>
      <c r="F7" s="276" t="s">
        <v>81</v>
      </c>
      <c r="G7" s="613">
        <v>650000</v>
      </c>
      <c r="L7" s="17" t="s">
        <v>1204</v>
      </c>
      <c r="Q7" s="17" t="s">
        <v>1223</v>
      </c>
      <c r="AZ7" s="401"/>
      <c r="BG7" t="s">
        <v>1263</v>
      </c>
    </row>
    <row r="8" spans="1:59">
      <c r="A8" s="17" t="s">
        <v>491</v>
      </c>
      <c r="F8" s="410" t="s">
        <v>82</v>
      </c>
      <c r="G8" s="612">
        <v>330254</v>
      </c>
      <c r="Q8" s="17" t="s">
        <v>1204</v>
      </c>
      <c r="BG8" t="s">
        <v>1264</v>
      </c>
    </row>
    <row r="9" spans="1:59" ht="14.25" customHeight="1">
      <c r="A9" s="17" t="s">
        <v>383</v>
      </c>
      <c r="F9" s="410" t="s">
        <v>95</v>
      </c>
      <c r="G9" s="612">
        <v>722058</v>
      </c>
      <c r="BG9" t="s">
        <v>1265</v>
      </c>
    </row>
    <row r="10" spans="1:59">
      <c r="F10" s="410" t="s">
        <v>96</v>
      </c>
      <c r="G10" s="612" t="s">
        <v>693</v>
      </c>
      <c r="BG10" t="s">
        <v>383</v>
      </c>
    </row>
    <row r="11" spans="1:59">
      <c r="F11" s="410" t="s">
        <v>97</v>
      </c>
      <c r="G11" s="612">
        <v>5903400</v>
      </c>
    </row>
    <row r="12" spans="1:59">
      <c r="F12" s="410" t="s">
        <v>105</v>
      </c>
      <c r="G12" s="612">
        <v>1248944</v>
      </c>
    </row>
    <row r="13" spans="1:59">
      <c r="A13" s="904" t="s">
        <v>2576</v>
      </c>
      <c r="F13" s="410" t="s">
        <v>106</v>
      </c>
      <c r="G13" s="613">
        <v>201174</v>
      </c>
    </row>
    <row r="14" spans="1:59">
      <c r="A14" t="s">
        <v>2575</v>
      </c>
      <c r="F14" s="410" t="s">
        <v>107</v>
      </c>
      <c r="G14" s="612" t="s">
        <v>693</v>
      </c>
    </row>
    <row r="15" spans="1:59">
      <c r="A15" t="s">
        <v>2574</v>
      </c>
      <c r="F15" s="410" t="s">
        <v>108</v>
      </c>
      <c r="G15" s="612">
        <v>1816748</v>
      </c>
    </row>
    <row r="16" spans="1:59">
      <c r="F16" s="410" t="s">
        <v>109</v>
      </c>
      <c r="G16" s="612">
        <v>2481221</v>
      </c>
    </row>
    <row r="17" spans="6:7">
      <c r="F17" s="410" t="s">
        <v>110</v>
      </c>
      <c r="G17" s="613">
        <v>765119</v>
      </c>
    </row>
    <row r="18" spans="6:7">
      <c r="F18" s="410" t="s">
        <v>111</v>
      </c>
      <c r="G18" s="613">
        <v>559530</v>
      </c>
    </row>
    <row r="19" spans="6:7">
      <c r="F19" s="410" t="s">
        <v>112</v>
      </c>
      <c r="G19" s="612">
        <v>2883909</v>
      </c>
    </row>
    <row r="20" spans="6:7">
      <c r="F20" s="410" t="s">
        <v>113</v>
      </c>
      <c r="G20" s="612" t="s">
        <v>693</v>
      </c>
    </row>
    <row r="21" spans="6:7">
      <c r="F21" s="410" t="s">
        <v>114</v>
      </c>
      <c r="G21" s="612">
        <v>1589858</v>
      </c>
    </row>
    <row r="22" spans="6:7">
      <c r="F22" s="410" t="s">
        <v>36</v>
      </c>
      <c r="G22" s="612">
        <v>1444264</v>
      </c>
    </row>
    <row r="23" spans="6:7">
      <c r="F23" s="410" t="s">
        <v>129</v>
      </c>
      <c r="G23" s="612">
        <v>286651</v>
      </c>
    </row>
    <row r="24" spans="6:7">
      <c r="F24" s="410" t="s">
        <v>134</v>
      </c>
      <c r="G24" s="612">
        <v>594566</v>
      </c>
    </row>
    <row r="25" spans="6:7">
      <c r="F25" s="410" t="s">
        <v>138</v>
      </c>
      <c r="G25" s="612">
        <v>243157</v>
      </c>
    </row>
    <row r="26" spans="6:7">
      <c r="F26" s="410" t="s">
        <v>141</v>
      </c>
      <c r="G26" s="612" t="s">
        <v>693</v>
      </c>
    </row>
    <row r="27" spans="6:7">
      <c r="F27" s="410" t="s">
        <v>142</v>
      </c>
      <c r="G27" s="612">
        <v>191695</v>
      </c>
    </row>
    <row r="28" spans="6:7">
      <c r="F28" s="410" t="s">
        <v>1105</v>
      </c>
      <c r="G28" s="612" t="s">
        <v>693</v>
      </c>
    </row>
    <row r="29" spans="6:7">
      <c r="F29" s="410" t="s">
        <v>146</v>
      </c>
      <c r="G29" s="612">
        <v>1147269</v>
      </c>
    </row>
    <row r="30" spans="6:7">
      <c r="F30" s="410" t="s">
        <v>148</v>
      </c>
      <c r="G30" s="612">
        <v>797073</v>
      </c>
    </row>
    <row r="31" spans="6:7">
      <c r="F31" s="410" t="s">
        <v>151</v>
      </c>
      <c r="G31" s="613">
        <v>832389</v>
      </c>
    </row>
    <row r="32" spans="6:7">
      <c r="F32" s="410" t="s">
        <v>159</v>
      </c>
      <c r="G32" s="612" t="s">
        <v>693</v>
      </c>
    </row>
    <row r="33" spans="6:7">
      <c r="F33" s="410" t="s">
        <v>168</v>
      </c>
      <c r="G33" s="612">
        <v>562339</v>
      </c>
    </row>
    <row r="34" spans="6:7">
      <c r="F34" s="410" t="s">
        <v>179</v>
      </c>
      <c r="G34" s="613">
        <v>21828</v>
      </c>
    </row>
    <row r="35" spans="6:7">
      <c r="F35" s="410" t="s">
        <v>180</v>
      </c>
      <c r="G35" s="612" t="s">
        <v>693</v>
      </c>
    </row>
    <row r="36" spans="6:7">
      <c r="F36" s="410" t="s">
        <v>181</v>
      </c>
      <c r="G36" s="612" t="s">
        <v>693</v>
      </c>
    </row>
    <row r="37" spans="6:7">
      <c r="F37" s="410" t="s">
        <v>190</v>
      </c>
      <c r="G37" s="612">
        <v>479716</v>
      </c>
    </row>
    <row r="38" spans="6:7">
      <c r="F38" s="410" t="s">
        <v>191</v>
      </c>
      <c r="G38" s="612">
        <v>1489215</v>
      </c>
    </row>
    <row r="39" spans="6:7">
      <c r="F39" s="410" t="s">
        <v>192</v>
      </c>
      <c r="G39" s="612">
        <v>537032</v>
      </c>
    </row>
    <row r="40" spans="6:7">
      <c r="F40" s="410" t="s">
        <v>195</v>
      </c>
      <c r="G40" s="613">
        <v>497777</v>
      </c>
    </row>
    <row r="41" spans="6:7">
      <c r="F41" s="410" t="s">
        <v>203</v>
      </c>
      <c r="G41" s="612">
        <v>412320</v>
      </c>
    </row>
    <row r="42" spans="6:7">
      <c r="F42" s="410" t="s">
        <v>204</v>
      </c>
      <c r="G42" s="613">
        <v>368529</v>
      </c>
    </row>
    <row r="43" spans="6:7">
      <c r="F43" s="410" t="s">
        <v>209</v>
      </c>
      <c r="G43" s="612">
        <v>421634</v>
      </c>
    </row>
    <row r="44" spans="6:7">
      <c r="F44" s="410" t="s">
        <v>211</v>
      </c>
      <c r="G44" s="612">
        <v>1570136</v>
      </c>
    </row>
    <row r="45" spans="6:7">
      <c r="F45" s="410" t="s">
        <v>216</v>
      </c>
      <c r="G45" s="613">
        <v>1072079</v>
      </c>
    </row>
    <row r="46" spans="6:7">
      <c r="F46" s="410" t="s">
        <v>221</v>
      </c>
      <c r="G46" s="612">
        <v>4869245</v>
      </c>
    </row>
    <row r="47" spans="6:7">
      <c r="F47" s="410" t="s">
        <v>222</v>
      </c>
      <c r="G47" s="612">
        <v>13862224</v>
      </c>
    </row>
    <row r="48" spans="6:7">
      <c r="F48" s="410" t="s">
        <v>227</v>
      </c>
      <c r="G48" s="613">
        <v>3072218</v>
      </c>
    </row>
    <row r="49" spans="6:7">
      <c r="F49" s="410" t="s">
        <v>229</v>
      </c>
      <c r="G49" s="613">
        <v>2794793</v>
      </c>
    </row>
    <row r="50" spans="6:7">
      <c r="F50" s="410" t="s">
        <v>234</v>
      </c>
      <c r="G50" s="613">
        <v>4891737</v>
      </c>
    </row>
    <row r="51" spans="6:7">
      <c r="F51" s="410" t="s">
        <v>239</v>
      </c>
      <c r="G51" s="613">
        <v>3162005</v>
      </c>
    </row>
    <row r="52" spans="6:7">
      <c r="F52" s="410" t="s">
        <v>244</v>
      </c>
      <c r="G52" s="612">
        <v>1560921</v>
      </c>
    </row>
    <row r="53" spans="6:7">
      <c r="F53" s="410" t="s">
        <v>249</v>
      </c>
      <c r="G53" s="613">
        <v>1240765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DD5B-ABDE-9A41-9B33-0B5C0AE27893}">
  <sheetPr>
    <tabColor rgb="FFC00000"/>
  </sheetPr>
  <dimension ref="A1:Q24"/>
  <sheetViews>
    <sheetView zoomScale="80" zoomScaleNormal="80" workbookViewId="0">
      <selection activeCell="J9" sqref="J9:N9"/>
    </sheetView>
  </sheetViews>
  <sheetFormatPr defaultColWidth="0" defaultRowHeight="15" customHeight="1"/>
  <cols>
    <col min="1" max="1" width="4.453125" style="43" customWidth="1"/>
    <col min="2" max="2" width="9.1796875" style="43" customWidth="1"/>
    <col min="3" max="3" width="14" style="43" customWidth="1"/>
    <col min="4" max="4" width="12.453125" style="43" customWidth="1"/>
    <col min="5" max="8" width="9.1796875" style="43" customWidth="1"/>
    <col min="9" max="9" width="10.453125" style="43" customWidth="1"/>
    <col min="10" max="10" width="9.1796875" style="43" customWidth="1"/>
    <col min="11" max="11" width="13" style="43" customWidth="1"/>
    <col min="12" max="13" width="9.1796875" style="43" customWidth="1"/>
    <col min="14" max="14" width="15.7265625" style="43" customWidth="1"/>
    <col min="15" max="15" width="26.453125" style="43" customWidth="1"/>
    <col min="16" max="16" width="10.81640625" style="43" customWidth="1"/>
    <col min="17" max="17" width="0" style="43" hidden="1" customWidth="1"/>
    <col min="18" max="16384" width="9.1796875" style="43" hidden="1"/>
  </cols>
  <sheetData>
    <row r="1" spans="1:16" customFormat="1" thickBot="1">
      <c r="A1" s="43"/>
      <c r="B1" s="948" t="s">
        <v>23</v>
      </c>
      <c r="C1" s="949"/>
      <c r="D1" s="949"/>
      <c r="E1" s="949"/>
      <c r="F1" s="949"/>
      <c r="G1" s="949"/>
      <c r="H1" s="949"/>
      <c r="I1" s="949"/>
      <c r="J1" s="949"/>
      <c r="K1" s="949"/>
      <c r="L1" s="949"/>
      <c r="M1" s="949"/>
      <c r="N1" s="949"/>
      <c r="O1" s="950"/>
      <c r="P1" s="43"/>
    </row>
    <row r="2" spans="1:16" customFormat="1" ht="26.25" customHeight="1">
      <c r="A2" s="43"/>
      <c r="B2" s="951" t="s">
        <v>7</v>
      </c>
      <c r="C2" s="954" t="s">
        <v>1266</v>
      </c>
      <c r="D2" s="955"/>
      <c r="E2" s="955"/>
      <c r="F2" s="955"/>
      <c r="G2" s="955"/>
      <c r="H2" s="955"/>
      <c r="I2" s="955"/>
      <c r="J2" s="955"/>
      <c r="K2" s="955"/>
      <c r="L2" s="955"/>
      <c r="M2" s="955"/>
      <c r="N2" s="955"/>
      <c r="O2" s="956"/>
      <c r="P2" s="43"/>
    </row>
    <row r="3" spans="1:16" customFormat="1" ht="9.75" customHeight="1">
      <c r="A3" s="43"/>
      <c r="B3" s="952"/>
      <c r="C3" s="957"/>
      <c r="D3" s="958"/>
      <c r="E3" s="958"/>
      <c r="F3" s="958"/>
      <c r="G3" s="958"/>
      <c r="H3" s="958"/>
      <c r="I3" s="958"/>
      <c r="J3" s="958"/>
      <c r="K3" s="958"/>
      <c r="L3" s="958"/>
      <c r="M3" s="958"/>
      <c r="N3" s="958"/>
      <c r="O3" s="959"/>
      <c r="P3" s="43"/>
    </row>
    <row r="4" spans="1:16" customFormat="1" ht="21.75" customHeight="1" thickBot="1">
      <c r="A4" s="43"/>
      <c r="B4" s="952"/>
      <c r="C4" s="960" t="s">
        <v>24</v>
      </c>
      <c r="D4" s="961"/>
      <c r="E4" s="961"/>
      <c r="F4" s="961"/>
      <c r="G4" s="961"/>
      <c r="H4" s="961"/>
      <c r="I4" s="961"/>
      <c r="J4" s="961"/>
      <c r="K4" s="961"/>
      <c r="L4" s="961"/>
      <c r="M4" s="961"/>
      <c r="N4" s="961"/>
      <c r="O4" s="962"/>
      <c r="P4" s="43"/>
    </row>
    <row r="5" spans="1:16" customFormat="1" ht="16.5" customHeight="1" thickBot="1">
      <c r="A5" s="43"/>
      <c r="B5" s="953"/>
      <c r="C5" s="963" t="s">
        <v>25</v>
      </c>
      <c r="D5" s="964"/>
      <c r="E5" s="964"/>
      <c r="F5" s="964"/>
      <c r="G5" s="964"/>
      <c r="H5" s="964"/>
      <c r="I5" s="964"/>
      <c r="J5" s="964"/>
      <c r="K5" s="964"/>
      <c r="L5" s="964"/>
      <c r="M5" s="964"/>
      <c r="N5" s="964"/>
      <c r="O5" s="965"/>
      <c r="P5" s="43"/>
    </row>
    <row r="6" spans="1:16" customFormat="1" thickBot="1">
      <c r="A6" s="43"/>
      <c r="B6" s="43"/>
      <c r="C6" s="43"/>
      <c r="D6" s="43"/>
      <c r="E6" s="43"/>
      <c r="F6" s="43"/>
      <c r="G6" s="43"/>
      <c r="H6" s="43"/>
      <c r="I6" s="43"/>
      <c r="J6" s="43"/>
      <c r="K6" s="43"/>
      <c r="L6" s="43"/>
      <c r="M6" s="43"/>
      <c r="N6" s="43"/>
      <c r="O6" s="43"/>
      <c r="P6" s="43"/>
    </row>
    <row r="7" spans="1:16" customFormat="1" ht="21.5" thickBot="1">
      <c r="A7" s="43"/>
      <c r="B7" s="945" t="s">
        <v>26</v>
      </c>
      <c r="C7" s="946"/>
      <c r="D7" s="946"/>
      <c r="E7" s="946"/>
      <c r="F7" s="946"/>
      <c r="G7" s="946"/>
      <c r="H7" s="946"/>
      <c r="I7" s="946"/>
      <c r="J7" s="946"/>
      <c r="K7" s="946"/>
      <c r="L7" s="946"/>
      <c r="M7" s="946"/>
      <c r="N7" s="946"/>
      <c r="O7" s="947"/>
      <c r="P7" s="43"/>
    </row>
    <row r="8" spans="1:16" s="66" customFormat="1" ht="15.5">
      <c r="J8" s="69"/>
    </row>
    <row r="9" spans="1:16" s="66" customFormat="1" ht="31.5" customHeight="1">
      <c r="D9" s="966" t="s">
        <v>27</v>
      </c>
      <c r="E9" s="966"/>
      <c r="F9" s="966"/>
      <c r="G9" s="966"/>
      <c r="H9" s="966"/>
      <c r="I9" s="967"/>
      <c r="J9" s="968" t="s">
        <v>50</v>
      </c>
      <c r="K9" s="969"/>
      <c r="L9" s="969"/>
      <c r="M9" s="969"/>
      <c r="N9" s="969"/>
    </row>
    <row r="10" spans="1:16" s="66" customFormat="1" ht="15.5">
      <c r="B10" s="70"/>
      <c r="C10" s="70"/>
      <c r="D10" s="70"/>
      <c r="E10" s="69"/>
      <c r="F10" s="69"/>
      <c r="G10" s="69"/>
      <c r="H10" s="69"/>
      <c r="I10" s="69"/>
      <c r="J10" s="69"/>
    </row>
    <row r="11" spans="1:16" s="48" customFormat="1" ht="18.75" customHeight="1" thickBot="1">
      <c r="A11" s="66"/>
      <c r="B11" s="970" t="s">
        <v>29</v>
      </c>
      <c r="C11" s="970"/>
      <c r="D11" s="971" t="str">
        <f>IFERROR(VLOOKUP($J$9,'Contacts Source'!$A$1:$Q$53,2,FALSE),"")</f>
        <v>-</v>
      </c>
      <c r="E11" s="971"/>
      <c r="F11" s="971"/>
      <c r="G11" s="971"/>
      <c r="H11" s="971"/>
      <c r="I11" s="971"/>
      <c r="J11" s="970" t="s">
        <v>30</v>
      </c>
      <c r="K11" s="970"/>
      <c r="L11" s="971" t="str">
        <f>IFERROR(VLOOKUP($J$9,'Contacts Source'!$A$1:$Q$53,4,FALSE),"")</f>
        <v>-</v>
      </c>
      <c r="M11" s="971"/>
      <c r="N11" s="971"/>
      <c r="O11" s="971"/>
      <c r="P11" s="66"/>
    </row>
    <row r="12" spans="1:16" s="48" customFormat="1" ht="18.75" customHeight="1">
      <c r="A12" s="66"/>
      <c r="B12" s="972" t="s">
        <v>31</v>
      </c>
      <c r="C12" s="972"/>
      <c r="D12" s="973" t="str">
        <f>IFERROR(VLOOKUP($J$9,'Contacts Source'!$A$1:$Q$53,3,FALSE),"")</f>
        <v>-</v>
      </c>
      <c r="E12" s="973"/>
      <c r="F12" s="973"/>
      <c r="G12" s="973"/>
      <c r="H12" s="973"/>
      <c r="I12" s="973"/>
      <c r="J12" s="972" t="s">
        <v>32</v>
      </c>
      <c r="K12" s="972"/>
      <c r="L12" s="973" t="str">
        <f>IFERROR(VLOOKUP($J$9,'Contacts Source'!$A$1:$Q$53,5,FALSE),"")</f>
        <v>-</v>
      </c>
      <c r="M12" s="973"/>
      <c r="N12" s="973"/>
      <c r="O12" s="973"/>
      <c r="P12" s="66"/>
    </row>
    <row r="13" spans="1:16" s="48" customFormat="1" ht="18.75" customHeight="1">
      <c r="A13" s="66"/>
      <c r="B13" s="88"/>
      <c r="C13" s="88"/>
      <c r="D13" s="88"/>
      <c r="E13" s="89"/>
      <c r="F13" s="89"/>
      <c r="G13" s="89"/>
      <c r="H13" s="89"/>
      <c r="I13" s="89"/>
      <c r="J13" s="88"/>
      <c r="K13" s="88"/>
      <c r="L13" s="89"/>
      <c r="M13" s="89"/>
      <c r="N13" s="89"/>
      <c r="O13" s="89"/>
      <c r="P13" s="66"/>
    </row>
    <row r="14" spans="1:16" s="48" customFormat="1" ht="18.75" customHeight="1" thickBot="1">
      <c r="A14" s="66"/>
      <c r="B14" s="970" t="s">
        <v>33</v>
      </c>
      <c r="C14" s="970"/>
      <c r="D14" s="971" t="str">
        <f>IFERROR(VLOOKUP($J$9,'Contacts Source'!$A$1:$Q$53,6,FALSE),"")</f>
        <v>-</v>
      </c>
      <c r="E14" s="971"/>
      <c r="F14" s="971"/>
      <c r="G14" s="971"/>
      <c r="H14" s="971"/>
      <c r="I14" s="971"/>
      <c r="J14" s="970" t="s">
        <v>30</v>
      </c>
      <c r="K14" s="970"/>
      <c r="L14" s="971" t="str">
        <f>IFERROR(VLOOKUP($J$9,'Contacts Source'!$A$1:$Q$53,8,FALSE),"")</f>
        <v>-</v>
      </c>
      <c r="M14" s="971"/>
      <c r="N14" s="971"/>
      <c r="O14" s="971"/>
      <c r="P14" s="66"/>
    </row>
    <row r="15" spans="1:16" s="48" customFormat="1" ht="18.75" customHeight="1">
      <c r="A15" s="66"/>
      <c r="B15" s="972" t="s">
        <v>31</v>
      </c>
      <c r="C15" s="972"/>
      <c r="D15" s="973" t="str">
        <f>IFERROR(VLOOKUP($J$9,'Contacts Source'!$A$1:$Q$53,7,FALSE),"")</f>
        <v>-</v>
      </c>
      <c r="E15" s="973"/>
      <c r="F15" s="973"/>
      <c r="G15" s="973"/>
      <c r="H15" s="973"/>
      <c r="I15" s="973"/>
      <c r="J15" s="972" t="s">
        <v>32</v>
      </c>
      <c r="K15" s="972"/>
      <c r="L15" s="973" t="str">
        <f>IFERROR(VLOOKUP($J$9,'Contacts Source'!$A$1:$Q$53,9,FALSE),"")</f>
        <v>-</v>
      </c>
      <c r="M15" s="973"/>
      <c r="N15" s="973"/>
      <c r="O15" s="973"/>
      <c r="P15" s="66"/>
    </row>
    <row r="16" spans="1:16" s="66" customFormat="1" ht="18.75" customHeight="1">
      <c r="B16" s="88"/>
      <c r="C16" s="88"/>
      <c r="D16" s="88"/>
      <c r="E16" s="89"/>
      <c r="F16" s="89"/>
      <c r="G16" s="89"/>
      <c r="H16" s="89"/>
      <c r="I16" s="89"/>
      <c r="J16" s="88"/>
      <c r="K16" s="88"/>
      <c r="L16" s="89"/>
      <c r="M16" s="89"/>
      <c r="N16" s="89"/>
      <c r="O16" s="89"/>
    </row>
    <row r="17" spans="2:15" s="66" customFormat="1" ht="18.75" customHeight="1" thickBot="1">
      <c r="B17" s="970" t="s">
        <v>34</v>
      </c>
      <c r="C17" s="970"/>
      <c r="D17" s="971" t="str">
        <f>IFERROR(VLOOKUP($J$9,'Contacts Source'!$A$1:$Q$53,10,FALSE),"")</f>
        <v>-</v>
      </c>
      <c r="E17" s="971"/>
      <c r="F17" s="971"/>
      <c r="G17" s="971"/>
      <c r="H17" s="971"/>
      <c r="I17" s="971"/>
      <c r="J17" s="970" t="s">
        <v>30</v>
      </c>
      <c r="K17" s="970"/>
      <c r="L17" s="971" t="str">
        <f>IFERROR(VLOOKUP($J$9,'Contacts Source'!$A$1:$Q$53,12,FALSE),"")</f>
        <v>-</v>
      </c>
      <c r="M17" s="971"/>
      <c r="N17" s="971"/>
      <c r="O17" s="971"/>
    </row>
    <row r="18" spans="2:15" s="66" customFormat="1" ht="18.75" customHeight="1">
      <c r="B18" s="972" t="s">
        <v>31</v>
      </c>
      <c r="C18" s="972"/>
      <c r="D18" s="973" t="str">
        <f>IFERROR(VLOOKUP($J$9,'Contacts Source'!$A$1:$Q$53,11,FALSE),"")</f>
        <v>-</v>
      </c>
      <c r="E18" s="973"/>
      <c r="F18" s="973"/>
      <c r="G18" s="973"/>
      <c r="H18" s="973"/>
      <c r="I18" s="973"/>
      <c r="J18" s="972" t="s">
        <v>32</v>
      </c>
      <c r="K18" s="972"/>
      <c r="L18" s="973" t="str">
        <f>IFERROR(VLOOKUP($J$9,'Contacts Source'!$A$1:$Q$53,13,FALSE),"")</f>
        <v>-</v>
      </c>
      <c r="M18" s="973"/>
      <c r="N18" s="973"/>
      <c r="O18" s="973"/>
    </row>
    <row r="19" spans="2:15" s="66" customFormat="1" ht="18.75" customHeight="1">
      <c r="B19" s="88"/>
      <c r="C19" s="88"/>
      <c r="D19" s="88"/>
      <c r="E19" s="89"/>
      <c r="F19" s="89"/>
      <c r="G19" s="89"/>
      <c r="H19" s="89"/>
      <c r="I19" s="89"/>
      <c r="J19" s="88"/>
      <c r="K19" s="88"/>
      <c r="L19" s="89"/>
      <c r="M19" s="89"/>
      <c r="N19" s="89"/>
      <c r="O19" s="89"/>
    </row>
    <row r="20" spans="2:15" s="66" customFormat="1" ht="18.75" customHeight="1" thickBot="1">
      <c r="B20" s="970" t="s">
        <v>35</v>
      </c>
      <c r="C20" s="970"/>
      <c r="D20" s="975" t="str">
        <f>IFERROR(VLOOKUP($J$9,'Contacts Source'!$A$1:$Q$53,14,FALSE),"")</f>
        <v>-</v>
      </c>
      <c r="E20" s="975"/>
      <c r="F20" s="975"/>
      <c r="G20" s="975"/>
      <c r="H20" s="975"/>
      <c r="I20" s="975"/>
      <c r="J20" s="970" t="s">
        <v>30</v>
      </c>
      <c r="K20" s="970"/>
      <c r="L20" s="974" t="str">
        <f>IFERROR(VLOOKUP($J$9,'Contacts Source'!$A$1:$Q$53,16,FALSE),"")</f>
        <v>-</v>
      </c>
      <c r="M20" s="974"/>
      <c r="N20" s="974"/>
      <c r="O20" s="974"/>
    </row>
    <row r="21" spans="2:15" s="66" customFormat="1" ht="18.75" customHeight="1" thickBot="1">
      <c r="B21" s="972" t="s">
        <v>31</v>
      </c>
      <c r="C21" s="972"/>
      <c r="D21" s="971" t="str">
        <f>IFERROR(VLOOKUP($J$9,'Contacts Source'!$A$1:$Q$53,15,FALSE),"")</f>
        <v>-</v>
      </c>
      <c r="E21" s="971"/>
      <c r="F21" s="971"/>
      <c r="G21" s="971"/>
      <c r="H21" s="971"/>
      <c r="I21" s="971"/>
      <c r="J21" s="972" t="s">
        <v>32</v>
      </c>
      <c r="K21" s="972"/>
      <c r="L21" s="974" t="str">
        <f>IFERROR(VLOOKUP($J$9,'Contacts Source'!$A$1:$Q$53,17,FALSE),"")</f>
        <v>-</v>
      </c>
      <c r="M21" s="974"/>
      <c r="N21" s="974"/>
      <c r="O21" s="974"/>
    </row>
    <row r="22" spans="2:15" ht="14.5"/>
    <row r="23" spans="2:15" s="66" customFormat="1" ht="18.75" customHeight="1" thickBot="1">
      <c r="B23" s="970" t="s">
        <v>1804</v>
      </c>
      <c r="C23" s="970"/>
      <c r="D23" s="976"/>
      <c r="E23" s="976"/>
      <c r="F23" s="976"/>
      <c r="G23" s="976"/>
      <c r="H23" s="976"/>
      <c r="I23" s="976"/>
      <c r="J23" s="970" t="s">
        <v>30</v>
      </c>
      <c r="K23" s="970"/>
      <c r="L23" s="977"/>
      <c r="M23" s="977"/>
      <c r="N23" s="977"/>
      <c r="O23" s="977"/>
    </row>
    <row r="24" spans="2:15" s="66" customFormat="1" ht="18.75" customHeight="1">
      <c r="B24" s="972" t="s">
        <v>31</v>
      </c>
      <c r="C24" s="972"/>
      <c r="D24" s="978"/>
      <c r="E24" s="978"/>
      <c r="F24" s="978"/>
      <c r="G24" s="978"/>
      <c r="H24" s="978"/>
      <c r="I24" s="978"/>
      <c r="J24" s="972" t="s">
        <v>32</v>
      </c>
      <c r="K24" s="972"/>
      <c r="L24" s="979"/>
      <c r="M24" s="979"/>
      <c r="N24" s="979"/>
      <c r="O24" s="979"/>
    </row>
  </sheetData>
  <mergeCells count="48">
    <mergeCell ref="B23:C23"/>
    <mergeCell ref="D23:I23"/>
    <mergeCell ref="J23:K23"/>
    <mergeCell ref="L23:O23"/>
    <mergeCell ref="B24:C24"/>
    <mergeCell ref="D24:I24"/>
    <mergeCell ref="J24:K24"/>
    <mergeCell ref="L24:O24"/>
    <mergeCell ref="B21:C21"/>
    <mergeCell ref="D21:I21"/>
    <mergeCell ref="J21:K21"/>
    <mergeCell ref="L21:O21"/>
    <mergeCell ref="B18:C18"/>
    <mergeCell ref="D18:I18"/>
    <mergeCell ref="J18:K18"/>
    <mergeCell ref="L18:O18"/>
    <mergeCell ref="B20:C20"/>
    <mergeCell ref="D20:I20"/>
    <mergeCell ref="J20:K20"/>
    <mergeCell ref="L20:O20"/>
    <mergeCell ref="B15:C15"/>
    <mergeCell ref="D15:I15"/>
    <mergeCell ref="J15:K15"/>
    <mergeCell ref="L15:O15"/>
    <mergeCell ref="B17:C17"/>
    <mergeCell ref="D17:I17"/>
    <mergeCell ref="J17:K17"/>
    <mergeCell ref="L17:O17"/>
    <mergeCell ref="B12:C12"/>
    <mergeCell ref="D12:I12"/>
    <mergeCell ref="J12:K12"/>
    <mergeCell ref="L12:O12"/>
    <mergeCell ref="B14:C14"/>
    <mergeCell ref="D14:I14"/>
    <mergeCell ref="J14:K14"/>
    <mergeCell ref="L14:O14"/>
    <mergeCell ref="D9:I9"/>
    <mergeCell ref="J9:N9"/>
    <mergeCell ref="B11:C11"/>
    <mergeCell ref="D11:I11"/>
    <mergeCell ref="J11:K11"/>
    <mergeCell ref="L11:O11"/>
    <mergeCell ref="B7:O7"/>
    <mergeCell ref="B1:O1"/>
    <mergeCell ref="B2:B5"/>
    <mergeCell ref="C2:O3"/>
    <mergeCell ref="C4:O4"/>
    <mergeCell ref="C5:O5"/>
  </mergeCells>
  <conditionalFormatting sqref="J9">
    <cfRule type="containsText" dxfId="38" priority="1" operator="containsText" text="please">
      <formula>NOT(ISERROR(SEARCH("please",J9)))</formula>
    </cfRule>
  </conditionalFormatting>
  <dataValidations count="1">
    <dataValidation type="list" errorStyle="warning" allowBlank="1" showInputMessage="1" showErrorMessage="1" errorTitle="Invalid Selection" error="Please select your agency from the dropdown menu, as all subsequent tabs will use this information for autpopulated fields." sqref="J9:N9" xr:uid="{95FB49DC-A8E8-FC4C-9643-4028C54A37AA}">
      <formula1>AgencyCampus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3"/>
  <sheetViews>
    <sheetView zoomScale="90" zoomScaleNormal="90" workbookViewId="0">
      <selection activeCell="D57" sqref="D57"/>
    </sheetView>
  </sheetViews>
  <sheetFormatPr defaultColWidth="33.1796875" defaultRowHeight="14.5"/>
  <cols>
    <col min="1" max="1" width="42" customWidth="1"/>
    <col min="2" max="2" width="18.453125" bestFit="1" customWidth="1"/>
    <col min="3" max="3" width="43.26953125" bestFit="1" customWidth="1"/>
    <col min="4" max="4" width="37.7265625" bestFit="1" customWidth="1"/>
    <col min="5" max="5" width="18.1796875" bestFit="1" customWidth="1"/>
    <col min="6" max="6" width="16.7265625" bestFit="1" customWidth="1"/>
    <col min="7" max="7" width="23.7265625" bestFit="1" customWidth="1"/>
    <col min="8" max="8" width="23.81640625" bestFit="1" customWidth="1"/>
    <col min="9" max="9" width="18.1796875" bestFit="1" customWidth="1"/>
  </cols>
  <sheetData>
    <row r="1" spans="1:17">
      <c r="A1" s="67" t="s">
        <v>37</v>
      </c>
      <c r="B1" s="67" t="s">
        <v>38</v>
      </c>
      <c r="C1" s="67" t="s">
        <v>39</v>
      </c>
      <c r="D1" s="67" t="s">
        <v>40</v>
      </c>
      <c r="E1" s="67" t="s">
        <v>41</v>
      </c>
      <c r="F1" s="67" t="s">
        <v>42</v>
      </c>
      <c r="G1" s="67" t="s">
        <v>43</v>
      </c>
      <c r="H1" s="67" t="s">
        <v>44</v>
      </c>
      <c r="I1" s="67" t="s">
        <v>45</v>
      </c>
      <c r="J1" s="67" t="s">
        <v>46</v>
      </c>
      <c r="K1" s="67" t="s">
        <v>47</v>
      </c>
      <c r="L1" s="67" t="s">
        <v>48</v>
      </c>
      <c r="M1" s="67" t="s">
        <v>49</v>
      </c>
      <c r="N1" s="67" t="s">
        <v>1752</v>
      </c>
      <c r="O1" s="67" t="s">
        <v>1753</v>
      </c>
      <c r="P1" s="67" t="s">
        <v>1754</v>
      </c>
      <c r="Q1" s="67" t="s">
        <v>1755</v>
      </c>
    </row>
    <row r="2" spans="1:17">
      <c r="A2" s="17" t="s">
        <v>50</v>
      </c>
      <c r="B2" s="17" t="s">
        <v>51</v>
      </c>
      <c r="C2" s="17" t="s">
        <v>51</v>
      </c>
      <c r="D2" s="17" t="s">
        <v>51</v>
      </c>
      <c r="E2" s="17" t="s">
        <v>51</v>
      </c>
      <c r="F2" s="17" t="s">
        <v>51</v>
      </c>
      <c r="G2" s="17" t="s">
        <v>51</v>
      </c>
      <c r="H2" s="17" t="s">
        <v>51</v>
      </c>
      <c r="I2" s="17" t="s">
        <v>51</v>
      </c>
      <c r="J2" s="17" t="s">
        <v>51</v>
      </c>
      <c r="K2" s="17" t="s">
        <v>51</v>
      </c>
      <c r="L2" s="17" t="s">
        <v>51</v>
      </c>
      <c r="M2" s="17" t="s">
        <v>51</v>
      </c>
      <c r="N2" s="17" t="s">
        <v>51</v>
      </c>
      <c r="O2" s="17" t="s">
        <v>51</v>
      </c>
      <c r="P2" s="17" t="s">
        <v>51</v>
      </c>
      <c r="Q2" s="17" t="s">
        <v>51</v>
      </c>
    </row>
    <row r="3" spans="1:17">
      <c r="A3" s="292" t="s">
        <v>52</v>
      </c>
      <c r="B3" s="274" t="s">
        <v>53</v>
      </c>
      <c r="C3" s="274" t="s">
        <v>54</v>
      </c>
      <c r="D3" s="274" t="s">
        <v>55</v>
      </c>
      <c r="E3" s="274" t="s">
        <v>56</v>
      </c>
      <c r="F3" s="274" t="s">
        <v>57</v>
      </c>
      <c r="G3" s="513" t="s">
        <v>58</v>
      </c>
      <c r="H3" s="274" t="s">
        <v>59</v>
      </c>
      <c r="I3" s="274" t="s">
        <v>60</v>
      </c>
      <c r="J3" s="274" t="s">
        <v>51</v>
      </c>
      <c r="K3" s="274" t="s">
        <v>51</v>
      </c>
      <c r="L3" s="274" t="s">
        <v>51</v>
      </c>
      <c r="M3" s="274" t="s">
        <v>51</v>
      </c>
      <c r="N3" s="274" t="s">
        <v>51</v>
      </c>
      <c r="O3" s="274" t="s">
        <v>51</v>
      </c>
      <c r="P3" s="274" t="s">
        <v>51</v>
      </c>
      <c r="Q3" s="274" t="s">
        <v>51</v>
      </c>
    </row>
    <row r="4" spans="1:17">
      <c r="A4" s="292" t="s">
        <v>61</v>
      </c>
      <c r="B4" s="274" t="s">
        <v>62</v>
      </c>
      <c r="C4" s="274" t="s">
        <v>63</v>
      </c>
      <c r="D4" s="274" t="s">
        <v>64</v>
      </c>
      <c r="E4" s="274" t="s">
        <v>65</v>
      </c>
      <c r="F4" s="274" t="s">
        <v>66</v>
      </c>
      <c r="G4" s="274" t="s">
        <v>67</v>
      </c>
      <c r="H4" s="282" t="s">
        <v>68</v>
      </c>
      <c r="I4" s="274" t="s">
        <v>69</v>
      </c>
      <c r="J4" s="274" t="s">
        <v>1716</v>
      </c>
      <c r="K4" s="274" t="s">
        <v>1717</v>
      </c>
      <c r="L4" s="282" t="s">
        <v>1718</v>
      </c>
      <c r="M4" s="274" t="s">
        <v>1719</v>
      </c>
      <c r="N4" s="274" t="s">
        <v>51</v>
      </c>
      <c r="O4" s="274" t="s">
        <v>51</v>
      </c>
      <c r="P4" s="274" t="s">
        <v>51</v>
      </c>
      <c r="Q4" s="274" t="s">
        <v>51</v>
      </c>
    </row>
    <row r="5" spans="1:17">
      <c r="A5" s="292" t="s">
        <v>28</v>
      </c>
      <c r="B5" s="274" t="s">
        <v>2505</v>
      </c>
      <c r="C5" s="274" t="s">
        <v>70</v>
      </c>
      <c r="D5" s="899" t="s">
        <v>2506</v>
      </c>
      <c r="E5" s="274" t="s">
        <v>71</v>
      </c>
      <c r="F5" s="274" t="s">
        <v>72</v>
      </c>
      <c r="G5" s="274" t="s">
        <v>73</v>
      </c>
      <c r="H5" s="282" t="s">
        <v>74</v>
      </c>
      <c r="I5" s="274" t="s">
        <v>75</v>
      </c>
      <c r="J5" s="274" t="s">
        <v>51</v>
      </c>
      <c r="K5" s="274" t="s">
        <v>51</v>
      </c>
      <c r="L5" s="274" t="s">
        <v>51</v>
      </c>
      <c r="M5" s="274" t="s">
        <v>51</v>
      </c>
      <c r="N5" s="274" t="s">
        <v>51</v>
      </c>
      <c r="O5" s="274" t="s">
        <v>51</v>
      </c>
      <c r="P5" s="274" t="s">
        <v>51</v>
      </c>
      <c r="Q5" s="274" t="s">
        <v>51</v>
      </c>
    </row>
    <row r="6" spans="1:17">
      <c r="A6" s="292" t="s">
        <v>76</v>
      </c>
      <c r="B6" s="274" t="s">
        <v>77</v>
      </c>
      <c r="C6" s="274" t="s">
        <v>78</v>
      </c>
      <c r="D6" s="274" t="s">
        <v>79</v>
      </c>
      <c r="E6" s="274" t="s">
        <v>80</v>
      </c>
      <c r="F6" s="274" t="s">
        <v>51</v>
      </c>
      <c r="G6" s="274" t="s">
        <v>51</v>
      </c>
      <c r="H6" s="274" t="s">
        <v>51</v>
      </c>
      <c r="I6" s="274" t="s">
        <v>51</v>
      </c>
      <c r="J6" s="274" t="s">
        <v>51</v>
      </c>
      <c r="K6" s="274" t="s">
        <v>51</v>
      </c>
      <c r="L6" s="274" t="s">
        <v>51</v>
      </c>
      <c r="M6" s="274" t="s">
        <v>51</v>
      </c>
      <c r="N6" s="274" t="s">
        <v>51</v>
      </c>
      <c r="O6" s="274" t="s">
        <v>51</v>
      </c>
      <c r="P6" s="274" t="s">
        <v>51</v>
      </c>
      <c r="Q6" s="274" t="s">
        <v>51</v>
      </c>
    </row>
    <row r="7" spans="1:17">
      <c r="A7" s="21" t="s">
        <v>81</v>
      </c>
      <c r="B7" s="17" t="s">
        <v>51</v>
      </c>
      <c r="C7" s="17" t="s">
        <v>51</v>
      </c>
      <c r="D7" s="17" t="s">
        <v>51</v>
      </c>
      <c r="E7" s="17" t="s">
        <v>51</v>
      </c>
      <c r="F7" s="17" t="s">
        <v>51</v>
      </c>
      <c r="G7" s="17" t="s">
        <v>51</v>
      </c>
      <c r="H7" s="17" t="s">
        <v>51</v>
      </c>
      <c r="I7" s="17" t="s">
        <v>51</v>
      </c>
      <c r="J7" s="17" t="s">
        <v>51</v>
      </c>
      <c r="K7" s="17" t="s">
        <v>51</v>
      </c>
      <c r="L7" s="17" t="s">
        <v>51</v>
      </c>
      <c r="M7" s="17" t="s">
        <v>51</v>
      </c>
      <c r="N7" s="17" t="s">
        <v>51</v>
      </c>
      <c r="O7" s="17" t="s">
        <v>51</v>
      </c>
      <c r="P7" s="17" t="s">
        <v>51</v>
      </c>
      <c r="Q7" s="17" t="s">
        <v>51</v>
      </c>
    </row>
    <row r="8" spans="1:17">
      <c r="A8" s="292" t="s">
        <v>82</v>
      </c>
      <c r="B8" s="274" t="s">
        <v>83</v>
      </c>
      <c r="C8" s="274" t="s">
        <v>84</v>
      </c>
      <c r="D8" s="274" t="s">
        <v>85</v>
      </c>
      <c r="E8" s="274" t="s">
        <v>86</v>
      </c>
      <c r="F8" s="274" t="s">
        <v>87</v>
      </c>
      <c r="G8" s="274" t="s">
        <v>88</v>
      </c>
      <c r="H8" s="274" t="s">
        <v>89</v>
      </c>
      <c r="I8" s="274" t="s">
        <v>90</v>
      </c>
      <c r="J8" s="274" t="s">
        <v>91</v>
      </c>
      <c r="K8" s="274" t="s">
        <v>92</v>
      </c>
      <c r="L8" s="282" t="s">
        <v>93</v>
      </c>
      <c r="M8" s="274" t="s">
        <v>94</v>
      </c>
      <c r="N8" s="274" t="s">
        <v>51</v>
      </c>
      <c r="O8" s="274" t="s">
        <v>51</v>
      </c>
      <c r="P8" s="274" t="s">
        <v>51</v>
      </c>
      <c r="Q8" s="274" t="s">
        <v>51</v>
      </c>
    </row>
    <row r="9" spans="1:17">
      <c r="A9" s="416" t="s">
        <v>95</v>
      </c>
      <c r="B9" s="17" t="s">
        <v>2507</v>
      </c>
      <c r="C9" s="17" t="s">
        <v>2508</v>
      </c>
      <c r="D9" s="514" t="s">
        <v>2509</v>
      </c>
      <c r="E9" s="17" t="s">
        <v>2510</v>
      </c>
      <c r="F9" s="17" t="s">
        <v>2512</v>
      </c>
      <c r="G9" s="17" t="s">
        <v>131</v>
      </c>
      <c r="H9" s="514" t="s">
        <v>2511</v>
      </c>
      <c r="I9" s="17" t="s">
        <v>2513</v>
      </c>
      <c r="J9" s="17" t="s">
        <v>51</v>
      </c>
      <c r="K9" s="17" t="s">
        <v>51</v>
      </c>
      <c r="L9" s="17" t="s">
        <v>51</v>
      </c>
      <c r="M9" s="17" t="s">
        <v>51</v>
      </c>
      <c r="N9" s="17" t="s">
        <v>51</v>
      </c>
      <c r="O9" s="17" t="s">
        <v>51</v>
      </c>
      <c r="P9" s="17" t="s">
        <v>51</v>
      </c>
      <c r="Q9" s="17" t="s">
        <v>51</v>
      </c>
    </row>
    <row r="10" spans="1:17">
      <c r="A10" s="292" t="s">
        <v>96</v>
      </c>
      <c r="B10" s="274" t="s">
        <v>1720</v>
      </c>
      <c r="C10" s="274" t="s">
        <v>1721</v>
      </c>
      <c r="D10" s="282" t="s">
        <v>1722</v>
      </c>
      <c r="E10" s="274" t="s">
        <v>1723</v>
      </c>
      <c r="F10" s="274" t="s">
        <v>1724</v>
      </c>
      <c r="G10" s="274" t="s">
        <v>1725</v>
      </c>
      <c r="H10" s="282" t="s">
        <v>1726</v>
      </c>
      <c r="I10" s="274" t="s">
        <v>1727</v>
      </c>
      <c r="J10" s="274" t="s">
        <v>51</v>
      </c>
      <c r="K10" s="274" t="s">
        <v>51</v>
      </c>
      <c r="L10" s="274" t="s">
        <v>51</v>
      </c>
      <c r="M10" s="274" t="s">
        <v>51</v>
      </c>
      <c r="N10" s="274" t="s">
        <v>51</v>
      </c>
      <c r="O10" s="274" t="s">
        <v>51</v>
      </c>
      <c r="P10" s="274" t="s">
        <v>51</v>
      </c>
      <c r="Q10" s="274" t="s">
        <v>51</v>
      </c>
    </row>
    <row r="11" spans="1:17">
      <c r="A11" s="292" t="s">
        <v>97</v>
      </c>
      <c r="B11" s="274" t="s">
        <v>98</v>
      </c>
      <c r="C11" s="274" t="s">
        <v>99</v>
      </c>
      <c r="D11" s="274" t="s">
        <v>100</v>
      </c>
      <c r="E11" s="274" t="s">
        <v>101</v>
      </c>
      <c r="F11" s="274" t="s">
        <v>102</v>
      </c>
      <c r="G11" s="274" t="s">
        <v>1269</v>
      </c>
      <c r="H11" s="274" t="s">
        <v>103</v>
      </c>
      <c r="I11" s="274" t="s">
        <v>104</v>
      </c>
      <c r="J11" s="274" t="s">
        <v>51</v>
      </c>
      <c r="K11" s="274" t="s">
        <v>51</v>
      </c>
      <c r="L11" s="274" t="s">
        <v>51</v>
      </c>
      <c r="M11" s="274" t="s">
        <v>51</v>
      </c>
      <c r="N11" s="274" t="s">
        <v>51</v>
      </c>
      <c r="O11" s="274" t="s">
        <v>51</v>
      </c>
      <c r="P11" s="274" t="s">
        <v>51</v>
      </c>
      <c r="Q11" s="274" t="s">
        <v>51</v>
      </c>
    </row>
    <row r="12" spans="1:17">
      <c r="A12" s="416" t="s">
        <v>105</v>
      </c>
      <c r="B12" s="17" t="s">
        <v>51</v>
      </c>
      <c r="C12" s="17" t="s">
        <v>51</v>
      </c>
      <c r="D12" s="17" t="s">
        <v>51</v>
      </c>
      <c r="E12" s="17" t="s">
        <v>51</v>
      </c>
      <c r="F12" s="17" t="s">
        <v>51</v>
      </c>
      <c r="G12" s="17" t="s">
        <v>51</v>
      </c>
      <c r="H12" s="17" t="s">
        <v>51</v>
      </c>
      <c r="I12" s="17" t="s">
        <v>51</v>
      </c>
      <c r="J12" s="17" t="s">
        <v>51</v>
      </c>
      <c r="K12" s="17" t="s">
        <v>51</v>
      </c>
      <c r="L12" s="17" t="s">
        <v>51</v>
      </c>
      <c r="M12" s="17" t="s">
        <v>51</v>
      </c>
      <c r="N12" s="17" t="s">
        <v>51</v>
      </c>
      <c r="O12" s="17" t="s">
        <v>51</v>
      </c>
      <c r="P12" s="17" t="s">
        <v>51</v>
      </c>
      <c r="Q12" s="17" t="s">
        <v>51</v>
      </c>
    </row>
    <row r="13" spans="1:17">
      <c r="A13" s="292" t="s">
        <v>106</v>
      </c>
      <c r="B13" s="274" t="s">
        <v>1728</v>
      </c>
      <c r="C13" s="274" t="s">
        <v>1729</v>
      </c>
      <c r="D13" s="282" t="s">
        <v>1730</v>
      </c>
      <c r="E13" s="274" t="s">
        <v>1731</v>
      </c>
      <c r="F13" s="274" t="s">
        <v>1732</v>
      </c>
      <c r="G13" s="274" t="s">
        <v>1733</v>
      </c>
      <c r="H13" s="677" t="s">
        <v>1734</v>
      </c>
      <c r="I13" s="274" t="s">
        <v>1735</v>
      </c>
      <c r="J13" s="274" t="s">
        <v>51</v>
      </c>
      <c r="K13" s="274" t="s">
        <v>51</v>
      </c>
      <c r="L13" s="274" t="s">
        <v>51</v>
      </c>
      <c r="M13" s="274" t="s">
        <v>51</v>
      </c>
      <c r="N13" s="274" t="s">
        <v>51</v>
      </c>
      <c r="O13" s="274" t="s">
        <v>51</v>
      </c>
      <c r="P13" s="274" t="s">
        <v>51</v>
      </c>
      <c r="Q13" s="274" t="s">
        <v>51</v>
      </c>
    </row>
    <row r="14" spans="1:17">
      <c r="A14" s="292" t="s">
        <v>107</v>
      </c>
      <c r="B14" s="274" t="s">
        <v>2514</v>
      </c>
      <c r="C14" s="274" t="s">
        <v>2517</v>
      </c>
      <c r="D14" s="282" t="s">
        <v>2515</v>
      </c>
      <c r="E14" s="274" t="s">
        <v>2516</v>
      </c>
      <c r="F14" s="274" t="s">
        <v>51</v>
      </c>
      <c r="G14" s="274" t="s">
        <v>51</v>
      </c>
      <c r="H14" s="274" t="s">
        <v>51</v>
      </c>
      <c r="I14" s="274" t="s">
        <v>51</v>
      </c>
      <c r="J14" s="274" t="s">
        <v>51</v>
      </c>
      <c r="K14" s="274" t="s">
        <v>51</v>
      </c>
      <c r="L14" s="274" t="s">
        <v>51</v>
      </c>
      <c r="M14" s="274" t="s">
        <v>51</v>
      </c>
      <c r="N14" s="274" t="s">
        <v>51</v>
      </c>
      <c r="O14" s="274" t="s">
        <v>51</v>
      </c>
      <c r="P14" s="274" t="s">
        <v>51</v>
      </c>
      <c r="Q14" s="274" t="s">
        <v>51</v>
      </c>
    </row>
    <row r="15" spans="1:17">
      <c r="A15" s="416" t="s">
        <v>108</v>
      </c>
      <c r="B15" s="17" t="s">
        <v>51</v>
      </c>
      <c r="C15" s="17" t="s">
        <v>51</v>
      </c>
      <c r="D15" s="17" t="s">
        <v>51</v>
      </c>
      <c r="E15" s="17" t="s">
        <v>51</v>
      </c>
      <c r="F15" s="17" t="s">
        <v>51</v>
      </c>
      <c r="G15" s="17" t="s">
        <v>51</v>
      </c>
      <c r="H15" s="17" t="s">
        <v>51</v>
      </c>
      <c r="I15" s="17" t="s">
        <v>51</v>
      </c>
      <c r="J15" s="17" t="s">
        <v>51</v>
      </c>
      <c r="K15" s="17" t="s">
        <v>51</v>
      </c>
      <c r="L15" s="17" t="s">
        <v>51</v>
      </c>
      <c r="M15" s="17" t="s">
        <v>51</v>
      </c>
      <c r="N15" s="17" t="s">
        <v>51</v>
      </c>
      <c r="O15" s="17" t="s">
        <v>51</v>
      </c>
      <c r="P15" s="17" t="s">
        <v>51</v>
      </c>
      <c r="Q15" s="17" t="s">
        <v>51</v>
      </c>
    </row>
    <row r="16" spans="1:17">
      <c r="A16" s="416" t="s">
        <v>109</v>
      </c>
      <c r="B16" s="17" t="s">
        <v>51</v>
      </c>
      <c r="C16" s="17" t="s">
        <v>51</v>
      </c>
      <c r="D16" s="17" t="s">
        <v>51</v>
      </c>
      <c r="E16" s="17" t="s">
        <v>51</v>
      </c>
      <c r="F16" s="17" t="s">
        <v>51</v>
      </c>
      <c r="G16" s="17" t="s">
        <v>51</v>
      </c>
      <c r="H16" s="17" t="s">
        <v>51</v>
      </c>
      <c r="I16" s="17" t="s">
        <v>51</v>
      </c>
      <c r="J16" s="17" t="s">
        <v>51</v>
      </c>
      <c r="K16" s="17" t="s">
        <v>51</v>
      </c>
      <c r="L16" s="17" t="s">
        <v>51</v>
      </c>
      <c r="M16" s="17" t="s">
        <v>51</v>
      </c>
      <c r="N16" s="17" t="s">
        <v>51</v>
      </c>
      <c r="O16" s="17" t="s">
        <v>51</v>
      </c>
      <c r="P16" s="17" t="s">
        <v>51</v>
      </c>
      <c r="Q16" s="17" t="s">
        <v>51</v>
      </c>
    </row>
    <row r="17" spans="1:17">
      <c r="A17" s="292" t="s">
        <v>110</v>
      </c>
      <c r="B17" s="274" t="s">
        <v>1097</v>
      </c>
      <c r="C17" s="274" t="s">
        <v>131</v>
      </c>
      <c r="D17" s="274" t="s">
        <v>1760</v>
      </c>
      <c r="E17" s="274" t="s">
        <v>1761</v>
      </c>
      <c r="F17" s="274" t="s">
        <v>51</v>
      </c>
      <c r="G17" s="274" t="s">
        <v>51</v>
      </c>
      <c r="H17" s="274" t="s">
        <v>51</v>
      </c>
      <c r="I17" s="274" t="s">
        <v>51</v>
      </c>
      <c r="J17" s="274" t="s">
        <v>51</v>
      </c>
      <c r="K17" s="274" t="s">
        <v>51</v>
      </c>
      <c r="L17" s="274" t="s">
        <v>51</v>
      </c>
      <c r="M17" s="274" t="s">
        <v>51</v>
      </c>
      <c r="N17" s="274" t="s">
        <v>51</v>
      </c>
      <c r="O17" s="274" t="s">
        <v>51</v>
      </c>
      <c r="P17" s="274" t="s">
        <v>51</v>
      </c>
      <c r="Q17" s="274" t="s">
        <v>51</v>
      </c>
    </row>
    <row r="18" spans="1:17">
      <c r="A18" s="416" t="s">
        <v>111</v>
      </c>
      <c r="B18" s="17" t="s">
        <v>51</v>
      </c>
      <c r="C18" s="17" t="s">
        <v>51</v>
      </c>
      <c r="D18" s="17" t="s">
        <v>51</v>
      </c>
      <c r="E18" s="17" t="s">
        <v>51</v>
      </c>
      <c r="F18" s="17" t="s">
        <v>51</v>
      </c>
      <c r="G18" s="17" t="s">
        <v>51</v>
      </c>
      <c r="H18" s="17" t="s">
        <v>51</v>
      </c>
      <c r="I18" s="17" t="s">
        <v>51</v>
      </c>
      <c r="J18" s="17" t="s">
        <v>51</v>
      </c>
      <c r="K18" s="17" t="s">
        <v>51</v>
      </c>
      <c r="L18" s="17" t="s">
        <v>51</v>
      </c>
      <c r="M18" s="17" t="s">
        <v>51</v>
      </c>
      <c r="N18" s="17" t="s">
        <v>51</v>
      </c>
      <c r="O18" s="17" t="s">
        <v>51</v>
      </c>
      <c r="P18" s="17" t="s">
        <v>51</v>
      </c>
      <c r="Q18" s="17" t="s">
        <v>51</v>
      </c>
    </row>
    <row r="19" spans="1:17">
      <c r="A19" s="416" t="s">
        <v>112</v>
      </c>
      <c r="B19" s="17" t="s">
        <v>51</v>
      </c>
      <c r="C19" s="17" t="s">
        <v>51</v>
      </c>
      <c r="D19" s="17" t="s">
        <v>51</v>
      </c>
      <c r="E19" s="17" t="s">
        <v>51</v>
      </c>
      <c r="F19" s="17" t="s">
        <v>51</v>
      </c>
      <c r="G19" s="17" t="s">
        <v>51</v>
      </c>
      <c r="H19" s="17" t="s">
        <v>51</v>
      </c>
      <c r="I19" s="17" t="s">
        <v>51</v>
      </c>
      <c r="J19" s="17" t="s">
        <v>51</v>
      </c>
      <c r="K19" s="17" t="s">
        <v>51</v>
      </c>
      <c r="L19" s="17" t="s">
        <v>51</v>
      </c>
      <c r="M19" s="17" t="s">
        <v>51</v>
      </c>
      <c r="N19" s="17" t="s">
        <v>51</v>
      </c>
      <c r="O19" s="17" t="s">
        <v>51</v>
      </c>
      <c r="P19" s="17" t="s">
        <v>51</v>
      </c>
      <c r="Q19" s="17" t="s">
        <v>51</v>
      </c>
    </row>
    <row r="20" spans="1:17">
      <c r="A20" s="416" t="s">
        <v>113</v>
      </c>
      <c r="B20" s="17" t="s">
        <v>51</v>
      </c>
      <c r="C20" s="17" t="s">
        <v>51</v>
      </c>
      <c r="D20" s="17" t="s">
        <v>51</v>
      </c>
      <c r="E20" s="17" t="s">
        <v>51</v>
      </c>
      <c r="F20" s="17" t="s">
        <v>51</v>
      </c>
      <c r="G20" s="17" t="s">
        <v>51</v>
      </c>
      <c r="H20" s="17" t="s">
        <v>51</v>
      </c>
      <c r="I20" s="17" t="s">
        <v>51</v>
      </c>
      <c r="J20" s="17" t="s">
        <v>51</v>
      </c>
      <c r="K20" s="17" t="s">
        <v>51</v>
      </c>
      <c r="L20" s="17" t="s">
        <v>51</v>
      </c>
      <c r="M20" s="17" t="s">
        <v>51</v>
      </c>
      <c r="N20" s="17" t="s">
        <v>51</v>
      </c>
      <c r="O20" s="17" t="s">
        <v>51</v>
      </c>
      <c r="P20" s="17" t="s">
        <v>51</v>
      </c>
      <c r="Q20" s="17" t="s">
        <v>51</v>
      </c>
    </row>
    <row r="21" spans="1:17">
      <c r="A21" s="292" t="s">
        <v>114</v>
      </c>
      <c r="B21" s="274" t="s">
        <v>2519</v>
      </c>
      <c r="C21" s="274" t="s">
        <v>2520</v>
      </c>
      <c r="D21" s="282" t="s">
        <v>2518</v>
      </c>
      <c r="E21" s="274" t="s">
        <v>2521</v>
      </c>
      <c r="F21" s="274" t="s">
        <v>1736</v>
      </c>
      <c r="G21" s="274" t="s">
        <v>115</v>
      </c>
      <c r="H21" s="282" t="s">
        <v>1737</v>
      </c>
      <c r="I21" s="274" t="s">
        <v>116</v>
      </c>
      <c r="J21" s="274" t="s">
        <v>117</v>
      </c>
      <c r="K21" s="274" t="s">
        <v>118</v>
      </c>
      <c r="L21" s="282" t="s">
        <v>119</v>
      </c>
      <c r="M21" s="274" t="s">
        <v>120</v>
      </c>
      <c r="N21" s="274" t="s">
        <v>51</v>
      </c>
      <c r="O21" s="274" t="s">
        <v>51</v>
      </c>
      <c r="P21" s="274" t="s">
        <v>51</v>
      </c>
      <c r="Q21" s="274" t="s">
        <v>51</v>
      </c>
    </row>
    <row r="22" spans="1:17">
      <c r="A22" s="292" t="s">
        <v>36</v>
      </c>
      <c r="B22" s="274" t="s">
        <v>121</v>
      </c>
      <c r="C22" s="274" t="s">
        <v>122</v>
      </c>
      <c r="D22" s="274" t="s">
        <v>123</v>
      </c>
      <c r="E22" s="274" t="s">
        <v>124</v>
      </c>
      <c r="F22" s="274" t="s">
        <v>125</v>
      </c>
      <c r="G22" s="274" t="s">
        <v>126</v>
      </c>
      <c r="H22" s="274" t="s">
        <v>127</v>
      </c>
      <c r="I22" s="274" t="s">
        <v>128</v>
      </c>
      <c r="J22" s="274" t="s">
        <v>1738</v>
      </c>
      <c r="K22" s="274" t="s">
        <v>1739</v>
      </c>
      <c r="L22" s="274" t="s">
        <v>1740</v>
      </c>
      <c r="M22" s="274" t="s">
        <v>1741</v>
      </c>
      <c r="N22" s="274" t="s">
        <v>51</v>
      </c>
      <c r="O22" s="274" t="s">
        <v>51</v>
      </c>
      <c r="P22" s="274" t="s">
        <v>51</v>
      </c>
      <c r="Q22" s="274" t="s">
        <v>51</v>
      </c>
    </row>
    <row r="23" spans="1:17">
      <c r="A23" s="292" t="s">
        <v>129</v>
      </c>
      <c r="B23" s="274" t="s">
        <v>130</v>
      </c>
      <c r="C23" s="274" t="s">
        <v>131</v>
      </c>
      <c r="D23" s="274" t="s">
        <v>132</v>
      </c>
      <c r="E23" s="274" t="s">
        <v>133</v>
      </c>
      <c r="F23" s="274"/>
      <c r="G23" s="274"/>
      <c r="H23" s="274"/>
      <c r="I23" s="274"/>
      <c r="J23" s="274" t="s">
        <v>51</v>
      </c>
      <c r="K23" s="274" t="s">
        <v>51</v>
      </c>
      <c r="L23" s="274" t="s">
        <v>51</v>
      </c>
      <c r="M23" s="274" t="s">
        <v>51</v>
      </c>
      <c r="N23" s="274" t="s">
        <v>51</v>
      </c>
      <c r="O23" s="274" t="s">
        <v>51</v>
      </c>
      <c r="P23" s="274" t="s">
        <v>51</v>
      </c>
      <c r="Q23" s="274" t="s">
        <v>51</v>
      </c>
    </row>
    <row r="24" spans="1:17">
      <c r="A24" s="292" t="s">
        <v>134</v>
      </c>
      <c r="B24" s="274" t="s">
        <v>135</v>
      </c>
      <c r="C24" s="274" t="s">
        <v>131</v>
      </c>
      <c r="D24" s="274" t="s">
        <v>136</v>
      </c>
      <c r="E24" s="274" t="s">
        <v>137</v>
      </c>
      <c r="F24" s="274" t="s">
        <v>51</v>
      </c>
      <c r="G24" s="274" t="s">
        <v>51</v>
      </c>
      <c r="H24" s="274" t="s">
        <v>51</v>
      </c>
      <c r="I24" s="274" t="s">
        <v>51</v>
      </c>
      <c r="J24" s="274" t="s">
        <v>51</v>
      </c>
      <c r="K24" s="274" t="s">
        <v>51</v>
      </c>
      <c r="L24" s="274" t="s">
        <v>51</v>
      </c>
      <c r="M24" s="274" t="s">
        <v>51</v>
      </c>
      <c r="N24" s="274" t="s">
        <v>51</v>
      </c>
      <c r="O24" s="274" t="s">
        <v>51</v>
      </c>
      <c r="P24" s="274" t="s">
        <v>51</v>
      </c>
      <c r="Q24" s="274" t="s">
        <v>51</v>
      </c>
    </row>
    <row r="25" spans="1:17">
      <c r="A25" s="292" t="s">
        <v>138</v>
      </c>
      <c r="B25" s="274" t="s">
        <v>1742</v>
      </c>
      <c r="C25" s="274" t="s">
        <v>140</v>
      </c>
      <c r="D25" s="282" t="s">
        <v>1743</v>
      </c>
      <c r="E25" s="274" t="s">
        <v>1744</v>
      </c>
      <c r="F25" s="274" t="s">
        <v>1745</v>
      </c>
      <c r="G25" s="274" t="s">
        <v>139</v>
      </c>
      <c r="H25" s="282" t="s">
        <v>1746</v>
      </c>
      <c r="I25" s="274" t="s">
        <v>1747</v>
      </c>
      <c r="J25" s="274" t="s">
        <v>1748</v>
      </c>
      <c r="K25" s="274" t="s">
        <v>1749</v>
      </c>
      <c r="L25" s="282" t="s">
        <v>1750</v>
      </c>
      <c r="M25" s="274" t="s">
        <v>1751</v>
      </c>
      <c r="N25" s="274" t="s">
        <v>1756</v>
      </c>
      <c r="O25" s="274" t="s">
        <v>131</v>
      </c>
      <c r="P25" s="282" t="s">
        <v>1757</v>
      </c>
      <c r="Q25" s="274" t="s">
        <v>1758</v>
      </c>
    </row>
    <row r="26" spans="1:17">
      <c r="A26" s="416" t="s">
        <v>141</v>
      </c>
      <c r="B26" s="17" t="s">
        <v>51</v>
      </c>
      <c r="C26" s="17" t="s">
        <v>51</v>
      </c>
      <c r="D26" s="17" t="s">
        <v>51</v>
      </c>
      <c r="E26" s="17" t="s">
        <v>51</v>
      </c>
      <c r="F26" s="17" t="s">
        <v>51</v>
      </c>
      <c r="G26" s="17" t="s">
        <v>51</v>
      </c>
      <c r="H26" s="17" t="s">
        <v>51</v>
      </c>
      <c r="I26" s="17" t="s">
        <v>51</v>
      </c>
      <c r="J26" s="17" t="s">
        <v>51</v>
      </c>
      <c r="K26" s="17" t="s">
        <v>51</v>
      </c>
      <c r="L26" s="17" t="s">
        <v>51</v>
      </c>
      <c r="M26" s="17" t="s">
        <v>51</v>
      </c>
      <c r="N26" s="17" t="s">
        <v>51</v>
      </c>
      <c r="O26" s="17" t="s">
        <v>51</v>
      </c>
      <c r="P26" s="17" t="s">
        <v>51</v>
      </c>
      <c r="Q26" s="17" t="s">
        <v>51</v>
      </c>
    </row>
    <row r="27" spans="1:17">
      <c r="A27" s="292" t="s">
        <v>142</v>
      </c>
      <c r="B27" s="274" t="s">
        <v>143</v>
      </c>
      <c r="C27" s="274" t="s">
        <v>131</v>
      </c>
      <c r="D27" s="274" t="s">
        <v>144</v>
      </c>
      <c r="E27" s="274" t="s">
        <v>145</v>
      </c>
      <c r="F27" s="274" t="s">
        <v>51</v>
      </c>
      <c r="G27" s="274" t="s">
        <v>51</v>
      </c>
      <c r="H27" s="274" t="s">
        <v>51</v>
      </c>
      <c r="I27" s="274" t="s">
        <v>51</v>
      </c>
      <c r="J27" s="274" t="s">
        <v>51</v>
      </c>
      <c r="K27" s="274" t="s">
        <v>51</v>
      </c>
      <c r="L27" s="274" t="s">
        <v>51</v>
      </c>
      <c r="M27" s="274" t="s">
        <v>51</v>
      </c>
      <c r="N27" s="274" t="s">
        <v>51</v>
      </c>
      <c r="O27" s="274" t="s">
        <v>51</v>
      </c>
      <c r="P27" s="274" t="s">
        <v>51</v>
      </c>
      <c r="Q27" s="274" t="s">
        <v>51</v>
      </c>
    </row>
    <row r="28" spans="1:17">
      <c r="A28" s="292" t="s">
        <v>146</v>
      </c>
      <c r="B28" s="274" t="s">
        <v>2522</v>
      </c>
      <c r="C28" s="274" t="s">
        <v>2524</v>
      </c>
      <c r="D28" s="282" t="s">
        <v>2523</v>
      </c>
      <c r="E28" s="274" t="s">
        <v>147</v>
      </c>
      <c r="F28" s="274" t="s">
        <v>2526</v>
      </c>
      <c r="G28" s="274" t="s">
        <v>2527</v>
      </c>
      <c r="H28" s="282" t="s">
        <v>2525</v>
      </c>
      <c r="I28" s="274" t="s">
        <v>2528</v>
      </c>
      <c r="J28" s="274" t="s">
        <v>51</v>
      </c>
      <c r="K28" s="274" t="s">
        <v>51</v>
      </c>
      <c r="L28" s="274" t="s">
        <v>51</v>
      </c>
      <c r="M28" s="274" t="s">
        <v>51</v>
      </c>
      <c r="N28" s="274" t="s">
        <v>51</v>
      </c>
      <c r="O28" s="274" t="s">
        <v>51</v>
      </c>
      <c r="P28" s="274" t="s">
        <v>51</v>
      </c>
      <c r="Q28" s="274" t="s">
        <v>51</v>
      </c>
    </row>
    <row r="29" spans="1:17">
      <c r="A29" s="292" t="s">
        <v>148</v>
      </c>
      <c r="B29" s="274" t="s">
        <v>2530</v>
      </c>
      <c r="C29" s="274" t="s">
        <v>2531</v>
      </c>
      <c r="D29" s="282" t="s">
        <v>2529</v>
      </c>
      <c r="E29" s="274" t="s">
        <v>149</v>
      </c>
      <c r="F29" s="274" t="s">
        <v>2532</v>
      </c>
      <c r="G29" s="274" t="s">
        <v>2533</v>
      </c>
      <c r="H29" s="282" t="s">
        <v>2534</v>
      </c>
      <c r="I29" s="274" t="s">
        <v>150</v>
      </c>
      <c r="J29" s="274" t="s">
        <v>51</v>
      </c>
      <c r="K29" s="274" t="s">
        <v>51</v>
      </c>
      <c r="L29" s="274" t="s">
        <v>51</v>
      </c>
      <c r="M29" s="274" t="s">
        <v>51</v>
      </c>
      <c r="N29" s="274" t="s">
        <v>51</v>
      </c>
      <c r="O29" s="274" t="s">
        <v>51</v>
      </c>
      <c r="P29" s="274" t="s">
        <v>51</v>
      </c>
      <c r="Q29" s="274" t="s">
        <v>51</v>
      </c>
    </row>
    <row r="30" spans="1:17">
      <c r="A30" s="292" t="s">
        <v>151</v>
      </c>
      <c r="B30" s="274" t="s">
        <v>152</v>
      </c>
      <c r="C30" s="274" t="s">
        <v>153</v>
      </c>
      <c r="D30" s="274" t="s">
        <v>154</v>
      </c>
      <c r="E30" s="274" t="s">
        <v>155</v>
      </c>
      <c r="F30" s="274" t="s">
        <v>156</v>
      </c>
      <c r="G30" s="274" t="s">
        <v>1759</v>
      </c>
      <c r="H30" s="282" t="s">
        <v>157</v>
      </c>
      <c r="I30" s="274" t="s">
        <v>158</v>
      </c>
      <c r="J30" s="274" t="s">
        <v>51</v>
      </c>
      <c r="K30" s="274" t="s">
        <v>51</v>
      </c>
      <c r="L30" s="274" t="s">
        <v>51</v>
      </c>
      <c r="M30" s="274" t="s">
        <v>51</v>
      </c>
      <c r="N30" s="274" t="s">
        <v>51</v>
      </c>
      <c r="O30" s="274" t="s">
        <v>51</v>
      </c>
      <c r="P30" s="274" t="s">
        <v>51</v>
      </c>
      <c r="Q30" s="274" t="s">
        <v>51</v>
      </c>
    </row>
    <row r="31" spans="1:17">
      <c r="A31" s="292" t="s">
        <v>159</v>
      </c>
      <c r="B31" s="274" t="s">
        <v>160</v>
      </c>
      <c r="C31" s="274" t="s">
        <v>161</v>
      </c>
      <c r="D31" s="274" t="s">
        <v>162</v>
      </c>
      <c r="E31" s="274" t="s">
        <v>163</v>
      </c>
      <c r="F31" s="274" t="s">
        <v>164</v>
      </c>
      <c r="G31" s="274" t="s">
        <v>165</v>
      </c>
      <c r="H31" s="274" t="s">
        <v>166</v>
      </c>
      <c r="I31" s="274" t="s">
        <v>167</v>
      </c>
      <c r="J31" s="274" t="s">
        <v>51</v>
      </c>
      <c r="K31" s="274" t="s">
        <v>51</v>
      </c>
      <c r="L31" s="274" t="s">
        <v>51</v>
      </c>
      <c r="M31" s="274" t="s">
        <v>51</v>
      </c>
      <c r="N31" s="274" t="s">
        <v>51</v>
      </c>
      <c r="O31" s="274" t="s">
        <v>51</v>
      </c>
      <c r="P31" s="274" t="s">
        <v>51</v>
      </c>
      <c r="Q31" s="274" t="s">
        <v>51</v>
      </c>
    </row>
    <row r="32" spans="1:17">
      <c r="A32" s="292" t="s">
        <v>168</v>
      </c>
      <c r="B32" s="274" t="s">
        <v>2536</v>
      </c>
      <c r="C32" s="274" t="s">
        <v>131</v>
      </c>
      <c r="D32" s="282" t="s">
        <v>2535</v>
      </c>
      <c r="E32" s="274" t="s">
        <v>169</v>
      </c>
      <c r="F32" s="274" t="s">
        <v>170</v>
      </c>
      <c r="G32" s="274" t="s">
        <v>171</v>
      </c>
      <c r="H32" s="274" t="s">
        <v>172</v>
      </c>
      <c r="I32" s="274" t="s">
        <v>173</v>
      </c>
      <c r="J32" s="274" t="s">
        <v>174</v>
      </c>
      <c r="K32" s="274" t="s">
        <v>175</v>
      </c>
      <c r="L32" s="282" t="s">
        <v>176</v>
      </c>
      <c r="M32" s="274" t="s">
        <v>177</v>
      </c>
      <c r="N32" s="274" t="s">
        <v>51</v>
      </c>
      <c r="O32" s="274" t="s">
        <v>51</v>
      </c>
      <c r="P32" s="274" t="s">
        <v>51</v>
      </c>
      <c r="Q32" s="274" t="s">
        <v>51</v>
      </c>
    </row>
    <row r="33" spans="1:17">
      <c r="A33" s="416" t="s">
        <v>178</v>
      </c>
      <c r="B33" s="17" t="s">
        <v>51</v>
      </c>
      <c r="C33" s="17" t="s">
        <v>51</v>
      </c>
      <c r="D33" s="17" t="s">
        <v>51</v>
      </c>
      <c r="E33" s="17" t="s">
        <v>51</v>
      </c>
      <c r="F33" s="17" t="s">
        <v>51</v>
      </c>
      <c r="G33" s="17" t="s">
        <v>51</v>
      </c>
      <c r="H33" s="17" t="s">
        <v>51</v>
      </c>
      <c r="I33" s="17" t="s">
        <v>51</v>
      </c>
      <c r="J33" s="17" t="s">
        <v>51</v>
      </c>
      <c r="K33" s="17" t="s">
        <v>51</v>
      </c>
      <c r="L33" s="17" t="s">
        <v>51</v>
      </c>
      <c r="M33" s="17" t="s">
        <v>51</v>
      </c>
      <c r="N33" s="17" t="s">
        <v>51</v>
      </c>
      <c r="O33" s="17" t="s">
        <v>51</v>
      </c>
      <c r="P33" s="17" t="s">
        <v>51</v>
      </c>
      <c r="Q33" s="17" t="s">
        <v>51</v>
      </c>
    </row>
    <row r="34" spans="1:17">
      <c r="A34" s="416" t="s">
        <v>179</v>
      </c>
      <c r="B34" s="17" t="s">
        <v>51</v>
      </c>
      <c r="C34" s="17" t="s">
        <v>51</v>
      </c>
      <c r="D34" s="17" t="s">
        <v>51</v>
      </c>
      <c r="E34" s="17" t="s">
        <v>51</v>
      </c>
      <c r="F34" s="17" t="s">
        <v>51</v>
      </c>
      <c r="G34" s="17" t="s">
        <v>51</v>
      </c>
      <c r="H34" s="17" t="s">
        <v>51</v>
      </c>
      <c r="I34" s="17" t="s">
        <v>51</v>
      </c>
      <c r="J34" s="17" t="s">
        <v>51</v>
      </c>
      <c r="K34" s="17" t="s">
        <v>51</v>
      </c>
      <c r="L34" s="17" t="s">
        <v>51</v>
      </c>
      <c r="M34" s="17" t="s">
        <v>51</v>
      </c>
      <c r="N34" s="17" t="s">
        <v>51</v>
      </c>
      <c r="O34" s="17" t="s">
        <v>51</v>
      </c>
      <c r="P34" s="17" t="s">
        <v>51</v>
      </c>
      <c r="Q34" s="17" t="s">
        <v>51</v>
      </c>
    </row>
    <row r="35" spans="1:17">
      <c r="A35" s="416" t="s">
        <v>180</v>
      </c>
      <c r="B35" s="17" t="s">
        <v>51</v>
      </c>
      <c r="C35" s="17" t="s">
        <v>51</v>
      </c>
      <c r="D35" s="17" t="s">
        <v>51</v>
      </c>
      <c r="E35" s="17" t="s">
        <v>51</v>
      </c>
      <c r="F35" s="17" t="s">
        <v>51</v>
      </c>
      <c r="G35" s="17" t="s">
        <v>51</v>
      </c>
      <c r="H35" s="17" t="s">
        <v>51</v>
      </c>
      <c r="I35" s="17" t="s">
        <v>51</v>
      </c>
      <c r="J35" s="17" t="s">
        <v>51</v>
      </c>
      <c r="K35" s="17" t="s">
        <v>51</v>
      </c>
      <c r="L35" s="17" t="s">
        <v>51</v>
      </c>
      <c r="M35" s="17" t="s">
        <v>51</v>
      </c>
      <c r="N35" s="17" t="s">
        <v>51</v>
      </c>
      <c r="O35" s="17" t="s">
        <v>51</v>
      </c>
      <c r="P35" s="17" t="s">
        <v>51</v>
      </c>
      <c r="Q35" s="17" t="s">
        <v>51</v>
      </c>
    </row>
    <row r="36" spans="1:17">
      <c r="A36" s="292" t="s">
        <v>181</v>
      </c>
      <c r="B36" s="274" t="s">
        <v>182</v>
      </c>
      <c r="C36" s="274" t="s">
        <v>183</v>
      </c>
      <c r="D36" s="274" t="s">
        <v>184</v>
      </c>
      <c r="E36" s="274" t="s">
        <v>185</v>
      </c>
      <c r="F36" s="274" t="s">
        <v>186</v>
      </c>
      <c r="G36" s="274" t="s">
        <v>187</v>
      </c>
      <c r="H36" s="274" t="s">
        <v>188</v>
      </c>
      <c r="I36" s="274" t="s">
        <v>189</v>
      </c>
      <c r="J36" s="274" t="s">
        <v>51</v>
      </c>
      <c r="K36" s="274" t="s">
        <v>51</v>
      </c>
      <c r="L36" s="274" t="s">
        <v>51</v>
      </c>
      <c r="M36" s="274" t="s">
        <v>51</v>
      </c>
      <c r="N36" s="274" t="s">
        <v>51</v>
      </c>
      <c r="O36" s="274" t="s">
        <v>51</v>
      </c>
      <c r="P36" s="274" t="s">
        <v>51</v>
      </c>
      <c r="Q36" s="274" t="s">
        <v>51</v>
      </c>
    </row>
    <row r="37" spans="1:17">
      <c r="A37" s="292" t="s">
        <v>190</v>
      </c>
      <c r="B37" s="274" t="s">
        <v>51</v>
      </c>
      <c r="C37" s="274" t="s">
        <v>51</v>
      </c>
      <c r="D37" s="274" t="s">
        <v>51</v>
      </c>
      <c r="E37" s="274" t="s">
        <v>51</v>
      </c>
      <c r="F37" s="274" t="s">
        <v>51</v>
      </c>
      <c r="G37" s="274" t="s">
        <v>51</v>
      </c>
      <c r="H37" s="274" t="s">
        <v>51</v>
      </c>
      <c r="I37" s="274" t="s">
        <v>51</v>
      </c>
      <c r="J37" s="274" t="s">
        <v>51</v>
      </c>
      <c r="K37" s="274" t="s">
        <v>51</v>
      </c>
      <c r="L37" s="274" t="s">
        <v>51</v>
      </c>
      <c r="M37" s="274" t="s">
        <v>51</v>
      </c>
      <c r="N37" s="274" t="s">
        <v>51</v>
      </c>
      <c r="O37" s="274" t="s">
        <v>51</v>
      </c>
      <c r="P37" s="274" t="s">
        <v>51</v>
      </c>
      <c r="Q37" s="274" t="s">
        <v>51</v>
      </c>
    </row>
    <row r="38" spans="1:17">
      <c r="A38" s="416" t="s">
        <v>191</v>
      </c>
      <c r="B38" s="17" t="s">
        <v>51</v>
      </c>
      <c r="C38" s="17" t="s">
        <v>51</v>
      </c>
      <c r="D38" s="17" t="s">
        <v>51</v>
      </c>
      <c r="E38" s="17" t="s">
        <v>51</v>
      </c>
      <c r="F38" s="17" t="s">
        <v>51</v>
      </c>
      <c r="G38" s="17" t="s">
        <v>51</v>
      </c>
      <c r="H38" s="17" t="s">
        <v>51</v>
      </c>
      <c r="I38" s="17" t="s">
        <v>51</v>
      </c>
      <c r="J38" s="17" t="s">
        <v>51</v>
      </c>
      <c r="K38" s="17" t="s">
        <v>51</v>
      </c>
      <c r="L38" s="17" t="s">
        <v>51</v>
      </c>
      <c r="M38" s="17" t="s">
        <v>51</v>
      </c>
      <c r="N38" s="17" t="s">
        <v>51</v>
      </c>
      <c r="O38" s="17" t="s">
        <v>51</v>
      </c>
      <c r="P38" s="17" t="s">
        <v>51</v>
      </c>
      <c r="Q38" s="17" t="s">
        <v>51</v>
      </c>
    </row>
    <row r="39" spans="1:17">
      <c r="A39" s="416" t="s">
        <v>192</v>
      </c>
      <c r="B39" s="17" t="s">
        <v>1801</v>
      </c>
      <c r="C39" s="17" t="s">
        <v>193</v>
      </c>
      <c r="D39" s="679" t="s">
        <v>1802</v>
      </c>
      <c r="E39" s="17" t="s">
        <v>1803</v>
      </c>
      <c r="F39" s="274" t="s">
        <v>2537</v>
      </c>
      <c r="G39" s="274" t="s">
        <v>2539</v>
      </c>
      <c r="H39" s="282" t="s">
        <v>2540</v>
      </c>
      <c r="I39" s="274" t="s">
        <v>194</v>
      </c>
      <c r="J39" s="274" t="s">
        <v>2538</v>
      </c>
      <c r="K39" s="274" t="s">
        <v>2542</v>
      </c>
      <c r="L39" s="282" t="s">
        <v>2541</v>
      </c>
      <c r="M39" s="274" t="s">
        <v>2543</v>
      </c>
      <c r="N39" s="274" t="s">
        <v>51</v>
      </c>
      <c r="O39" s="274" t="s">
        <v>51</v>
      </c>
      <c r="P39" s="274" t="s">
        <v>51</v>
      </c>
      <c r="Q39" s="274" t="s">
        <v>51</v>
      </c>
    </row>
    <row r="40" spans="1:17">
      <c r="A40" s="292" t="s">
        <v>195</v>
      </c>
      <c r="B40" s="274" t="s">
        <v>196</v>
      </c>
      <c r="C40" s="274" t="s">
        <v>197</v>
      </c>
      <c r="D40" s="274" t="s">
        <v>198</v>
      </c>
      <c r="E40" s="274" t="s">
        <v>199</v>
      </c>
      <c r="F40" s="274" t="s">
        <v>200</v>
      </c>
      <c r="G40" s="274" t="s">
        <v>251</v>
      </c>
      <c r="H40" s="282" t="s">
        <v>201</v>
      </c>
      <c r="I40" s="274" t="s">
        <v>202</v>
      </c>
      <c r="J40" s="274" t="s">
        <v>1762</v>
      </c>
      <c r="K40" s="274" t="s">
        <v>1763</v>
      </c>
      <c r="L40" s="274" t="s">
        <v>1764</v>
      </c>
      <c r="M40" s="274" t="s">
        <v>1765</v>
      </c>
      <c r="N40" s="274" t="s">
        <v>1766</v>
      </c>
      <c r="O40" s="274" t="s">
        <v>1767</v>
      </c>
      <c r="P40" s="282" t="s">
        <v>1768</v>
      </c>
      <c r="Q40" s="274" t="s">
        <v>1769</v>
      </c>
    </row>
    <row r="41" spans="1:17">
      <c r="A41" s="292" t="s">
        <v>203</v>
      </c>
      <c r="B41" s="274" t="s">
        <v>2544</v>
      </c>
      <c r="C41" s="274" t="s">
        <v>131</v>
      </c>
      <c r="D41" s="282" t="s">
        <v>2545</v>
      </c>
      <c r="E41" s="274" t="s">
        <v>2546</v>
      </c>
      <c r="F41" s="274" t="s">
        <v>51</v>
      </c>
      <c r="G41" s="274" t="s">
        <v>51</v>
      </c>
      <c r="H41" s="274" t="s">
        <v>51</v>
      </c>
      <c r="I41" s="274" t="s">
        <v>51</v>
      </c>
      <c r="J41" s="274" t="s">
        <v>51</v>
      </c>
      <c r="K41" s="274" t="s">
        <v>51</v>
      </c>
      <c r="L41" s="274" t="s">
        <v>51</v>
      </c>
      <c r="M41" s="274" t="s">
        <v>51</v>
      </c>
      <c r="N41" s="274" t="s">
        <v>51</v>
      </c>
      <c r="O41" s="274" t="s">
        <v>51</v>
      </c>
      <c r="P41" s="274" t="s">
        <v>51</v>
      </c>
      <c r="Q41" s="274" t="s">
        <v>51</v>
      </c>
    </row>
    <row r="42" spans="1:17">
      <c r="A42" s="292" t="s">
        <v>204</v>
      </c>
      <c r="B42" s="274" t="s">
        <v>205</v>
      </c>
      <c r="C42" s="274" t="s">
        <v>206</v>
      </c>
      <c r="D42" s="274" t="s">
        <v>207</v>
      </c>
      <c r="E42" s="274" t="s">
        <v>208</v>
      </c>
      <c r="F42" s="274" t="s">
        <v>51</v>
      </c>
      <c r="G42" s="274" t="s">
        <v>51</v>
      </c>
      <c r="H42" s="274" t="s">
        <v>51</v>
      </c>
      <c r="I42" s="274" t="s">
        <v>51</v>
      </c>
      <c r="J42" s="274" t="s">
        <v>51</v>
      </c>
      <c r="K42" s="274" t="s">
        <v>51</v>
      </c>
      <c r="L42" s="274" t="s">
        <v>51</v>
      </c>
      <c r="M42" s="274" t="s">
        <v>51</v>
      </c>
      <c r="N42" s="274" t="s">
        <v>51</v>
      </c>
      <c r="O42" s="274" t="s">
        <v>51</v>
      </c>
      <c r="P42" s="274" t="s">
        <v>51</v>
      </c>
      <c r="Q42" s="274" t="s">
        <v>51</v>
      </c>
    </row>
    <row r="43" spans="1:17">
      <c r="A43" s="292" t="s">
        <v>209</v>
      </c>
      <c r="B43" s="274" t="s">
        <v>2548</v>
      </c>
      <c r="C43" s="274" t="s">
        <v>131</v>
      </c>
      <c r="D43" s="282" t="s">
        <v>2547</v>
      </c>
      <c r="E43" s="274" t="s">
        <v>51</v>
      </c>
      <c r="F43" s="274" t="s">
        <v>210</v>
      </c>
      <c r="G43" s="274" t="s">
        <v>2550</v>
      </c>
      <c r="H43" s="282" t="s">
        <v>2549</v>
      </c>
      <c r="I43" s="274" t="s">
        <v>51</v>
      </c>
      <c r="J43" s="274" t="s">
        <v>51</v>
      </c>
      <c r="K43" s="274" t="s">
        <v>51</v>
      </c>
      <c r="L43" s="282" t="s">
        <v>51</v>
      </c>
      <c r="M43" s="274" t="s">
        <v>51</v>
      </c>
      <c r="N43" s="274" t="s">
        <v>51</v>
      </c>
      <c r="O43" s="274" t="s">
        <v>51</v>
      </c>
      <c r="P43" s="274" t="s">
        <v>51</v>
      </c>
      <c r="Q43" s="274" t="s">
        <v>51</v>
      </c>
    </row>
    <row r="44" spans="1:17">
      <c r="A44" s="292" t="s">
        <v>211</v>
      </c>
      <c r="B44" s="274" t="s">
        <v>212</v>
      </c>
      <c r="C44" s="274" t="s">
        <v>213</v>
      </c>
      <c r="D44" s="274" t="s">
        <v>214</v>
      </c>
      <c r="E44" s="274" t="s">
        <v>215</v>
      </c>
      <c r="F44" s="274" t="s">
        <v>1770</v>
      </c>
      <c r="G44" s="274" t="s">
        <v>1771</v>
      </c>
      <c r="H44" s="282" t="s">
        <v>1772</v>
      </c>
      <c r="I44" s="274" t="s">
        <v>1773</v>
      </c>
      <c r="J44" s="274" t="s">
        <v>1774</v>
      </c>
      <c r="K44" s="274" t="s">
        <v>1775</v>
      </c>
      <c r="L44" s="282" t="s">
        <v>1776</v>
      </c>
      <c r="M44" s="274" t="s">
        <v>1777</v>
      </c>
      <c r="N44" s="274" t="s">
        <v>51</v>
      </c>
      <c r="O44" s="274" t="s">
        <v>51</v>
      </c>
      <c r="P44" s="274" t="s">
        <v>51</v>
      </c>
      <c r="Q44" s="274" t="s">
        <v>51</v>
      </c>
    </row>
    <row r="45" spans="1:17">
      <c r="A45" s="292" t="s">
        <v>216</v>
      </c>
      <c r="B45" s="274" t="s">
        <v>217</v>
      </c>
      <c r="C45" s="274" t="s">
        <v>218</v>
      </c>
      <c r="D45" s="274" t="s">
        <v>219</v>
      </c>
      <c r="E45" s="274" t="s">
        <v>220</v>
      </c>
      <c r="F45" s="274" t="s">
        <v>2551</v>
      </c>
      <c r="G45" s="274" t="s">
        <v>2552</v>
      </c>
      <c r="H45" s="282" t="s">
        <v>2553</v>
      </c>
      <c r="I45" s="274" t="s">
        <v>51</v>
      </c>
      <c r="J45" s="274" t="s">
        <v>51</v>
      </c>
      <c r="K45" s="274" t="s">
        <v>51</v>
      </c>
      <c r="L45" s="282" t="s">
        <v>51</v>
      </c>
      <c r="M45" s="274" t="s">
        <v>51</v>
      </c>
      <c r="N45" s="274" t="s">
        <v>51</v>
      </c>
      <c r="O45" s="274" t="s">
        <v>51</v>
      </c>
      <c r="P45" s="274" t="s">
        <v>51</v>
      </c>
      <c r="Q45" s="274" t="s">
        <v>51</v>
      </c>
    </row>
    <row r="46" spans="1:17">
      <c r="A46" s="416" t="s">
        <v>221</v>
      </c>
      <c r="B46" s="17" t="s">
        <v>51</v>
      </c>
      <c r="C46" s="17" t="s">
        <v>51</v>
      </c>
      <c r="D46" s="17" t="s">
        <v>51</v>
      </c>
      <c r="E46" s="17" t="s">
        <v>51</v>
      </c>
      <c r="F46" s="17" t="s">
        <v>51</v>
      </c>
      <c r="G46" s="17" t="s">
        <v>51</v>
      </c>
      <c r="H46" s="17" t="s">
        <v>51</v>
      </c>
      <c r="I46" s="17" t="s">
        <v>51</v>
      </c>
      <c r="J46" s="17" t="s">
        <v>51</v>
      </c>
      <c r="K46" s="17" t="s">
        <v>51</v>
      </c>
      <c r="L46" s="17" t="s">
        <v>51</v>
      </c>
      <c r="M46" s="17" t="s">
        <v>51</v>
      </c>
      <c r="N46" s="17" t="s">
        <v>51</v>
      </c>
      <c r="O46" s="17" t="s">
        <v>51</v>
      </c>
      <c r="P46" s="17" t="s">
        <v>51</v>
      </c>
      <c r="Q46" s="17" t="s">
        <v>51</v>
      </c>
    </row>
    <row r="47" spans="1:17">
      <c r="A47" s="292" t="s">
        <v>222</v>
      </c>
      <c r="B47" s="274" t="s">
        <v>223</v>
      </c>
      <c r="C47" s="274" t="s">
        <v>224</v>
      </c>
      <c r="D47" s="274" t="s">
        <v>225</v>
      </c>
      <c r="E47" s="274" t="s">
        <v>226</v>
      </c>
      <c r="F47" s="274" t="s">
        <v>51</v>
      </c>
      <c r="G47" s="274" t="s">
        <v>51</v>
      </c>
      <c r="H47" s="274" t="s">
        <v>51</v>
      </c>
      <c r="I47" s="274" t="s">
        <v>51</v>
      </c>
      <c r="J47" s="274" t="s">
        <v>51</v>
      </c>
      <c r="K47" s="274" t="s">
        <v>51</v>
      </c>
      <c r="L47" s="274" t="s">
        <v>51</v>
      </c>
      <c r="M47" s="274" t="s">
        <v>51</v>
      </c>
      <c r="N47" s="274" t="s">
        <v>51</v>
      </c>
      <c r="O47" s="274" t="s">
        <v>51</v>
      </c>
      <c r="P47" s="274" t="s">
        <v>51</v>
      </c>
      <c r="Q47" s="274" t="s">
        <v>51</v>
      </c>
    </row>
    <row r="48" spans="1:17">
      <c r="A48" s="292" t="s">
        <v>227</v>
      </c>
      <c r="B48" s="274" t="s">
        <v>1778</v>
      </c>
      <c r="C48" s="678" t="s">
        <v>1779</v>
      </c>
      <c r="D48" s="274" t="s">
        <v>1780</v>
      </c>
      <c r="E48" s="274" t="s">
        <v>51</v>
      </c>
      <c r="F48" s="274" t="s">
        <v>1781</v>
      </c>
      <c r="G48" s="274" t="s">
        <v>1782</v>
      </c>
      <c r="H48" s="274" t="s">
        <v>1783</v>
      </c>
      <c r="I48" s="274" t="s">
        <v>1784</v>
      </c>
      <c r="J48" s="274" t="s">
        <v>51</v>
      </c>
      <c r="K48" s="274" t="s">
        <v>51</v>
      </c>
      <c r="L48" s="274" t="s">
        <v>51</v>
      </c>
      <c r="M48" s="274" t="s">
        <v>51</v>
      </c>
      <c r="N48" s="274" t="s">
        <v>51</v>
      </c>
      <c r="O48" s="274" t="s">
        <v>51</v>
      </c>
      <c r="P48" s="274" t="s">
        <v>51</v>
      </c>
      <c r="Q48" s="274" t="s">
        <v>51</v>
      </c>
    </row>
    <row r="49" spans="1:17">
      <c r="A49" s="292" t="s">
        <v>229</v>
      </c>
      <c r="B49" s="274" t="s">
        <v>230</v>
      </c>
      <c r="C49" s="274" t="s">
        <v>231</v>
      </c>
      <c r="D49" s="282" t="s">
        <v>232</v>
      </c>
      <c r="E49" s="274" t="s">
        <v>233</v>
      </c>
      <c r="F49" s="274" t="s">
        <v>1785</v>
      </c>
      <c r="G49" s="274" t="s">
        <v>1786</v>
      </c>
      <c r="H49" s="274" t="s">
        <v>1787</v>
      </c>
      <c r="I49" s="274" t="s">
        <v>1788</v>
      </c>
      <c r="J49" s="902" t="s">
        <v>2556</v>
      </c>
      <c r="K49" s="901" t="s">
        <v>1763</v>
      </c>
      <c r="L49" s="900" t="s">
        <v>2555</v>
      </c>
      <c r="M49" s="280" t="s">
        <v>2557</v>
      </c>
    </row>
    <row r="50" spans="1:17">
      <c r="A50" s="292" t="s">
        <v>234</v>
      </c>
      <c r="B50" s="274" t="s">
        <v>1789</v>
      </c>
      <c r="C50" s="274" t="s">
        <v>1819</v>
      </c>
      <c r="D50" s="274" t="s">
        <v>1791</v>
      </c>
      <c r="E50" s="274" t="s">
        <v>1792</v>
      </c>
      <c r="F50" s="274" t="s">
        <v>235</v>
      </c>
      <c r="G50" s="274" t="s">
        <v>236</v>
      </c>
      <c r="H50" s="274" t="s">
        <v>237</v>
      </c>
      <c r="I50" s="274" t="s">
        <v>238</v>
      </c>
      <c r="J50" s="274" t="s">
        <v>1820</v>
      </c>
      <c r="K50" s="274" t="s">
        <v>1790</v>
      </c>
      <c r="L50" s="282" t="s">
        <v>2554</v>
      </c>
      <c r="M50" s="274" t="s">
        <v>1821</v>
      </c>
      <c r="N50" s="274" t="s">
        <v>51</v>
      </c>
      <c r="O50" s="274" t="s">
        <v>51</v>
      </c>
      <c r="P50" s="274" t="s">
        <v>51</v>
      </c>
      <c r="Q50" s="274" t="s">
        <v>51</v>
      </c>
    </row>
    <row r="51" spans="1:17">
      <c r="A51" s="292" t="s">
        <v>239</v>
      </c>
      <c r="B51" s="274" t="s">
        <v>1793</v>
      </c>
      <c r="C51" s="274" t="s">
        <v>241</v>
      </c>
      <c r="D51" s="274" t="s">
        <v>1794</v>
      </c>
      <c r="E51" s="278" t="s">
        <v>1795</v>
      </c>
      <c r="F51" s="274" t="s">
        <v>240</v>
      </c>
      <c r="G51" s="274" t="s">
        <v>241</v>
      </c>
      <c r="H51" s="274" t="s">
        <v>242</v>
      </c>
      <c r="I51" s="274" t="s">
        <v>243</v>
      </c>
      <c r="J51" s="274" t="s">
        <v>51</v>
      </c>
      <c r="K51" s="274" t="s">
        <v>51</v>
      </c>
      <c r="L51" s="274" t="s">
        <v>51</v>
      </c>
      <c r="M51" s="274" t="s">
        <v>51</v>
      </c>
      <c r="N51" s="274" t="s">
        <v>51</v>
      </c>
      <c r="O51" s="274" t="s">
        <v>51</v>
      </c>
      <c r="P51" s="274" t="s">
        <v>51</v>
      </c>
      <c r="Q51" s="274" t="s">
        <v>51</v>
      </c>
    </row>
    <row r="52" spans="1:17">
      <c r="A52" s="292" t="s">
        <v>244</v>
      </c>
      <c r="B52" s="274" t="s">
        <v>245</v>
      </c>
      <c r="C52" s="274" t="s">
        <v>246</v>
      </c>
      <c r="D52" s="282" t="s">
        <v>247</v>
      </c>
      <c r="E52" s="274" t="s">
        <v>248</v>
      </c>
      <c r="F52" s="274" t="s">
        <v>2558</v>
      </c>
      <c r="G52" s="274" t="s">
        <v>246</v>
      </c>
      <c r="H52" s="282" t="s">
        <v>2559</v>
      </c>
      <c r="I52" s="274" t="s">
        <v>2563</v>
      </c>
      <c r="J52" s="274" t="s">
        <v>2561</v>
      </c>
      <c r="K52" s="274" t="s">
        <v>2562</v>
      </c>
      <c r="L52" s="282" t="s">
        <v>2560</v>
      </c>
      <c r="M52" s="274" t="s">
        <v>2564</v>
      </c>
      <c r="N52" s="274" t="s">
        <v>51</v>
      </c>
      <c r="O52" s="274" t="s">
        <v>51</v>
      </c>
      <c r="P52" s="274" t="s">
        <v>51</v>
      </c>
      <c r="Q52" s="274" t="s">
        <v>51</v>
      </c>
    </row>
    <row r="53" spans="1:17">
      <c r="A53" s="292" t="s">
        <v>249</v>
      </c>
      <c r="B53" s="274" t="s">
        <v>1796</v>
      </c>
      <c r="C53" s="274" t="s">
        <v>1797</v>
      </c>
      <c r="D53" s="274" t="s">
        <v>1798</v>
      </c>
      <c r="E53" s="274" t="s">
        <v>1799</v>
      </c>
      <c r="F53" s="274" t="s">
        <v>250</v>
      </c>
      <c r="G53" s="274" t="s">
        <v>1800</v>
      </c>
      <c r="H53" s="274" t="s">
        <v>252</v>
      </c>
      <c r="I53" s="274" t="s">
        <v>253</v>
      </c>
      <c r="J53" s="274" t="s">
        <v>51</v>
      </c>
      <c r="K53" s="274" t="s">
        <v>51</v>
      </c>
      <c r="L53" s="274" t="s">
        <v>51</v>
      </c>
      <c r="M53" s="274" t="s">
        <v>51</v>
      </c>
      <c r="N53" s="274" t="s">
        <v>51</v>
      </c>
      <c r="O53" s="274" t="s">
        <v>51</v>
      </c>
      <c r="P53" s="274" t="s">
        <v>51</v>
      </c>
      <c r="Q53" s="274" t="s">
        <v>51</v>
      </c>
    </row>
  </sheetData>
  <autoFilter ref="A1:Q53" xr:uid="{00000000-0001-0000-0100-000000000000}"/>
  <hyperlinks>
    <hyperlink ref="H4" r:id="rId1" xr:uid="{00000000-0004-0000-0100-000000000000}"/>
    <hyperlink ref="L4" r:id="rId2" xr:uid="{00000000-0004-0000-0100-000001000000}"/>
    <hyperlink ref="H5" r:id="rId3" xr:uid="{00000000-0004-0000-0100-000002000000}"/>
    <hyperlink ref="L21" r:id="rId4" xr:uid="{00000000-0004-0000-0100-000003000000}"/>
    <hyperlink ref="D49" r:id="rId5" xr:uid="{00000000-0004-0000-0100-000004000000}"/>
    <hyperlink ref="L8" r:id="rId6" xr:uid="{6F144358-E08E-4245-956B-55C1775720D4}"/>
    <hyperlink ref="H21" r:id="rId7" xr:uid="{37F027B9-7C39-F940-BE6E-048F684FD2D3}"/>
    <hyperlink ref="D28" r:id="rId8" xr:uid="{30AF63CE-03C3-274E-8458-77B1E6157F28}"/>
    <hyperlink ref="L32" r:id="rId9" xr:uid="{CC966ECF-83D7-3F46-A4DA-77E7FEE37CB0}"/>
    <hyperlink ref="H40" r:id="rId10" xr:uid="{0F80A221-FE36-A442-BD53-BC0787A0D04A}"/>
    <hyperlink ref="L43" r:id="rId11" display="Khall@rcc.mass.edu" xr:uid="{ADBC7285-A1D9-2A48-99CB-349F785014F9}"/>
    <hyperlink ref="D22" r:id="rId12" xr:uid="{F2DEB8BD-9AD2-46FF-A760-C89D4AE2FC2A}"/>
    <hyperlink ref="H30" r:id="rId13" xr:uid="{1DAEE47E-7906-D544-BCD7-F67B10B1A8D4}"/>
    <hyperlink ref="D10" r:id="rId14" xr:uid="{1893B1DC-961E-45FF-B85C-0AE972829EE1}"/>
    <hyperlink ref="H10" r:id="rId15" xr:uid="{7D36D944-276D-4559-914A-6E72E679D261}"/>
    <hyperlink ref="D13" r:id="rId16" xr:uid="{86A1D3E5-9193-4496-8F6F-F221FDEAE809}"/>
    <hyperlink ref="H13" r:id="rId17" display="mailto:Meaghan.Hencir@mass.gov" xr:uid="{AE1B3885-8E3F-4D1B-837C-1DD3DA25C797}"/>
    <hyperlink ref="D14" r:id="rId18" xr:uid="{5162682A-6D7E-45BB-9BD1-1FC64AEEE272}"/>
    <hyperlink ref="D25" r:id="rId19" xr:uid="{090D01F9-6672-4F1D-82C8-207F14C63531}"/>
    <hyperlink ref="H25" r:id="rId20" xr:uid="{42371CD2-17FB-484D-95EF-601E976ABF7F}"/>
    <hyperlink ref="L25" r:id="rId21" xr:uid="{BD3ADFCC-D503-4262-8276-2F10750ECA13}"/>
    <hyperlink ref="P25" r:id="rId22" xr:uid="{AD96980D-4726-499B-8322-86D279FA4996}"/>
    <hyperlink ref="P40" r:id="rId23" xr:uid="{B4099D46-408C-4160-8409-3B770C88247F}"/>
    <hyperlink ref="H44" r:id="rId24" xr:uid="{FD4056B3-8B38-4DB0-B649-DD92BDDBB668}"/>
    <hyperlink ref="L44" r:id="rId25" xr:uid="{306DE67D-1F82-4708-9C9F-CE562998E662}"/>
    <hyperlink ref="D39" r:id="rId26" xr:uid="{3F3A58DA-90D5-4F69-A42E-9AF6B12F29E0}"/>
    <hyperlink ref="L45" r:id="rId27" display="svbush2101@stcc.edu" xr:uid="{0E8062B0-EF57-4B13-B297-F12D2BBF03B0}"/>
    <hyperlink ref="L50" r:id="rId28" xr:uid="{B0679179-0B4C-41FA-905A-35978527FD79}"/>
    <hyperlink ref="D5" r:id="rId29" display="mailto:JoAnn.Bentley@bristolcc.edu" xr:uid="{02372719-C66E-4E99-A1CF-D0999D2B99F7}"/>
    <hyperlink ref="D9" r:id="rId30" xr:uid="{0C705804-DBF3-4186-A7A3-269394E3E1AD}"/>
    <hyperlink ref="H9" r:id="rId31" xr:uid="{2E760AC5-8C0E-4832-A6AA-4DFF83FC77EC}"/>
    <hyperlink ref="D21" r:id="rId32" xr:uid="{D0A1B318-8D8B-4C6E-A350-FFA579285DD8}"/>
    <hyperlink ref="H28" r:id="rId33" xr:uid="{71D31F60-5345-482D-9089-DE81910915C1}"/>
    <hyperlink ref="D29" r:id="rId34" xr:uid="{336FAB47-4397-4A96-888B-9751CEFAD459}"/>
    <hyperlink ref="H29" r:id="rId35" xr:uid="{06119198-CDA6-46F9-ABF8-25CAD214511D}"/>
    <hyperlink ref="D32" r:id="rId36" xr:uid="{09B9785D-4E90-4EC8-B74B-AF17967D8E89}"/>
    <hyperlink ref="H39" r:id="rId37" xr:uid="{E46EE7C9-033A-48CA-BC10-204D95F08AD4}"/>
    <hyperlink ref="L39" r:id="rId38" xr:uid="{7708A1B3-1246-41C2-8848-1A1266D780EC}"/>
    <hyperlink ref="D41" r:id="rId39" xr:uid="{C07CD988-3EE2-4CBB-8DFE-E10A3E247CF1}"/>
    <hyperlink ref="D43" r:id="rId40" xr:uid="{2A551DA2-5A76-4939-A219-C7B5A9A9598B}"/>
    <hyperlink ref="H43" r:id="rId41" xr:uid="{DF79E717-715D-4259-AB90-1F416F95FE04}"/>
    <hyperlink ref="H45" r:id="rId42" xr:uid="{19EFA1B5-4E95-4F97-A9A3-C1FDE716008F}"/>
    <hyperlink ref="L49" r:id="rId43" xr:uid="{DF2E3DB9-CFC9-46E7-BB83-7A5E404AA015}"/>
    <hyperlink ref="D52" r:id="rId44" xr:uid="{35E4DA12-87CA-479B-A6AA-8BFF895B619A}"/>
    <hyperlink ref="H52" r:id="rId45" display="srobbins@westfield.ma.edu" xr:uid="{F83417D4-9E2A-48C0-B0EB-64F0EED21207}"/>
  </hyperlinks>
  <pageMargins left="0.7" right="0.7" top="0.75" bottom="0.75" header="0.3" footer="0.3"/>
  <pageSetup orientation="portrait" r:id="rId4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E41"/>
  <sheetViews>
    <sheetView showGridLines="0" tabSelected="1" zoomScale="80" zoomScaleNormal="80" workbookViewId="0">
      <selection activeCell="P14" sqref="P14"/>
    </sheetView>
  </sheetViews>
  <sheetFormatPr defaultColWidth="0" defaultRowHeight="14.5" zeroHeight="1"/>
  <cols>
    <col min="1" max="1" width="2.7265625" customWidth="1"/>
    <col min="2" max="2" width="6.7265625" customWidth="1"/>
    <col min="3" max="3" width="9.1796875" customWidth="1"/>
    <col min="4" max="4" width="14.81640625" customWidth="1"/>
    <col min="5" max="5" width="16.453125" customWidth="1"/>
    <col min="6" max="6" width="9.1796875" customWidth="1"/>
    <col min="7" max="7" width="12" customWidth="1"/>
    <col min="8" max="8" width="9" customWidth="1"/>
    <col min="9" max="9" width="12.453125" customWidth="1"/>
    <col min="10" max="10" width="9.26953125" customWidth="1"/>
    <col min="11" max="12" width="9.1796875" customWidth="1"/>
    <col min="13" max="13" width="14.453125" customWidth="1"/>
    <col min="14" max="14" width="6.453125" customWidth="1"/>
    <col min="15" max="15" width="26.453125" customWidth="1"/>
    <col min="16" max="16" width="14.81640625" style="43" customWidth="1"/>
    <col min="17" max="31" width="0" hidden="1" customWidth="1"/>
    <col min="32" max="16384" width="9.1796875" hidden="1"/>
  </cols>
  <sheetData>
    <row r="1" spans="2:16" ht="15" customHeight="1" thickBot="1">
      <c r="B1" s="996" t="s">
        <v>23</v>
      </c>
      <c r="C1" s="996"/>
      <c r="D1" s="996"/>
      <c r="E1" s="996"/>
      <c r="F1" s="996"/>
      <c r="G1" s="996"/>
      <c r="H1" s="996"/>
      <c r="I1" s="996"/>
      <c r="J1" s="996"/>
      <c r="K1" s="996"/>
      <c r="L1" s="996"/>
      <c r="M1" s="996"/>
      <c r="N1" s="996"/>
      <c r="O1" s="996"/>
      <c r="P1" s="73"/>
    </row>
    <row r="2" spans="2:16" ht="15" customHeight="1" thickBot="1">
      <c r="B2" s="1000" t="s">
        <v>9</v>
      </c>
      <c r="C2" s="1000"/>
      <c r="D2" s="1000"/>
      <c r="E2" s="998" t="s">
        <v>254</v>
      </c>
      <c r="F2" s="998"/>
      <c r="G2" s="998"/>
      <c r="H2" s="998"/>
      <c r="I2" s="998"/>
      <c r="J2" s="998"/>
      <c r="K2" s="998"/>
      <c r="L2" s="998"/>
      <c r="M2" s="998"/>
      <c r="N2" s="998"/>
      <c r="O2" s="998"/>
      <c r="P2" s="72"/>
    </row>
    <row r="3" spans="2:16" ht="15" thickBot="1">
      <c r="B3" s="1000"/>
      <c r="C3" s="1000"/>
      <c r="D3" s="1000"/>
      <c r="E3" s="998"/>
      <c r="F3" s="998"/>
      <c r="G3" s="998"/>
      <c r="H3" s="998"/>
      <c r="I3" s="998"/>
      <c r="J3" s="998"/>
      <c r="K3" s="998"/>
      <c r="L3" s="998"/>
      <c r="M3" s="998"/>
      <c r="N3" s="998"/>
      <c r="O3" s="998"/>
      <c r="P3" s="72"/>
    </row>
    <row r="4" spans="2:16" ht="15" thickBot="1">
      <c r="B4" s="1000"/>
      <c r="C4" s="1000"/>
      <c r="D4" s="1000"/>
      <c r="E4" s="998"/>
      <c r="F4" s="998"/>
      <c r="G4" s="998"/>
      <c r="H4" s="998"/>
      <c r="I4" s="998"/>
      <c r="J4" s="998"/>
      <c r="K4" s="998"/>
      <c r="L4" s="998"/>
      <c r="M4" s="998"/>
      <c r="N4" s="998"/>
      <c r="O4" s="998"/>
      <c r="P4" s="72"/>
    </row>
    <row r="5" spans="2:16" ht="17.25" customHeight="1" thickBot="1">
      <c r="B5" s="1000"/>
      <c r="C5" s="1000"/>
      <c r="D5" s="1000"/>
      <c r="E5" s="999" t="s">
        <v>255</v>
      </c>
      <c r="F5" s="999"/>
      <c r="G5" s="999"/>
      <c r="H5" s="999"/>
      <c r="I5" s="999"/>
      <c r="J5" s="999"/>
      <c r="K5" s="999"/>
      <c r="L5" s="999"/>
      <c r="M5" s="999"/>
      <c r="N5" s="999"/>
      <c r="O5" s="999"/>
      <c r="P5" s="72"/>
    </row>
    <row r="6" spans="2:16" ht="15" thickBot="1"/>
    <row r="7" spans="2:16" s="5" customFormat="1" ht="21.5" thickBot="1">
      <c r="B7" s="997" t="s">
        <v>256</v>
      </c>
      <c r="C7" s="997"/>
      <c r="D7" s="997"/>
      <c r="E7" s="997"/>
      <c r="F7" s="997"/>
      <c r="G7" s="997"/>
      <c r="H7" s="997"/>
      <c r="I7" s="997"/>
      <c r="J7" s="997"/>
      <c r="K7" s="997"/>
      <c r="L7" s="997"/>
      <c r="M7" s="997"/>
      <c r="N7" s="997"/>
      <c r="O7" s="997"/>
      <c r="P7" s="74"/>
    </row>
    <row r="8" spans="2:16">
      <c r="B8" s="1001" t="s">
        <v>1809</v>
      </c>
      <c r="C8" s="1002"/>
      <c r="D8" s="1002"/>
      <c r="E8" s="1002"/>
      <c r="F8" s="1002"/>
      <c r="G8" s="1002"/>
      <c r="H8" s="1002"/>
      <c r="I8" s="1002"/>
      <c r="J8" s="1002"/>
      <c r="K8" s="1002"/>
      <c r="L8" s="1002"/>
      <c r="M8" s="1002"/>
      <c r="N8" s="1002"/>
      <c r="O8" s="1003"/>
      <c r="P8" s="72"/>
    </row>
    <row r="9" spans="2:16">
      <c r="B9" s="1004"/>
      <c r="C9" s="1005"/>
      <c r="D9" s="1005"/>
      <c r="E9" s="1005"/>
      <c r="F9" s="1005"/>
      <c r="G9" s="1005"/>
      <c r="H9" s="1005"/>
      <c r="I9" s="1005"/>
      <c r="J9" s="1005"/>
      <c r="K9" s="1005"/>
      <c r="L9" s="1005"/>
      <c r="M9" s="1005"/>
      <c r="N9" s="1005"/>
      <c r="O9" s="1006"/>
      <c r="P9" s="72"/>
    </row>
    <row r="10" spans="2:16" ht="15" thickBot="1">
      <c r="B10" s="1007"/>
      <c r="C10" s="1008"/>
      <c r="D10" s="1008"/>
      <c r="E10" s="1008"/>
      <c r="F10" s="1008"/>
      <c r="G10" s="1008"/>
      <c r="H10" s="1008"/>
      <c r="I10" s="1008"/>
      <c r="J10" s="1008"/>
      <c r="K10" s="1008"/>
      <c r="L10" s="1008"/>
      <c r="M10" s="1008"/>
      <c r="N10" s="1008"/>
      <c r="O10" s="1009"/>
      <c r="P10" s="72"/>
    </row>
    <row r="11" spans="2:16">
      <c r="B11" s="600"/>
      <c r="C11" s="185"/>
      <c r="D11" s="185"/>
      <c r="E11" s="185"/>
      <c r="F11" s="185"/>
      <c r="G11" s="185"/>
      <c r="H11" s="185"/>
      <c r="I11" s="185"/>
      <c r="J11" s="185"/>
      <c r="K11" s="600"/>
      <c r="L11" s="600"/>
      <c r="M11" s="600"/>
      <c r="N11" s="600"/>
      <c r="O11" s="600"/>
      <c r="P11" s="72"/>
    </row>
    <row r="12" spans="2:16" s="46" customFormat="1" ht="42.75" hidden="1" customHeight="1" thickBot="1">
      <c r="E12" s="1016" t="s">
        <v>27</v>
      </c>
      <c r="F12" s="1016"/>
      <c r="G12" s="1016"/>
      <c r="H12" s="1016"/>
      <c r="I12" s="1017" t="str">
        <f>'Contact Information '!J9</f>
        <v>Please select your answer from the dropdown</v>
      </c>
      <c r="J12" s="1017"/>
      <c r="K12" s="1017"/>
      <c r="L12" s="1017"/>
      <c r="M12" s="1017"/>
      <c r="N12" s="1017"/>
      <c r="P12" s="50"/>
    </row>
    <row r="13" spans="2:16" ht="1.5" customHeight="1" thickBot="1"/>
    <row r="14" spans="2:16" s="46" customFormat="1" ht="31.5" customHeight="1" thickBot="1">
      <c r="B14" s="81">
        <v>1</v>
      </c>
      <c r="C14" s="1013" t="s">
        <v>257</v>
      </c>
      <c r="D14" s="1014"/>
      <c r="E14" s="1014"/>
      <c r="F14" s="1014"/>
      <c r="G14" s="1014"/>
      <c r="H14" s="1014"/>
      <c r="I14" s="1014"/>
      <c r="J14" s="1014"/>
      <c r="K14" s="1015"/>
      <c r="L14" s="1010" t="str">
        <f>IFERROR(VLOOKUP($I$12,Source!$F$3:$G$53,2,FALSE), "Please Select Your Agency/Campus on Contact Tab")</f>
        <v>Please Select Your Agency/Campus on Contact Tab</v>
      </c>
      <c r="M14" s="1011"/>
      <c r="N14" s="1011"/>
      <c r="O14" s="1012"/>
      <c r="P14" s="84"/>
    </row>
    <row r="15" spans="2:16"/>
    <row r="16" spans="2:16" s="46" customFormat="1" ht="19" thickBot="1">
      <c r="B16" s="1021">
        <v>2</v>
      </c>
      <c r="C16" s="1028" t="s">
        <v>1810</v>
      </c>
      <c r="D16" s="1029"/>
      <c r="E16" s="1029"/>
      <c r="F16" s="1029"/>
      <c r="G16" s="1029"/>
      <c r="H16" s="1029"/>
      <c r="I16" s="1029"/>
      <c r="J16" s="1029"/>
      <c r="K16" s="1029"/>
      <c r="L16" s="1024" t="s">
        <v>258</v>
      </c>
      <c r="M16" s="1025"/>
      <c r="N16" s="1025"/>
      <c r="O16" s="1025"/>
      <c r="P16" s="186"/>
    </row>
    <row r="17" spans="2:19" s="50" customFormat="1" ht="15.5">
      <c r="B17" s="1021"/>
      <c r="C17" s="1026" t="str">
        <f>IF(L16="no","Please provide updated FY24 square footage here --&gt;","")</f>
        <v/>
      </c>
      <c r="D17" s="1027"/>
      <c r="E17" s="1027"/>
      <c r="F17" s="1027"/>
      <c r="G17" s="1027"/>
      <c r="H17" s="1027"/>
      <c r="I17" s="1027"/>
      <c r="J17" s="1027"/>
      <c r="K17" s="1027"/>
      <c r="L17" s="1030"/>
      <c r="M17" s="1030"/>
      <c r="N17" s="1030"/>
      <c r="O17" s="1030"/>
      <c r="P17" s="66"/>
    </row>
    <row r="18" spans="2:19" s="4" customFormat="1">
      <c r="P18" s="75"/>
    </row>
    <row r="19" spans="2:19" s="4" customFormat="1" ht="15.5">
      <c r="B19" s="1022" t="s">
        <v>259</v>
      </c>
      <c r="C19" s="1023"/>
      <c r="D19" s="1023"/>
      <c r="E19" s="1023"/>
      <c r="F19" s="1023"/>
      <c r="G19" s="1023"/>
      <c r="H19" s="1023"/>
      <c r="I19" s="1023"/>
      <c r="J19" s="1023"/>
      <c r="K19" s="1023"/>
      <c r="L19" s="1023"/>
      <c r="M19" s="1023"/>
      <c r="N19" s="1023"/>
      <c r="O19" s="1023"/>
      <c r="P19" s="75"/>
    </row>
    <row r="20" spans="2:19" s="46" customFormat="1" ht="17.25" customHeight="1" thickBot="1">
      <c r="B20" s="984" t="s">
        <v>260</v>
      </c>
      <c r="C20" s="984"/>
      <c r="D20" s="984"/>
      <c r="E20" s="984"/>
      <c r="F20" s="984" t="s">
        <v>261</v>
      </c>
      <c r="G20" s="984"/>
      <c r="H20" s="984"/>
      <c r="I20" s="984" t="s">
        <v>9</v>
      </c>
      <c r="J20" s="984"/>
      <c r="K20" s="984"/>
      <c r="L20" s="984" t="s">
        <v>262</v>
      </c>
      <c r="M20" s="984"/>
      <c r="N20" s="984"/>
      <c r="O20" s="573" t="s">
        <v>263</v>
      </c>
      <c r="P20" s="76"/>
      <c r="R20" s="993" t="s">
        <v>264</v>
      </c>
      <c r="S20" s="994"/>
    </row>
    <row r="21" spans="2:19" ht="15.75" customHeight="1" thickBot="1">
      <c r="B21" s="1018"/>
      <c r="C21" s="1018"/>
      <c r="D21" s="1018"/>
      <c r="E21" s="1019"/>
      <c r="F21" s="985"/>
      <c r="G21" s="986"/>
      <c r="H21" s="986"/>
      <c r="I21" s="985"/>
      <c r="J21" s="986"/>
      <c r="K21" s="989"/>
      <c r="L21" s="985"/>
      <c r="M21" s="986"/>
      <c r="N21" s="989"/>
      <c r="O21" s="576"/>
      <c r="P21" s="77"/>
      <c r="Q21" s="71"/>
      <c r="R21" s="995"/>
      <c r="S21" s="995"/>
    </row>
    <row r="22" spans="2:19" ht="15.75" customHeight="1" thickBot="1">
      <c r="B22" s="988"/>
      <c r="C22" s="988"/>
      <c r="D22" s="988"/>
      <c r="E22" s="1020"/>
      <c r="F22" s="194"/>
      <c r="G22" s="195"/>
      <c r="H22" s="195"/>
      <c r="I22" s="990"/>
      <c r="J22" s="991"/>
      <c r="K22" s="992"/>
      <c r="L22" s="990"/>
      <c r="M22" s="991"/>
      <c r="N22" s="992"/>
      <c r="O22" s="576"/>
      <c r="P22" s="78"/>
      <c r="Q22" s="575"/>
      <c r="R22" s="574"/>
      <c r="S22" s="575"/>
    </row>
    <row r="23" spans="2:19" ht="15.75" customHeight="1" thickBot="1">
      <c r="B23" s="988"/>
      <c r="C23" s="988"/>
      <c r="D23" s="988"/>
      <c r="E23" s="1020"/>
      <c r="F23" s="194"/>
      <c r="G23" s="195"/>
      <c r="H23" s="195"/>
      <c r="I23" s="990"/>
      <c r="J23" s="991"/>
      <c r="K23" s="992"/>
      <c r="L23" s="990"/>
      <c r="M23" s="991"/>
      <c r="N23" s="992"/>
      <c r="O23" s="576"/>
      <c r="P23" s="77"/>
      <c r="Q23" s="71"/>
      <c r="R23" s="982"/>
      <c r="S23" s="983"/>
    </row>
    <row r="24" spans="2:19" ht="15.75" customHeight="1" thickBot="1">
      <c r="B24" s="988"/>
      <c r="C24" s="988"/>
      <c r="D24" s="988"/>
      <c r="E24" s="1020"/>
      <c r="F24" s="990"/>
      <c r="G24" s="991"/>
      <c r="H24" s="991"/>
      <c r="I24" s="990"/>
      <c r="J24" s="991"/>
      <c r="K24" s="992"/>
      <c r="L24" s="990"/>
      <c r="M24" s="991"/>
      <c r="N24" s="992"/>
      <c r="O24" s="572"/>
      <c r="P24" s="77"/>
      <c r="Q24" s="71"/>
      <c r="R24" s="995"/>
      <c r="S24" s="995"/>
    </row>
    <row r="25" spans="2:19" ht="15.75" customHeight="1">
      <c r="B25" s="988"/>
      <c r="C25" s="988"/>
      <c r="D25" s="988"/>
      <c r="E25" s="988"/>
      <c r="F25" s="987"/>
      <c r="G25" s="988"/>
      <c r="H25" s="988"/>
      <c r="I25" s="987"/>
      <c r="J25" s="988"/>
      <c r="K25" s="988"/>
      <c r="L25" s="987"/>
      <c r="M25" s="988"/>
      <c r="N25" s="988"/>
      <c r="O25" s="571"/>
      <c r="P25" s="77"/>
      <c r="Q25" s="71"/>
      <c r="R25" s="995"/>
      <c r="S25" s="995"/>
    </row>
    <row r="26" spans="2:19" ht="12" customHeight="1"/>
    <row r="27" spans="2:19">
      <c r="B27" s="42"/>
      <c r="C27" s="44"/>
      <c r="D27" s="44"/>
      <c r="E27" s="44"/>
      <c r="F27" s="44"/>
      <c r="G27" s="44"/>
      <c r="H27" s="44"/>
      <c r="I27" s="44"/>
      <c r="J27" s="44"/>
      <c r="K27" s="44"/>
      <c r="L27" s="44"/>
      <c r="M27" s="44"/>
      <c r="N27" s="44"/>
      <c r="O27" s="44"/>
      <c r="P27" s="78"/>
    </row>
    <row r="28" spans="2:19" ht="15" customHeight="1" thickBot="1">
      <c r="B28" s="980" t="s">
        <v>265</v>
      </c>
      <c r="C28" s="980"/>
      <c r="D28" s="980"/>
      <c r="E28" s="980"/>
      <c r="F28" s="980"/>
      <c r="G28" s="980"/>
      <c r="H28" s="980"/>
      <c r="I28" s="980"/>
      <c r="J28" s="980"/>
      <c r="K28" s="980"/>
      <c r="L28" s="980"/>
      <c r="M28" s="980"/>
      <c r="N28" s="980"/>
      <c r="O28" s="980"/>
      <c r="P28" s="79"/>
    </row>
    <row r="29" spans="2:19">
      <c r="B29" s="981"/>
      <c r="C29" s="981"/>
      <c r="D29" s="981"/>
      <c r="E29" s="981"/>
      <c r="F29" s="981"/>
      <c r="G29" s="981"/>
      <c r="H29" s="981"/>
      <c r="I29" s="981"/>
      <c r="J29" s="981"/>
      <c r="K29" s="981"/>
      <c r="L29" s="981"/>
      <c r="M29" s="981"/>
      <c r="N29" s="981"/>
      <c r="O29" s="981"/>
      <c r="P29" s="80"/>
    </row>
    <row r="30" spans="2:19">
      <c r="B30" s="981"/>
      <c r="C30" s="981"/>
      <c r="D30" s="981"/>
      <c r="E30" s="981"/>
      <c r="F30" s="981"/>
      <c r="G30" s="981"/>
      <c r="H30" s="981"/>
      <c r="I30" s="981"/>
      <c r="J30" s="981"/>
      <c r="K30" s="981"/>
      <c r="L30" s="981"/>
      <c r="M30" s="981"/>
      <c r="N30" s="981"/>
      <c r="O30" s="981"/>
      <c r="P30" s="80"/>
    </row>
    <row r="31" spans="2:19">
      <c r="B31" s="981"/>
      <c r="C31" s="981"/>
      <c r="D31" s="981"/>
      <c r="E31" s="981"/>
      <c r="F31" s="981"/>
      <c r="G31" s="981"/>
      <c r="H31" s="981"/>
      <c r="I31" s="981"/>
      <c r="J31" s="981"/>
      <c r="K31" s="981"/>
      <c r="L31" s="981"/>
      <c r="M31" s="981"/>
      <c r="N31" s="981"/>
      <c r="O31" s="981"/>
      <c r="P31" s="80"/>
    </row>
    <row r="32" spans="2:19">
      <c r="B32" s="981"/>
      <c r="C32" s="981"/>
      <c r="D32" s="981"/>
      <c r="E32" s="981"/>
      <c r="F32" s="981"/>
      <c r="G32" s="981"/>
      <c r="H32" s="981"/>
      <c r="I32" s="981"/>
      <c r="J32" s="981"/>
      <c r="K32" s="981"/>
      <c r="L32" s="981"/>
      <c r="M32" s="981"/>
      <c r="N32" s="981"/>
      <c r="O32" s="981"/>
      <c r="P32" s="80"/>
    </row>
    <row r="33"/>
    <row r="34"/>
    <row r="35"/>
    <row r="36"/>
    <row r="37"/>
    <row r="38"/>
    <row r="39"/>
    <row r="40"/>
    <row r="41"/>
  </sheetData>
  <sheetProtection selectLockedCells="1"/>
  <mergeCells count="45">
    <mergeCell ref="L25:N25"/>
    <mergeCell ref="R25:S25"/>
    <mergeCell ref="B25:E25"/>
    <mergeCell ref="F25:H25"/>
    <mergeCell ref="I24:K24"/>
    <mergeCell ref="B24:E24"/>
    <mergeCell ref="L24:N24"/>
    <mergeCell ref="B21:E21"/>
    <mergeCell ref="B22:E22"/>
    <mergeCell ref="B23:E23"/>
    <mergeCell ref="L23:N23"/>
    <mergeCell ref="B16:B17"/>
    <mergeCell ref="B19:O19"/>
    <mergeCell ref="I23:K23"/>
    <mergeCell ref="L16:O16"/>
    <mergeCell ref="C17:K17"/>
    <mergeCell ref="C16:K16"/>
    <mergeCell ref="L17:O17"/>
    <mergeCell ref="B20:E20"/>
    <mergeCell ref="B8:O10"/>
    <mergeCell ref="L14:O14"/>
    <mergeCell ref="C14:K14"/>
    <mergeCell ref="E12:H12"/>
    <mergeCell ref="I12:N12"/>
    <mergeCell ref="B1:O1"/>
    <mergeCell ref="B7:O7"/>
    <mergeCell ref="E2:O4"/>
    <mergeCell ref="E5:O5"/>
    <mergeCell ref="B2:D5"/>
    <mergeCell ref="B28:O28"/>
    <mergeCell ref="B29:O32"/>
    <mergeCell ref="R23:S23"/>
    <mergeCell ref="F20:H20"/>
    <mergeCell ref="F21:H21"/>
    <mergeCell ref="I25:K25"/>
    <mergeCell ref="L20:N20"/>
    <mergeCell ref="L21:N21"/>
    <mergeCell ref="L22:N22"/>
    <mergeCell ref="R20:S20"/>
    <mergeCell ref="R21:S21"/>
    <mergeCell ref="R24:S24"/>
    <mergeCell ref="F24:H24"/>
    <mergeCell ref="I20:K20"/>
    <mergeCell ref="I21:K21"/>
    <mergeCell ref="I22:K22"/>
  </mergeCells>
  <conditionalFormatting sqref="L17 B19">
    <cfRule type="expression" dxfId="37" priority="2">
      <formula>$L$16="no"</formula>
    </cfRule>
  </conditionalFormatting>
  <conditionalFormatting sqref="L17">
    <cfRule type="expression" dxfId="36" priority="1">
      <formula>$L$16="no"</formula>
    </cfRule>
  </conditionalFormatting>
  <pageMargins left="0.7" right="0.7" top="0.75" bottom="0.75" header="0.3" footer="0.3"/>
  <pageSetup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Source!$I$1:$I$3</xm:f>
          </x14:formula1>
          <xm:sqref>L16:P16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I170"/>
  <sheetViews>
    <sheetView showGridLines="0" topLeftCell="A96" zoomScale="70" zoomScaleNormal="70" workbookViewId="0">
      <selection activeCell="J24" sqref="J24"/>
    </sheetView>
  </sheetViews>
  <sheetFormatPr defaultColWidth="0" defaultRowHeight="15.5" zeroHeight="1"/>
  <cols>
    <col min="1" max="1" width="2.453125" style="6" customWidth="1"/>
    <col min="2" max="2" width="29.453125" style="6" customWidth="1"/>
    <col min="3" max="3" width="24.26953125" style="6" customWidth="1"/>
    <col min="4" max="4" width="8.1796875" style="6" customWidth="1"/>
    <col min="5" max="6" width="27.453125" style="8" customWidth="1"/>
    <col min="7" max="7" width="31" style="8" customWidth="1"/>
    <col min="8" max="8" width="52.26953125" style="6" customWidth="1"/>
    <col min="9" max="9" width="13.7265625" style="301" customWidth="1"/>
    <col min="10" max="16384" width="31" style="6" hidden="1"/>
  </cols>
  <sheetData>
    <row r="1" spans="2:9" ht="16" thickBot="1">
      <c r="B1" s="1060" t="s">
        <v>23</v>
      </c>
      <c r="C1" s="1060"/>
      <c r="D1" s="1060"/>
      <c r="E1" s="1060"/>
      <c r="F1" s="1060"/>
      <c r="G1" s="1060"/>
      <c r="H1" s="1060"/>
    </row>
    <row r="2" spans="2:9" ht="15.75" customHeight="1">
      <c r="B2" s="1063" t="s">
        <v>266</v>
      </c>
      <c r="C2" s="954" t="s">
        <v>267</v>
      </c>
      <c r="D2" s="955"/>
      <c r="E2" s="955"/>
      <c r="F2" s="955"/>
      <c r="G2" s="955"/>
      <c r="H2" s="955"/>
    </row>
    <row r="3" spans="2:9">
      <c r="B3" s="1064"/>
      <c r="C3" s="957"/>
      <c r="D3" s="958"/>
      <c r="E3" s="958"/>
      <c r="F3" s="958"/>
      <c r="G3" s="958"/>
      <c r="H3" s="958"/>
    </row>
    <row r="4" spans="2:9" ht="90" customHeight="1">
      <c r="B4" s="1064"/>
      <c r="C4" s="957"/>
      <c r="D4" s="958"/>
      <c r="E4" s="958"/>
      <c r="F4" s="958"/>
      <c r="G4" s="958"/>
      <c r="H4" s="958"/>
    </row>
    <row r="5" spans="2:9">
      <c r="B5" s="1064"/>
      <c r="C5" s="1061" t="s">
        <v>268</v>
      </c>
      <c r="D5" s="1062"/>
      <c r="E5" s="1062"/>
      <c r="F5" s="1062"/>
      <c r="G5" s="1062"/>
      <c r="H5" s="1062"/>
      <c r="I5" s="302"/>
    </row>
    <row r="6" spans="2:9">
      <c r="B6" s="530"/>
      <c r="C6" s="530"/>
      <c r="D6" s="530"/>
      <c r="E6" s="531"/>
      <c r="F6" s="531"/>
      <c r="G6" s="531"/>
      <c r="H6" s="530"/>
    </row>
    <row r="7" spans="2:9" ht="21.5" thickBot="1">
      <c r="B7" s="300" t="s">
        <v>269</v>
      </c>
      <c r="C7" s="300"/>
      <c r="D7" s="300"/>
      <c r="E7" s="300"/>
      <c r="F7" s="300"/>
      <c r="G7" s="300"/>
      <c r="H7" s="300"/>
    </row>
    <row r="8" spans="2:9" ht="16.5" customHeight="1">
      <c r="B8" s="1067" t="s">
        <v>270</v>
      </c>
      <c r="C8" s="1067"/>
      <c r="D8" s="1067"/>
      <c r="E8" s="1067"/>
      <c r="F8" s="1067"/>
      <c r="G8" s="1067"/>
      <c r="H8" s="1067"/>
    </row>
    <row r="9" spans="2:9" ht="24.75" customHeight="1">
      <c r="B9" s="120" t="s">
        <v>271</v>
      </c>
      <c r="C9" s="120"/>
      <c r="D9" s="120"/>
      <c r="E9" s="120"/>
      <c r="F9" s="120"/>
      <c r="G9" s="120"/>
      <c r="H9" s="120"/>
    </row>
    <row r="10" spans="2:9" ht="24.75" customHeight="1">
      <c r="B10" s="121" t="s">
        <v>272</v>
      </c>
      <c r="C10" s="121"/>
      <c r="D10" s="121"/>
      <c r="E10" s="121"/>
      <c r="F10" s="121"/>
      <c r="G10" s="121"/>
      <c r="H10" s="121"/>
    </row>
    <row r="11" spans="2:9" ht="24.75" customHeight="1">
      <c r="B11" s="120" t="s">
        <v>273</v>
      </c>
      <c r="C11" s="120"/>
      <c r="D11" s="120"/>
      <c r="E11" s="120"/>
      <c r="F11" s="120"/>
      <c r="G11" s="120"/>
      <c r="H11" s="120"/>
    </row>
    <row r="12" spans="2:9" ht="24.75" customHeight="1">
      <c r="B12" s="121" t="s">
        <v>274</v>
      </c>
      <c r="C12" s="121"/>
      <c r="D12" s="121"/>
      <c r="E12" s="121"/>
      <c r="F12" s="121"/>
      <c r="G12" s="121"/>
      <c r="H12" s="121"/>
    </row>
    <row r="13" spans="2:9">
      <c r="B13" s="530"/>
      <c r="C13" s="530"/>
      <c r="D13" s="530"/>
      <c r="E13" s="531"/>
      <c r="F13" s="531"/>
      <c r="G13" s="531"/>
      <c r="H13" s="530"/>
    </row>
    <row r="14" spans="2:9" ht="21" hidden="1">
      <c r="B14" s="1046" t="s">
        <v>275</v>
      </c>
      <c r="C14" s="1046"/>
      <c r="D14" s="1046"/>
      <c r="E14" s="1046"/>
      <c r="F14" s="1046"/>
      <c r="G14" s="1046"/>
      <c r="H14" s="1046"/>
    </row>
    <row r="15" spans="2:9" ht="21" hidden="1">
      <c r="B15" s="1046" t="s">
        <v>276</v>
      </c>
      <c r="C15" s="1046"/>
      <c r="D15" s="1046"/>
      <c r="E15" s="1046"/>
      <c r="F15" s="1046"/>
      <c r="G15" s="1046"/>
      <c r="H15" s="1046"/>
    </row>
    <row r="16" spans="2:9" ht="27.75" customHeight="1">
      <c r="B16" s="1047" t="s">
        <v>277</v>
      </c>
      <c r="C16" s="1047" t="s">
        <v>1811</v>
      </c>
      <c r="D16" s="1047" t="s">
        <v>278</v>
      </c>
      <c r="E16" s="1048" t="s">
        <v>279</v>
      </c>
      <c r="F16" s="1048" t="s">
        <v>280</v>
      </c>
      <c r="G16" s="1047" t="s">
        <v>281</v>
      </c>
      <c r="H16" s="1047"/>
    </row>
    <row r="17" spans="2:9" ht="27.75" customHeight="1" thickBot="1">
      <c r="B17" s="1047"/>
      <c r="C17" s="1047"/>
      <c r="D17" s="1047"/>
      <c r="E17" s="1041"/>
      <c r="F17" s="1048"/>
      <c r="G17" s="1047"/>
      <c r="H17" s="1047"/>
    </row>
    <row r="18" spans="2:9" ht="25.5" customHeight="1">
      <c r="B18" s="122" t="s">
        <v>282</v>
      </c>
      <c r="C18" s="123"/>
      <c r="D18" s="124" t="s">
        <v>283</v>
      </c>
      <c r="E18" s="125"/>
      <c r="F18" s="126">
        <f>IFERROR(E18/C18,0)</f>
        <v>0</v>
      </c>
      <c r="G18" s="1065"/>
      <c r="H18" s="1065"/>
      <c r="I18" s="301">
        <v>1</v>
      </c>
    </row>
    <row r="19" spans="2:9">
      <c r="B19" s="530"/>
      <c r="C19" s="530"/>
      <c r="D19" s="530"/>
      <c r="E19" s="531"/>
      <c r="F19" s="531"/>
      <c r="G19" s="531"/>
      <c r="H19" s="530"/>
      <c r="I19" s="301">
        <v>2</v>
      </c>
    </row>
    <row r="20" spans="2:9" ht="21">
      <c r="B20" s="1046" t="s">
        <v>284</v>
      </c>
      <c r="C20" s="1046"/>
      <c r="D20" s="1046"/>
      <c r="E20" s="1046"/>
      <c r="F20" s="1046"/>
      <c r="G20" s="1046"/>
      <c r="H20" s="1046"/>
      <c r="I20" s="301">
        <v>3</v>
      </c>
    </row>
    <row r="21" spans="2:9" ht="21">
      <c r="B21" s="1046" t="s">
        <v>285</v>
      </c>
      <c r="C21" s="1046"/>
      <c r="D21" s="1046"/>
      <c r="E21" s="1046"/>
      <c r="F21" s="1046"/>
      <c r="G21" s="1046"/>
      <c r="H21" s="1046"/>
      <c r="I21" s="301">
        <v>4</v>
      </c>
    </row>
    <row r="22" spans="2:9">
      <c r="B22" s="1049" t="s">
        <v>286</v>
      </c>
      <c r="C22" s="1049"/>
      <c r="D22" s="1049"/>
      <c r="E22" s="1049"/>
      <c r="F22" s="1049"/>
      <c r="G22" s="1049"/>
      <c r="H22" s="1049"/>
      <c r="I22" s="301">
        <v>5</v>
      </c>
    </row>
    <row r="23" spans="2:9" ht="18.75" customHeight="1">
      <c r="B23" s="1047" t="s">
        <v>277</v>
      </c>
      <c r="C23" s="1048" t="s">
        <v>1812</v>
      </c>
      <c r="D23" s="1047" t="s">
        <v>278</v>
      </c>
      <c r="E23" s="1048" t="s">
        <v>287</v>
      </c>
      <c r="F23" s="1048"/>
      <c r="G23" s="1048" t="s">
        <v>281</v>
      </c>
      <c r="H23" s="1048"/>
      <c r="I23" s="301">
        <v>6</v>
      </c>
    </row>
    <row r="24" spans="2:9" ht="18.75" customHeight="1">
      <c r="B24" s="1047"/>
      <c r="C24" s="1048"/>
      <c r="D24" s="1047"/>
      <c r="E24" s="1048"/>
      <c r="F24" s="1048"/>
      <c r="G24" s="1048"/>
      <c r="H24" s="1048"/>
      <c r="I24" s="301">
        <v>7</v>
      </c>
    </row>
    <row r="25" spans="2:9" ht="18.75" customHeight="1" thickBot="1">
      <c r="B25" s="1066"/>
      <c r="C25" s="1041"/>
      <c r="D25" s="1066"/>
      <c r="E25" s="1041"/>
      <c r="F25" s="1041"/>
      <c r="G25" s="1041"/>
      <c r="H25" s="1041"/>
      <c r="I25" s="301">
        <v>8</v>
      </c>
    </row>
    <row r="26" spans="2:9" ht="24" customHeight="1">
      <c r="B26" s="1042" t="s">
        <v>288</v>
      </c>
      <c r="C26" s="1042"/>
      <c r="D26" s="1042"/>
      <c r="E26" s="1042"/>
      <c r="F26" s="1042"/>
      <c r="G26" s="1042"/>
      <c r="H26" s="1042"/>
      <c r="I26" s="301">
        <v>9</v>
      </c>
    </row>
    <row r="27" spans="2:9" ht="16" thickBot="1">
      <c r="B27" s="139" t="s">
        <v>289</v>
      </c>
      <c r="C27" s="140">
        <v>0</v>
      </c>
      <c r="D27" s="141" t="s">
        <v>283</v>
      </c>
      <c r="E27" s="1068" t="s">
        <v>290</v>
      </c>
      <c r="F27" s="1068"/>
      <c r="G27" s="1043"/>
      <c r="H27" s="1043"/>
      <c r="I27" s="301">
        <v>10</v>
      </c>
    </row>
    <row r="28" spans="2:9">
      <c r="B28" s="142" t="s">
        <v>291</v>
      </c>
      <c r="C28" s="143">
        <v>0</v>
      </c>
      <c r="D28" s="144" t="s">
        <v>292</v>
      </c>
      <c r="E28" s="1044"/>
      <c r="F28" s="1044"/>
      <c r="G28" s="1050"/>
      <c r="H28" s="1050"/>
      <c r="I28" s="301">
        <v>11</v>
      </c>
    </row>
    <row r="29" spans="2:9" ht="24" customHeight="1">
      <c r="B29" s="1042" t="s">
        <v>293</v>
      </c>
      <c r="C29" s="1042"/>
      <c r="D29" s="1042"/>
      <c r="E29" s="1042"/>
      <c r="F29" s="1042"/>
      <c r="G29" s="1042"/>
      <c r="H29" s="1042"/>
      <c r="I29" s="301">
        <v>12</v>
      </c>
    </row>
    <row r="30" spans="2:9" ht="16" thickBot="1">
      <c r="B30" s="139" t="s">
        <v>294</v>
      </c>
      <c r="C30" s="143">
        <v>0</v>
      </c>
      <c r="D30" s="141" t="s">
        <v>283</v>
      </c>
      <c r="E30" s="1045"/>
      <c r="F30" s="1045"/>
      <c r="G30" s="1043"/>
      <c r="H30" s="1043"/>
      <c r="I30" s="301">
        <v>13</v>
      </c>
    </row>
    <row r="31" spans="2:9">
      <c r="B31" s="142" t="s">
        <v>295</v>
      </c>
      <c r="C31" s="143">
        <v>0</v>
      </c>
      <c r="D31" s="144" t="s">
        <v>283</v>
      </c>
      <c r="E31" s="1044"/>
      <c r="F31" s="1044"/>
      <c r="G31" s="1050"/>
      <c r="H31" s="1050"/>
      <c r="I31" s="301">
        <v>14</v>
      </c>
    </row>
    <row r="32" spans="2:9" ht="24" customHeight="1">
      <c r="B32" s="1042" t="s">
        <v>296</v>
      </c>
      <c r="C32" s="1042"/>
      <c r="D32" s="1042"/>
      <c r="E32" s="1042"/>
      <c r="F32" s="1042"/>
      <c r="G32" s="1042"/>
      <c r="H32" s="1042"/>
      <c r="I32" s="301">
        <v>15</v>
      </c>
    </row>
    <row r="33" spans="2:9" ht="16" thickBot="1">
      <c r="B33" s="139" t="s">
        <v>294</v>
      </c>
      <c r="C33" s="143">
        <v>0</v>
      </c>
      <c r="D33" s="141" t="s">
        <v>283</v>
      </c>
      <c r="E33" s="1045"/>
      <c r="F33" s="1045"/>
      <c r="G33" s="1043"/>
      <c r="H33" s="1043"/>
      <c r="I33" s="301">
        <v>16</v>
      </c>
    </row>
    <row r="34" spans="2:9">
      <c r="B34" s="142" t="s">
        <v>295</v>
      </c>
      <c r="C34" s="143">
        <v>0</v>
      </c>
      <c r="D34" s="144" t="s">
        <v>283</v>
      </c>
      <c r="E34" s="1044"/>
      <c r="F34" s="1044"/>
      <c r="G34" s="1050"/>
      <c r="H34" s="1050"/>
      <c r="I34" s="301">
        <v>17</v>
      </c>
    </row>
    <row r="35" spans="2:9" ht="24" customHeight="1">
      <c r="B35" s="1042" t="s">
        <v>297</v>
      </c>
      <c r="C35" s="1042"/>
      <c r="D35" s="1042"/>
      <c r="E35" s="1042"/>
      <c r="F35" s="1042"/>
      <c r="G35" s="1042"/>
      <c r="H35" s="1042"/>
      <c r="I35" s="301">
        <v>18</v>
      </c>
    </row>
    <row r="36" spans="2:9" ht="16" thickBot="1">
      <c r="B36" s="139" t="s">
        <v>294</v>
      </c>
      <c r="C36" s="143">
        <v>0</v>
      </c>
      <c r="D36" s="141" t="s">
        <v>283</v>
      </c>
      <c r="E36" s="1045"/>
      <c r="F36" s="1045"/>
      <c r="G36" s="1043"/>
      <c r="H36" s="1043"/>
      <c r="I36" s="301">
        <v>19</v>
      </c>
    </row>
    <row r="37" spans="2:9">
      <c r="B37" s="142" t="s">
        <v>295</v>
      </c>
      <c r="C37" s="143">
        <v>0</v>
      </c>
      <c r="D37" s="144" t="s">
        <v>283</v>
      </c>
      <c r="E37" s="1044"/>
      <c r="F37" s="1044"/>
      <c r="G37" s="1050"/>
      <c r="H37" s="1050"/>
      <c r="I37" s="301">
        <v>20</v>
      </c>
    </row>
    <row r="38" spans="2:9" ht="24" customHeight="1">
      <c r="B38" s="1042" t="s">
        <v>298</v>
      </c>
      <c r="C38" s="1042"/>
      <c r="D38" s="1042"/>
      <c r="E38" s="1042"/>
      <c r="F38" s="1042"/>
      <c r="G38" s="1042"/>
      <c r="H38" s="1042"/>
      <c r="I38" s="301">
        <v>21</v>
      </c>
    </row>
    <row r="39" spans="2:9" ht="16" thickBot="1">
      <c r="B39" s="139" t="s">
        <v>294</v>
      </c>
      <c r="C39" s="143">
        <v>0</v>
      </c>
      <c r="D39" s="141" t="s">
        <v>283</v>
      </c>
      <c r="E39" s="1045"/>
      <c r="F39" s="1045"/>
      <c r="G39" s="1043"/>
      <c r="H39" s="1043"/>
      <c r="I39" s="301">
        <v>22</v>
      </c>
    </row>
    <row r="40" spans="2:9">
      <c r="B40" s="142" t="s">
        <v>295</v>
      </c>
      <c r="C40" s="143">
        <v>0</v>
      </c>
      <c r="D40" s="144" t="s">
        <v>283</v>
      </c>
      <c r="E40" s="1044"/>
      <c r="F40" s="1044"/>
      <c r="G40" s="1050"/>
      <c r="H40" s="1050"/>
      <c r="I40" s="301">
        <v>23</v>
      </c>
    </row>
    <row r="41" spans="2:9" ht="24" customHeight="1">
      <c r="B41" s="1042" t="s">
        <v>299</v>
      </c>
      <c r="C41" s="1042"/>
      <c r="D41" s="1042"/>
      <c r="E41" s="1042"/>
      <c r="F41" s="1042"/>
      <c r="G41" s="1042"/>
      <c r="H41" s="1042"/>
      <c r="I41" s="301">
        <v>24</v>
      </c>
    </row>
    <row r="42" spans="2:9" ht="16" thickBot="1">
      <c r="B42" s="139" t="s">
        <v>294</v>
      </c>
      <c r="C42" s="140">
        <v>0</v>
      </c>
      <c r="D42" s="141" t="s">
        <v>283</v>
      </c>
      <c r="E42" s="1068" t="s">
        <v>300</v>
      </c>
      <c r="F42" s="1068"/>
      <c r="G42" s="1043"/>
      <c r="H42" s="1043"/>
      <c r="I42" s="301">
        <v>25</v>
      </c>
    </row>
    <row r="43" spans="2:9">
      <c r="B43" s="142" t="s">
        <v>295</v>
      </c>
      <c r="C43" s="143">
        <v>0</v>
      </c>
      <c r="D43" s="144" t="s">
        <v>283</v>
      </c>
      <c r="E43" s="1044"/>
      <c r="F43" s="1044"/>
      <c r="G43" s="1050"/>
      <c r="H43" s="1050"/>
      <c r="I43" s="301">
        <v>26</v>
      </c>
    </row>
    <row r="44" spans="2:9">
      <c r="B44" s="7"/>
      <c r="C44" s="7"/>
      <c r="D44" s="7"/>
      <c r="E44" s="7"/>
      <c r="F44" s="7"/>
      <c r="G44" s="7"/>
      <c r="H44" s="7"/>
      <c r="I44" s="301">
        <v>27</v>
      </c>
    </row>
    <row r="45" spans="2:9" ht="21">
      <c r="B45" s="1046" t="s">
        <v>301</v>
      </c>
      <c r="C45" s="1046"/>
      <c r="D45" s="1046"/>
      <c r="E45" s="1046"/>
      <c r="F45" s="1046"/>
      <c r="G45" s="1046"/>
      <c r="H45" s="1046"/>
      <c r="I45" s="301">
        <v>28</v>
      </c>
    </row>
    <row r="46" spans="2:9" ht="21">
      <c r="B46" s="1046" t="s">
        <v>302</v>
      </c>
      <c r="C46" s="1046"/>
      <c r="D46" s="1046"/>
      <c r="E46" s="1046"/>
      <c r="F46" s="1046"/>
      <c r="G46" s="1046"/>
      <c r="H46" s="1046"/>
      <c r="I46" s="301">
        <v>29</v>
      </c>
    </row>
    <row r="47" spans="2:9">
      <c r="B47" s="1049" t="s">
        <v>303</v>
      </c>
      <c r="C47" s="1049"/>
      <c r="D47" s="1049" t="s">
        <v>283</v>
      </c>
      <c r="E47" s="1049">
        <v>0</v>
      </c>
      <c r="F47" s="1049"/>
      <c r="G47" s="1049"/>
      <c r="H47" s="1049"/>
      <c r="I47" s="301">
        <v>30</v>
      </c>
    </row>
    <row r="48" spans="2:9" ht="15.75" customHeight="1">
      <c r="B48" s="1047" t="s">
        <v>277</v>
      </c>
      <c r="C48" s="1048" t="s">
        <v>1812</v>
      </c>
      <c r="D48" s="1047" t="s">
        <v>278</v>
      </c>
      <c r="E48" s="1053" t="s">
        <v>304</v>
      </c>
      <c r="F48" s="1048" t="s">
        <v>305</v>
      </c>
      <c r="G48" s="1048" t="s">
        <v>287</v>
      </c>
      <c r="H48" s="1047" t="s">
        <v>281</v>
      </c>
      <c r="I48" s="301">
        <v>31</v>
      </c>
    </row>
    <row r="49" spans="2:9">
      <c r="B49" s="1047"/>
      <c r="C49" s="1047"/>
      <c r="D49" s="1047"/>
      <c r="E49" s="1053"/>
      <c r="F49" s="1048"/>
      <c r="G49" s="1048"/>
      <c r="H49" s="1047"/>
      <c r="I49" s="301">
        <v>32</v>
      </c>
    </row>
    <row r="50" spans="2:9" ht="16" thickBot="1">
      <c r="B50" s="1047"/>
      <c r="C50" s="1047"/>
      <c r="D50" s="1047"/>
      <c r="E50" s="1053"/>
      <c r="F50" s="1048"/>
      <c r="G50" s="1048"/>
      <c r="H50" s="1047"/>
      <c r="I50" s="301">
        <v>33</v>
      </c>
    </row>
    <row r="51" spans="2:9" ht="24" customHeight="1">
      <c r="B51" s="1069" t="s">
        <v>288</v>
      </c>
      <c r="C51" s="1069"/>
      <c r="D51" s="1069"/>
      <c r="E51" s="1069"/>
      <c r="F51" s="1069"/>
      <c r="G51" s="1069"/>
      <c r="H51" s="1069"/>
      <c r="I51" s="301">
        <v>34</v>
      </c>
    </row>
    <row r="52" spans="2:9" ht="16" thickBot="1">
      <c r="B52" s="136" t="s">
        <v>289</v>
      </c>
      <c r="C52" s="137">
        <v>0</v>
      </c>
      <c r="D52" s="138" t="s">
        <v>283</v>
      </c>
      <c r="E52" s="415">
        <f>IFERROR(F52/C52,)</f>
        <v>0</v>
      </c>
      <c r="F52" s="150">
        <v>0</v>
      </c>
      <c r="G52" s="151" t="s">
        <v>290</v>
      </c>
      <c r="H52" s="152"/>
      <c r="I52" s="301">
        <v>35</v>
      </c>
    </row>
    <row r="53" spans="2:9">
      <c r="B53" s="134" t="s">
        <v>291</v>
      </c>
      <c r="C53" s="133">
        <v>0</v>
      </c>
      <c r="D53" s="135" t="s">
        <v>292</v>
      </c>
      <c r="E53" s="415">
        <f>IFERROR(F53/C53,)</f>
        <v>0</v>
      </c>
      <c r="F53" s="145">
        <v>0</v>
      </c>
      <c r="G53" s="147"/>
      <c r="H53" s="147"/>
      <c r="I53" s="301">
        <v>36</v>
      </c>
    </row>
    <row r="54" spans="2:9" ht="24" customHeight="1">
      <c r="B54" s="1042" t="s">
        <v>293</v>
      </c>
      <c r="C54" s="1042"/>
      <c r="D54" s="1042"/>
      <c r="E54" s="1042"/>
      <c r="F54" s="1042"/>
      <c r="G54" s="1042"/>
      <c r="H54" s="1042"/>
      <c r="I54" s="301">
        <v>37</v>
      </c>
    </row>
    <row r="55" spans="2:9" ht="16" thickBot="1">
      <c r="B55" s="136" t="s">
        <v>294</v>
      </c>
      <c r="C55" s="137">
        <v>0</v>
      </c>
      <c r="D55" s="138" t="s">
        <v>283</v>
      </c>
      <c r="E55" s="415">
        <f>IFERROR(F55/C55,)</f>
        <v>0</v>
      </c>
      <c r="F55" s="145">
        <v>0</v>
      </c>
      <c r="G55" s="152"/>
      <c r="H55" s="152"/>
      <c r="I55" s="301">
        <v>38</v>
      </c>
    </row>
    <row r="56" spans="2:9">
      <c r="B56" s="134" t="s">
        <v>295</v>
      </c>
      <c r="C56" s="133">
        <v>0</v>
      </c>
      <c r="D56" s="135" t="s">
        <v>283</v>
      </c>
      <c r="E56" s="415">
        <f>IFERROR(F56/C56,)</f>
        <v>0</v>
      </c>
      <c r="F56" s="145">
        <v>0</v>
      </c>
      <c r="G56" s="148"/>
      <c r="H56" s="149"/>
      <c r="I56" s="301">
        <v>39</v>
      </c>
    </row>
    <row r="57" spans="2:9" ht="24" customHeight="1">
      <c r="B57" s="1042" t="s">
        <v>296</v>
      </c>
      <c r="C57" s="1042"/>
      <c r="D57" s="1042"/>
      <c r="E57" s="1042"/>
      <c r="F57" s="1042"/>
      <c r="G57" s="1042"/>
      <c r="H57" s="1042"/>
      <c r="I57" s="301">
        <v>40</v>
      </c>
    </row>
    <row r="58" spans="2:9" ht="16" thickBot="1">
      <c r="B58" s="136" t="s">
        <v>294</v>
      </c>
      <c r="C58" s="137">
        <v>0</v>
      </c>
      <c r="D58" s="138" t="s">
        <v>283</v>
      </c>
      <c r="E58" s="415">
        <f>IFERROR(F58/C58,)</f>
        <v>0</v>
      </c>
      <c r="F58" s="150">
        <v>0</v>
      </c>
      <c r="G58" s="153"/>
      <c r="H58" s="154"/>
      <c r="I58" s="301">
        <v>41</v>
      </c>
    </row>
    <row r="59" spans="2:9">
      <c r="B59" s="134" t="s">
        <v>295</v>
      </c>
      <c r="C59" s="133">
        <v>0</v>
      </c>
      <c r="D59" s="135" t="s">
        <v>283</v>
      </c>
      <c r="E59" s="415">
        <f>IFERROR(F59/C59,)</f>
        <v>0</v>
      </c>
      <c r="F59" s="145">
        <v>0</v>
      </c>
      <c r="G59" s="148"/>
      <c r="H59" s="147"/>
      <c r="I59" s="301">
        <v>42</v>
      </c>
    </row>
    <row r="60" spans="2:9" ht="24" customHeight="1">
      <c r="B60" s="1042" t="s">
        <v>297</v>
      </c>
      <c r="C60" s="1042"/>
      <c r="D60" s="1042"/>
      <c r="E60" s="1042"/>
      <c r="F60" s="1042"/>
      <c r="G60" s="1042"/>
      <c r="H60" s="1042"/>
      <c r="I60" s="301">
        <v>43</v>
      </c>
    </row>
    <row r="61" spans="2:9" ht="16" thickBot="1">
      <c r="B61" s="136" t="s">
        <v>294</v>
      </c>
      <c r="C61" s="137">
        <v>0</v>
      </c>
      <c r="D61" s="138" t="s">
        <v>283</v>
      </c>
      <c r="E61" s="415">
        <f>IFERROR(F61/C61,)</f>
        <v>0</v>
      </c>
      <c r="F61" s="150">
        <v>0</v>
      </c>
      <c r="G61" s="153"/>
      <c r="H61" s="152"/>
      <c r="I61" s="301">
        <v>44</v>
      </c>
    </row>
    <row r="62" spans="2:9">
      <c r="B62" s="134" t="s">
        <v>295</v>
      </c>
      <c r="C62" s="133">
        <v>0</v>
      </c>
      <c r="D62" s="135" t="s">
        <v>283</v>
      </c>
      <c r="E62" s="415">
        <f>IFERROR(F62/C62,)</f>
        <v>0</v>
      </c>
      <c r="F62" s="145">
        <v>0</v>
      </c>
      <c r="G62" s="148"/>
      <c r="H62" s="147"/>
      <c r="I62" s="301">
        <v>45</v>
      </c>
    </row>
    <row r="63" spans="2:9" ht="24" customHeight="1">
      <c r="B63" s="1042" t="s">
        <v>298</v>
      </c>
      <c r="C63" s="1042"/>
      <c r="D63" s="1042"/>
      <c r="E63" s="1042"/>
      <c r="F63" s="1042"/>
      <c r="G63" s="1042"/>
      <c r="H63" s="1042"/>
      <c r="I63" s="301">
        <v>46</v>
      </c>
    </row>
    <row r="64" spans="2:9" ht="16" thickBot="1">
      <c r="B64" s="136" t="s">
        <v>294</v>
      </c>
      <c r="C64" s="133">
        <v>0</v>
      </c>
      <c r="D64" s="138" t="s">
        <v>283</v>
      </c>
      <c r="E64" s="415">
        <f>IFERROR(F64/C64,)</f>
        <v>0</v>
      </c>
      <c r="F64" s="150">
        <v>0</v>
      </c>
      <c r="G64" s="153"/>
      <c r="H64" s="152"/>
      <c r="I64" s="301">
        <v>47</v>
      </c>
    </row>
    <row r="65" spans="1:9">
      <c r="A65" s="530"/>
      <c r="B65" s="134" t="s">
        <v>295</v>
      </c>
      <c r="C65" s="133">
        <v>0</v>
      </c>
      <c r="D65" s="135" t="s">
        <v>283</v>
      </c>
      <c r="E65" s="415">
        <f>IFERROR(F65/C65,)</f>
        <v>0</v>
      </c>
      <c r="F65" s="145">
        <v>0</v>
      </c>
      <c r="G65" s="148"/>
      <c r="H65" s="147"/>
      <c r="I65" s="301">
        <v>48</v>
      </c>
    </row>
    <row r="66" spans="1:9" ht="24" customHeight="1">
      <c r="A66" s="530"/>
      <c r="B66" s="1042" t="s">
        <v>299</v>
      </c>
      <c r="C66" s="1042"/>
      <c r="D66" s="1042"/>
      <c r="E66" s="1042"/>
      <c r="F66" s="1042"/>
      <c r="G66" s="1042"/>
      <c r="H66" s="1042"/>
      <c r="I66" s="301">
        <v>49</v>
      </c>
    </row>
    <row r="67" spans="1:9" ht="16" thickBot="1">
      <c r="A67" s="530"/>
      <c r="B67" s="136" t="s">
        <v>294</v>
      </c>
      <c r="C67" s="137">
        <v>0</v>
      </c>
      <c r="D67" s="138" t="s">
        <v>283</v>
      </c>
      <c r="E67" s="415">
        <f>IFERROR(F67/C67,)</f>
        <v>0</v>
      </c>
      <c r="F67" s="150">
        <v>0</v>
      </c>
      <c r="G67" s="151" t="s">
        <v>300</v>
      </c>
      <c r="H67" s="152"/>
      <c r="I67" s="301">
        <v>50</v>
      </c>
    </row>
    <row r="68" spans="1:9">
      <c r="A68" s="530"/>
      <c r="B68" s="134" t="s">
        <v>295</v>
      </c>
      <c r="C68" s="133">
        <v>0</v>
      </c>
      <c r="D68" s="135" t="s">
        <v>283</v>
      </c>
      <c r="E68" s="415">
        <f>IFERROR(F68/C68,)</f>
        <v>0</v>
      </c>
      <c r="F68" s="145">
        <v>0</v>
      </c>
      <c r="G68" s="146" t="s">
        <v>300</v>
      </c>
      <c r="H68" s="147"/>
      <c r="I68" s="301">
        <v>51</v>
      </c>
    </row>
    <row r="69" spans="1:9">
      <c r="A69" s="530"/>
      <c r="B69" s="530"/>
      <c r="C69" s="530"/>
      <c r="D69" s="530"/>
      <c r="E69" s="531"/>
      <c r="F69" s="531"/>
      <c r="G69" s="531"/>
      <c r="H69" s="530"/>
      <c r="I69" s="301">
        <v>52</v>
      </c>
    </row>
    <row r="70" spans="1:9" ht="18.75" customHeight="1">
      <c r="A70" s="530"/>
      <c r="B70" s="1046" t="s">
        <v>306</v>
      </c>
      <c r="C70" s="1046"/>
      <c r="D70" s="1046"/>
      <c r="E70" s="1046"/>
      <c r="F70" s="1046"/>
      <c r="G70" s="1046"/>
      <c r="H70" s="1046"/>
      <c r="I70" s="301">
        <v>53</v>
      </c>
    </row>
    <row r="71" spans="1:9" ht="21">
      <c r="A71" s="530"/>
      <c r="B71" s="1046" t="s">
        <v>307</v>
      </c>
      <c r="C71" s="1046"/>
      <c r="D71" s="1046" t="s">
        <v>283</v>
      </c>
      <c r="E71" s="1046">
        <v>0</v>
      </c>
      <c r="F71" s="1046"/>
      <c r="G71" s="1046"/>
      <c r="H71" s="1046"/>
      <c r="I71" s="301">
        <v>54</v>
      </c>
    </row>
    <row r="72" spans="1:9">
      <c r="A72" s="530"/>
      <c r="B72" s="1048" t="s">
        <v>308</v>
      </c>
      <c r="C72" s="1048" t="s">
        <v>309</v>
      </c>
      <c r="D72" s="1048"/>
      <c r="E72" s="1048" t="s">
        <v>310</v>
      </c>
      <c r="F72" s="1048" t="s">
        <v>311</v>
      </c>
      <c r="G72" s="1048" t="s">
        <v>312</v>
      </c>
      <c r="H72" s="1048" t="s">
        <v>313</v>
      </c>
      <c r="I72" s="301">
        <v>55</v>
      </c>
    </row>
    <row r="73" spans="1:9" ht="15.75" customHeight="1" thickBot="1">
      <c r="A73" s="530"/>
      <c r="B73" s="1041"/>
      <c r="C73" s="1041"/>
      <c r="D73" s="1041"/>
      <c r="E73" s="1041"/>
      <c r="F73" s="1041"/>
      <c r="G73" s="1041"/>
      <c r="H73" s="1041"/>
      <c r="I73" s="301">
        <v>56</v>
      </c>
    </row>
    <row r="74" spans="1:9" ht="20.25" customHeight="1" thickBot="1">
      <c r="A74" s="530"/>
      <c r="B74" s="398"/>
      <c r="C74" s="1054">
        <v>0</v>
      </c>
      <c r="D74" s="1055"/>
      <c r="E74" s="315">
        <v>0</v>
      </c>
      <c r="F74" s="397">
        <f>IFERROR(E74/C74,0)</f>
        <v>0</v>
      </c>
      <c r="G74" s="308" t="s">
        <v>314</v>
      </c>
      <c r="H74" s="306"/>
      <c r="I74" s="301">
        <v>57</v>
      </c>
    </row>
    <row r="75" spans="1:9" ht="0.75" customHeight="1" thickBot="1">
      <c r="A75" s="530"/>
      <c r="B75" s="1051" t="str">
        <f>IF(G74="other","Please provide 'Other' technology details here","")</f>
        <v/>
      </c>
      <c r="C75" s="1051"/>
      <c r="D75" s="1051"/>
      <c r="E75" s="1051"/>
      <c r="F75" s="1051"/>
      <c r="G75" s="1051"/>
      <c r="H75" s="1051"/>
      <c r="I75" s="301">
        <v>59</v>
      </c>
    </row>
    <row r="76" spans="1:9" ht="20.25" customHeight="1" thickBot="1">
      <c r="A76" s="530"/>
      <c r="B76" s="399"/>
      <c r="C76" s="1056">
        <v>0</v>
      </c>
      <c r="D76" s="1057"/>
      <c r="E76" s="316">
        <v>0</v>
      </c>
      <c r="F76" s="397">
        <f>IFERROR(E76/C76,0)</f>
        <v>0</v>
      </c>
      <c r="G76" s="307" t="s">
        <v>314</v>
      </c>
      <c r="H76" s="312"/>
      <c r="I76" s="301">
        <v>61</v>
      </c>
    </row>
    <row r="77" spans="1:9" ht="0.75" customHeight="1" thickBot="1">
      <c r="A77" s="530"/>
      <c r="B77" s="1051" t="str">
        <f>IF(G76="other","Please provide 'Other' technology details here","")</f>
        <v/>
      </c>
      <c r="C77" s="1051"/>
      <c r="D77" s="1051"/>
      <c r="E77" s="1051"/>
      <c r="F77" s="1051"/>
      <c r="G77" s="1051"/>
      <c r="H77" s="1051"/>
      <c r="I77" s="301">
        <v>63</v>
      </c>
    </row>
    <row r="78" spans="1:9" ht="20.25" customHeight="1" thickBot="1">
      <c r="A78" s="530"/>
      <c r="B78" s="399"/>
      <c r="C78" s="1056">
        <v>0</v>
      </c>
      <c r="D78" s="1057"/>
      <c r="E78" s="316">
        <v>0</v>
      </c>
      <c r="F78" s="397">
        <f>IFERROR(E78/C78,0)</f>
        <v>0</v>
      </c>
      <c r="G78" s="307" t="s">
        <v>314</v>
      </c>
      <c r="H78" s="312"/>
      <c r="I78" s="301">
        <v>61</v>
      </c>
    </row>
    <row r="79" spans="1:9" s="196" customFormat="1" ht="0.75" customHeight="1" thickBot="1">
      <c r="A79" s="529"/>
      <c r="B79" s="1031"/>
      <c r="C79" s="1031"/>
      <c r="D79" s="1031"/>
      <c r="E79" s="1031"/>
      <c r="F79" s="1031"/>
      <c r="G79" s="1031"/>
      <c r="H79" s="1031"/>
      <c r="I79" s="301"/>
    </row>
    <row r="80" spans="1:9" ht="20.25" customHeight="1" thickBot="1">
      <c r="A80" s="530"/>
      <c r="B80" s="399"/>
      <c r="C80" s="1056">
        <v>0</v>
      </c>
      <c r="D80" s="1057"/>
      <c r="E80" s="316">
        <v>0</v>
      </c>
      <c r="F80" s="397">
        <f>IFERROR(E80/C80,0)</f>
        <v>0</v>
      </c>
      <c r="G80" s="307" t="s">
        <v>314</v>
      </c>
      <c r="H80" s="312"/>
      <c r="I80" s="301">
        <v>65</v>
      </c>
    </row>
    <row r="81" spans="1:9" ht="12.75" customHeight="1">
      <c r="A81" s="530"/>
      <c r="B81" s="1032"/>
      <c r="C81" s="1032"/>
      <c r="D81" s="1032"/>
      <c r="E81" s="1032"/>
      <c r="F81" s="1032"/>
      <c r="G81" s="1032"/>
      <c r="H81" s="1032"/>
      <c r="I81" s="301">
        <v>68</v>
      </c>
    </row>
    <row r="82" spans="1:9" ht="21">
      <c r="A82" s="530"/>
      <c r="B82" s="577" t="s">
        <v>315</v>
      </c>
      <c r="C82" s="577"/>
      <c r="D82" s="577"/>
      <c r="E82" s="577"/>
      <c r="F82" s="577"/>
      <c r="G82" s="577"/>
      <c r="H82" s="577"/>
      <c r="I82" s="301">
        <v>69</v>
      </c>
    </row>
    <row r="83" spans="1:9" ht="21">
      <c r="A83" s="530"/>
      <c r="B83" s="577" t="s">
        <v>316</v>
      </c>
      <c r="C83" s="577"/>
      <c r="D83" s="577"/>
      <c r="E83" s="577"/>
      <c r="F83" s="577"/>
      <c r="G83" s="577"/>
      <c r="H83" s="577"/>
      <c r="I83" s="301">
        <v>70</v>
      </c>
    </row>
    <row r="84" spans="1:9">
      <c r="A84" s="530"/>
      <c r="B84" s="1059" t="s">
        <v>317</v>
      </c>
      <c r="C84" s="1059"/>
      <c r="D84" s="1059"/>
      <c r="E84" s="1059"/>
      <c r="F84" s="1059"/>
      <c r="G84" s="1059"/>
      <c r="H84" s="1059"/>
    </row>
    <row r="85" spans="1:9" ht="15" customHeight="1">
      <c r="A85" s="530"/>
      <c r="B85" s="1059" t="s">
        <v>318</v>
      </c>
      <c r="C85" s="1059"/>
      <c r="D85" s="1059"/>
      <c r="E85" s="1059"/>
      <c r="F85" s="1059"/>
      <c r="G85" s="1059"/>
      <c r="H85" s="1059"/>
    </row>
    <row r="86" spans="1:9">
      <c r="A86" s="530"/>
      <c r="B86" s="1047" t="s">
        <v>319</v>
      </c>
      <c r="C86" s="1048" t="s">
        <v>1813</v>
      </c>
      <c r="D86" s="1047" t="s">
        <v>278</v>
      </c>
      <c r="E86" s="1048" t="s">
        <v>320</v>
      </c>
      <c r="F86" s="1048" t="s">
        <v>321</v>
      </c>
      <c r="G86" s="1048"/>
      <c r="H86" s="1048"/>
      <c r="I86" s="301">
        <v>71</v>
      </c>
    </row>
    <row r="87" spans="1:9">
      <c r="A87" s="530"/>
      <c r="B87" s="1047"/>
      <c r="C87" s="1048"/>
      <c r="D87" s="1047"/>
      <c r="E87" s="1048"/>
      <c r="F87" s="1048"/>
      <c r="G87" s="1048"/>
      <c r="H87" s="1048"/>
      <c r="I87" s="301">
        <v>72</v>
      </c>
    </row>
    <row r="88" spans="1:9" ht="1.5" customHeight="1" thickBot="1">
      <c r="A88" s="530"/>
      <c r="B88" s="1047"/>
      <c r="C88" s="1048"/>
      <c r="D88" s="1047"/>
      <c r="E88" s="1048"/>
      <c r="F88" s="1041"/>
      <c r="G88" s="1041"/>
      <c r="H88" s="1041"/>
      <c r="I88" s="301">
        <v>73</v>
      </c>
    </row>
    <row r="89" spans="1:9" s="68" customFormat="1" ht="23.25" customHeight="1">
      <c r="A89" s="532"/>
      <c r="B89" s="1052" t="s">
        <v>322</v>
      </c>
      <c r="C89" s="1052"/>
      <c r="D89" s="1052"/>
      <c r="E89" s="1052"/>
      <c r="F89" s="1052"/>
      <c r="G89" s="1052"/>
      <c r="H89" s="1052"/>
      <c r="I89" s="301">
        <v>74</v>
      </c>
    </row>
    <row r="90" spans="1:9" ht="18" customHeight="1">
      <c r="A90" s="530"/>
      <c r="B90" s="159" t="s">
        <v>323</v>
      </c>
      <c r="C90" s="133">
        <v>0</v>
      </c>
      <c r="D90" s="135" t="s">
        <v>324</v>
      </c>
      <c r="E90" s="145">
        <v>0</v>
      </c>
      <c r="F90" s="1058"/>
      <c r="G90" s="1058"/>
      <c r="H90" s="1058"/>
      <c r="I90" s="301">
        <v>75</v>
      </c>
    </row>
    <row r="91" spans="1:9" ht="23.25" customHeight="1">
      <c r="A91" s="530"/>
      <c r="B91" s="1034" t="s">
        <v>325</v>
      </c>
      <c r="C91" s="1034"/>
      <c r="D91" s="1034"/>
      <c r="E91" s="1034"/>
      <c r="F91" s="1034"/>
      <c r="G91" s="1034"/>
      <c r="H91" s="1034"/>
      <c r="I91" s="7"/>
    </row>
    <row r="92" spans="1:9" ht="17.25" customHeight="1" thickBot="1">
      <c r="A92" s="530"/>
      <c r="B92" s="136" t="s">
        <v>326</v>
      </c>
      <c r="C92" s="137">
        <v>0</v>
      </c>
      <c r="D92" s="200" t="s">
        <v>327</v>
      </c>
      <c r="E92" s="150">
        <v>0</v>
      </c>
      <c r="F92" s="1037"/>
      <c r="G92" s="1037"/>
      <c r="H92" s="1037"/>
    </row>
    <row r="93" spans="1:9" ht="17.25" customHeight="1" thickBot="1">
      <c r="A93" s="530"/>
      <c r="B93" s="136" t="s">
        <v>328</v>
      </c>
      <c r="C93" s="137">
        <v>0</v>
      </c>
      <c r="D93" s="200" t="s">
        <v>327</v>
      </c>
      <c r="E93" s="150">
        <v>0</v>
      </c>
      <c r="F93" s="1038"/>
      <c r="G93" s="1038"/>
      <c r="H93" s="1038"/>
    </row>
    <row r="94" spans="1:9" ht="17.25" customHeight="1" thickBot="1">
      <c r="A94" s="530"/>
      <c r="B94" s="158" t="s">
        <v>329</v>
      </c>
      <c r="C94" s="155">
        <v>0</v>
      </c>
      <c r="D94" s="201" t="s">
        <v>327</v>
      </c>
      <c r="E94" s="156">
        <v>0</v>
      </c>
      <c r="F94" s="1038"/>
      <c r="G94" s="1038"/>
      <c r="H94" s="1038"/>
    </row>
    <row r="95" spans="1:9" ht="16.5" customHeight="1">
      <c r="A95" s="530"/>
      <c r="B95" s="134" t="s">
        <v>330</v>
      </c>
      <c r="C95" s="133">
        <v>0</v>
      </c>
      <c r="D95" s="317" t="s">
        <v>327</v>
      </c>
      <c r="E95" s="145">
        <v>0</v>
      </c>
      <c r="F95" s="1039"/>
      <c r="G95" s="1039"/>
      <c r="H95" s="1039"/>
    </row>
    <row r="96" spans="1:9" ht="21.75" customHeight="1">
      <c r="A96" s="530"/>
      <c r="B96" s="1034" t="s">
        <v>331</v>
      </c>
      <c r="C96" s="1034"/>
      <c r="D96" s="1034"/>
      <c r="E96" s="1034"/>
      <c r="F96" s="1034"/>
      <c r="G96" s="1034"/>
      <c r="H96" s="1034"/>
    </row>
    <row r="97" spans="2:9" ht="17.25" customHeight="1">
      <c r="B97" s="400"/>
      <c r="C97" s="309">
        <v>0</v>
      </c>
      <c r="D97" s="310" t="s">
        <v>327</v>
      </c>
      <c r="E97" s="311">
        <v>0</v>
      </c>
      <c r="F97" s="1035" t="s">
        <v>332</v>
      </c>
      <c r="G97" s="1036"/>
      <c r="H97" s="202"/>
    </row>
    <row r="98" spans="2:9" ht="15.75" customHeight="1">
      <c r="B98" s="1040" t="s">
        <v>308</v>
      </c>
      <c r="C98" s="1040" t="s">
        <v>1814</v>
      </c>
      <c r="D98" s="1040"/>
      <c r="E98" s="1040" t="s">
        <v>333</v>
      </c>
      <c r="F98" s="1040" t="s">
        <v>334</v>
      </c>
      <c r="G98" s="1040" t="s">
        <v>335</v>
      </c>
      <c r="H98" s="1040" t="s">
        <v>321</v>
      </c>
      <c r="I98" s="301">
        <v>71</v>
      </c>
    </row>
    <row r="99" spans="2:9" ht="16" thickBot="1">
      <c r="B99" s="1041"/>
      <c r="C99" s="1041"/>
      <c r="D99" s="1041"/>
      <c r="E99" s="1041"/>
      <c r="F99" s="1041"/>
      <c r="G99" s="1041"/>
      <c r="H99" s="1041"/>
      <c r="I99" s="301">
        <v>72</v>
      </c>
    </row>
    <row r="100" spans="2:9" ht="23.25" customHeight="1" thickBot="1">
      <c r="B100" s="1034" t="s">
        <v>336</v>
      </c>
      <c r="C100" s="1034"/>
      <c r="D100" s="1034"/>
      <c r="E100" s="1034"/>
      <c r="F100" s="1034"/>
      <c r="G100" s="1034"/>
      <c r="H100" s="1034"/>
    </row>
    <row r="101" spans="2:9" ht="16" thickBot="1">
      <c r="B101" s="318" t="s">
        <v>337</v>
      </c>
      <c r="C101" s="1033">
        <v>0</v>
      </c>
      <c r="D101" s="1033"/>
      <c r="E101" s="315">
        <v>0</v>
      </c>
      <c r="F101" s="319"/>
      <c r="G101" s="320" t="s">
        <v>338</v>
      </c>
      <c r="H101" s="578"/>
    </row>
    <row r="102" spans="2:9" ht="16" thickBot="1">
      <c r="B102" s="318"/>
      <c r="C102" s="1033">
        <v>0</v>
      </c>
      <c r="D102" s="1033"/>
      <c r="E102" s="315">
        <v>0</v>
      </c>
      <c r="F102" s="318"/>
      <c r="G102" s="321" t="s">
        <v>338</v>
      </c>
      <c r="H102" s="579"/>
    </row>
    <row r="103" spans="2:9" ht="16" thickBot="1">
      <c r="B103" s="318"/>
      <c r="C103" s="1033">
        <v>0</v>
      </c>
      <c r="D103" s="1033"/>
      <c r="E103" s="315">
        <v>0</v>
      </c>
      <c r="F103" s="318"/>
      <c r="G103" s="321" t="s">
        <v>338</v>
      </c>
      <c r="H103" s="579"/>
    </row>
    <row r="104" spans="2:9">
      <c r="B104" s="530"/>
      <c r="C104" s="530"/>
      <c r="D104" s="530"/>
      <c r="E104" s="531"/>
      <c r="F104" s="531"/>
      <c r="G104" s="531"/>
      <c r="H104" s="530"/>
    </row>
    <row r="105" spans="2:9">
      <c r="B105" s="530"/>
      <c r="C105" s="530"/>
      <c r="D105" s="530"/>
      <c r="E105" s="531"/>
      <c r="F105" s="531"/>
      <c r="G105" s="531"/>
      <c r="H105" s="530"/>
    </row>
    <row r="106" spans="2:9">
      <c r="B106" s="530"/>
      <c r="C106" s="530"/>
      <c r="D106" s="530"/>
      <c r="E106" s="531"/>
      <c r="F106" s="531"/>
      <c r="G106" s="531"/>
      <c r="H106" s="530"/>
    </row>
    <row r="107" spans="2:9">
      <c r="B107" s="530"/>
      <c r="C107" s="530"/>
      <c r="D107" s="530"/>
      <c r="E107" s="531"/>
      <c r="F107" s="531"/>
      <c r="G107" s="531"/>
      <c r="H107" s="530"/>
    </row>
    <row r="108" spans="2:9">
      <c r="B108" s="530"/>
      <c r="C108" s="530"/>
      <c r="D108" s="530"/>
      <c r="E108" s="531"/>
      <c r="F108" s="531"/>
      <c r="G108" s="531"/>
      <c r="H108" s="530"/>
    </row>
    <row r="109" spans="2:9">
      <c r="B109" s="530"/>
      <c r="C109" s="530"/>
      <c r="D109" s="530"/>
      <c r="E109" s="530"/>
      <c r="F109" s="530"/>
      <c r="G109" s="530"/>
      <c r="H109" s="530"/>
    </row>
    <row r="110" spans="2:9">
      <c r="B110" s="530"/>
      <c r="C110" s="530"/>
      <c r="D110" s="530"/>
      <c r="E110" s="530"/>
      <c r="F110" s="530"/>
      <c r="G110" s="530"/>
      <c r="H110" s="530"/>
    </row>
    <row r="111" spans="2:9">
      <c r="B111" s="530"/>
      <c r="C111" s="530"/>
      <c r="D111" s="530"/>
      <c r="E111" s="530"/>
      <c r="F111" s="530"/>
      <c r="G111" s="530"/>
      <c r="H111" s="530"/>
    </row>
    <row r="112" spans="2:9">
      <c r="B112" s="530"/>
      <c r="C112" s="530"/>
      <c r="D112" s="530"/>
      <c r="E112" s="530"/>
      <c r="F112" s="530"/>
      <c r="G112" s="530"/>
      <c r="H112" s="530"/>
    </row>
    <row r="113" spans="5:7">
      <c r="E113" s="530"/>
      <c r="F113" s="530"/>
      <c r="G113" s="530"/>
    </row>
    <row r="114" spans="5:7">
      <c r="E114" s="530"/>
      <c r="F114" s="530"/>
      <c r="G114" s="530"/>
    </row>
    <row r="115" spans="5:7">
      <c r="E115" s="530"/>
      <c r="F115" s="530"/>
      <c r="G115" s="530"/>
    </row>
    <row r="116" spans="5:7">
      <c r="E116" s="530"/>
      <c r="F116" s="530"/>
      <c r="G116" s="530"/>
    </row>
    <row r="117" spans="5:7">
      <c r="E117" s="530"/>
      <c r="F117" s="530"/>
      <c r="G117" s="530"/>
    </row>
    <row r="118" spans="5:7">
      <c r="E118" s="530"/>
      <c r="F118" s="530"/>
      <c r="G118" s="530"/>
    </row>
    <row r="119" spans="5:7">
      <c r="E119" s="530"/>
      <c r="F119" s="530"/>
      <c r="G119" s="530"/>
    </row>
    <row r="120" spans="5:7">
      <c r="E120" s="530"/>
      <c r="F120" s="530"/>
      <c r="G120" s="530"/>
    </row>
    <row r="121" spans="5:7">
      <c r="E121" s="530"/>
      <c r="F121" s="530"/>
      <c r="G121" s="530"/>
    </row>
    <row r="122" spans="5:7">
      <c r="E122" s="530"/>
      <c r="F122" s="530"/>
      <c r="G122" s="530"/>
    </row>
    <row r="123" spans="5:7">
      <c r="E123" s="530"/>
      <c r="F123" s="530"/>
      <c r="G123" s="530"/>
    </row>
    <row r="124" spans="5:7">
      <c r="E124" s="530"/>
      <c r="F124" s="530"/>
      <c r="G124" s="530"/>
    </row>
    <row r="125" spans="5:7">
      <c r="E125" s="530"/>
      <c r="F125" s="530"/>
      <c r="G125" s="530"/>
    </row>
    <row r="126" spans="5:7">
      <c r="E126" s="530"/>
      <c r="F126" s="530"/>
      <c r="G126" s="530"/>
    </row>
    <row r="127" spans="5:7">
      <c r="E127" s="530"/>
      <c r="F127" s="530"/>
      <c r="G127" s="530"/>
    </row>
    <row r="128" spans="5:7">
      <c r="E128" s="530"/>
      <c r="F128" s="530"/>
      <c r="G128" s="530"/>
    </row>
    <row r="129" spans="5:7" hidden="1">
      <c r="E129" s="530"/>
      <c r="F129" s="530"/>
      <c r="G129" s="530"/>
    </row>
    <row r="130" spans="5:7" hidden="1">
      <c r="E130" s="530"/>
      <c r="F130" s="530"/>
      <c r="G130" s="530"/>
    </row>
    <row r="131" spans="5:7">
      <c r="E131" s="530"/>
      <c r="F131" s="530"/>
      <c r="G131" s="530"/>
    </row>
    <row r="132" spans="5:7">
      <c r="E132" s="530"/>
      <c r="F132" s="530"/>
      <c r="G132" s="530"/>
    </row>
    <row r="133" spans="5:7">
      <c r="E133" s="530"/>
      <c r="F133" s="530"/>
      <c r="G133" s="530"/>
    </row>
    <row r="134" spans="5:7">
      <c r="E134" s="530"/>
      <c r="F134" s="530"/>
      <c r="G134" s="530"/>
    </row>
    <row r="135" spans="5:7">
      <c r="E135" s="530"/>
      <c r="F135" s="530"/>
      <c r="G135" s="530"/>
    </row>
    <row r="136" spans="5:7">
      <c r="E136" s="530"/>
      <c r="F136" s="530"/>
      <c r="G136" s="530"/>
    </row>
    <row r="137" spans="5:7">
      <c r="E137" s="530"/>
      <c r="F137" s="530"/>
      <c r="G137" s="530"/>
    </row>
    <row r="138" spans="5:7">
      <c r="E138" s="530"/>
      <c r="F138" s="530"/>
      <c r="G138" s="530"/>
    </row>
    <row r="139" spans="5:7">
      <c r="E139" s="530"/>
      <c r="F139" s="530"/>
      <c r="G139" s="530"/>
    </row>
    <row r="140" spans="5:7">
      <c r="E140" s="530"/>
      <c r="F140" s="530"/>
      <c r="G140" s="530"/>
    </row>
    <row r="141" spans="5:7">
      <c r="E141" s="530"/>
      <c r="F141" s="530"/>
      <c r="G141" s="530"/>
    </row>
    <row r="142" spans="5:7">
      <c r="E142" s="530"/>
      <c r="F142" s="530"/>
      <c r="G142" s="530"/>
    </row>
    <row r="143" spans="5:7">
      <c r="E143" s="530"/>
      <c r="F143" s="530"/>
      <c r="G143" s="530"/>
    </row>
    <row r="144" spans="5:7">
      <c r="E144" s="530"/>
      <c r="F144" s="530"/>
      <c r="G144" s="530"/>
    </row>
    <row r="145" spans="5:7">
      <c r="E145" s="530"/>
      <c r="F145" s="530"/>
      <c r="G145" s="530"/>
    </row>
    <row r="146" spans="5:7">
      <c r="E146" s="530"/>
      <c r="F146" s="530"/>
      <c r="G146" s="530"/>
    </row>
    <row r="147" spans="5:7">
      <c r="E147" s="530"/>
      <c r="F147" s="530"/>
      <c r="G147" s="530"/>
    </row>
    <row r="148" spans="5:7">
      <c r="E148" s="530"/>
      <c r="F148" s="530"/>
      <c r="G148" s="530"/>
    </row>
    <row r="149" spans="5:7">
      <c r="E149" s="531"/>
      <c r="F149" s="531"/>
      <c r="G149" s="531"/>
    </row>
    <row r="150" spans="5:7">
      <c r="E150" s="531"/>
      <c r="F150" s="531"/>
      <c r="G150" s="531"/>
    </row>
    <row r="151" spans="5:7">
      <c r="E151" s="531"/>
      <c r="F151" s="531"/>
      <c r="G151" s="531"/>
    </row>
    <row r="152" spans="5:7">
      <c r="E152" s="531"/>
      <c r="F152" s="531"/>
      <c r="G152" s="531"/>
    </row>
    <row r="153" spans="5:7">
      <c r="E153" s="531"/>
      <c r="F153" s="531"/>
      <c r="G153" s="531"/>
    </row>
    <row r="154" spans="5:7">
      <c r="E154" s="531"/>
      <c r="F154" s="531"/>
      <c r="G154" s="531"/>
    </row>
    <row r="155" spans="5:7">
      <c r="E155" s="531"/>
      <c r="F155" s="531"/>
      <c r="G155" s="531"/>
    </row>
    <row r="156" spans="5:7">
      <c r="E156" s="531"/>
      <c r="F156" s="531"/>
      <c r="G156" s="531"/>
    </row>
    <row r="157" spans="5:7">
      <c r="E157" s="531"/>
      <c r="F157" s="531"/>
      <c r="G157" s="531"/>
    </row>
    <row r="158" spans="5:7">
      <c r="E158" s="531"/>
      <c r="F158" s="531"/>
      <c r="G158" s="531"/>
    </row>
    <row r="159" spans="5:7">
      <c r="E159" s="531"/>
      <c r="F159" s="531"/>
      <c r="G159" s="531"/>
    </row>
    <row r="160" spans="5:7">
      <c r="E160" s="531"/>
      <c r="F160" s="531"/>
      <c r="G160" s="531"/>
    </row>
    <row r="161"/>
    <row r="162"/>
    <row r="163"/>
    <row r="164"/>
    <row r="165"/>
    <row r="166"/>
    <row r="167"/>
    <row r="168"/>
    <row r="169"/>
    <row r="170"/>
  </sheetData>
  <sheetProtection selectLockedCells="1"/>
  <mergeCells count="110">
    <mergeCell ref="B66:H66"/>
    <mergeCell ref="E37:F37"/>
    <mergeCell ref="B72:B73"/>
    <mergeCell ref="D48:D50"/>
    <mergeCell ref="G40:H40"/>
    <mergeCell ref="G42:H42"/>
    <mergeCell ref="G43:H43"/>
    <mergeCell ref="H72:H73"/>
    <mergeCell ref="E39:F39"/>
    <mergeCell ref="B51:H51"/>
    <mergeCell ref="B54:H54"/>
    <mergeCell ref="B57:H57"/>
    <mergeCell ref="E42:F42"/>
    <mergeCell ref="E27:F27"/>
    <mergeCell ref="E28:F28"/>
    <mergeCell ref="E30:F30"/>
    <mergeCell ref="G33:H33"/>
    <mergeCell ref="B32:H32"/>
    <mergeCell ref="B35:H35"/>
    <mergeCell ref="B38:H38"/>
    <mergeCell ref="G37:H37"/>
    <mergeCell ref="B63:H63"/>
    <mergeCell ref="B1:H1"/>
    <mergeCell ref="B14:H14"/>
    <mergeCell ref="B15:H15"/>
    <mergeCell ref="C2:H4"/>
    <mergeCell ref="C5:H5"/>
    <mergeCell ref="B2:B5"/>
    <mergeCell ref="E23:F25"/>
    <mergeCell ref="G18:H18"/>
    <mergeCell ref="B16:B17"/>
    <mergeCell ref="C16:C17"/>
    <mergeCell ref="D16:D17"/>
    <mergeCell ref="G16:H17"/>
    <mergeCell ref="F16:F17"/>
    <mergeCell ref="B23:B25"/>
    <mergeCell ref="C23:C25"/>
    <mergeCell ref="B8:H8"/>
    <mergeCell ref="E16:E17"/>
    <mergeCell ref="B22:H22"/>
    <mergeCell ref="D23:D25"/>
    <mergeCell ref="B20:H20"/>
    <mergeCell ref="G23:H25"/>
    <mergeCell ref="B21:H21"/>
    <mergeCell ref="B77:H77"/>
    <mergeCell ref="B91:H91"/>
    <mergeCell ref="B89:H89"/>
    <mergeCell ref="E86:E88"/>
    <mergeCell ref="B86:B88"/>
    <mergeCell ref="C86:C88"/>
    <mergeCell ref="D86:D88"/>
    <mergeCell ref="B75:H75"/>
    <mergeCell ref="E48:E50"/>
    <mergeCell ref="F48:F50"/>
    <mergeCell ref="E72:E73"/>
    <mergeCell ref="F72:F73"/>
    <mergeCell ref="G72:G73"/>
    <mergeCell ref="C74:D74"/>
    <mergeCell ref="C76:D76"/>
    <mergeCell ref="C78:D78"/>
    <mergeCell ref="C80:D80"/>
    <mergeCell ref="C72:D73"/>
    <mergeCell ref="F86:H88"/>
    <mergeCell ref="F90:H90"/>
    <mergeCell ref="B71:H71"/>
    <mergeCell ref="B70:H70"/>
    <mergeCell ref="B84:H84"/>
    <mergeCell ref="B85:H85"/>
    <mergeCell ref="B26:H26"/>
    <mergeCell ref="G30:H30"/>
    <mergeCell ref="B29:H29"/>
    <mergeCell ref="G39:H39"/>
    <mergeCell ref="B41:H41"/>
    <mergeCell ref="E31:F31"/>
    <mergeCell ref="E33:F33"/>
    <mergeCell ref="E43:F43"/>
    <mergeCell ref="B60:H60"/>
    <mergeCell ref="E40:F40"/>
    <mergeCell ref="B45:H45"/>
    <mergeCell ref="B46:H46"/>
    <mergeCell ref="B48:B50"/>
    <mergeCell ref="C48:C50"/>
    <mergeCell ref="H48:H50"/>
    <mergeCell ref="G48:G50"/>
    <mergeCell ref="B47:H47"/>
    <mergeCell ref="E34:F34"/>
    <mergeCell ref="E36:F36"/>
    <mergeCell ref="G31:H31"/>
    <mergeCell ref="G27:H27"/>
    <mergeCell ref="G28:H28"/>
    <mergeCell ref="G34:H34"/>
    <mergeCell ref="G36:H36"/>
    <mergeCell ref="B79:H79"/>
    <mergeCell ref="B81:H81"/>
    <mergeCell ref="C101:D101"/>
    <mergeCell ref="C102:D102"/>
    <mergeCell ref="C103:D103"/>
    <mergeCell ref="B96:H96"/>
    <mergeCell ref="F97:G97"/>
    <mergeCell ref="F92:H92"/>
    <mergeCell ref="F93:H93"/>
    <mergeCell ref="F94:H94"/>
    <mergeCell ref="F95:H95"/>
    <mergeCell ref="B98:B99"/>
    <mergeCell ref="E98:E99"/>
    <mergeCell ref="F98:F99"/>
    <mergeCell ref="G98:G99"/>
    <mergeCell ref="H98:H99"/>
    <mergeCell ref="C98:D99"/>
    <mergeCell ref="B100:H100"/>
  </mergeCells>
  <conditionalFormatting sqref="B75 B77">
    <cfRule type="containsText" dxfId="35" priority="10" operator="containsText" text="Please provide 'Other' technology details here">
      <formula>NOT(ISERROR(SEARCH("Please provide 'Other' technology details here",B75)))</formula>
    </cfRule>
  </conditionalFormatting>
  <pageMargins left="0.7" right="0.7" top="0.75" bottom="0.75" header="0.3" footer="0.3"/>
  <pageSetup scale="4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Source!$A$1:$A$9</xm:f>
          </x14:formula1>
          <xm:sqref>G76 G74 G78 G80</xm:sqref>
        </x14:dataValidation>
        <x14:dataValidation type="list" allowBlank="1" showInputMessage="1" showErrorMessage="1" xr:uid="{00000000-0002-0000-0600-000001000000}">
          <x14:formula1>
            <xm:f>Source!$AM$1:$AM$4</xm:f>
          </x14:formula1>
          <xm:sqref>G101:G103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I35"/>
  <sheetViews>
    <sheetView showGridLines="0" zoomScale="80" zoomScaleNormal="80" workbookViewId="0">
      <selection activeCell="J24" sqref="J24"/>
    </sheetView>
  </sheetViews>
  <sheetFormatPr defaultColWidth="0" defaultRowHeight="15.5" zeroHeight="1"/>
  <cols>
    <col min="1" max="1" width="2.81640625" style="6" customWidth="1"/>
    <col min="2" max="2" width="51" style="6" customWidth="1"/>
    <col min="3" max="3" width="19.26953125" style="6" bestFit="1" customWidth="1"/>
    <col min="4" max="4" width="12.26953125" style="6" customWidth="1"/>
    <col min="5" max="5" width="18.453125" style="6" customWidth="1"/>
    <col min="6" max="6" width="13.453125" style="6" customWidth="1"/>
    <col min="7" max="7" width="34.81640625" style="6" customWidth="1"/>
    <col min="8" max="8" width="48.453125" style="6" customWidth="1"/>
    <col min="9" max="9" width="5" style="6" customWidth="1"/>
    <col min="10" max="16384" width="9.1796875" style="6" hidden="1"/>
  </cols>
  <sheetData>
    <row r="1" spans="1:9" ht="16" thickBot="1">
      <c r="A1" s="530"/>
      <c r="B1" s="1060" t="s">
        <v>23</v>
      </c>
      <c r="C1" s="1060"/>
      <c r="D1" s="1060"/>
      <c r="E1" s="1060"/>
      <c r="F1" s="1060"/>
      <c r="G1" s="1060"/>
      <c r="H1" s="1060"/>
      <c r="I1" s="530"/>
    </row>
    <row r="2" spans="1:9" ht="15.75" customHeight="1">
      <c r="A2" s="530"/>
      <c r="B2" s="1077" t="s">
        <v>339</v>
      </c>
      <c r="C2" s="1078" t="s">
        <v>340</v>
      </c>
      <c r="D2" s="1079"/>
      <c r="E2" s="1079"/>
      <c r="F2" s="1079"/>
      <c r="G2" s="1079"/>
      <c r="H2" s="1079"/>
      <c r="I2" s="530"/>
    </row>
    <row r="3" spans="1:9">
      <c r="A3" s="530"/>
      <c r="B3" s="1077"/>
      <c r="C3" s="1080"/>
      <c r="D3" s="1081"/>
      <c r="E3" s="1081"/>
      <c r="F3" s="1081"/>
      <c r="G3" s="1081"/>
      <c r="H3" s="1081"/>
      <c r="I3" s="530"/>
    </row>
    <row r="4" spans="1:9">
      <c r="A4" s="530"/>
      <c r="B4" s="1077"/>
      <c r="C4" s="1080"/>
      <c r="D4" s="1081"/>
      <c r="E4" s="1081"/>
      <c r="F4" s="1081"/>
      <c r="G4" s="1081"/>
      <c r="H4" s="1081"/>
      <c r="I4" s="530"/>
    </row>
    <row r="5" spans="1:9" ht="19.5" customHeight="1" thickBot="1">
      <c r="A5" s="530"/>
      <c r="B5" s="1077"/>
      <c r="C5" s="1073" t="s">
        <v>341</v>
      </c>
      <c r="D5" s="1074"/>
      <c r="E5" s="1074"/>
      <c r="F5" s="1074"/>
      <c r="G5" s="1074"/>
      <c r="H5" s="1074"/>
      <c r="I5" s="530"/>
    </row>
    <row r="6" spans="1:9" ht="28.5" customHeight="1">
      <c r="A6" s="530"/>
      <c r="B6" s="530"/>
      <c r="C6" s="530"/>
      <c r="D6" s="530"/>
      <c r="E6" s="530"/>
      <c r="F6" s="530"/>
      <c r="G6" s="530"/>
      <c r="H6" s="530"/>
      <c r="I6" s="530"/>
    </row>
    <row r="7" spans="1:9" s="68" customFormat="1" ht="25.5" customHeight="1">
      <c r="A7" s="532"/>
      <c r="B7" s="1070" t="s">
        <v>342</v>
      </c>
      <c r="C7" s="1070"/>
      <c r="D7" s="1070"/>
      <c r="E7" s="1070"/>
      <c r="F7" s="1070"/>
      <c r="G7" s="1070"/>
      <c r="H7" s="1070"/>
      <c r="I7" s="532"/>
    </row>
    <row r="8" spans="1:9" s="5" customFormat="1" ht="18.75" customHeight="1">
      <c r="B8" s="1071" t="s">
        <v>277</v>
      </c>
      <c r="C8" s="1072" t="s">
        <v>1815</v>
      </c>
      <c r="D8" s="1071" t="s">
        <v>343</v>
      </c>
      <c r="E8" s="1072" t="s">
        <v>344</v>
      </c>
      <c r="F8" s="1072" t="s">
        <v>345</v>
      </c>
      <c r="G8" s="1072" t="s">
        <v>346</v>
      </c>
      <c r="H8" s="1071" t="s">
        <v>281</v>
      </c>
    </row>
    <row r="9" spans="1:9" s="5" customFormat="1" ht="18.5">
      <c r="B9" s="1071"/>
      <c r="C9" s="1072"/>
      <c r="D9" s="1071"/>
      <c r="E9" s="1072"/>
      <c r="F9" s="1072"/>
      <c r="G9" s="1072"/>
      <c r="H9" s="1071"/>
    </row>
    <row r="10" spans="1:9" s="5" customFormat="1" ht="19" thickBot="1">
      <c r="A10" s="94"/>
      <c r="B10" s="1071"/>
      <c r="C10" s="1072"/>
      <c r="D10" s="1071"/>
      <c r="E10" s="1072"/>
      <c r="F10" s="1072"/>
      <c r="G10" s="1072"/>
      <c r="H10" s="1071"/>
    </row>
    <row r="11" spans="1:9" s="68" customFormat="1" ht="19.5" customHeight="1">
      <c r="A11" s="532"/>
      <c r="B11" s="443" t="s">
        <v>347</v>
      </c>
      <c r="C11" s="127">
        <v>0</v>
      </c>
      <c r="D11" s="430" t="s">
        <v>348</v>
      </c>
      <c r="E11" s="130">
        <v>0</v>
      </c>
      <c r="F11" s="433">
        <f>IFERROR(E11/C11,0)</f>
        <v>0</v>
      </c>
      <c r="G11" s="434"/>
      <c r="H11" s="435"/>
      <c r="I11" s="95">
        <f>IFERROR((E11/C11)&lt;3,0)</f>
        <v>0</v>
      </c>
    </row>
    <row r="12" spans="1:9" s="68" customFormat="1" ht="19.5" customHeight="1">
      <c r="A12" s="532"/>
      <c r="B12" s="444" t="s">
        <v>349</v>
      </c>
      <c r="C12" s="127">
        <v>0</v>
      </c>
      <c r="D12" s="431" t="s">
        <v>348</v>
      </c>
      <c r="E12" s="128">
        <v>0</v>
      </c>
      <c r="F12" s="436">
        <f t="shared" ref="F12:F24" si="0">IFERROR(E12/C12,0)</f>
        <v>0</v>
      </c>
      <c r="G12" s="437"/>
      <c r="H12" s="437"/>
      <c r="I12" s="95">
        <f>IFERROR((E12/C12)&lt;3,0)</f>
        <v>0</v>
      </c>
    </row>
    <row r="13" spans="1:9" s="68" customFormat="1" ht="19.5" customHeight="1">
      <c r="A13" s="532"/>
      <c r="B13" s="445"/>
      <c r="C13" s="96"/>
      <c r="D13" s="533"/>
      <c r="E13" s="96"/>
      <c r="F13" s="96"/>
      <c r="G13" s="532"/>
      <c r="H13" s="532"/>
      <c r="I13" s="95"/>
    </row>
    <row r="14" spans="1:9" s="97" customFormat="1" ht="19.5" customHeight="1" thickBot="1">
      <c r="A14" s="534"/>
      <c r="B14" s="446" t="s">
        <v>350</v>
      </c>
      <c r="C14" s="129">
        <v>0</v>
      </c>
      <c r="D14" s="430" t="s">
        <v>351</v>
      </c>
      <c r="E14" s="130">
        <v>0</v>
      </c>
      <c r="F14" s="433">
        <f t="shared" si="0"/>
        <v>0</v>
      </c>
      <c r="G14" s="434"/>
      <c r="H14" s="435"/>
      <c r="I14" s="98">
        <f t="shared" ref="I14:I19" si="1">IFERROR((E14/C14)&lt;5,0)</f>
        <v>0</v>
      </c>
    </row>
    <row r="15" spans="1:9" s="99" customFormat="1" ht="19.5" customHeight="1" thickBot="1">
      <c r="A15" s="535"/>
      <c r="B15" s="447" t="s">
        <v>352</v>
      </c>
      <c r="C15" s="129">
        <v>0</v>
      </c>
      <c r="D15" s="432" t="s">
        <v>351</v>
      </c>
      <c r="E15" s="132">
        <v>0</v>
      </c>
      <c r="F15" s="438">
        <f t="shared" si="0"/>
        <v>0</v>
      </c>
      <c r="G15" s="668"/>
      <c r="H15" s="442"/>
      <c r="I15" s="100">
        <f t="shared" si="1"/>
        <v>0</v>
      </c>
    </row>
    <row r="16" spans="1:9" s="99" customFormat="1" ht="19.5" customHeight="1" thickBot="1">
      <c r="A16" s="535"/>
      <c r="B16" s="448" t="s">
        <v>353</v>
      </c>
      <c r="C16" s="131">
        <v>0</v>
      </c>
      <c r="D16" s="432" t="s">
        <v>351</v>
      </c>
      <c r="E16" s="132">
        <v>0</v>
      </c>
      <c r="F16" s="438">
        <f>IFERROR(E16/C16,0)</f>
        <v>0</v>
      </c>
      <c r="G16" s="439"/>
      <c r="H16" s="440"/>
      <c r="I16" s="100">
        <f t="shared" si="1"/>
        <v>0</v>
      </c>
    </row>
    <row r="17" spans="1:9" s="99" customFormat="1" ht="19.5" customHeight="1" thickBot="1">
      <c r="A17" s="535"/>
      <c r="B17" s="447" t="s">
        <v>354</v>
      </c>
      <c r="C17" s="131">
        <v>0</v>
      </c>
      <c r="D17" s="432" t="s">
        <v>351</v>
      </c>
      <c r="E17" s="132">
        <v>0</v>
      </c>
      <c r="F17" s="438">
        <f t="shared" si="0"/>
        <v>0</v>
      </c>
      <c r="G17" s="439"/>
      <c r="H17" s="440"/>
      <c r="I17" s="100">
        <f t="shared" si="1"/>
        <v>0</v>
      </c>
    </row>
    <row r="18" spans="1:9" s="99" customFormat="1" ht="19.5" customHeight="1" thickBot="1">
      <c r="A18" s="535"/>
      <c r="B18" s="447" t="s">
        <v>355</v>
      </c>
      <c r="C18" s="131">
        <v>0</v>
      </c>
      <c r="D18" s="432" t="s">
        <v>351</v>
      </c>
      <c r="E18" s="132">
        <v>0</v>
      </c>
      <c r="F18" s="438">
        <f t="shared" si="0"/>
        <v>0</v>
      </c>
      <c r="G18" s="439"/>
      <c r="H18" s="440"/>
      <c r="I18" s="100">
        <f t="shared" si="1"/>
        <v>0</v>
      </c>
    </row>
    <row r="19" spans="1:9" s="68" customFormat="1" ht="19.5" customHeight="1">
      <c r="A19" s="532"/>
      <c r="B19" s="449" t="s">
        <v>356</v>
      </c>
      <c r="C19" s="127">
        <v>0</v>
      </c>
      <c r="D19" s="431" t="s">
        <v>351</v>
      </c>
      <c r="E19" s="128">
        <v>0</v>
      </c>
      <c r="F19" s="436">
        <f t="shared" si="0"/>
        <v>0</v>
      </c>
      <c r="G19" s="441"/>
      <c r="H19" s="437"/>
      <c r="I19" s="95">
        <f t="shared" si="1"/>
        <v>0</v>
      </c>
    </row>
    <row r="20" spans="1:9" s="68" customFormat="1" ht="19.5" customHeight="1">
      <c r="A20" s="532"/>
      <c r="B20" s="445"/>
      <c r="C20" s="533"/>
      <c r="D20" s="533"/>
      <c r="E20" s="96"/>
      <c r="F20" s="96"/>
      <c r="G20" s="533"/>
      <c r="H20" s="533"/>
      <c r="I20" s="532"/>
    </row>
    <row r="21" spans="1:9" s="97" customFormat="1" ht="19.5" customHeight="1" thickBot="1">
      <c r="A21" s="534"/>
      <c r="B21" s="446" t="s">
        <v>357</v>
      </c>
      <c r="C21" s="129">
        <v>0</v>
      </c>
      <c r="D21" s="430" t="s">
        <v>358</v>
      </c>
      <c r="E21" s="130">
        <v>0</v>
      </c>
      <c r="F21" s="433">
        <f t="shared" si="0"/>
        <v>0</v>
      </c>
      <c r="G21" s="437"/>
      <c r="H21" s="435"/>
      <c r="I21" s="534"/>
    </row>
    <row r="22" spans="1:9" s="99" customFormat="1" ht="19.5" customHeight="1" thickBot="1">
      <c r="A22" s="535"/>
      <c r="B22" s="447" t="s">
        <v>359</v>
      </c>
      <c r="C22" s="131">
        <v>0</v>
      </c>
      <c r="D22" s="432" t="s">
        <v>360</v>
      </c>
      <c r="E22" s="132">
        <v>0</v>
      </c>
      <c r="F22" s="438">
        <f t="shared" si="0"/>
        <v>0</v>
      </c>
      <c r="G22" s="440"/>
      <c r="H22" s="440"/>
      <c r="I22" s="535"/>
    </row>
    <row r="23" spans="1:9" s="99" customFormat="1" ht="19.5" customHeight="1" thickBot="1">
      <c r="A23" s="535"/>
      <c r="B23" s="447" t="s">
        <v>361</v>
      </c>
      <c r="C23" s="131">
        <v>0</v>
      </c>
      <c r="D23" s="432" t="s">
        <v>360</v>
      </c>
      <c r="E23" s="132">
        <v>0</v>
      </c>
      <c r="F23" s="438">
        <f t="shared" si="0"/>
        <v>0</v>
      </c>
      <c r="G23" s="440"/>
      <c r="H23" s="440"/>
      <c r="I23" s="535"/>
    </row>
    <row r="24" spans="1:9" s="68" customFormat="1" ht="19.5" customHeight="1">
      <c r="A24" s="532"/>
      <c r="B24" s="450" t="s">
        <v>362</v>
      </c>
      <c r="C24" s="127">
        <v>0</v>
      </c>
      <c r="D24" s="536" t="s">
        <v>363</v>
      </c>
      <c r="E24" s="128">
        <v>0</v>
      </c>
      <c r="F24" s="436">
        <f t="shared" si="0"/>
        <v>0</v>
      </c>
      <c r="G24" s="441"/>
      <c r="H24" s="437"/>
      <c r="I24" s="532"/>
    </row>
    <row r="25" spans="1:9">
      <c r="A25" s="530"/>
      <c r="B25" s="530"/>
      <c r="C25" s="530"/>
      <c r="D25" s="530"/>
      <c r="E25" s="18"/>
      <c r="F25" s="18"/>
      <c r="G25" s="530"/>
      <c r="H25" s="530"/>
      <c r="I25" s="530"/>
    </row>
    <row r="26" spans="1:9" customFormat="1" ht="18.649999999999999" customHeight="1">
      <c r="A26" s="43"/>
      <c r="B26" s="1076" t="s">
        <v>364</v>
      </c>
      <c r="C26" s="1076"/>
      <c r="D26" s="1076"/>
      <c r="E26" s="1076"/>
      <c r="F26" s="1076"/>
      <c r="G26" s="1076"/>
      <c r="H26" s="1076"/>
      <c r="I26" s="43"/>
    </row>
    <row r="27" spans="1:9" customFormat="1" ht="18.649999999999999" customHeight="1">
      <c r="A27" s="43"/>
      <c r="B27" s="462" t="s">
        <v>365</v>
      </c>
      <c r="C27" s="1075"/>
      <c r="D27" s="1075"/>
      <c r="E27" s="1075"/>
      <c r="F27" s="1075"/>
      <c r="G27" s="1075"/>
      <c r="H27" s="1075"/>
      <c r="I27" s="43"/>
    </row>
    <row r="28" spans="1:9" customFormat="1" ht="18.649999999999999" customHeight="1">
      <c r="A28" s="43"/>
      <c r="B28" s="463" t="s">
        <v>366</v>
      </c>
      <c r="C28" s="1075"/>
      <c r="D28" s="1075"/>
      <c r="E28" s="1075"/>
      <c r="F28" s="1075"/>
      <c r="G28" s="1075"/>
      <c r="H28" s="1075"/>
      <c r="I28" s="43"/>
    </row>
    <row r="29" spans="1:9" customFormat="1" ht="15.75" customHeight="1">
      <c r="A29" s="43"/>
      <c r="B29" s="463" t="s">
        <v>367</v>
      </c>
      <c r="C29" s="1075"/>
      <c r="D29" s="1075"/>
      <c r="E29" s="1075"/>
      <c r="F29" s="1075"/>
      <c r="G29" s="1075"/>
      <c r="H29" s="1075"/>
      <c r="I29" s="43"/>
    </row>
    <row r="30" spans="1:9" customFormat="1" ht="19.5" customHeight="1">
      <c r="A30" s="43"/>
      <c r="B30" s="463" t="s">
        <v>368</v>
      </c>
      <c r="C30" s="1075"/>
      <c r="D30" s="1075"/>
      <c r="E30" s="1075"/>
      <c r="F30" s="1075"/>
      <c r="G30" s="1075"/>
      <c r="H30" s="1075"/>
      <c r="I30" s="43"/>
    </row>
    <row r="31" spans="1:9" ht="34.5" customHeight="1">
      <c r="A31" s="530"/>
      <c r="B31" s="497" t="s">
        <v>369</v>
      </c>
      <c r="C31" s="1075"/>
      <c r="D31" s="1075"/>
      <c r="E31" s="1075"/>
      <c r="F31" s="1075"/>
      <c r="G31" s="1075"/>
      <c r="H31" s="1075"/>
      <c r="I31" s="530"/>
    </row>
    <row r="32" spans="1:9">
      <c r="A32" s="530"/>
      <c r="B32" s="530"/>
      <c r="C32" s="530"/>
      <c r="D32" s="530"/>
      <c r="E32" s="18"/>
      <c r="F32" s="18"/>
      <c r="G32" s="530"/>
      <c r="H32" s="530"/>
      <c r="I32" s="530"/>
    </row>
    <row r="33" spans="2:9">
      <c r="B33" s="530"/>
      <c r="C33" s="530"/>
      <c r="D33" s="530"/>
      <c r="E33" s="530"/>
      <c r="F33" s="530"/>
      <c r="G33" s="530"/>
      <c r="H33" s="530"/>
      <c r="I33" s="530"/>
    </row>
    <row r="34" spans="2:9">
      <c r="B34" s="530"/>
      <c r="C34" s="530"/>
      <c r="D34" s="530"/>
      <c r="E34" s="530"/>
      <c r="F34" s="530"/>
      <c r="G34" s="530"/>
      <c r="H34" s="530"/>
      <c r="I34" s="530"/>
    </row>
    <row r="35" spans="2:9">
      <c r="B35" s="530"/>
      <c r="C35" s="530"/>
      <c r="D35" s="530"/>
      <c r="E35" s="530"/>
      <c r="F35" s="530"/>
      <c r="G35" s="530"/>
      <c r="H35" s="530"/>
      <c r="I35" s="530"/>
    </row>
  </sheetData>
  <sheetProtection selectLockedCells="1"/>
  <mergeCells count="18">
    <mergeCell ref="C29:H29"/>
    <mergeCell ref="C30:H30"/>
    <mergeCell ref="C31:H31"/>
    <mergeCell ref="B26:H26"/>
    <mergeCell ref="B2:B5"/>
    <mergeCell ref="C2:H4"/>
    <mergeCell ref="C28:H28"/>
    <mergeCell ref="C27:H27"/>
    <mergeCell ref="B1:H1"/>
    <mergeCell ref="B7:H7"/>
    <mergeCell ref="B8:B10"/>
    <mergeCell ref="C8:C10"/>
    <mergeCell ref="D8:D10"/>
    <mergeCell ref="E8:E10"/>
    <mergeCell ref="H8:H10"/>
    <mergeCell ref="C5:H5"/>
    <mergeCell ref="F8:F10"/>
    <mergeCell ref="G8:G10"/>
  </mergeCells>
  <conditionalFormatting sqref="F11:F12">
    <cfRule type="expression" dxfId="34" priority="16">
      <formula>$I11=FALSE</formula>
    </cfRule>
  </conditionalFormatting>
  <conditionalFormatting sqref="F14:F19">
    <cfRule type="expression" dxfId="33" priority="2">
      <formula>$I14=FALSE</formula>
    </cfRule>
  </conditionalFormatting>
  <pageMargins left="0.7" right="0.7" top="0.75" bottom="0.75" header="0.3" footer="0.3"/>
  <pageSetup scale="73"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Source!$D$1:$D$7</xm:f>
          </x14:formula1>
          <xm:sqref>D24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P38"/>
  <sheetViews>
    <sheetView showGridLines="0" zoomScale="70" zoomScaleNormal="70" workbookViewId="0">
      <selection activeCell="J24" sqref="J24"/>
    </sheetView>
  </sheetViews>
  <sheetFormatPr defaultColWidth="0" defaultRowHeight="14.5" zeroHeight="1"/>
  <cols>
    <col min="1" max="1" width="1.453125" customWidth="1"/>
    <col min="2" max="2" width="51" bestFit="1" customWidth="1"/>
    <col min="3" max="3" width="19.26953125" bestFit="1" customWidth="1"/>
    <col min="4" max="4" width="12" bestFit="1" customWidth="1"/>
    <col min="5" max="5" width="21.81640625" customWidth="1"/>
    <col min="6" max="6" width="13.7265625" customWidth="1"/>
    <col min="7" max="7" width="47.7265625" customWidth="1"/>
    <col min="8" max="8" width="51.1796875" customWidth="1"/>
    <col min="9" max="9" width="4.81640625" customWidth="1"/>
    <col min="10" max="16" width="0" hidden="1" customWidth="1"/>
    <col min="17" max="16384" width="9.1796875" hidden="1"/>
  </cols>
  <sheetData>
    <row r="1" spans="2:16" ht="15" thickBot="1">
      <c r="B1" s="1060" t="s">
        <v>23</v>
      </c>
      <c r="C1" s="1060"/>
      <c r="D1" s="1060"/>
      <c r="E1" s="1060"/>
      <c r="F1" s="1060"/>
      <c r="G1" s="1060"/>
      <c r="H1" s="1060"/>
    </row>
    <row r="2" spans="2:16" ht="15" customHeight="1">
      <c r="B2" s="1077" t="s">
        <v>370</v>
      </c>
      <c r="C2" s="954" t="s">
        <v>371</v>
      </c>
      <c r="D2" s="955"/>
      <c r="E2" s="955"/>
      <c r="F2" s="955"/>
      <c r="G2" s="955"/>
      <c r="H2" s="955"/>
      <c r="I2" s="15"/>
      <c r="J2" s="15"/>
      <c r="K2" s="15"/>
      <c r="L2" s="15"/>
      <c r="M2" s="15"/>
      <c r="N2" s="15"/>
      <c r="O2" s="15"/>
      <c r="P2" s="15"/>
    </row>
    <row r="3" spans="2:16" ht="15" customHeight="1">
      <c r="B3" s="1077"/>
      <c r="C3" s="957"/>
      <c r="D3" s="958"/>
      <c r="E3" s="958"/>
      <c r="F3" s="958"/>
      <c r="G3" s="958"/>
      <c r="H3" s="958"/>
      <c r="I3" s="15"/>
      <c r="J3" s="15"/>
      <c r="K3" s="15"/>
      <c r="L3" s="15"/>
      <c r="M3" s="15"/>
      <c r="N3" s="15"/>
      <c r="O3" s="15"/>
      <c r="P3" s="15"/>
    </row>
    <row r="4" spans="2:16" ht="15" customHeight="1" thickBot="1">
      <c r="B4" s="1077"/>
      <c r="C4" s="1091"/>
      <c r="D4" s="1092"/>
      <c r="E4" s="1092"/>
      <c r="F4" s="1092"/>
      <c r="G4" s="1092"/>
      <c r="H4" s="1092"/>
      <c r="I4" s="15"/>
      <c r="J4" s="15"/>
      <c r="K4" s="15"/>
      <c r="L4" s="15"/>
      <c r="M4" s="15"/>
      <c r="N4" s="15"/>
      <c r="O4" s="15"/>
      <c r="P4" s="15"/>
    </row>
    <row r="5" spans="2:16" ht="21" customHeight="1" thickBot="1">
      <c r="B5" s="1077"/>
      <c r="C5" s="1073" t="s">
        <v>268</v>
      </c>
      <c r="D5" s="1074"/>
      <c r="E5" s="1074"/>
      <c r="F5" s="1074"/>
      <c r="G5" s="1074"/>
      <c r="H5" s="1074"/>
      <c r="I5" s="15"/>
      <c r="J5" s="15"/>
      <c r="K5" s="15"/>
      <c r="L5" s="15"/>
      <c r="M5" s="15"/>
      <c r="N5" s="15"/>
      <c r="O5" s="15"/>
      <c r="P5" s="15"/>
    </row>
    <row r="6" spans="2:16" ht="18.75" customHeight="1"/>
    <row r="7" spans="2:16" ht="23.25" customHeight="1" thickBot="1">
      <c r="B7" s="1090" t="s">
        <v>372</v>
      </c>
      <c r="C7" s="1090"/>
      <c r="D7" s="1090"/>
      <c r="E7" s="1090"/>
      <c r="F7" s="1090"/>
      <c r="G7" s="1090"/>
      <c r="H7" s="1090"/>
    </row>
    <row r="8" spans="2:16" s="5" customFormat="1" ht="18.5">
      <c r="B8" s="1087" t="s">
        <v>373</v>
      </c>
      <c r="C8" s="1082" t="s">
        <v>1811</v>
      </c>
      <c r="D8" s="1087" t="s">
        <v>343</v>
      </c>
      <c r="E8" s="1082" t="s">
        <v>344</v>
      </c>
      <c r="F8" s="1082" t="s">
        <v>345</v>
      </c>
      <c r="G8" s="1082" t="s">
        <v>346</v>
      </c>
      <c r="H8" s="1087" t="s">
        <v>281</v>
      </c>
    </row>
    <row r="9" spans="2:16" s="5" customFormat="1" ht="15.75" customHeight="1">
      <c r="B9" s="1088"/>
      <c r="C9" s="1083"/>
      <c r="D9" s="1088"/>
      <c r="E9" s="1083"/>
      <c r="F9" s="1083"/>
      <c r="G9" s="1083"/>
      <c r="H9" s="1088"/>
    </row>
    <row r="10" spans="2:16" s="94" customFormat="1" ht="8.25" customHeight="1" thickBot="1">
      <c r="B10" s="1089"/>
      <c r="C10" s="1084"/>
      <c r="D10" s="1089"/>
      <c r="E10" s="1084"/>
      <c r="F10" s="1084"/>
      <c r="G10" s="1084"/>
      <c r="H10" s="1089"/>
    </row>
    <row r="11" spans="2:16" s="103" customFormat="1" ht="19.5" customHeight="1" thickBot="1">
      <c r="B11" s="451" t="s">
        <v>374</v>
      </c>
      <c r="C11" s="112">
        <v>0</v>
      </c>
      <c r="D11" s="201" t="s">
        <v>351</v>
      </c>
      <c r="E11" s="107">
        <v>0</v>
      </c>
      <c r="F11" s="453">
        <f t="shared" ref="F11:F19" si="0">IFERROR(E11/C11,0)</f>
        <v>0</v>
      </c>
      <c r="G11" s="108"/>
      <c r="H11" s="537"/>
      <c r="I11" s="104">
        <f>IFERROR((E11/C11)&lt;10,0)</f>
        <v>0</v>
      </c>
    </row>
    <row r="12" spans="2:16" s="103" customFormat="1" ht="19.5" customHeight="1" thickBot="1">
      <c r="B12" s="451" t="s">
        <v>375</v>
      </c>
      <c r="C12" s="112">
        <v>0</v>
      </c>
      <c r="D12" s="201" t="s">
        <v>351</v>
      </c>
      <c r="E12" s="107">
        <v>0</v>
      </c>
      <c r="F12" s="453">
        <f t="shared" si="0"/>
        <v>0</v>
      </c>
      <c r="G12" s="108"/>
      <c r="H12" s="537"/>
      <c r="I12" s="104">
        <f t="shared" ref="I12:I19" si="1">IFERROR((E12/C12)&lt;10,0)</f>
        <v>0</v>
      </c>
    </row>
    <row r="13" spans="2:16" s="103" customFormat="1" ht="19.5" customHeight="1" thickBot="1">
      <c r="B13" s="451" t="s">
        <v>376</v>
      </c>
      <c r="C13" s="112">
        <v>0</v>
      </c>
      <c r="D13" s="201" t="s">
        <v>351</v>
      </c>
      <c r="E13" s="107">
        <v>0</v>
      </c>
      <c r="F13" s="453">
        <f t="shared" si="0"/>
        <v>0</v>
      </c>
      <c r="G13" s="114"/>
      <c r="H13" s="442"/>
      <c r="I13" s="104">
        <f t="shared" si="1"/>
        <v>0</v>
      </c>
    </row>
    <row r="14" spans="2:16" s="103" customFormat="1" ht="19.5" customHeight="1" thickBot="1">
      <c r="B14" s="451" t="s">
        <v>377</v>
      </c>
      <c r="C14" s="112">
        <v>0</v>
      </c>
      <c r="D14" s="201" t="s">
        <v>351</v>
      </c>
      <c r="E14" s="107">
        <v>0</v>
      </c>
      <c r="F14" s="453">
        <f t="shared" si="0"/>
        <v>0</v>
      </c>
      <c r="G14" s="111"/>
      <c r="H14" s="537"/>
      <c r="I14" s="104">
        <f t="shared" si="1"/>
        <v>0</v>
      </c>
    </row>
    <row r="15" spans="2:16" s="103" customFormat="1" ht="19.5" customHeight="1" thickBot="1">
      <c r="B15" s="451" t="s">
        <v>378</v>
      </c>
      <c r="C15" s="112">
        <v>0</v>
      </c>
      <c r="D15" s="201" t="s">
        <v>351</v>
      </c>
      <c r="E15" s="107">
        <v>0</v>
      </c>
      <c r="F15" s="453">
        <f t="shared" si="0"/>
        <v>0</v>
      </c>
      <c r="G15" s="111"/>
      <c r="H15" s="537"/>
      <c r="I15" s="104">
        <f t="shared" si="1"/>
        <v>0</v>
      </c>
    </row>
    <row r="16" spans="2:16" s="103" customFormat="1" ht="19.5" customHeight="1" thickBot="1">
      <c r="B16" s="451" t="s">
        <v>379</v>
      </c>
      <c r="C16" s="112" t="s">
        <v>337</v>
      </c>
      <c r="D16" s="201" t="s">
        <v>351</v>
      </c>
      <c r="E16" s="107" t="s">
        <v>337</v>
      </c>
      <c r="F16" s="453">
        <f t="shared" si="0"/>
        <v>0</v>
      </c>
      <c r="G16" s="111"/>
      <c r="H16" s="537"/>
      <c r="I16" s="104">
        <f t="shared" si="1"/>
        <v>0</v>
      </c>
    </row>
    <row r="17" spans="1:9" s="103" customFormat="1" ht="19.5" customHeight="1" thickBot="1">
      <c r="B17" s="451" t="s">
        <v>380</v>
      </c>
      <c r="C17" s="112">
        <v>0</v>
      </c>
      <c r="D17" s="201" t="s">
        <v>351</v>
      </c>
      <c r="E17" s="107">
        <v>0</v>
      </c>
      <c r="F17" s="453">
        <f t="shared" si="0"/>
        <v>0</v>
      </c>
      <c r="G17" s="108"/>
      <c r="H17" s="537"/>
      <c r="I17" s="104">
        <f t="shared" si="1"/>
        <v>0</v>
      </c>
    </row>
    <row r="18" spans="1:9" s="103" customFormat="1" ht="19.5" customHeight="1" thickBot="1">
      <c r="B18" s="451" t="s">
        <v>381</v>
      </c>
      <c r="C18" s="112">
        <v>0</v>
      </c>
      <c r="D18" s="201" t="s">
        <v>283</v>
      </c>
      <c r="E18" s="107">
        <v>0</v>
      </c>
      <c r="F18" s="453">
        <f t="shared" si="0"/>
        <v>0</v>
      </c>
      <c r="G18" s="114" t="s">
        <v>382</v>
      </c>
      <c r="H18" s="537"/>
      <c r="I18" s="104">
        <f t="shared" si="1"/>
        <v>0</v>
      </c>
    </row>
    <row r="19" spans="1:9" s="103" customFormat="1" ht="19.5" customHeight="1" thickBot="1">
      <c r="B19" s="451" t="s">
        <v>383</v>
      </c>
      <c r="C19" s="106">
        <v>0</v>
      </c>
      <c r="D19" s="452" t="s">
        <v>363</v>
      </c>
      <c r="E19" s="107">
        <v>0</v>
      </c>
      <c r="F19" s="453">
        <f t="shared" si="0"/>
        <v>0</v>
      </c>
      <c r="G19" s="538"/>
      <c r="H19" s="537"/>
      <c r="I19" s="104">
        <f t="shared" si="1"/>
        <v>0</v>
      </c>
    </row>
    <row r="20" spans="1:9" ht="16.5" customHeight="1">
      <c r="B20" s="530"/>
      <c r="C20" s="530"/>
      <c r="D20" s="530"/>
      <c r="E20" s="530"/>
      <c r="F20" s="530"/>
      <c r="G20" s="530"/>
      <c r="H20" s="530"/>
    </row>
    <row r="21" spans="1:9" s="9" customFormat="1" ht="21">
      <c r="B21" s="1070" t="s">
        <v>384</v>
      </c>
      <c r="C21" s="1070"/>
      <c r="D21" s="1070"/>
      <c r="E21" s="1070"/>
      <c r="F21" s="1070"/>
      <c r="G21" s="1070"/>
      <c r="H21" s="1070"/>
    </row>
    <row r="22" spans="1:9" ht="17.25" customHeight="1">
      <c r="B22" s="1085" t="s">
        <v>385</v>
      </c>
      <c r="C22" s="1085"/>
      <c r="D22" s="1085"/>
      <c r="E22" s="1085"/>
      <c r="F22" s="1085"/>
      <c r="G22" s="1085"/>
      <c r="H22" s="1085"/>
    </row>
    <row r="23" spans="1:9" ht="17.25" customHeight="1" thickBot="1">
      <c r="B23" s="1086"/>
      <c r="C23" s="1086"/>
      <c r="D23" s="1086"/>
      <c r="E23" s="1086"/>
      <c r="F23" s="1086"/>
      <c r="G23" s="1086"/>
      <c r="H23" s="1086"/>
    </row>
    <row r="24" spans="1:9" s="48" customFormat="1" ht="42" customHeight="1" thickBot="1">
      <c r="B24" s="105" t="s">
        <v>386</v>
      </c>
      <c r="C24" s="113" t="s">
        <v>1811</v>
      </c>
      <c r="D24" s="105" t="s">
        <v>343</v>
      </c>
      <c r="E24" s="105" t="s">
        <v>344</v>
      </c>
      <c r="F24" s="113" t="s">
        <v>280</v>
      </c>
      <c r="G24" s="105" t="s">
        <v>387</v>
      </c>
      <c r="H24" s="105" t="s">
        <v>281</v>
      </c>
    </row>
    <row r="25" spans="1:9" ht="16" thickBot="1">
      <c r="B25" s="451"/>
      <c r="C25" s="106">
        <v>0</v>
      </c>
      <c r="D25" s="456"/>
      <c r="E25" s="107">
        <v>0</v>
      </c>
      <c r="F25" s="454">
        <f t="shared" ref="F25:F30" si="2">IFERROR(E25/C25,0)</f>
        <v>0</v>
      </c>
      <c r="G25" s="108"/>
      <c r="H25" s="537"/>
      <c r="I25" s="4">
        <f>IFERROR((E25/C25)&lt;10,0)</f>
        <v>0</v>
      </c>
    </row>
    <row r="26" spans="1:9" s="101" customFormat="1" ht="16" thickBot="1">
      <c r="B26" s="458"/>
      <c r="C26" s="109">
        <v>0</v>
      </c>
      <c r="D26" s="457"/>
      <c r="E26" s="110">
        <v>0</v>
      </c>
      <c r="F26" s="455">
        <f t="shared" si="2"/>
        <v>0</v>
      </c>
      <c r="G26" s="93"/>
      <c r="H26" s="539"/>
      <c r="I26" s="102">
        <f>IFERROR((E26/C26)&lt;10,0)</f>
        <v>0</v>
      </c>
    </row>
    <row r="27" spans="1:9" s="103" customFormat="1" ht="16" thickBot="1">
      <c r="B27" s="451"/>
      <c r="C27" s="106">
        <v>0</v>
      </c>
      <c r="D27" s="456"/>
      <c r="E27" s="107">
        <v>0</v>
      </c>
      <c r="F27" s="454">
        <f t="shared" si="2"/>
        <v>0</v>
      </c>
      <c r="G27" s="108"/>
      <c r="H27" s="537"/>
      <c r="I27" s="104"/>
    </row>
    <row r="28" spans="1:9" s="103" customFormat="1" ht="16" thickBot="1">
      <c r="B28" s="451"/>
      <c r="C28" s="106">
        <v>0</v>
      </c>
      <c r="D28" s="456"/>
      <c r="E28" s="107">
        <v>0</v>
      </c>
      <c r="F28" s="454">
        <f t="shared" si="2"/>
        <v>0</v>
      </c>
      <c r="G28" s="108"/>
      <c r="H28" s="537"/>
      <c r="I28" s="104">
        <f>IFERROR((E28/C28)&lt;10,0)</f>
        <v>0</v>
      </c>
    </row>
    <row r="29" spans="1:9" s="103" customFormat="1" ht="16" thickBot="1">
      <c r="B29" s="459"/>
      <c r="C29" s="106">
        <v>0</v>
      </c>
      <c r="D29" s="456"/>
      <c r="E29" s="107">
        <v>0</v>
      </c>
      <c r="F29" s="454">
        <f t="shared" si="2"/>
        <v>0</v>
      </c>
      <c r="G29" s="108"/>
      <c r="H29" s="537"/>
      <c r="I29" s="104">
        <f>IFERROR((E29/C29)&lt;10,0)</f>
        <v>0</v>
      </c>
    </row>
    <row r="30" spans="1:9" s="103" customFormat="1" ht="16" thickBot="1">
      <c r="B30" s="459"/>
      <c r="C30" s="106">
        <v>0</v>
      </c>
      <c r="D30" s="456"/>
      <c r="E30" s="107">
        <v>0</v>
      </c>
      <c r="F30" s="454">
        <f t="shared" si="2"/>
        <v>0</v>
      </c>
      <c r="G30" s="538"/>
      <c r="H30" s="537"/>
      <c r="I30" s="104">
        <f>IFERROR((E30/C30)&lt;10,0)</f>
        <v>0</v>
      </c>
    </row>
    <row r="31" spans="1:9">
      <c r="B31" s="203"/>
    </row>
    <row r="32" spans="1:9" ht="18.649999999999999" customHeight="1">
      <c r="A32" s="43"/>
      <c r="B32" s="1076" t="s">
        <v>388</v>
      </c>
      <c r="C32" s="1076"/>
      <c r="D32" s="1076"/>
      <c r="E32" s="1076"/>
      <c r="F32" s="1076"/>
      <c r="G32" s="1076"/>
      <c r="H32" s="1076"/>
      <c r="I32" s="43"/>
    </row>
    <row r="33" spans="1:9" ht="19" customHeight="1">
      <c r="A33" s="43"/>
      <c r="B33" s="462" t="s">
        <v>365</v>
      </c>
      <c r="C33" s="1075"/>
      <c r="D33" s="1075"/>
      <c r="E33" s="1075"/>
      <c r="F33" s="1075"/>
      <c r="G33" s="1075"/>
      <c r="H33" s="1075"/>
      <c r="I33" s="43"/>
    </row>
    <row r="34" spans="1:9" ht="19" customHeight="1">
      <c r="A34" s="43"/>
      <c r="B34" s="463" t="s">
        <v>366</v>
      </c>
      <c r="C34" s="1075"/>
      <c r="D34" s="1075"/>
      <c r="E34" s="1075"/>
      <c r="F34" s="1075"/>
      <c r="G34" s="1075"/>
      <c r="H34" s="1075"/>
      <c r="I34" s="43"/>
    </row>
    <row r="35" spans="1:9" ht="19" customHeight="1">
      <c r="A35" s="43"/>
      <c r="B35" s="463" t="s">
        <v>367</v>
      </c>
      <c r="C35" s="1075"/>
      <c r="D35" s="1075"/>
      <c r="E35" s="1075"/>
      <c r="F35" s="1075"/>
      <c r="G35" s="1075"/>
      <c r="H35" s="1075"/>
      <c r="I35" s="43"/>
    </row>
    <row r="36" spans="1:9" ht="19" customHeight="1">
      <c r="A36" s="43"/>
      <c r="B36" s="463" t="s">
        <v>368</v>
      </c>
      <c r="C36" s="1075"/>
      <c r="D36" s="1075"/>
      <c r="E36" s="1075"/>
      <c r="F36" s="1075"/>
      <c r="G36" s="1075"/>
      <c r="H36" s="1075"/>
      <c r="I36" s="43"/>
    </row>
    <row r="37" spans="1:9"/>
    <row r="38" spans="1:9"/>
  </sheetData>
  <sheetProtection selectLockedCells="1"/>
  <mergeCells count="19">
    <mergeCell ref="B7:H7"/>
    <mergeCell ref="B1:H1"/>
    <mergeCell ref="C2:H4"/>
    <mergeCell ref="B2:B5"/>
    <mergeCell ref="C5:H5"/>
    <mergeCell ref="F8:F10"/>
    <mergeCell ref="G8:G10"/>
    <mergeCell ref="B22:H23"/>
    <mergeCell ref="B21:H21"/>
    <mergeCell ref="B8:B10"/>
    <mergeCell ref="C8:C10"/>
    <mergeCell ref="D8:D10"/>
    <mergeCell ref="E8:E10"/>
    <mergeCell ref="H8:H10"/>
    <mergeCell ref="C33:H33"/>
    <mergeCell ref="C34:H34"/>
    <mergeCell ref="C35:H35"/>
    <mergeCell ref="C36:H36"/>
    <mergeCell ref="B32:H32"/>
  </mergeCells>
  <conditionalFormatting sqref="F11:F19">
    <cfRule type="expression" dxfId="32" priority="17">
      <formula>$I11=FALSE</formula>
    </cfRule>
  </conditionalFormatting>
  <conditionalFormatting sqref="F25:F26 F28:F30">
    <cfRule type="expression" dxfId="31" priority="1">
      <formula>$I25=FALSE</formula>
    </cfRule>
  </conditionalFormatting>
  <pageMargins left="0.7" right="0.7" top="0.75" bottom="0.75" header="0.3" footer="0.3"/>
  <pageSetup scale="6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Source!D1:D7</xm:f>
          </x14:formula1>
          <xm:sqref>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8"/>
  <sheetViews>
    <sheetView zoomScale="70" zoomScaleNormal="70" workbookViewId="0">
      <selection activeCell="D15" sqref="D15"/>
    </sheetView>
  </sheetViews>
  <sheetFormatPr defaultColWidth="8.81640625" defaultRowHeight="14.5"/>
  <cols>
    <col min="1" max="1" width="20.453125" bestFit="1" customWidth="1"/>
    <col min="2" max="7" width="27.453125" customWidth="1"/>
    <col min="8" max="8" width="45.1796875" customWidth="1"/>
    <col min="9" max="9" width="15.26953125" customWidth="1"/>
    <col min="10" max="10" width="14.453125" customWidth="1"/>
  </cols>
  <sheetData>
    <row r="1" spans="1:11" ht="31.5" thickBot="1">
      <c r="A1" s="581" t="s">
        <v>430</v>
      </c>
      <c r="B1" s="581" t="s">
        <v>404</v>
      </c>
      <c r="C1" s="175" t="s">
        <v>422</v>
      </c>
      <c r="D1" s="305" t="s">
        <v>423</v>
      </c>
      <c r="E1" s="588" t="s">
        <v>424</v>
      </c>
      <c r="F1" s="588" t="s">
        <v>408</v>
      </c>
      <c r="G1" s="588" t="s">
        <v>431</v>
      </c>
      <c r="H1" s="588" t="s">
        <v>432</v>
      </c>
      <c r="I1" s="588" t="s">
        <v>433</v>
      </c>
      <c r="J1" s="588" t="s">
        <v>434</v>
      </c>
    </row>
    <row r="2" spans="1:11" s="49" customFormat="1">
      <c r="A2" s="49" t="str">
        <f>I2&amp;J2</f>
        <v>UMass Dartmouth1</v>
      </c>
      <c r="B2" s="49" t="s">
        <v>229</v>
      </c>
      <c r="C2" s="49" t="s">
        <v>435</v>
      </c>
      <c r="D2" s="49">
        <v>520</v>
      </c>
      <c r="E2" s="49" t="s">
        <v>436</v>
      </c>
      <c r="F2" s="49" t="s">
        <v>436</v>
      </c>
      <c r="G2" s="49" t="s">
        <v>436</v>
      </c>
      <c r="I2" s="49" t="s">
        <v>229</v>
      </c>
      <c r="J2" s="49">
        <v>1</v>
      </c>
      <c r="K2" s="49" t="str">
        <f>VLOOKUP(I2,Source!F:F,1,FALSE)</f>
        <v>UMass Dartmouth</v>
      </c>
    </row>
    <row r="3" spans="1:11">
      <c r="A3" s="49" t="str">
        <f>I3&amp;J3</f>
        <v>UMass Boston1</v>
      </c>
      <c r="B3" s="49" t="s">
        <v>227</v>
      </c>
      <c r="C3" s="49" t="s">
        <v>437</v>
      </c>
      <c r="D3" s="49">
        <v>500</v>
      </c>
      <c r="E3" s="49" t="s">
        <v>436</v>
      </c>
      <c r="F3" s="49" t="s">
        <v>436</v>
      </c>
      <c r="G3" s="49" t="s">
        <v>436</v>
      </c>
      <c r="H3" s="49" t="s">
        <v>438</v>
      </c>
      <c r="I3" s="49" t="s">
        <v>227</v>
      </c>
      <c r="J3" s="49">
        <v>1</v>
      </c>
      <c r="K3" s="49" t="str">
        <f>VLOOKUP(I3,Source!F:F,1,FALSE)</f>
        <v>UMass Boston</v>
      </c>
    </row>
    <row r="4" spans="1:11">
      <c r="A4" s="49" t="str">
        <f>I4&amp;J4</f>
        <v>UMass Amherst1</v>
      </c>
      <c r="B4" s="49" t="s">
        <v>222</v>
      </c>
      <c r="C4" s="49" t="s">
        <v>437</v>
      </c>
      <c r="D4" s="49">
        <v>1000</v>
      </c>
      <c r="E4" s="49" t="s">
        <v>436</v>
      </c>
      <c r="F4" s="49" t="s">
        <v>436</v>
      </c>
      <c r="G4" s="49" t="s">
        <v>436</v>
      </c>
      <c r="I4" t="s">
        <v>222</v>
      </c>
      <c r="J4">
        <v>1</v>
      </c>
      <c r="K4" s="49" t="str">
        <f>VLOOKUP(I4,Source!F:F,1,FALSE)</f>
        <v>UMass Amherst</v>
      </c>
    </row>
    <row r="5" spans="1:11">
      <c r="A5" s="49" t="str">
        <f t="shared" ref="A5:A19" si="0">I5&amp;J5</f>
        <v>UMass Amherst2</v>
      </c>
      <c r="B5" s="49" t="s">
        <v>222</v>
      </c>
      <c r="C5" s="49" t="s">
        <v>435</v>
      </c>
      <c r="D5" s="49">
        <v>2000</v>
      </c>
      <c r="E5" s="49">
        <v>4000</v>
      </c>
      <c r="F5" s="552" t="s">
        <v>439</v>
      </c>
      <c r="G5" s="49" t="s">
        <v>436</v>
      </c>
      <c r="H5" s="49" t="s">
        <v>440</v>
      </c>
      <c r="I5" t="s">
        <v>222</v>
      </c>
      <c r="J5">
        <v>2</v>
      </c>
      <c r="K5" t="str">
        <f>VLOOKUP(I5,Source!F:F,1,FALSE)</f>
        <v>UMass Amherst</v>
      </c>
    </row>
    <row r="6" spans="1:11">
      <c r="A6" s="49" t="str">
        <f t="shared" si="0"/>
        <v>Mass. Water Resources Authority1</v>
      </c>
      <c r="B6" s="49" t="s">
        <v>441</v>
      </c>
      <c r="C6" s="49" t="s">
        <v>435</v>
      </c>
      <c r="D6" s="49" t="s">
        <v>436</v>
      </c>
      <c r="E6" s="49" t="s">
        <v>436</v>
      </c>
      <c r="F6" s="552" t="s">
        <v>439</v>
      </c>
      <c r="G6" s="49" t="s">
        <v>436</v>
      </c>
      <c r="H6" s="553" t="s">
        <v>442</v>
      </c>
      <c r="I6" t="s">
        <v>159</v>
      </c>
      <c r="J6">
        <v>1</v>
      </c>
      <c r="K6" t="str">
        <f>VLOOKUP(I6,Source!F:F,1,FALSE)</f>
        <v>Mass. Water Resources Authority</v>
      </c>
    </row>
    <row r="7" spans="1:11">
      <c r="A7" s="49" t="str">
        <f t="shared" si="0"/>
        <v>Mass. Water Resources Authority2</v>
      </c>
      <c r="B7" s="49" t="s">
        <v>443</v>
      </c>
      <c r="C7" s="49" t="s">
        <v>435</v>
      </c>
      <c r="D7" s="49" t="s">
        <v>436</v>
      </c>
      <c r="E7" s="49" t="s">
        <v>436</v>
      </c>
      <c r="F7" s="552" t="s">
        <v>439</v>
      </c>
      <c r="G7" s="49" t="s">
        <v>436</v>
      </c>
      <c r="H7" s="553" t="s">
        <v>442</v>
      </c>
      <c r="I7" t="s">
        <v>159</v>
      </c>
      <c r="J7">
        <v>2</v>
      </c>
      <c r="K7" t="str">
        <f>VLOOKUP(I7,Source!F:F,1,FALSE)</f>
        <v>Mass. Water Resources Authority</v>
      </c>
    </row>
    <row r="8" spans="1:11">
      <c r="A8" s="49" t="str">
        <f t="shared" si="0"/>
        <v/>
      </c>
      <c r="K8" t="e">
        <f>VLOOKUP(I8,Source!F:F,1,FALSE)</f>
        <v>#N/A</v>
      </c>
    </row>
    <row r="9" spans="1:11">
      <c r="A9" s="49" t="str">
        <f t="shared" si="0"/>
        <v/>
      </c>
      <c r="K9" t="e">
        <f>VLOOKUP(I9,Source!F:F,1,FALSE)</f>
        <v>#N/A</v>
      </c>
    </row>
    <row r="10" spans="1:11">
      <c r="A10" s="49" t="str">
        <f t="shared" si="0"/>
        <v/>
      </c>
      <c r="K10" t="e">
        <f>VLOOKUP(I10,Source!F:F,1,FALSE)</f>
        <v>#N/A</v>
      </c>
    </row>
    <row r="11" spans="1:11">
      <c r="A11" s="49" t="str">
        <f t="shared" si="0"/>
        <v/>
      </c>
      <c r="K11" t="e">
        <f>VLOOKUP(I11,Source!F:F,1,FALSE)</f>
        <v>#N/A</v>
      </c>
    </row>
    <row r="12" spans="1:11">
      <c r="A12" s="49" t="str">
        <f t="shared" si="0"/>
        <v/>
      </c>
      <c r="K12" t="e">
        <f>VLOOKUP(I12,Source!F:F,1,FALSE)</f>
        <v>#N/A</v>
      </c>
    </row>
    <row r="13" spans="1:11">
      <c r="A13" s="49" t="str">
        <f t="shared" si="0"/>
        <v/>
      </c>
      <c r="K13" t="e">
        <f>VLOOKUP(I13,Source!F:F,1,FALSE)</f>
        <v>#N/A</v>
      </c>
    </row>
    <row r="14" spans="1:11">
      <c r="A14" s="49" t="str">
        <f t="shared" si="0"/>
        <v/>
      </c>
      <c r="K14" t="e">
        <f>VLOOKUP(I14,Source!F:F,1,FALSE)</f>
        <v>#N/A</v>
      </c>
    </row>
    <row r="15" spans="1:11">
      <c r="A15" s="49" t="str">
        <f t="shared" si="0"/>
        <v/>
      </c>
      <c r="K15" t="e">
        <f>VLOOKUP(I15,Source!F:F,1,FALSE)</f>
        <v>#N/A</v>
      </c>
    </row>
    <row r="16" spans="1:11">
      <c r="A16" s="49" t="str">
        <f t="shared" si="0"/>
        <v/>
      </c>
      <c r="K16" t="e">
        <f>VLOOKUP(I16,Source!F:F,1,FALSE)</f>
        <v>#N/A</v>
      </c>
    </row>
    <row r="17" spans="1:11">
      <c r="A17" s="49" t="str">
        <f t="shared" si="0"/>
        <v/>
      </c>
      <c r="K17" t="e">
        <f>VLOOKUP(I17,Source!F:F,1,FALSE)</f>
        <v>#N/A</v>
      </c>
    </row>
    <row r="18" spans="1:11">
      <c r="A18" s="49" t="str">
        <f t="shared" si="0"/>
        <v/>
      </c>
      <c r="K18" t="e">
        <f>VLOOKUP(I18,Source!F:F,1,FALSE)</f>
        <v>#N/A</v>
      </c>
    </row>
    <row r="19" spans="1:11">
      <c r="A19" s="49" t="str">
        <f t="shared" si="0"/>
        <v/>
      </c>
      <c r="K19" t="e">
        <f>VLOOKUP(I19,Source!F:F,1,FALSE)</f>
        <v>#N/A</v>
      </c>
    </row>
    <row r="20" spans="1:11">
      <c r="K20" t="e">
        <f>VLOOKUP(I20,Source!F:F,1,FALSE)</f>
        <v>#N/A</v>
      </c>
    </row>
    <row r="21" spans="1:11">
      <c r="K21" t="e">
        <f>VLOOKUP(I21,Source!F:F,1,FALSE)</f>
        <v>#N/A</v>
      </c>
    </row>
    <row r="22" spans="1:11">
      <c r="K22" t="e">
        <f>VLOOKUP(I22,Source!F:F,1,FALSE)</f>
        <v>#N/A</v>
      </c>
    </row>
    <row r="23" spans="1:11">
      <c r="K23" t="e">
        <f>VLOOKUP(I23,Source!F:F,1,FALSE)</f>
        <v>#N/A</v>
      </c>
    </row>
    <row r="24" spans="1:11">
      <c r="K24" t="e">
        <f>VLOOKUP(I24,Source!F:F,1,FALSE)</f>
        <v>#N/A</v>
      </c>
    </row>
    <row r="25" spans="1:11">
      <c r="K25" t="e">
        <f>VLOOKUP(I25,Source!F:F,1,FALSE)</f>
        <v>#N/A</v>
      </c>
    </row>
    <row r="26" spans="1:11">
      <c r="K26" t="e">
        <f>VLOOKUP(I26,Source!F:F,1,FALSE)</f>
        <v>#N/A</v>
      </c>
    </row>
    <row r="27" spans="1:11">
      <c r="K27" t="e">
        <f>VLOOKUP(I27,Source!F:F,1,FALSE)</f>
        <v>#N/A</v>
      </c>
    </row>
    <row r="28" spans="1:11">
      <c r="K28" t="e">
        <f>VLOOKUP(I28,Source!F:F,1,FALSE)</f>
        <v>#N/A</v>
      </c>
    </row>
    <row r="29" spans="1:11">
      <c r="K29" t="e">
        <f>VLOOKUP(I29,Source!F:F,1,FALSE)</f>
        <v>#N/A</v>
      </c>
    </row>
    <row r="30" spans="1:11">
      <c r="K30" t="e">
        <f>VLOOKUP(I30,Source!F:F,1,FALSE)</f>
        <v>#N/A</v>
      </c>
    </row>
    <row r="31" spans="1:11">
      <c r="K31" t="e">
        <f>VLOOKUP(I31,Source!F:F,1,FALSE)</f>
        <v>#N/A</v>
      </c>
    </row>
    <row r="32" spans="1:11">
      <c r="K32" t="e">
        <f>VLOOKUP(I32,Source!F:F,1,FALSE)</f>
        <v>#N/A</v>
      </c>
    </row>
    <row r="33" spans="11:11">
      <c r="K33" t="e">
        <f>VLOOKUP(I33,Source!F:F,1,FALSE)</f>
        <v>#N/A</v>
      </c>
    </row>
    <row r="34" spans="11:11">
      <c r="K34" t="e">
        <f>VLOOKUP(I34,Source!F:F,1,FALSE)</f>
        <v>#N/A</v>
      </c>
    </row>
    <row r="35" spans="11:11">
      <c r="K35" t="e">
        <f>VLOOKUP(I35,Source!F:F,1,FALSE)</f>
        <v>#N/A</v>
      </c>
    </row>
    <row r="36" spans="11:11">
      <c r="K36" t="e">
        <f>VLOOKUP(I36,Source!F:F,1,FALSE)</f>
        <v>#N/A</v>
      </c>
    </row>
    <row r="37" spans="11:11">
      <c r="K37" t="e">
        <f>VLOOKUP(I37,Source!F:F,1,FALSE)</f>
        <v>#N/A</v>
      </c>
    </row>
    <row r="38" spans="11:11">
      <c r="K38" t="e">
        <f>VLOOKUP(I38,Source!F:F,1,FALSE)</f>
        <v>#N/A</v>
      </c>
    </row>
    <row r="39" spans="11:11">
      <c r="K39" t="e">
        <f>VLOOKUP(I39,Source!F:F,1,FALSE)</f>
        <v>#N/A</v>
      </c>
    </row>
    <row r="40" spans="11:11">
      <c r="K40" t="e">
        <f>VLOOKUP(I40,Source!F:F,1,FALSE)</f>
        <v>#N/A</v>
      </c>
    </row>
    <row r="41" spans="11:11">
      <c r="K41" t="e">
        <f>VLOOKUP(I41,Source!F:F,1,FALSE)</f>
        <v>#N/A</v>
      </c>
    </row>
    <row r="42" spans="11:11">
      <c r="K42" t="e">
        <f>VLOOKUP(I42,Source!F:F,1,FALSE)</f>
        <v>#N/A</v>
      </c>
    </row>
    <row r="43" spans="11:11">
      <c r="K43" t="e">
        <f>VLOOKUP(I43,Source!F:F,1,FALSE)</f>
        <v>#N/A</v>
      </c>
    </row>
    <row r="44" spans="11:11">
      <c r="K44" t="e">
        <f>VLOOKUP(I44,Source!F:F,1,FALSE)</f>
        <v>#N/A</v>
      </c>
    </row>
    <row r="45" spans="11:11">
      <c r="K45" t="e">
        <f>VLOOKUP(I45,Source!F:F,1,FALSE)</f>
        <v>#N/A</v>
      </c>
    </row>
    <row r="46" spans="11:11">
      <c r="K46" t="e">
        <f>VLOOKUP(I46,Source!F:F,1,FALSE)</f>
        <v>#N/A</v>
      </c>
    </row>
    <row r="47" spans="11:11">
      <c r="K47" t="e">
        <f>VLOOKUP(I47,Source!F:F,1,FALSE)</f>
        <v>#N/A</v>
      </c>
    </row>
    <row r="48" spans="11:11">
      <c r="K48" t="e">
        <f>VLOOKUP(I48,Source!F:F,1,FALSE)</f>
        <v>#N/A</v>
      </c>
    </row>
    <row r="49" spans="11:11">
      <c r="K49" t="e">
        <f>VLOOKUP(I49,Source!F:F,1,FALSE)</f>
        <v>#N/A</v>
      </c>
    </row>
    <row r="50" spans="11:11">
      <c r="K50" t="e">
        <f>VLOOKUP(I50,Source!F:F,1,FALSE)</f>
        <v>#N/A</v>
      </c>
    </row>
    <row r="51" spans="11:11">
      <c r="K51" t="e">
        <f>VLOOKUP(I51,Source!F:F,1,FALSE)</f>
        <v>#N/A</v>
      </c>
    </row>
    <row r="52" spans="11:11">
      <c r="K52" t="e">
        <f>VLOOKUP(I52,Source!F:F,1,FALSE)</f>
        <v>#N/A</v>
      </c>
    </row>
    <row r="53" spans="11:11">
      <c r="K53" t="e">
        <f>VLOOKUP(I53,Source!F:F,1,FALSE)</f>
        <v>#N/A</v>
      </c>
    </row>
    <row r="54" spans="11:11">
      <c r="K54" t="e">
        <f>VLOOKUP(I54,Source!F:F,1,FALSE)</f>
        <v>#N/A</v>
      </c>
    </row>
    <row r="55" spans="11:11">
      <c r="K55" t="e">
        <f>VLOOKUP(I55,Source!F:F,1,FALSE)</f>
        <v>#N/A</v>
      </c>
    </row>
    <row r="56" spans="11:11">
      <c r="K56" t="e">
        <f>VLOOKUP(I56,Source!F:F,1,FALSE)</f>
        <v>#N/A</v>
      </c>
    </row>
    <row r="57" spans="11:11">
      <c r="K57" t="e">
        <f>VLOOKUP(I57,Source!F:F,1,FALSE)</f>
        <v>#N/A</v>
      </c>
    </row>
    <row r="58" spans="11:11">
      <c r="K58" t="e">
        <f>VLOOKUP(I58,Source!F:F,1,FALSE)</f>
        <v>#N/A</v>
      </c>
    </row>
  </sheetData>
  <phoneticPr fontId="7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9499340-b9cf-4458-9368-33036c1b4dc9">
      <Terms xmlns="http://schemas.microsoft.com/office/infopath/2007/PartnerControls"/>
    </lcf76f155ced4ddcb4097134ff3c332f>
    <TaxCatchAll xmlns="a2187807-d16b-4f26-8c23-1ecdc31f3e2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6" ma:contentTypeDescription="Create a new document." ma:contentTypeScope="" ma:versionID="1210a39bad38e5dca4969f55fcc8a42b">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26d583cc56e9d770d83748ab506e5c28"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36eada-7542-4a47-9b16-089fadf71390}" ma:internalName="TaxCatchAll" ma:showField="CatchAllData" ma:web="a2187807-d16b-4f26-8c23-1ecdc31f3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7FA76-2CB9-491C-810B-C395E6824F5E}">
  <ds:schemaRefs>
    <ds:schemaRef ds:uri="http://schemas.microsoft.com/sharepoint/v3/contenttype/forms"/>
  </ds:schemaRefs>
</ds:datastoreItem>
</file>

<file path=customXml/itemProps2.xml><?xml version="1.0" encoding="utf-8"?>
<ds:datastoreItem xmlns:ds="http://schemas.openxmlformats.org/officeDocument/2006/customXml" ds:itemID="{9F931AEB-F73C-4B3A-9CEA-4C5D30F723D5}">
  <ds:schemaRefs>
    <ds:schemaRef ds:uri="http://schemas.openxmlformats.org/package/2006/metadata/core-properties"/>
    <ds:schemaRef ds:uri="http://purl.org/dc/dcmitype/"/>
    <ds:schemaRef ds:uri="a2187807-d16b-4f26-8c23-1ecdc31f3e2b"/>
    <ds:schemaRef ds:uri="http://schemas.microsoft.com/office/2006/metadata/properties"/>
    <ds:schemaRef ds:uri="http://purl.org/dc/terms/"/>
    <ds:schemaRef ds:uri="http://schemas.microsoft.com/office/2006/documentManagement/types"/>
    <ds:schemaRef ds:uri="http://www.w3.org/XML/1998/namespace"/>
    <ds:schemaRef ds:uri="79499340-b9cf-4458-9368-33036c1b4dc9"/>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46D4419-1566-445D-87F2-AC1AF7139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Intro &amp; Instructions</vt:lpstr>
      <vt:lpstr>Data Sources</vt:lpstr>
      <vt:lpstr>Contact Information </vt:lpstr>
      <vt:lpstr>Contacts Source</vt:lpstr>
      <vt:lpstr>Square Footage</vt:lpstr>
      <vt:lpstr>Electricity Consumption</vt:lpstr>
      <vt:lpstr>Building Fuel Consumption</vt:lpstr>
      <vt:lpstr>Vehicle&amp;Other Fuel Consumption</vt:lpstr>
      <vt:lpstr>Energy Storage Source</vt:lpstr>
      <vt:lpstr>Renewable &amp; Onsite Gen Sites</vt:lpstr>
      <vt:lpstr>Renewable Thermal Sites</vt:lpstr>
      <vt:lpstr>Vehicle Fleet</vt:lpstr>
      <vt:lpstr>EV Charging Stations</vt:lpstr>
      <vt:lpstr>Potential EV Stations source</vt:lpstr>
      <vt:lpstr>EV Charging Stations source</vt:lpstr>
      <vt:lpstr>Clean Power &amp; Storage</vt:lpstr>
      <vt:lpstr>EE Projects</vt:lpstr>
      <vt:lpstr>Source Water</vt:lpstr>
      <vt:lpstr>Decarb Planning</vt:lpstr>
      <vt:lpstr>Sustainability</vt:lpstr>
      <vt:lpstr>(OLD) Landscaping</vt:lpstr>
      <vt:lpstr>Landscaping Source</vt:lpstr>
      <vt:lpstr>BPLE Source</vt:lpstr>
      <vt:lpstr>Source</vt:lpstr>
      <vt:lpstr>AgencyCampus</vt:lpstr>
      <vt:lpstr>Names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murrutia;Ckehne@MassMail.State.MA.US</dc:creator>
  <cp:keywords/>
  <dc:description/>
  <cp:lastModifiedBy>Vitello, Sophia (ENE)</cp:lastModifiedBy>
  <cp:revision/>
  <dcterms:created xsi:type="dcterms:W3CDTF">2013-07-16T13:39:49Z</dcterms:created>
  <dcterms:modified xsi:type="dcterms:W3CDTF">2024-10-11T18:58:43Z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y fmtid="{D5CDD505-2E9C-101B-9397-08002B2CF9AE}" pid="3" name="MediaServiceImageTags">
    <vt:lpwstr/>
  </property>
</Properties>
</file>