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comments4.xml" ContentType="application/vnd.openxmlformats-officedocument.spreadsheetml.comments+xml"/>
  <Override PartName="/xl/threadedComments/threadedComment2.xml" ContentType="application/vnd.ms-excel.threadedcomments+xml"/>
  <Override PartName="/xl/comments5.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https://massgov-my.sharepoint.com/personal/sophia_vitello_mass_gov/Documents/"/>
    </mc:Choice>
  </mc:AlternateContent>
  <xr:revisionPtr revIDLastSave="0" documentId="8_{4EA2FC46-53B1-4173-BA65-DB1621690E00}" xr6:coauthVersionLast="47" xr6:coauthVersionMax="47" xr10:uidLastSave="{00000000-0000-0000-0000-000000000000}"/>
  <bookViews>
    <workbookView xWindow="-120" yWindow="-120" windowWidth="29040" windowHeight="15720" tabRatio="893" xr2:uid="{00000000-000D-0000-FFFF-FFFF00000000}"/>
  </bookViews>
  <sheets>
    <sheet name="Intro &amp; Instructions" sheetId="36" r:id="rId1"/>
    <sheet name="Data Sources" sheetId="47" r:id="rId2"/>
    <sheet name="Contact Information " sheetId="45" r:id="rId3"/>
    <sheet name="Contacts Source" sheetId="34" state="hidden" r:id="rId4"/>
    <sheet name="Square Footage" sheetId="19" r:id="rId5"/>
    <sheet name="Electricity Consumption" sheetId="3" r:id="rId6"/>
    <sheet name="Building Fuel Consumption" sheetId="4" r:id="rId7"/>
    <sheet name="Vehicle&amp;Other Fuel Consumption" sheetId="5" r:id="rId8"/>
    <sheet name="Energy Storage Source" sheetId="43" state="hidden" r:id="rId9"/>
    <sheet name="Renewable &amp; Onsite Gen Sites" sheetId="16" state="hidden" r:id="rId10"/>
    <sheet name="Renewable Thermal Sites" sheetId="17" state="hidden" r:id="rId11"/>
    <sheet name="Vehicle Fleet" sheetId="32" r:id="rId12"/>
    <sheet name="EV Charging Stations" sheetId="23" r:id="rId13"/>
    <sheet name="Potential EV Stations source" sheetId="38" state="hidden" r:id="rId14"/>
    <sheet name="EV Charging Stations source" sheetId="24" state="hidden" r:id="rId15"/>
    <sheet name="Clean Power &amp; Storage" sheetId="15" r:id="rId16"/>
    <sheet name="EE-Decarb Projects" sheetId="10" r:id="rId17"/>
    <sheet name="Source Water" sheetId="31" state="hidden" r:id="rId18"/>
    <sheet name="Embodied Carbon" sheetId="51" r:id="rId19"/>
    <sheet name="Sustainability" sheetId="33" r:id="rId20"/>
    <sheet name="(OLD) Landscaping" sheetId="37" state="hidden" r:id="rId21"/>
    <sheet name="Landscaping Source" sheetId="42" state="hidden" r:id="rId22"/>
    <sheet name="BPLE Source" sheetId="46" state="hidden" r:id="rId23"/>
    <sheet name="Source" sheetId="8" state="hidden" r:id="rId24"/>
  </sheets>
  <externalReferences>
    <externalReference r:id="rId25"/>
  </externalReferences>
  <definedNames>
    <definedName name="_xlnm._FilterDatabase" localSheetId="22" hidden="1">'BPLE Source'!$A$1:$G$135</definedName>
    <definedName name="_xlnm._FilterDatabase" localSheetId="3" hidden="1">'Contacts Source'!$A$1:$Q$53</definedName>
    <definedName name="_xlnm._FilterDatabase" localSheetId="1" hidden="1">'Data Sources'!$A$12:$I$12</definedName>
    <definedName name="_xlnm._FilterDatabase" localSheetId="14" hidden="1">'EV Charging Stations source'!$A$1:$V$258</definedName>
    <definedName name="_xlnm._FilterDatabase" localSheetId="21" hidden="1">'Landscaping Source'!$A$1:$P$178</definedName>
    <definedName name="_xlnm._FilterDatabase" localSheetId="9" hidden="1">'Renewable &amp; Onsite Gen Sites'!$A$1:$AA$193</definedName>
    <definedName name="_xlnm._FilterDatabase" localSheetId="10" hidden="1">'Renewable Thermal Sites'!$A$1:$P$108</definedName>
    <definedName name="_xlnm._FilterDatabase" localSheetId="23" hidden="1">Source!#REF!</definedName>
    <definedName name="_xlnm._FilterDatabase" localSheetId="17" hidden="1">'Source Water'!$A$1:$H$370</definedName>
    <definedName name="AgencyCampus">Source!$F$2:$F$53</definedName>
    <definedName name="Independent_Verifier">'[1]Drop-Down Lists'!$H$2</definedName>
    <definedName name="Names">'EV Charging Stations source'!$H$2:$H$88</definedName>
    <definedName name="Official_Names">'[1]Drop-Down Lists'!$F$2:$F$352</definedName>
    <definedName name="State_Abbreviations">'[1]Drop-Down Lists'!$E$2:$E$51</definedName>
    <definedName name="Utility_Providers">'[1]Drop-Down Lists'!$G$2:$G$6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5" i="42" l="1"/>
  <c r="A106" i="42"/>
  <c r="A107" i="42"/>
  <c r="A108" i="42"/>
  <c r="A109" i="42"/>
  <c r="A110" i="42"/>
  <c r="A111" i="42"/>
  <c r="A112" i="42"/>
  <c r="A113" i="42"/>
  <c r="A114" i="42"/>
  <c r="A115" i="42"/>
  <c r="A116" i="42"/>
  <c r="A117" i="42"/>
  <c r="A118" i="42"/>
  <c r="A119" i="42"/>
  <c r="A120" i="42"/>
  <c r="A121" i="42"/>
  <c r="A122" i="42"/>
  <c r="A123" i="42"/>
  <c r="A124" i="42"/>
  <c r="A125" i="42"/>
  <c r="A126" i="42"/>
  <c r="A127" i="42"/>
  <c r="A128" i="42"/>
  <c r="A129" i="42"/>
  <c r="A130" i="42"/>
  <c r="A131" i="42"/>
  <c r="A132" i="42"/>
  <c r="A133" i="42"/>
  <c r="A134" i="42"/>
  <c r="A135" i="42"/>
  <c r="A136" i="42"/>
  <c r="A137" i="42"/>
  <c r="A138" i="42"/>
  <c r="A139" i="42"/>
  <c r="A140" i="42"/>
  <c r="A141" i="42"/>
  <c r="A142" i="42"/>
  <c r="A143" i="42"/>
  <c r="A144" i="42"/>
  <c r="A145" i="42"/>
  <c r="A146" i="42"/>
  <c r="A147" i="42"/>
  <c r="A148" i="42"/>
  <c r="A149" i="42"/>
  <c r="A150" i="42"/>
  <c r="A151" i="42"/>
  <c r="A152" i="42"/>
  <c r="A153" i="42"/>
  <c r="A154" i="42"/>
  <c r="A155" i="42"/>
  <c r="A156" i="42"/>
  <c r="A157" i="42"/>
  <c r="A158" i="42"/>
  <c r="A159" i="42"/>
  <c r="A160" i="42"/>
  <c r="A161" i="42"/>
  <c r="A162" i="42"/>
  <c r="A163" i="42"/>
  <c r="A164" i="42"/>
  <c r="A165" i="42"/>
  <c r="A166" i="42"/>
  <c r="A167" i="42"/>
  <c r="A168" i="42"/>
  <c r="A169" i="42"/>
  <c r="A170" i="42"/>
  <c r="A171" i="42"/>
  <c r="A172" i="42"/>
  <c r="A173" i="42"/>
  <c r="A174" i="42"/>
  <c r="A175" i="42"/>
  <c r="A176" i="42"/>
  <c r="A177" i="42"/>
  <c r="A178" i="42"/>
  <c r="A3" i="17"/>
  <c r="A4" i="17"/>
  <c r="A5" i="17"/>
  <c r="A6" i="17"/>
  <c r="A7" i="17"/>
  <c r="A8" i="17"/>
  <c r="A9" i="17"/>
  <c r="A10" i="17"/>
  <c r="A11" i="17"/>
  <c r="A12" i="17"/>
  <c r="A13" i="17"/>
  <c r="A14" i="17"/>
  <c r="A15" i="17"/>
  <c r="A16" i="17"/>
  <c r="A17" i="17"/>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69" i="17"/>
  <c r="A70" i="17"/>
  <c r="A71" i="17"/>
  <c r="A72" i="17"/>
  <c r="A73" i="17"/>
  <c r="A74" i="17"/>
  <c r="A75" i="17"/>
  <c r="A76" i="17"/>
  <c r="A77" i="17"/>
  <c r="A78" i="17"/>
  <c r="A79" i="17"/>
  <c r="A80" i="17"/>
  <c r="A81" i="17"/>
  <c r="A82" i="17"/>
  <c r="A83" i="17"/>
  <c r="A84" i="17"/>
  <c r="A85" i="17"/>
  <c r="A86" i="17"/>
  <c r="A87" i="17"/>
  <c r="A88" i="17"/>
  <c r="A89" i="17"/>
  <c r="A90" i="17"/>
  <c r="A91" i="17"/>
  <c r="A92" i="17"/>
  <c r="A93" i="17"/>
  <c r="A94" i="17"/>
  <c r="A95" i="17"/>
  <c r="A96" i="17"/>
  <c r="A97" i="17"/>
  <c r="A98" i="17"/>
  <c r="A99" i="17"/>
  <c r="A100" i="17"/>
  <c r="A101" i="17"/>
  <c r="A102" i="17"/>
  <c r="A103" i="17"/>
  <c r="A104" i="17"/>
  <c r="A105" i="17"/>
  <c r="A106" i="17"/>
  <c r="A107" i="17"/>
  <c r="A108" i="17"/>
  <c r="A2" i="17"/>
  <c r="A3" i="46"/>
  <c r="A4" i="46"/>
  <c r="A5" i="46"/>
  <c r="A6" i="46"/>
  <c r="A7" i="46"/>
  <c r="A8" i="46"/>
  <c r="A9" i="46"/>
  <c r="A10" i="46"/>
  <c r="A11" i="46"/>
  <c r="A12" i="46"/>
  <c r="A13" i="46"/>
  <c r="A14" i="46"/>
  <c r="A15" i="46"/>
  <c r="A16" i="46"/>
  <c r="A17" i="46"/>
  <c r="A18" i="46"/>
  <c r="A19" i="46"/>
  <c r="A20" i="46"/>
  <c r="A21" i="46"/>
  <c r="A22" i="46"/>
  <c r="A23" i="46"/>
  <c r="A24" i="46"/>
  <c r="A25" i="46"/>
  <c r="A26" i="46"/>
  <c r="A27" i="46"/>
  <c r="A28" i="46"/>
  <c r="A29" i="46"/>
  <c r="A30" i="46"/>
  <c r="A31" i="46"/>
  <c r="A32" i="46"/>
  <c r="A33" i="46"/>
  <c r="A34" i="46"/>
  <c r="A35" i="46"/>
  <c r="A36" i="46"/>
  <c r="A37" i="46"/>
  <c r="A38" i="46"/>
  <c r="A39" i="46"/>
  <c r="A40" i="46"/>
  <c r="A41" i="46"/>
  <c r="A42" i="46"/>
  <c r="A43" i="46"/>
  <c r="A44" i="46"/>
  <c r="A45" i="46"/>
  <c r="A46" i="46"/>
  <c r="A47" i="46"/>
  <c r="A48" i="46"/>
  <c r="A49" i="46"/>
  <c r="A50" i="46"/>
  <c r="A51" i="46"/>
  <c r="A52" i="46"/>
  <c r="A53" i="46"/>
  <c r="A54" i="46"/>
  <c r="A55" i="46"/>
  <c r="A56" i="46"/>
  <c r="A57" i="46"/>
  <c r="A58" i="46"/>
  <c r="A59" i="46"/>
  <c r="A60" i="46"/>
  <c r="A61" i="46"/>
  <c r="A62" i="46"/>
  <c r="A63" i="46"/>
  <c r="A64" i="46"/>
  <c r="A65" i="46"/>
  <c r="A66" i="46"/>
  <c r="A67" i="46"/>
  <c r="A68" i="46"/>
  <c r="A69" i="46"/>
  <c r="A70" i="46"/>
  <c r="A71" i="46"/>
  <c r="A72" i="46"/>
  <c r="A73" i="46"/>
  <c r="A74" i="46"/>
  <c r="A75" i="46"/>
  <c r="A76" i="46"/>
  <c r="A77" i="46"/>
  <c r="A78" i="46"/>
  <c r="A79" i="46"/>
  <c r="A80" i="46"/>
  <c r="A81" i="46"/>
  <c r="A82" i="46"/>
  <c r="A83" i="46"/>
  <c r="A84" i="46"/>
  <c r="A85" i="46"/>
  <c r="A86" i="46"/>
  <c r="A87" i="46"/>
  <c r="A88" i="46"/>
  <c r="A89" i="46"/>
  <c r="A90" i="46"/>
  <c r="A91" i="46"/>
  <c r="A92" i="46"/>
  <c r="A93" i="46"/>
  <c r="A94" i="46"/>
  <c r="A95" i="46"/>
  <c r="A96" i="46"/>
  <c r="A97" i="46"/>
  <c r="A98" i="46"/>
  <c r="A99" i="46"/>
  <c r="A100" i="46"/>
  <c r="A101" i="46"/>
  <c r="A102" i="46"/>
  <c r="A103" i="46"/>
  <c r="A104" i="46"/>
  <c r="A105" i="46"/>
  <c r="A106" i="46"/>
  <c r="A107" i="46"/>
  <c r="A108" i="46"/>
  <c r="A109" i="46"/>
  <c r="A110" i="46"/>
  <c r="A111" i="46"/>
  <c r="A112" i="46"/>
  <c r="A113" i="46"/>
  <c r="A114" i="46"/>
  <c r="A115" i="46"/>
  <c r="A116" i="46"/>
  <c r="A117" i="46"/>
  <c r="A118" i="46"/>
  <c r="A119" i="46"/>
  <c r="A120" i="46"/>
  <c r="A121" i="46"/>
  <c r="A122" i="46"/>
  <c r="A123" i="46"/>
  <c r="A124" i="46"/>
  <c r="A125" i="46"/>
  <c r="A126" i="46"/>
  <c r="A127" i="46"/>
  <c r="A128" i="46"/>
  <c r="A129" i="46"/>
  <c r="A130" i="46"/>
  <c r="A131" i="46"/>
  <c r="A132" i="46"/>
  <c r="A133" i="46"/>
  <c r="A134" i="46"/>
  <c r="A135" i="46"/>
  <c r="A136" i="46"/>
  <c r="A137" i="46"/>
  <c r="A138" i="46"/>
  <c r="A139" i="46"/>
  <c r="A140" i="46"/>
  <c r="A141" i="46"/>
  <c r="A142" i="46"/>
  <c r="A143" i="46"/>
  <c r="A144" i="46"/>
  <c r="A145" i="46"/>
  <c r="A146" i="46"/>
  <c r="A147" i="46"/>
  <c r="A148" i="46"/>
  <c r="A149" i="46"/>
  <c r="A150" i="46"/>
  <c r="A151" i="46"/>
  <c r="A152" i="46"/>
  <c r="A153" i="46"/>
  <c r="A154" i="46"/>
  <c r="A155" i="46"/>
  <c r="A156" i="46"/>
  <c r="A157" i="46"/>
  <c r="A158" i="46"/>
  <c r="A159" i="46"/>
  <c r="A160" i="46"/>
  <c r="A161" i="46"/>
  <c r="A162" i="46"/>
  <c r="A163" i="46"/>
  <c r="A164" i="46"/>
  <c r="A165" i="46"/>
  <c r="A166" i="46"/>
  <c r="A167" i="46"/>
  <c r="A168" i="46"/>
  <c r="A169" i="46"/>
  <c r="A170" i="46"/>
  <c r="A171" i="46"/>
  <c r="A172" i="46"/>
  <c r="A173" i="46"/>
  <c r="A174" i="46"/>
  <c r="A175" i="46"/>
  <c r="A176" i="46"/>
  <c r="A177" i="46"/>
  <c r="A178" i="46"/>
  <c r="A179" i="46"/>
  <c r="A180" i="46"/>
  <c r="A181" i="46"/>
  <c r="A182" i="46"/>
  <c r="A183" i="46"/>
  <c r="A184" i="46"/>
  <c r="A185" i="46"/>
  <c r="A186" i="46"/>
  <c r="A187" i="46"/>
  <c r="A188" i="46"/>
  <c r="A2" i="46"/>
  <c r="P3" i="42" l="1"/>
  <c r="P4" i="42"/>
  <c r="P5" i="42"/>
  <c r="P6" i="42"/>
  <c r="P7" i="42"/>
  <c r="P8" i="42"/>
  <c r="P9" i="42"/>
  <c r="P10" i="42"/>
  <c r="P11" i="42"/>
  <c r="P12" i="42"/>
  <c r="P13" i="42"/>
  <c r="P14" i="42"/>
  <c r="P15" i="42"/>
  <c r="P16" i="42"/>
  <c r="P17" i="42"/>
  <c r="P18" i="42"/>
  <c r="P19" i="42"/>
  <c r="P20" i="42"/>
  <c r="P21" i="42"/>
  <c r="P22" i="42"/>
  <c r="P23" i="42"/>
  <c r="P24" i="42"/>
  <c r="P25" i="42"/>
  <c r="P26" i="42"/>
  <c r="P27" i="42"/>
  <c r="P28" i="42"/>
  <c r="P29" i="42"/>
  <c r="P30" i="42"/>
  <c r="P31" i="42"/>
  <c r="P32" i="42"/>
  <c r="P33" i="42"/>
  <c r="P34" i="42"/>
  <c r="P35" i="42"/>
  <c r="P36" i="42"/>
  <c r="P37" i="42"/>
  <c r="P38" i="42"/>
  <c r="P39" i="42"/>
  <c r="P40" i="42"/>
  <c r="P41" i="42"/>
  <c r="P42" i="42"/>
  <c r="P43" i="42"/>
  <c r="P44" i="42"/>
  <c r="P45" i="42"/>
  <c r="P46" i="42"/>
  <c r="P47" i="42"/>
  <c r="P48" i="42"/>
  <c r="P49" i="42"/>
  <c r="P50" i="42"/>
  <c r="P51" i="42"/>
  <c r="P52" i="42"/>
  <c r="P53" i="42"/>
  <c r="P54" i="42"/>
  <c r="P55" i="42"/>
  <c r="P56" i="42"/>
  <c r="P57" i="42"/>
  <c r="P58" i="42"/>
  <c r="P59" i="42"/>
  <c r="P60" i="42"/>
  <c r="P61" i="42"/>
  <c r="P62" i="42"/>
  <c r="P63" i="42"/>
  <c r="P64" i="42"/>
  <c r="P65" i="42"/>
  <c r="P66" i="42"/>
  <c r="P67" i="42"/>
  <c r="P68" i="42"/>
  <c r="P69" i="42"/>
  <c r="P70" i="42"/>
  <c r="P71" i="42"/>
  <c r="P72" i="42"/>
  <c r="P73" i="42"/>
  <c r="P74" i="42"/>
  <c r="P75" i="42"/>
  <c r="P76" i="42"/>
  <c r="P77" i="42"/>
  <c r="P78" i="42"/>
  <c r="P79" i="42"/>
  <c r="P80" i="42"/>
  <c r="P81" i="42"/>
  <c r="P82" i="42"/>
  <c r="P83" i="42"/>
  <c r="P84" i="42"/>
  <c r="P85" i="42"/>
  <c r="P86" i="42"/>
  <c r="P87" i="42"/>
  <c r="P88" i="42"/>
  <c r="P89" i="42"/>
  <c r="P90" i="42"/>
  <c r="P91" i="42"/>
  <c r="P92" i="42"/>
  <c r="P93" i="42"/>
  <c r="P94" i="42"/>
  <c r="P95" i="42"/>
  <c r="P96" i="42"/>
  <c r="P97" i="42"/>
  <c r="P98" i="42"/>
  <c r="P99" i="42"/>
  <c r="P100" i="42"/>
  <c r="P101" i="42"/>
  <c r="P102" i="42"/>
  <c r="P103" i="42"/>
  <c r="P104" i="42"/>
  <c r="P105" i="42"/>
  <c r="P106" i="42"/>
  <c r="P107" i="42"/>
  <c r="P108" i="42"/>
  <c r="P109" i="42"/>
  <c r="P110" i="42"/>
  <c r="P111" i="42"/>
  <c r="P112" i="42"/>
  <c r="P113" i="42"/>
  <c r="P114" i="42"/>
  <c r="P115" i="42"/>
  <c r="P116" i="42"/>
  <c r="P117" i="42"/>
  <c r="P118" i="42"/>
  <c r="P119" i="42"/>
  <c r="P120" i="42"/>
  <c r="P121" i="42"/>
  <c r="P122" i="42"/>
  <c r="P123" i="42"/>
  <c r="P124" i="42"/>
  <c r="P125" i="42"/>
  <c r="P126" i="42"/>
  <c r="P127" i="42"/>
  <c r="P128" i="42"/>
  <c r="P129" i="42"/>
  <c r="P130" i="42"/>
  <c r="P131" i="42"/>
  <c r="P132" i="42"/>
  <c r="P133" i="42"/>
  <c r="P134" i="42"/>
  <c r="P135" i="42"/>
  <c r="P136" i="42"/>
  <c r="P137" i="42"/>
  <c r="P138" i="42"/>
  <c r="P139" i="42"/>
  <c r="P140" i="42"/>
  <c r="P141" i="42"/>
  <c r="P142" i="42"/>
  <c r="P143" i="42"/>
  <c r="P144" i="42"/>
  <c r="P145" i="42"/>
  <c r="P146" i="42"/>
  <c r="P147" i="42"/>
  <c r="P148" i="42"/>
  <c r="P149" i="42"/>
  <c r="P150" i="42"/>
  <c r="P151" i="42"/>
  <c r="P152" i="42"/>
  <c r="P153" i="42"/>
  <c r="P154" i="42"/>
  <c r="P155" i="42"/>
  <c r="P156" i="42"/>
  <c r="P157" i="42"/>
  <c r="P158" i="42"/>
  <c r="P159" i="42"/>
  <c r="P160" i="42"/>
  <c r="P161" i="42"/>
  <c r="P162" i="42"/>
  <c r="P163" i="42"/>
  <c r="P164" i="42"/>
  <c r="P165" i="42"/>
  <c r="P166" i="42"/>
  <c r="P167" i="42"/>
  <c r="P168" i="42"/>
  <c r="P169" i="42"/>
  <c r="P170" i="42"/>
  <c r="P171" i="42"/>
  <c r="P172" i="42"/>
  <c r="P173" i="42"/>
  <c r="P174" i="42"/>
  <c r="P175" i="42"/>
  <c r="P176" i="42"/>
  <c r="P177" i="42"/>
  <c r="P178" i="42"/>
  <c r="D27" i="42"/>
  <c r="D26" i="42"/>
  <c r="H2" i="31" l="1"/>
  <c r="A373" i="31"/>
  <c r="H373" i="31"/>
  <c r="A362" i="31"/>
  <c r="H362" i="31"/>
  <c r="H353" i="31"/>
  <c r="A353" i="31"/>
  <c r="H341" i="31"/>
  <c r="A341" i="31"/>
  <c r="H329" i="31"/>
  <c r="A329" i="31"/>
  <c r="H317" i="31"/>
  <c r="A317" i="31"/>
  <c r="H305" i="31"/>
  <c r="A305" i="31"/>
  <c r="A293" i="31"/>
  <c r="H293" i="31"/>
  <c r="H281" i="31"/>
  <c r="A281" i="31"/>
  <c r="H269" i="31"/>
  <c r="A269" i="31"/>
  <c r="H258" i="31"/>
  <c r="A258" i="31"/>
  <c r="A238" i="31"/>
  <c r="H249" i="31"/>
  <c r="A249" i="31"/>
  <c r="H237" i="31"/>
  <c r="A237" i="31"/>
  <c r="H225" i="31"/>
  <c r="A225" i="31"/>
  <c r="H213" i="31"/>
  <c r="A213" i="31"/>
  <c r="A201" i="31"/>
  <c r="H201" i="31"/>
  <c r="H189" i="31"/>
  <c r="A189" i="31"/>
  <c r="H177" i="31"/>
  <c r="A177" i="31"/>
  <c r="A166" i="31"/>
  <c r="H166" i="31"/>
  <c r="H154" i="31"/>
  <c r="A154" i="31"/>
  <c r="H142" i="31"/>
  <c r="A142" i="31"/>
  <c r="H130" i="31"/>
  <c r="A130" i="31"/>
  <c r="A118" i="31"/>
  <c r="H118" i="31"/>
  <c r="H107" i="31"/>
  <c r="A107" i="31"/>
  <c r="H95" i="31"/>
  <c r="A95" i="31"/>
  <c r="H83" i="31"/>
  <c r="A83" i="31"/>
  <c r="A71" i="31"/>
  <c r="H67" i="31"/>
  <c r="A67" i="31"/>
  <c r="H55" i="31"/>
  <c r="A55" i="31"/>
  <c r="H47" i="31"/>
  <c r="A47" i="31"/>
  <c r="H35" i="31"/>
  <c r="A35" i="31"/>
  <c r="H26" i="31"/>
  <c r="A26" i="31"/>
  <c r="H14" i="31"/>
  <c r="A14" i="31"/>
  <c r="A2" i="31"/>
  <c r="A252" i="24" l="1"/>
  <c r="A253" i="24"/>
  <c r="A254" i="24"/>
  <c r="A250" i="24"/>
  <c r="R234" i="24"/>
  <c r="A234" i="24"/>
  <c r="A227" i="24"/>
  <c r="A228" i="24"/>
  <c r="A229" i="24"/>
  <c r="A231" i="24"/>
  <c r="A226" i="24"/>
  <c r="R224" i="24"/>
  <c r="R223" i="24"/>
  <c r="A223" i="24"/>
  <c r="A224" i="24"/>
  <c r="R186" i="24"/>
  <c r="R185" i="24"/>
  <c r="A185" i="24"/>
  <c r="A186" i="24"/>
  <c r="A180" i="24"/>
  <c r="R173" i="24"/>
  <c r="A173" i="24"/>
  <c r="A170" i="24"/>
  <c r="A157" i="24"/>
  <c r="A158" i="24"/>
  <c r="A159" i="24"/>
  <c r="A160" i="24"/>
  <c r="A161" i="24"/>
  <c r="A162" i="24"/>
  <c r="A163" i="24"/>
  <c r="A164" i="24"/>
  <c r="A165" i="24"/>
  <c r="R155" i="24"/>
  <c r="R154" i="24"/>
  <c r="R153" i="24"/>
  <c r="R152" i="24"/>
  <c r="R151" i="24"/>
  <c r="R150" i="24"/>
  <c r="R149" i="24"/>
  <c r="R148" i="24"/>
  <c r="R147" i="24"/>
  <c r="R146" i="24"/>
  <c r="R145" i="24"/>
  <c r="R144" i="24"/>
  <c r="R143" i="24"/>
  <c r="R142" i="24"/>
  <c r="R141" i="24"/>
  <c r="R140" i="24"/>
  <c r="R139" i="24"/>
  <c r="R138" i="24"/>
  <c r="R137" i="24"/>
  <c r="R136" i="24"/>
  <c r="R135" i="24"/>
  <c r="R134" i="24"/>
  <c r="R133" i="24"/>
  <c r="R132" i="24"/>
  <c r="A152" i="24"/>
  <c r="A153" i="24"/>
  <c r="A154" i="24"/>
  <c r="A155" i="24"/>
  <c r="R97" i="24"/>
  <c r="R96" i="24"/>
  <c r="R95" i="24"/>
  <c r="R94" i="24"/>
  <c r="A97" i="24"/>
  <c r="A78" i="24"/>
  <c r="A79" i="24"/>
  <c r="R75" i="24"/>
  <c r="R74" i="24"/>
  <c r="R73" i="24"/>
  <c r="A73" i="24"/>
  <c r="A74" i="24"/>
  <c r="A75" i="24"/>
  <c r="A70" i="24"/>
  <c r="A71" i="24"/>
  <c r="A59" i="24"/>
  <c r="A60" i="24"/>
  <c r="A61" i="24"/>
  <c r="A62" i="24"/>
  <c r="A63" i="24"/>
  <c r="A64" i="24"/>
  <c r="A65" i="24"/>
  <c r="A49" i="24"/>
  <c r="A50" i="24"/>
  <c r="A51" i="24"/>
  <c r="A52" i="24"/>
  <c r="A53" i="24"/>
  <c r="A54" i="24"/>
  <c r="A55" i="24"/>
  <c r="A35" i="24"/>
  <c r="A36" i="24"/>
  <c r="A37" i="24"/>
  <c r="A38" i="24"/>
  <c r="A39" i="24"/>
  <c r="A40" i="24"/>
  <c r="A41" i="24"/>
  <c r="A18" i="24"/>
  <c r="A19" i="24"/>
  <c r="A9" i="24"/>
  <c r="V160" i="16" l="1"/>
  <c r="V161" i="16"/>
  <c r="V162" i="16"/>
  <c r="V163" i="16"/>
  <c r="V164" i="16"/>
  <c r="V165" i="16"/>
  <c r="V166" i="16"/>
  <c r="V167" i="16"/>
  <c r="V168" i="16"/>
  <c r="V169" i="16"/>
  <c r="V170" i="16"/>
  <c r="V159" i="16"/>
  <c r="AA170" i="16"/>
  <c r="A170" i="16"/>
  <c r="V29" i="16"/>
  <c r="V30" i="16"/>
  <c r="V31" i="16"/>
  <c r="V32" i="16"/>
  <c r="V33" i="16"/>
  <c r="V34" i="16"/>
  <c r="V35" i="16"/>
  <c r="V36" i="16"/>
  <c r="V37" i="16"/>
  <c r="V38" i="16"/>
  <c r="V39" i="16"/>
  <c r="V40" i="16"/>
  <c r="V41" i="16"/>
  <c r="V42" i="16"/>
  <c r="V28" i="16"/>
  <c r="AA38" i="16"/>
  <c r="AA39" i="16"/>
  <c r="AA40" i="16"/>
  <c r="AA41" i="16"/>
  <c r="AA42" i="16"/>
  <c r="A38" i="16"/>
  <c r="A39" i="16"/>
  <c r="A40" i="16"/>
  <c r="A41" i="16"/>
  <c r="A42" i="16"/>
  <c r="V24" i="16"/>
  <c r="V23" i="16"/>
  <c r="AA23" i="16"/>
  <c r="AA24" i="16"/>
  <c r="A23" i="16"/>
  <c r="A24" i="16"/>
  <c r="K3" i="43"/>
  <c r="A3" i="43"/>
  <c r="F13" i="5" l="1"/>
  <c r="C17" i="19"/>
  <c r="H53" i="32"/>
  <c r="J40" i="32"/>
  <c r="A78" i="42" l="1"/>
  <c r="A79" i="42"/>
  <c r="A80" i="42"/>
  <c r="A81" i="42"/>
  <c r="A82" i="42"/>
  <c r="A83" i="42"/>
  <c r="A84" i="42"/>
  <c r="A85" i="42"/>
  <c r="A86" i="42"/>
  <c r="A87" i="42"/>
  <c r="A88" i="42"/>
  <c r="A89" i="42"/>
  <c r="A90" i="42"/>
  <c r="A91" i="42"/>
  <c r="A92" i="42"/>
  <c r="A93" i="42"/>
  <c r="A94" i="42"/>
  <c r="A95" i="42"/>
  <c r="A96" i="42"/>
  <c r="A97" i="42"/>
  <c r="A98" i="42"/>
  <c r="A99" i="42"/>
  <c r="A100" i="42"/>
  <c r="A101" i="42"/>
  <c r="A102" i="42"/>
  <c r="A103" i="42"/>
  <c r="A104" i="42"/>
  <c r="H372" i="31" l="1"/>
  <c r="A372" i="31"/>
  <c r="H361" i="31"/>
  <c r="A361" i="31"/>
  <c r="H352" i="31"/>
  <c r="A352" i="31"/>
  <c r="H340" i="31"/>
  <c r="A340" i="31"/>
  <c r="A342" i="31"/>
  <c r="H328" i="31"/>
  <c r="A328" i="31"/>
  <c r="H316" i="31"/>
  <c r="A316" i="31"/>
  <c r="H304" i="31"/>
  <c r="A304" i="31"/>
  <c r="H292" i="31"/>
  <c r="A292" i="31"/>
  <c r="H280" i="31"/>
  <c r="A280" i="31"/>
  <c r="H268" i="31"/>
  <c r="A268" i="31"/>
  <c r="H257" i="31"/>
  <c r="A257" i="31"/>
  <c r="H248" i="31"/>
  <c r="A248" i="31"/>
  <c r="H236" i="31"/>
  <c r="A236" i="31"/>
  <c r="H224" i="31"/>
  <c r="A224" i="31"/>
  <c r="H212" i="31"/>
  <c r="A212" i="31"/>
  <c r="H200" i="31"/>
  <c r="A200" i="31"/>
  <c r="H188" i="31"/>
  <c r="A188" i="31"/>
  <c r="H176" i="31"/>
  <c r="A176" i="31"/>
  <c r="A165" i="31"/>
  <c r="H165" i="31"/>
  <c r="A153" i="31"/>
  <c r="H153" i="31"/>
  <c r="H141" i="31"/>
  <c r="A141" i="31"/>
  <c r="H129" i="31"/>
  <c r="A129" i="31"/>
  <c r="A117" i="31"/>
  <c r="H117" i="31"/>
  <c r="H106" i="31"/>
  <c r="A106" i="31"/>
  <c r="H94" i="31"/>
  <c r="A94" i="31"/>
  <c r="H82" i="31"/>
  <c r="A82" i="31"/>
  <c r="A68" i="31"/>
  <c r="A69" i="31"/>
  <c r="A70" i="31"/>
  <c r="H66" i="31"/>
  <c r="A66" i="31"/>
  <c r="H54" i="31"/>
  <c r="A54" i="31"/>
  <c r="A46" i="31"/>
  <c r="H46" i="31"/>
  <c r="H34" i="31"/>
  <c r="A34" i="31"/>
  <c r="H25" i="31"/>
  <c r="A25" i="31"/>
  <c r="H13" i="31"/>
  <c r="A13" i="31"/>
  <c r="A86" i="24" l="1"/>
  <c r="A101" i="24"/>
  <c r="A102" i="24"/>
  <c r="A103" i="24"/>
  <c r="A104" i="24"/>
  <c r="A105" i="24"/>
  <c r="A106" i="24"/>
  <c r="A107" i="24"/>
  <c r="A108" i="24"/>
  <c r="A109" i="24"/>
  <c r="A132" i="24"/>
  <c r="A133" i="24"/>
  <c r="A134" i="24"/>
  <c r="A195" i="24"/>
  <c r="A90" i="24"/>
  <c r="A2" i="24"/>
  <c r="A6" i="24"/>
  <c r="A7" i="24"/>
  <c r="A8" i="24"/>
  <c r="A13" i="24"/>
  <c r="A14" i="24"/>
  <c r="A20" i="24"/>
  <c r="A21" i="24"/>
  <c r="A15" i="24"/>
  <c r="A81" i="24"/>
  <c r="A82" i="24"/>
  <c r="A83" i="24"/>
  <c r="A85" i="24"/>
  <c r="A87" i="24"/>
  <c r="A88" i="24"/>
  <c r="A89" i="24"/>
  <c r="A91" i="24"/>
  <c r="A92" i="24"/>
  <c r="A93" i="24"/>
  <c r="A98" i="24"/>
  <c r="A99" i="24"/>
  <c r="A100" i="24"/>
  <c r="A110" i="24"/>
  <c r="A111" i="24"/>
  <c r="A112" i="24"/>
  <c r="A113" i="24"/>
  <c r="A114" i="24"/>
  <c r="A115" i="24"/>
  <c r="A116" i="24"/>
  <c r="A117" i="24"/>
  <c r="A118" i="24"/>
  <c r="A119" i="24"/>
  <c r="A120" i="24"/>
  <c r="A121" i="24"/>
  <c r="A122" i="24"/>
  <c r="A123" i="24"/>
  <c r="A124" i="24"/>
  <c r="A125" i="24"/>
  <c r="A126" i="24"/>
  <c r="A127" i="24"/>
  <c r="A128" i="24"/>
  <c r="A129" i="24"/>
  <c r="A135" i="24"/>
  <c r="A136" i="24"/>
  <c r="A137" i="24"/>
  <c r="A138" i="24"/>
  <c r="A139" i="24"/>
  <c r="A140" i="24"/>
  <c r="A141" i="24"/>
  <c r="A142" i="24"/>
  <c r="A143" i="24"/>
  <c r="A144" i="24"/>
  <c r="A145" i="24"/>
  <c r="A146" i="24"/>
  <c r="A147" i="24"/>
  <c r="A148" i="24"/>
  <c r="A149" i="24"/>
  <c r="A150" i="24"/>
  <c r="A151" i="24"/>
  <c r="A156" i="24"/>
  <c r="A16" i="24"/>
  <c r="A166" i="24"/>
  <c r="A174" i="24"/>
  <c r="A175" i="24"/>
  <c r="A176" i="24"/>
  <c r="A177" i="24"/>
  <c r="A178" i="24"/>
  <c r="A187" i="24"/>
  <c r="A188" i="24"/>
  <c r="A189" i="24"/>
  <c r="A190" i="24"/>
  <c r="A191" i="24"/>
  <c r="A192" i="24"/>
  <c r="A72" i="24"/>
  <c r="A196" i="24"/>
  <c r="A197" i="24"/>
  <c r="A198" i="24"/>
  <c r="A199" i="24"/>
  <c r="A200" i="24"/>
  <c r="A201" i="24"/>
  <c r="A202" i="24"/>
  <c r="A203" i="24"/>
  <c r="A204" i="24"/>
  <c r="A225" i="24"/>
  <c r="A232" i="24"/>
  <c r="A233" i="24"/>
  <c r="A235" i="24"/>
  <c r="A236" i="24"/>
  <c r="A237" i="24"/>
  <c r="A238" i="24"/>
  <c r="A239" i="24"/>
  <c r="A240" i="24"/>
  <c r="A241" i="24"/>
  <c r="A242" i="24"/>
  <c r="A243" i="24"/>
  <c r="A244" i="24"/>
  <c r="A245" i="24"/>
  <c r="A246" i="24"/>
  <c r="A247" i="24"/>
  <c r="A248" i="24"/>
  <c r="A249" i="24"/>
  <c r="A255" i="24"/>
  <c r="A256" i="24"/>
  <c r="A257" i="24"/>
  <c r="A205" i="24"/>
  <c r="A258" i="24"/>
  <c r="A42" i="24"/>
  <c r="A43" i="24"/>
  <c r="A3" i="24"/>
  <c r="A4" i="24"/>
  <c r="A193" i="24"/>
  <c r="A206" i="24"/>
  <c r="A207" i="24"/>
  <c r="A208" i="24"/>
  <c r="A209" i="24"/>
  <c r="A44" i="24"/>
  <c r="A45" i="24"/>
  <c r="A22" i="24"/>
  <c r="A130" i="24"/>
  <c r="A131" i="24"/>
  <c r="A94" i="24"/>
  <c r="A95" i="24"/>
  <c r="A96" i="24"/>
  <c r="A194" i="24"/>
  <c r="A68" i="24"/>
  <c r="A80" i="24"/>
  <c r="A69" i="24"/>
  <c r="A181" i="24"/>
  <c r="A182" i="24"/>
  <c r="A167" i="24"/>
  <c r="A183" i="24"/>
  <c r="A184" i="24"/>
  <c r="A210" i="24"/>
  <c r="A211" i="24"/>
  <c r="A212" i="24"/>
  <c r="A213" i="24"/>
  <c r="A214" i="24"/>
  <c r="A215" i="24"/>
  <c r="A216" i="24"/>
  <c r="A217" i="24"/>
  <c r="A218" i="24"/>
  <c r="A219" i="24"/>
  <c r="A220" i="24"/>
  <c r="A221" i="24"/>
  <c r="A222" i="24"/>
  <c r="A66" i="24"/>
  <c r="A67" i="24"/>
  <c r="A230" i="24"/>
  <c r="A5" i="24"/>
  <c r="A23" i="24"/>
  <c r="A24" i="24"/>
  <c r="A25" i="24"/>
  <c r="A26" i="24"/>
  <c r="A27" i="24"/>
  <c r="A28" i="24"/>
  <c r="A29" i="24"/>
  <c r="A30" i="24"/>
  <c r="A31" i="24"/>
  <c r="A32" i="24"/>
  <c r="A33" i="24"/>
  <c r="A56" i="24"/>
  <c r="A57" i="24"/>
  <c r="A58" i="24"/>
  <c r="A168" i="24"/>
  <c r="A169" i="24"/>
  <c r="A46" i="24"/>
  <c r="A47" i="24"/>
  <c r="A48" i="24"/>
  <c r="A172" i="24"/>
  <c r="A179" i="24"/>
  <c r="A76" i="24"/>
  <c r="A77" i="24"/>
  <c r="A11" i="24"/>
  <c r="A12" i="24"/>
  <c r="A34" i="24"/>
  <c r="A171" i="24"/>
  <c r="A251" i="24"/>
  <c r="A17" i="24"/>
  <c r="A84" i="24"/>
  <c r="A10" i="24"/>
  <c r="AA3" i="16" l="1"/>
  <c r="AA4" i="16"/>
  <c r="AA5" i="16"/>
  <c r="AA6" i="16"/>
  <c r="AA7" i="16"/>
  <c r="AA8" i="16"/>
  <c r="AA9" i="16"/>
  <c r="AA10" i="16"/>
  <c r="AA11" i="16"/>
  <c r="AA12" i="16"/>
  <c r="AA13" i="16"/>
  <c r="AA14" i="16"/>
  <c r="AA15" i="16"/>
  <c r="AA16" i="16"/>
  <c r="AA17" i="16"/>
  <c r="AA18" i="16"/>
  <c r="AA19" i="16"/>
  <c r="AA20" i="16"/>
  <c r="AA21" i="16"/>
  <c r="AA22" i="16"/>
  <c r="AA25" i="16"/>
  <c r="AA26" i="16"/>
  <c r="AA27" i="16"/>
  <c r="AA28" i="16"/>
  <c r="AA29" i="16"/>
  <c r="AA30" i="16"/>
  <c r="AA31" i="16"/>
  <c r="AA32" i="16"/>
  <c r="AA33" i="16"/>
  <c r="AA34" i="16"/>
  <c r="AA35" i="16"/>
  <c r="AA36" i="16"/>
  <c r="AA37" i="16"/>
  <c r="AA43" i="16"/>
  <c r="AA44" i="16"/>
  <c r="AA45" i="16"/>
  <c r="AA46" i="16"/>
  <c r="AA47" i="16"/>
  <c r="AA48" i="16"/>
  <c r="AA49" i="16"/>
  <c r="AA50" i="16"/>
  <c r="AA51" i="16"/>
  <c r="AA52" i="16"/>
  <c r="AA53" i="16"/>
  <c r="AA54" i="16"/>
  <c r="AA55" i="16"/>
  <c r="AA56" i="16"/>
  <c r="AA57" i="16"/>
  <c r="AA58" i="16"/>
  <c r="AA59" i="16"/>
  <c r="AA60" i="16"/>
  <c r="AA61" i="16"/>
  <c r="AA62" i="16"/>
  <c r="AA63" i="16"/>
  <c r="AA64" i="16"/>
  <c r="AA65" i="16"/>
  <c r="AA66" i="16"/>
  <c r="AA67" i="16"/>
  <c r="AA68" i="16"/>
  <c r="AA69" i="16"/>
  <c r="AA70" i="16"/>
  <c r="AA71" i="16"/>
  <c r="AA72" i="16"/>
  <c r="AA73" i="16"/>
  <c r="AA74" i="16"/>
  <c r="AA75" i="16"/>
  <c r="AA76" i="16"/>
  <c r="AA77" i="16"/>
  <c r="AA78" i="16"/>
  <c r="AA79" i="16"/>
  <c r="AA80" i="16"/>
  <c r="AA81" i="16"/>
  <c r="AA82" i="16"/>
  <c r="AA83" i="16"/>
  <c r="AA84" i="16"/>
  <c r="AA85" i="16"/>
  <c r="AA86" i="16"/>
  <c r="AA87" i="16"/>
  <c r="AA88" i="16"/>
  <c r="AA89" i="16"/>
  <c r="AA90" i="16"/>
  <c r="AA91" i="16"/>
  <c r="AA92" i="16"/>
  <c r="AA93" i="16"/>
  <c r="AA94" i="16"/>
  <c r="AA95" i="16"/>
  <c r="AA96" i="16"/>
  <c r="AA97" i="16"/>
  <c r="AA98" i="16"/>
  <c r="AA99" i="16"/>
  <c r="AA100" i="16"/>
  <c r="AA101" i="16"/>
  <c r="AA102" i="16"/>
  <c r="AA103" i="16"/>
  <c r="AA104" i="16"/>
  <c r="AA105" i="16"/>
  <c r="AA106" i="16"/>
  <c r="AA107" i="16"/>
  <c r="AA108" i="16"/>
  <c r="AA109" i="16"/>
  <c r="AA110" i="16"/>
  <c r="AA111" i="16"/>
  <c r="AA112" i="16"/>
  <c r="AA113" i="16"/>
  <c r="AA114" i="16"/>
  <c r="AA115" i="16"/>
  <c r="AA116" i="16"/>
  <c r="AA117" i="16"/>
  <c r="AA118" i="16"/>
  <c r="AA119" i="16"/>
  <c r="AA120" i="16"/>
  <c r="AA121" i="16"/>
  <c r="AA122" i="16"/>
  <c r="AA123" i="16"/>
  <c r="AA124" i="16"/>
  <c r="AA125" i="16"/>
  <c r="AA126" i="16"/>
  <c r="AA127" i="16"/>
  <c r="AA128" i="16"/>
  <c r="AA129" i="16"/>
  <c r="AA130" i="16"/>
  <c r="AA131" i="16"/>
  <c r="AA132" i="16"/>
  <c r="AA133" i="16"/>
  <c r="AA134" i="16"/>
  <c r="AA135" i="16"/>
  <c r="AA136" i="16"/>
  <c r="AA137" i="16"/>
  <c r="AA138" i="16"/>
  <c r="AA139" i="16"/>
  <c r="AA140" i="16"/>
  <c r="AA141" i="16"/>
  <c r="AA142" i="16"/>
  <c r="AA143" i="16"/>
  <c r="AA144" i="16"/>
  <c r="AA145" i="16"/>
  <c r="AA146" i="16"/>
  <c r="AA147" i="16"/>
  <c r="AA148" i="16"/>
  <c r="AA149" i="16"/>
  <c r="AA150" i="16"/>
  <c r="AA151" i="16"/>
  <c r="AA152" i="16"/>
  <c r="AA153" i="16"/>
  <c r="AA154" i="16"/>
  <c r="AA155" i="16"/>
  <c r="AA156" i="16"/>
  <c r="AA157" i="16"/>
  <c r="AA158" i="16"/>
  <c r="AA159" i="16"/>
  <c r="AA160" i="16"/>
  <c r="AA161" i="16"/>
  <c r="AA162" i="16"/>
  <c r="AA163" i="16"/>
  <c r="AA164" i="16"/>
  <c r="AA165" i="16"/>
  <c r="AA166" i="16"/>
  <c r="AA167" i="16"/>
  <c r="AA168" i="16"/>
  <c r="AA169" i="16"/>
  <c r="AA171" i="16"/>
  <c r="AA172" i="16"/>
  <c r="AA173" i="16"/>
  <c r="AA174" i="16"/>
  <c r="AA175" i="16"/>
  <c r="AA176" i="16"/>
  <c r="AA177" i="16"/>
  <c r="AA178" i="16"/>
  <c r="AA179" i="16"/>
  <c r="AA180" i="16"/>
  <c r="AA181" i="16"/>
  <c r="AA182" i="16"/>
  <c r="AA183" i="16"/>
  <c r="AA184" i="16"/>
  <c r="AA185" i="16"/>
  <c r="AA186" i="16"/>
  <c r="AA187" i="16"/>
  <c r="AA188" i="16"/>
  <c r="AA189" i="16"/>
  <c r="AA190" i="16"/>
  <c r="AA191" i="16"/>
  <c r="AA192" i="16"/>
  <c r="AA193" i="16"/>
  <c r="A47" i="16"/>
  <c r="A48" i="16"/>
  <c r="A49" i="16"/>
  <c r="A50" i="16"/>
  <c r="A51" i="16"/>
  <c r="A52" i="16"/>
  <c r="A53" i="16"/>
  <c r="A54" i="16"/>
  <c r="A174" i="16"/>
  <c r="A193" i="16"/>
  <c r="A3" i="16"/>
  <c r="A4" i="16"/>
  <c r="A5" i="16"/>
  <c r="A6" i="16"/>
  <c r="A7" i="16"/>
  <c r="A8" i="16"/>
  <c r="A9" i="16"/>
  <c r="A10" i="16"/>
  <c r="A11" i="16"/>
  <c r="A12" i="16"/>
  <c r="A13" i="16"/>
  <c r="A14" i="16"/>
  <c r="A15" i="16"/>
  <c r="A16" i="16"/>
  <c r="A17" i="16"/>
  <c r="A18" i="16"/>
  <c r="A19" i="16"/>
  <c r="A20" i="16"/>
  <c r="A21" i="16"/>
  <c r="A22" i="16"/>
  <c r="A25" i="16"/>
  <c r="A26" i="16"/>
  <c r="A28" i="16"/>
  <c r="A29" i="16"/>
  <c r="A30" i="16"/>
  <c r="A31" i="16"/>
  <c r="A32" i="16"/>
  <c r="A33" i="16"/>
  <c r="A34" i="16"/>
  <c r="A35" i="16"/>
  <c r="A36" i="16"/>
  <c r="A43" i="16"/>
  <c r="A44" i="16"/>
  <c r="A45" i="16"/>
  <c r="A46" i="16"/>
  <c r="A55" i="16"/>
  <c r="A56" i="16"/>
  <c r="A57" i="16"/>
  <c r="A58" i="16"/>
  <c r="A59" i="16"/>
  <c r="A60" i="16"/>
  <c r="A72" i="16"/>
  <c r="A61" i="16"/>
  <c r="A64" i="16"/>
  <c r="A65" i="16"/>
  <c r="A66" i="16"/>
  <c r="A67" i="16"/>
  <c r="A68" i="16"/>
  <c r="A69" i="16"/>
  <c r="A70" i="16"/>
  <c r="A71" i="16"/>
  <c r="A79" i="16"/>
  <c r="A80" i="16"/>
  <c r="A81" i="16"/>
  <c r="A82" i="16"/>
  <c r="A83" i="16"/>
  <c r="A85" i="16"/>
  <c r="A86" i="16"/>
  <c r="A87" i="16"/>
  <c r="A88" i="16"/>
  <c r="A89" i="16"/>
  <c r="A84" i="16"/>
  <c r="A109" i="16"/>
  <c r="A110" i="16"/>
  <c r="A111" i="16"/>
  <c r="A112" i="16"/>
  <c r="A113" i="16"/>
  <c r="A114" i="16"/>
  <c r="A115" i="16"/>
  <c r="A116" i="16"/>
  <c r="A117" i="16"/>
  <c r="A118" i="16"/>
  <c r="A119" i="16"/>
  <c r="A120" i="16"/>
  <c r="A121" i="16"/>
  <c r="A122" i="16"/>
  <c r="A123" i="16"/>
  <c r="A124" i="16"/>
  <c r="A125" i="16"/>
  <c r="A126" i="16"/>
  <c r="A127" i="16"/>
  <c r="A128" i="16"/>
  <c r="A129" i="16"/>
  <c r="A130" i="16"/>
  <c r="A131" i="16"/>
  <c r="A132" i="16"/>
  <c r="A133" i="16"/>
  <c r="A134" i="16"/>
  <c r="A135" i="16"/>
  <c r="A73" i="16"/>
  <c r="A74" i="16"/>
  <c r="A75" i="16"/>
  <c r="A76" i="16"/>
  <c r="A77" i="16"/>
  <c r="A78" i="16"/>
  <c r="A136" i="16"/>
  <c r="A137" i="16"/>
  <c r="A138" i="16"/>
  <c r="A141" i="16"/>
  <c r="A142" i="16"/>
  <c r="A143" i="16"/>
  <c r="A90" i="16"/>
  <c r="A91" i="16"/>
  <c r="A92" i="16"/>
  <c r="A93" i="16"/>
  <c r="A94" i="16"/>
  <c r="A95" i="16"/>
  <c r="A96" i="16"/>
  <c r="A97" i="16"/>
  <c r="A98" i="16"/>
  <c r="A99" i="16"/>
  <c r="A100" i="16"/>
  <c r="A101" i="16"/>
  <c r="A102" i="16"/>
  <c r="A103" i="16"/>
  <c r="A104" i="16"/>
  <c r="A105" i="16"/>
  <c r="A106" i="16"/>
  <c r="A107" i="16"/>
  <c r="A108" i="16"/>
  <c r="A144" i="16"/>
  <c r="A145" i="16"/>
  <c r="A146" i="16"/>
  <c r="A147" i="16"/>
  <c r="A148" i="16"/>
  <c r="A149" i="16"/>
  <c r="A150" i="16"/>
  <c r="A151" i="16"/>
  <c r="A152" i="16"/>
  <c r="A153" i="16"/>
  <c r="A154" i="16"/>
  <c r="A155" i="16"/>
  <c r="A156" i="16"/>
  <c r="A157" i="16"/>
  <c r="A158" i="16"/>
  <c r="A159" i="16"/>
  <c r="A160" i="16"/>
  <c r="A161" i="16"/>
  <c r="A162" i="16"/>
  <c r="A163" i="16"/>
  <c r="A164" i="16"/>
  <c r="A165" i="16"/>
  <c r="A166" i="16"/>
  <c r="A167" i="16"/>
  <c r="A168" i="16"/>
  <c r="A169" i="16"/>
  <c r="A171" i="16"/>
  <c r="A172" i="16"/>
  <c r="A173" i="16"/>
  <c r="A175" i="16"/>
  <c r="A176" i="16"/>
  <c r="A177" i="16"/>
  <c r="A178" i="16"/>
  <c r="A179" i="16"/>
  <c r="A180" i="16"/>
  <c r="A181" i="16"/>
  <c r="A182" i="16"/>
  <c r="A183" i="16"/>
  <c r="A184" i="16"/>
  <c r="A185" i="16"/>
  <c r="A186" i="16"/>
  <c r="A187" i="16"/>
  <c r="A188" i="16"/>
  <c r="A189" i="16"/>
  <c r="A190" i="16"/>
  <c r="A191" i="16"/>
  <c r="A192" i="16"/>
  <c r="A37" i="16"/>
  <c r="A27" i="16"/>
  <c r="A62" i="16"/>
  <c r="A63" i="16"/>
  <c r="A139" i="16"/>
  <c r="A140" i="16"/>
  <c r="AA2" i="16"/>
  <c r="L21" i="45" l="1"/>
  <c r="L20" i="45"/>
  <c r="D21" i="45"/>
  <c r="D20" i="45"/>
  <c r="L18" i="45"/>
  <c r="L17" i="45"/>
  <c r="D18" i="45"/>
  <c r="D17" i="45"/>
  <c r="D15" i="45"/>
  <c r="L15" i="45"/>
  <c r="L14" i="45"/>
  <c r="D14" i="45"/>
  <c r="L12" i="45"/>
  <c r="L11" i="45"/>
  <c r="D12" i="45"/>
  <c r="D11" i="45"/>
  <c r="E53" i="32"/>
  <c r="F53" i="32"/>
  <c r="G53" i="32"/>
  <c r="I53" i="32"/>
  <c r="D53" i="32"/>
  <c r="J55" i="32" l="1"/>
  <c r="H371" i="31"/>
  <c r="A371" i="31"/>
  <c r="H360" i="31"/>
  <c r="A360" i="31"/>
  <c r="H351" i="31"/>
  <c r="A351" i="31"/>
  <c r="H339" i="31"/>
  <c r="A339" i="31"/>
  <c r="H327" i="31"/>
  <c r="A327" i="31"/>
  <c r="H315" i="31"/>
  <c r="A315" i="31"/>
  <c r="H303" i="31"/>
  <c r="A303" i="31"/>
  <c r="A291" i="31"/>
  <c r="H291" i="31"/>
  <c r="H279" i="31"/>
  <c r="A279" i="31"/>
  <c r="H267" i="31"/>
  <c r="A267" i="31"/>
  <c r="A256" i="31"/>
  <c r="H256" i="31"/>
  <c r="H247" i="31"/>
  <c r="A247" i="31"/>
  <c r="A235" i="31"/>
  <c r="H235" i="31"/>
  <c r="A223" i="31"/>
  <c r="H223" i="31"/>
  <c r="A211" i="31"/>
  <c r="H211" i="31"/>
  <c r="A199" i="31"/>
  <c r="H199" i="31"/>
  <c r="H187" i="31"/>
  <c r="A187" i="31"/>
  <c r="H175" i="31"/>
  <c r="A175" i="31"/>
  <c r="A164" i="31"/>
  <c r="H164" i="31"/>
  <c r="A152" i="31"/>
  <c r="H152" i="31"/>
  <c r="A140" i="31"/>
  <c r="H140" i="31"/>
  <c r="A128" i="31"/>
  <c r="H128" i="31"/>
  <c r="A116" i="31"/>
  <c r="H116" i="31"/>
  <c r="A105" i="31"/>
  <c r="H105" i="31"/>
  <c r="H93" i="31"/>
  <c r="A93" i="31"/>
  <c r="H81" i="31"/>
  <c r="A81" i="31"/>
  <c r="H65" i="31"/>
  <c r="A65" i="31"/>
  <c r="H53" i="31"/>
  <c r="A53" i="31"/>
  <c r="A45" i="31"/>
  <c r="H45" i="31"/>
  <c r="H33" i="31"/>
  <c r="A33" i="31"/>
  <c r="H12" i="31"/>
  <c r="A12" i="31"/>
  <c r="A24" i="31"/>
  <c r="H24" i="31"/>
  <c r="H11" i="31" l="1"/>
  <c r="H370" i="31"/>
  <c r="A370" i="31"/>
  <c r="H359" i="31"/>
  <c r="A359" i="31"/>
  <c r="H350" i="31"/>
  <c r="A350" i="31"/>
  <c r="H338" i="31"/>
  <c r="A338" i="31"/>
  <c r="H326" i="31"/>
  <c r="A326" i="31"/>
  <c r="H314" i="31"/>
  <c r="A314" i="31"/>
  <c r="H302" i="31"/>
  <c r="A302" i="31"/>
  <c r="H290" i="31"/>
  <c r="A290" i="31"/>
  <c r="H278" i="31"/>
  <c r="A278" i="31"/>
  <c r="H266" i="31"/>
  <c r="A266" i="31"/>
  <c r="H255" i="31"/>
  <c r="A255" i="31"/>
  <c r="H246" i="31"/>
  <c r="A246" i="31"/>
  <c r="H234" i="31"/>
  <c r="A234" i="31"/>
  <c r="H222" i="31"/>
  <c r="A222" i="31"/>
  <c r="H210" i="31"/>
  <c r="A210" i="31"/>
  <c r="H198" i="31"/>
  <c r="A198" i="31"/>
  <c r="H186" i="31"/>
  <c r="A186" i="31"/>
  <c r="H174" i="31"/>
  <c r="A174" i="31"/>
  <c r="H163" i="31"/>
  <c r="A163" i="31"/>
  <c r="H151" i="31"/>
  <c r="A151" i="31"/>
  <c r="H139" i="31"/>
  <c r="A139" i="31"/>
  <c r="H127" i="31"/>
  <c r="A127" i="31"/>
  <c r="H115" i="31"/>
  <c r="A115" i="31"/>
  <c r="H104" i="31"/>
  <c r="A104" i="31"/>
  <c r="H92" i="31"/>
  <c r="A92" i="31"/>
  <c r="H80" i="31"/>
  <c r="A80" i="31"/>
  <c r="H64" i="31"/>
  <c r="A64" i="31"/>
  <c r="H52" i="31"/>
  <c r="A52" i="31"/>
  <c r="H44" i="31"/>
  <c r="A44" i="31"/>
  <c r="H32" i="31"/>
  <c r="A32" i="31"/>
  <c r="H23" i="31"/>
  <c r="A23" i="31"/>
  <c r="A11" i="31"/>
  <c r="K7" i="43"/>
  <c r="K8" i="43"/>
  <c r="J15" i="33"/>
  <c r="G7" i="23"/>
  <c r="G32" i="23" s="1"/>
  <c r="G7" i="15"/>
  <c r="I12" i="19"/>
  <c r="A59" i="42"/>
  <c r="A10" i="31"/>
  <c r="A19" i="42"/>
  <c r="A31" i="42"/>
  <c r="A73" i="42"/>
  <c r="A74" i="42"/>
  <c r="K19" i="33"/>
  <c r="A69" i="42"/>
  <c r="A70" i="42"/>
  <c r="A71" i="42"/>
  <c r="B84" i="23"/>
  <c r="H369" i="31"/>
  <c r="H22" i="31"/>
  <c r="H27" i="31"/>
  <c r="H28" i="31"/>
  <c r="H29" i="31"/>
  <c r="H30" i="31"/>
  <c r="H31" i="31"/>
  <c r="H36" i="31"/>
  <c r="H37" i="31"/>
  <c r="H38" i="31"/>
  <c r="H39" i="31"/>
  <c r="H40" i="31"/>
  <c r="H41" i="31"/>
  <c r="H42" i="31"/>
  <c r="H43" i="31"/>
  <c r="H48" i="31"/>
  <c r="H49" i="31"/>
  <c r="H50" i="31"/>
  <c r="H51" i="31"/>
  <c r="H56" i="31"/>
  <c r="H57" i="31"/>
  <c r="H58" i="31"/>
  <c r="H59" i="31"/>
  <c r="H60" i="31"/>
  <c r="H61" i="31"/>
  <c r="H62" i="31"/>
  <c r="H63" i="31"/>
  <c r="H72" i="31"/>
  <c r="H73" i="31"/>
  <c r="H74" i="31"/>
  <c r="H75" i="31"/>
  <c r="H76" i="31"/>
  <c r="H77" i="31"/>
  <c r="H78" i="31"/>
  <c r="H79" i="31"/>
  <c r="H84" i="31"/>
  <c r="H85" i="31"/>
  <c r="H86" i="31"/>
  <c r="H87" i="31"/>
  <c r="H88" i="31"/>
  <c r="H89" i="31"/>
  <c r="H90" i="31"/>
  <c r="H91" i="31"/>
  <c r="H96" i="31"/>
  <c r="H97" i="31"/>
  <c r="H98" i="31"/>
  <c r="H99" i="31"/>
  <c r="H100" i="31"/>
  <c r="H101" i="31"/>
  <c r="H102" i="31"/>
  <c r="H103" i="31"/>
  <c r="H108" i="31"/>
  <c r="H109" i="31"/>
  <c r="H110" i="31"/>
  <c r="H111" i="31"/>
  <c r="H112" i="31"/>
  <c r="H113" i="31"/>
  <c r="H114" i="31"/>
  <c r="H119" i="31"/>
  <c r="H120" i="31"/>
  <c r="H121" i="31"/>
  <c r="H122" i="31"/>
  <c r="H123" i="31"/>
  <c r="H124" i="31"/>
  <c r="H125" i="31"/>
  <c r="H126" i="31"/>
  <c r="H131" i="31"/>
  <c r="H132" i="31"/>
  <c r="H133" i="31"/>
  <c r="H134" i="31"/>
  <c r="H135" i="31"/>
  <c r="H136" i="31"/>
  <c r="H137" i="31"/>
  <c r="H138" i="31"/>
  <c r="H143" i="31"/>
  <c r="H144" i="31"/>
  <c r="H145" i="31"/>
  <c r="H146" i="31"/>
  <c r="H147" i="31"/>
  <c r="H148" i="31"/>
  <c r="H149" i="31"/>
  <c r="H150" i="31"/>
  <c r="H155" i="31"/>
  <c r="H156" i="31"/>
  <c r="H157" i="31"/>
  <c r="H158" i="31"/>
  <c r="H159" i="31"/>
  <c r="H160" i="31"/>
  <c r="H161" i="31"/>
  <c r="H162" i="31"/>
  <c r="H167" i="31"/>
  <c r="H168" i="31"/>
  <c r="H169" i="31"/>
  <c r="H170" i="31"/>
  <c r="H171" i="31"/>
  <c r="H172" i="31"/>
  <c r="H173" i="31"/>
  <c r="H178" i="31"/>
  <c r="H179" i="31"/>
  <c r="H180" i="31"/>
  <c r="H181" i="31"/>
  <c r="H182" i="31"/>
  <c r="H183" i="31"/>
  <c r="H184" i="31"/>
  <c r="H185" i="31"/>
  <c r="H190" i="31"/>
  <c r="H191" i="31"/>
  <c r="H192" i="31"/>
  <c r="H193" i="31"/>
  <c r="H194" i="31"/>
  <c r="H195" i="31"/>
  <c r="H196" i="31"/>
  <c r="H197" i="31"/>
  <c r="H202" i="31"/>
  <c r="H203" i="31"/>
  <c r="H204" i="31"/>
  <c r="H205" i="31"/>
  <c r="H206" i="31"/>
  <c r="H207" i="31"/>
  <c r="H208" i="31"/>
  <c r="H209" i="31"/>
  <c r="H214" i="31"/>
  <c r="H215" i="31"/>
  <c r="H216" i="31"/>
  <c r="H217" i="31"/>
  <c r="H218" i="31"/>
  <c r="H219" i="31"/>
  <c r="H220" i="31"/>
  <c r="H221" i="31"/>
  <c r="H226" i="31"/>
  <c r="H227" i="31"/>
  <c r="H228" i="31"/>
  <c r="H229" i="31"/>
  <c r="H230" i="31"/>
  <c r="H231" i="31"/>
  <c r="H232" i="31"/>
  <c r="H233" i="31"/>
  <c r="H239" i="31"/>
  <c r="H240" i="31"/>
  <c r="H241" i="31"/>
  <c r="H242" i="31"/>
  <c r="H243" i="31"/>
  <c r="H244" i="31"/>
  <c r="H245" i="31"/>
  <c r="H250" i="31"/>
  <c r="H251" i="31"/>
  <c r="H252" i="31"/>
  <c r="H253" i="31"/>
  <c r="H254" i="31"/>
  <c r="H259" i="31"/>
  <c r="H260" i="31"/>
  <c r="H261" i="31"/>
  <c r="H262" i="31"/>
  <c r="H263" i="31"/>
  <c r="H264" i="31"/>
  <c r="H265" i="31"/>
  <c r="H270" i="31"/>
  <c r="H271" i="31"/>
  <c r="H272" i="31"/>
  <c r="H273" i="31"/>
  <c r="H274" i="31"/>
  <c r="H275" i="31"/>
  <c r="H276" i="31"/>
  <c r="H277" i="31"/>
  <c r="H282" i="31"/>
  <c r="H283" i="31"/>
  <c r="H284" i="31"/>
  <c r="H285" i="31"/>
  <c r="H286" i="31"/>
  <c r="H287" i="31"/>
  <c r="H288" i="31"/>
  <c r="H289" i="31"/>
  <c r="H294" i="31"/>
  <c r="H295" i="31"/>
  <c r="H296" i="31"/>
  <c r="H297" i="31"/>
  <c r="H298" i="31"/>
  <c r="H299" i="31"/>
  <c r="H300" i="31"/>
  <c r="H301" i="31"/>
  <c r="H306" i="31"/>
  <c r="H307" i="31"/>
  <c r="H308" i="31"/>
  <c r="H309" i="31"/>
  <c r="H310" i="31"/>
  <c r="H311" i="31"/>
  <c r="H312" i="31"/>
  <c r="H313" i="31"/>
  <c r="H318" i="31"/>
  <c r="H319" i="31"/>
  <c r="H320" i="31"/>
  <c r="H321" i="31"/>
  <c r="H322" i="31"/>
  <c r="H323" i="31"/>
  <c r="H324" i="31"/>
  <c r="H325" i="31"/>
  <c r="H330" i="31"/>
  <c r="H331" i="31"/>
  <c r="H332" i="31"/>
  <c r="H333" i="31"/>
  <c r="H334" i="31"/>
  <c r="H335" i="31"/>
  <c r="H336" i="31"/>
  <c r="H337" i="31"/>
  <c r="H342" i="31"/>
  <c r="H343" i="31"/>
  <c r="H344" i="31"/>
  <c r="H345" i="31"/>
  <c r="H346" i="31"/>
  <c r="H347" i="31"/>
  <c r="H348" i="31"/>
  <c r="H349" i="31"/>
  <c r="H354" i="31"/>
  <c r="H355" i="31"/>
  <c r="H356" i="31"/>
  <c r="H357" i="31"/>
  <c r="H358" i="31"/>
  <c r="H363" i="31"/>
  <c r="H364" i="31"/>
  <c r="H365" i="31"/>
  <c r="H366" i="31"/>
  <c r="H367" i="31"/>
  <c r="H368" i="31"/>
  <c r="H4" i="31"/>
  <c r="H5" i="31"/>
  <c r="H6" i="31"/>
  <c r="H7" i="31"/>
  <c r="H8" i="31"/>
  <c r="H9" i="31"/>
  <c r="H10" i="31"/>
  <c r="H15" i="31"/>
  <c r="H16" i="31"/>
  <c r="H17" i="31"/>
  <c r="H18" i="31"/>
  <c r="H19" i="31"/>
  <c r="H20" i="31"/>
  <c r="H21" i="31"/>
  <c r="A369" i="31"/>
  <c r="A358" i="31"/>
  <c r="A349" i="31"/>
  <c r="A337" i="31"/>
  <c r="A325" i="31"/>
  <c r="A313" i="31"/>
  <c r="A301" i="31"/>
  <c r="A289" i="31"/>
  <c r="A277" i="31"/>
  <c r="A265" i="31"/>
  <c r="A254" i="31"/>
  <c r="A245" i="31"/>
  <c r="A233" i="31"/>
  <c r="A221" i="31"/>
  <c r="A209" i="31"/>
  <c r="A197" i="31"/>
  <c r="A185" i="31"/>
  <c r="A173" i="31"/>
  <c r="A162" i="31"/>
  <c r="A150" i="31"/>
  <c r="A138" i="31"/>
  <c r="A126" i="31"/>
  <c r="A114" i="31"/>
  <c r="A103" i="31"/>
  <c r="A91" i="31"/>
  <c r="A79" i="31"/>
  <c r="A63" i="31"/>
  <c r="A51" i="31"/>
  <c r="A43" i="31"/>
  <c r="A31" i="31"/>
  <c r="A22" i="31"/>
  <c r="A363" i="31"/>
  <c r="A364" i="31"/>
  <c r="A365" i="31"/>
  <c r="A366" i="31"/>
  <c r="A367" i="31"/>
  <c r="A354" i="31"/>
  <c r="A355" i="31"/>
  <c r="A356" i="31"/>
  <c r="A343" i="31"/>
  <c r="A344" i="31"/>
  <c r="A345" i="31"/>
  <c r="A346" i="31"/>
  <c r="A347" i="31"/>
  <c r="A330" i="31"/>
  <c r="A331" i="31"/>
  <c r="A332" i="31"/>
  <c r="A333" i="31"/>
  <c r="A334" i="31"/>
  <c r="A335" i="31"/>
  <c r="A318" i="31"/>
  <c r="A319" i="31"/>
  <c r="A320" i="31"/>
  <c r="A321" i="31"/>
  <c r="A322" i="31"/>
  <c r="A323" i="31"/>
  <c r="A306" i="31"/>
  <c r="A307" i="31"/>
  <c r="A308" i="31"/>
  <c r="A309" i="31"/>
  <c r="A310" i="31"/>
  <c r="A311" i="31"/>
  <c r="A294" i="31"/>
  <c r="A295" i="31"/>
  <c r="A296" i="31"/>
  <c r="A297" i="31"/>
  <c r="A298" i="31"/>
  <c r="A299" i="31"/>
  <c r="A282" i="31"/>
  <c r="A283" i="31"/>
  <c r="A284" i="31"/>
  <c r="A285" i="31"/>
  <c r="A286" i="31"/>
  <c r="A287" i="31"/>
  <c r="A270" i="31"/>
  <c r="A271" i="31"/>
  <c r="A272" i="31"/>
  <c r="A273" i="31"/>
  <c r="A274" i="31"/>
  <c r="A275" i="31"/>
  <c r="A259" i="31"/>
  <c r="A260" i="31"/>
  <c r="A261" i="31"/>
  <c r="A262" i="31"/>
  <c r="A263" i="31"/>
  <c r="A250" i="31"/>
  <c r="A251" i="31"/>
  <c r="A252" i="31"/>
  <c r="A239" i="31"/>
  <c r="A240" i="31"/>
  <c r="A241" i="31"/>
  <c r="A242" i="31"/>
  <c r="A243" i="31"/>
  <c r="A226" i="31"/>
  <c r="A227" i="31"/>
  <c r="A228" i="31"/>
  <c r="A229" i="31"/>
  <c r="A230" i="31"/>
  <c r="A231" i="31"/>
  <c r="A214" i="31"/>
  <c r="A215" i="31"/>
  <c r="A216" i="31"/>
  <c r="A217" i="31"/>
  <c r="A218" i="31"/>
  <c r="A219" i="31"/>
  <c r="A202" i="31"/>
  <c r="A203" i="31"/>
  <c r="A204" i="31"/>
  <c r="A205" i="31"/>
  <c r="A206" i="31"/>
  <c r="A207" i="31"/>
  <c r="A190" i="31"/>
  <c r="A191" i="31"/>
  <c r="A192" i="31"/>
  <c r="A193" i="31"/>
  <c r="A194" i="31"/>
  <c r="A195" i="31"/>
  <c r="A178" i="31"/>
  <c r="A179" i="31"/>
  <c r="A180" i="31"/>
  <c r="A181" i="31"/>
  <c r="A182" i="31"/>
  <c r="A183" i="31"/>
  <c r="A167" i="31"/>
  <c r="A168" i="31"/>
  <c r="A169" i="31"/>
  <c r="A170" i="31"/>
  <c r="A171" i="31"/>
  <c r="A155" i="31"/>
  <c r="A156" i="31"/>
  <c r="A157" i="31"/>
  <c r="A158" i="31"/>
  <c r="A159" i="31"/>
  <c r="A160" i="31"/>
  <c r="A143" i="31"/>
  <c r="A144" i="31"/>
  <c r="A145" i="31"/>
  <c r="A146" i="31"/>
  <c r="A147" i="31"/>
  <c r="A148" i="31"/>
  <c r="A131" i="31"/>
  <c r="A132" i="31"/>
  <c r="A133" i="31"/>
  <c r="A134" i="31"/>
  <c r="A135" i="31"/>
  <c r="A136" i="31"/>
  <c r="A119" i="31"/>
  <c r="A120" i="31"/>
  <c r="A121" i="31"/>
  <c r="A122" i="31"/>
  <c r="A123" i="31"/>
  <c r="A124" i="31"/>
  <c r="A108" i="31"/>
  <c r="A109" i="31"/>
  <c r="A110" i="31"/>
  <c r="A111" i="31"/>
  <c r="A112" i="31"/>
  <c r="A96" i="31"/>
  <c r="A97" i="31"/>
  <c r="A98" i="31"/>
  <c r="A99" i="31"/>
  <c r="A100" i="31"/>
  <c r="A101" i="31"/>
  <c r="A84" i="31"/>
  <c r="A85" i="31"/>
  <c r="A86" i="31"/>
  <c r="A87" i="31"/>
  <c r="A88" i="31"/>
  <c r="A89" i="31"/>
  <c r="A72" i="31"/>
  <c r="A73" i="31"/>
  <c r="A74" i="31"/>
  <c r="A75" i="31"/>
  <c r="A76" i="31"/>
  <c r="A77" i="31"/>
  <c r="A56" i="31"/>
  <c r="A57" i="31"/>
  <c r="A58" i="31"/>
  <c r="A59" i="31"/>
  <c r="A60" i="31"/>
  <c r="A61" i="31"/>
  <c r="A48" i="31"/>
  <c r="A49" i="31"/>
  <c r="A36" i="31"/>
  <c r="A37" i="31"/>
  <c r="A38" i="31"/>
  <c r="A39" i="31"/>
  <c r="A40" i="31"/>
  <c r="A41" i="31"/>
  <c r="A27" i="31"/>
  <c r="A28" i="31"/>
  <c r="A29" i="31"/>
  <c r="A15" i="31"/>
  <c r="A16" i="31"/>
  <c r="A17" i="31"/>
  <c r="A18" i="31"/>
  <c r="A19" i="31"/>
  <c r="A20" i="31"/>
  <c r="A3" i="31"/>
  <c r="H3" i="31"/>
  <c r="A4" i="31"/>
  <c r="A5" i="31"/>
  <c r="A6" i="31"/>
  <c r="A7" i="31"/>
  <c r="A8" i="31"/>
  <c r="I40" i="32"/>
  <c r="G47" i="23" l="1"/>
  <c r="I49" i="23"/>
  <c r="H52" i="23"/>
  <c r="F48" i="23"/>
  <c r="E47" i="23"/>
  <c r="C46" i="23"/>
  <c r="G50" i="23"/>
  <c r="I52" i="23"/>
  <c r="F49" i="23"/>
  <c r="E48" i="23"/>
  <c r="C47" i="23"/>
  <c r="H50" i="23"/>
  <c r="C48" i="23"/>
  <c r="E50" i="23"/>
  <c r="C49" i="23"/>
  <c r="H47" i="23"/>
  <c r="G45" i="23"/>
  <c r="I47" i="23"/>
  <c r="G53" i="23"/>
  <c r="F51" i="23"/>
  <c r="H45" i="23"/>
  <c r="I45" i="23"/>
  <c r="H48" i="23"/>
  <c r="G51" i="23"/>
  <c r="I53" i="23"/>
  <c r="F52" i="23"/>
  <c r="E51" i="23"/>
  <c r="C50" i="23"/>
  <c r="I51" i="23"/>
  <c r="F46" i="23"/>
  <c r="E53" i="23"/>
  <c r="H49" i="23"/>
  <c r="F47" i="23"/>
  <c r="C45" i="23"/>
  <c r="F50" i="23"/>
  <c r="I50" i="23"/>
  <c r="G46" i="23"/>
  <c r="I48" i="23"/>
  <c r="H51" i="23"/>
  <c r="F45" i="23"/>
  <c r="F53" i="23"/>
  <c r="E52" i="23"/>
  <c r="C51" i="23"/>
  <c r="G49" i="23"/>
  <c r="E45" i="23"/>
  <c r="C52" i="23"/>
  <c r="G52" i="23"/>
  <c r="E46" i="23"/>
  <c r="C53" i="23"/>
  <c r="E49" i="23"/>
  <c r="H53" i="23"/>
  <c r="H46" i="23"/>
  <c r="G48" i="23"/>
  <c r="I46" i="23"/>
  <c r="K77" i="33"/>
  <c r="K78" i="33"/>
  <c r="K86" i="33"/>
  <c r="K94" i="33"/>
  <c r="J83" i="33"/>
  <c r="J91" i="33"/>
  <c r="I80" i="33"/>
  <c r="I88" i="33"/>
  <c r="I96" i="33"/>
  <c r="F85" i="33"/>
  <c r="F93" i="33"/>
  <c r="C82" i="33"/>
  <c r="C90" i="33"/>
  <c r="F78" i="33"/>
  <c r="F86" i="33"/>
  <c r="C83" i="33"/>
  <c r="F79" i="33"/>
  <c r="C84" i="33"/>
  <c r="J86" i="33"/>
  <c r="I91" i="33"/>
  <c r="F96" i="33"/>
  <c r="K82" i="33"/>
  <c r="I84" i="33"/>
  <c r="C78" i="33"/>
  <c r="J88" i="33"/>
  <c r="I85" i="33"/>
  <c r="C87" i="33"/>
  <c r="K79" i="33"/>
  <c r="K87" i="33"/>
  <c r="K95" i="33"/>
  <c r="J84" i="33"/>
  <c r="J92" i="33"/>
  <c r="I81" i="33"/>
  <c r="I89" i="33"/>
  <c r="F94" i="33"/>
  <c r="C91" i="33"/>
  <c r="F87" i="33"/>
  <c r="C92" i="33"/>
  <c r="J78" i="33"/>
  <c r="F88" i="33"/>
  <c r="J95" i="33"/>
  <c r="J96" i="33"/>
  <c r="C95" i="33"/>
  <c r="K80" i="33"/>
  <c r="K88" i="33"/>
  <c r="K96" i="33"/>
  <c r="J85" i="33"/>
  <c r="J93" i="33"/>
  <c r="I82" i="33"/>
  <c r="I90" i="33"/>
  <c r="F95" i="33"/>
  <c r="J94" i="33"/>
  <c r="C85" i="33"/>
  <c r="J87" i="33"/>
  <c r="C94" i="33"/>
  <c r="I93" i="33"/>
  <c r="K81" i="33"/>
  <c r="K89" i="33"/>
  <c r="I83" i="33"/>
  <c r="F80" i="33"/>
  <c r="C93" i="33"/>
  <c r="K90" i="33"/>
  <c r="F89" i="33"/>
  <c r="K83" i="33"/>
  <c r="C79" i="33"/>
  <c r="K84" i="33"/>
  <c r="K92" i="33"/>
  <c r="J81" i="33"/>
  <c r="J89" i="33"/>
  <c r="I78" i="33"/>
  <c r="I86" i="33"/>
  <c r="I94" i="33"/>
  <c r="F83" i="33"/>
  <c r="F91" i="33"/>
  <c r="C80" i="33"/>
  <c r="C88" i="33"/>
  <c r="C96" i="33"/>
  <c r="I92" i="33"/>
  <c r="C86" i="33"/>
  <c r="J80" i="33"/>
  <c r="F82" i="33"/>
  <c r="K85" i="33"/>
  <c r="K93" i="33"/>
  <c r="J82" i="33"/>
  <c r="J90" i="33"/>
  <c r="I79" i="33"/>
  <c r="I87" i="33"/>
  <c r="I95" i="33"/>
  <c r="F84" i="33"/>
  <c r="F92" i="33"/>
  <c r="C81" i="33"/>
  <c r="C89" i="33"/>
  <c r="J79" i="33"/>
  <c r="F81" i="33"/>
  <c r="K91" i="33"/>
  <c r="F90" i="33"/>
  <c r="G20" i="23"/>
  <c r="G28" i="23"/>
  <c r="G36" i="23"/>
  <c r="G44" i="23"/>
  <c r="I26" i="23"/>
  <c r="I34" i="23"/>
  <c r="I42" i="23"/>
  <c r="H24" i="23"/>
  <c r="H32" i="23"/>
  <c r="H40" i="23"/>
  <c r="F23" i="23"/>
  <c r="F31" i="23"/>
  <c r="F39" i="23"/>
  <c r="E22" i="23"/>
  <c r="E30" i="23"/>
  <c r="E38" i="23"/>
  <c r="C21" i="23"/>
  <c r="C29" i="23"/>
  <c r="C37" i="23"/>
  <c r="H19" i="23"/>
  <c r="G34" i="23"/>
  <c r="F37" i="23"/>
  <c r="G43" i="23"/>
  <c r="H31" i="23"/>
  <c r="F38" i="23"/>
  <c r="E37" i="23"/>
  <c r="C44" i="23"/>
  <c r="G21" i="23"/>
  <c r="G29" i="23"/>
  <c r="G37" i="23"/>
  <c r="G19" i="23"/>
  <c r="I27" i="23"/>
  <c r="I35" i="23"/>
  <c r="I43" i="23"/>
  <c r="H25" i="23"/>
  <c r="H33" i="23"/>
  <c r="H41" i="23"/>
  <c r="F24" i="23"/>
  <c r="F32" i="23"/>
  <c r="F40" i="23"/>
  <c r="E23" i="23"/>
  <c r="E31" i="23"/>
  <c r="E39" i="23"/>
  <c r="C22" i="23"/>
  <c r="C30" i="23"/>
  <c r="C38" i="23"/>
  <c r="F19" i="23"/>
  <c r="G42" i="23"/>
  <c r="E44" i="23"/>
  <c r="I33" i="23"/>
  <c r="C28" i="23"/>
  <c r="G22" i="23"/>
  <c r="G30" i="23"/>
  <c r="G38" i="23"/>
  <c r="I20" i="23"/>
  <c r="I28" i="23"/>
  <c r="I36" i="23"/>
  <c r="I44" i="23"/>
  <c r="H26" i="23"/>
  <c r="H34" i="23"/>
  <c r="H42" i="23"/>
  <c r="F25" i="23"/>
  <c r="F33" i="23"/>
  <c r="F41" i="23"/>
  <c r="E24" i="23"/>
  <c r="E32" i="23"/>
  <c r="E40" i="23"/>
  <c r="C23" i="23"/>
  <c r="C31" i="23"/>
  <c r="C39" i="23"/>
  <c r="E19" i="23"/>
  <c r="G23" i="23"/>
  <c r="G31" i="23"/>
  <c r="G39" i="23"/>
  <c r="I21" i="23"/>
  <c r="I29" i="23"/>
  <c r="I37" i="23"/>
  <c r="I19" i="23"/>
  <c r="H27" i="23"/>
  <c r="H35" i="23"/>
  <c r="H43" i="23"/>
  <c r="F26" i="23"/>
  <c r="F34" i="23"/>
  <c r="F42" i="23"/>
  <c r="E25" i="23"/>
  <c r="E33" i="23"/>
  <c r="E41" i="23"/>
  <c r="C24" i="23"/>
  <c r="C32" i="23"/>
  <c r="C40" i="23"/>
  <c r="C19" i="23"/>
  <c r="G26" i="23"/>
  <c r="E28" i="23"/>
  <c r="G35" i="23"/>
  <c r="F22" i="23"/>
  <c r="E29" i="23"/>
  <c r="G24" i="23"/>
  <c r="G40" i="23"/>
  <c r="I22" i="23"/>
  <c r="I30" i="23"/>
  <c r="I38" i="23"/>
  <c r="H20" i="23"/>
  <c r="H28" i="23"/>
  <c r="H36" i="23"/>
  <c r="H44" i="23"/>
  <c r="F27" i="23"/>
  <c r="F35" i="23"/>
  <c r="F43" i="23"/>
  <c r="E26" i="23"/>
  <c r="E34" i="23"/>
  <c r="E42" i="23"/>
  <c r="C25" i="23"/>
  <c r="C33" i="23"/>
  <c r="C41" i="23"/>
  <c r="G25" i="23"/>
  <c r="G33" i="23"/>
  <c r="G41" i="23"/>
  <c r="I23" i="23"/>
  <c r="I31" i="23"/>
  <c r="I39" i="23"/>
  <c r="H21" i="23"/>
  <c r="H29" i="23"/>
  <c r="H37" i="23"/>
  <c r="F20" i="23"/>
  <c r="F28" i="23"/>
  <c r="F36" i="23"/>
  <c r="E27" i="23"/>
  <c r="E35" i="23"/>
  <c r="E43" i="23"/>
  <c r="C26" i="23"/>
  <c r="C34" i="23"/>
  <c r="C42" i="23"/>
  <c r="I32" i="23"/>
  <c r="I40" i="23"/>
  <c r="H30" i="23"/>
  <c r="F21" i="23"/>
  <c r="E20" i="23"/>
  <c r="C27" i="23"/>
  <c r="C43" i="23"/>
  <c r="I25" i="23"/>
  <c r="I41" i="23"/>
  <c r="H39" i="23"/>
  <c r="E21" i="23"/>
  <c r="C36" i="23"/>
  <c r="F44" i="23"/>
  <c r="I24" i="23"/>
  <c r="H22" i="23"/>
  <c r="H38" i="23"/>
  <c r="F29" i="23"/>
  <c r="E36" i="23"/>
  <c r="C35" i="23"/>
  <c r="G27" i="23"/>
  <c r="H23" i="23"/>
  <c r="F30" i="23"/>
  <c r="C20" i="23"/>
  <c r="C77" i="33"/>
  <c r="I77" i="33"/>
  <c r="F77" i="33"/>
  <c r="J77" i="33"/>
  <c r="K5" i="43"/>
  <c r="A5" i="43"/>
  <c r="K4" i="43"/>
  <c r="A4" i="43"/>
  <c r="G16" i="37"/>
  <c r="G17" i="37"/>
  <c r="G18" i="37"/>
  <c r="G19" i="37"/>
  <c r="H40" i="32"/>
  <c r="A357" i="31"/>
  <c r="A348" i="31"/>
  <c r="A336" i="31"/>
  <c r="A324" i="31"/>
  <c r="A312" i="31"/>
  <c r="A300" i="31"/>
  <c r="A288" i="31"/>
  <c r="A276" i="31"/>
  <c r="A264" i="31"/>
  <c r="A253" i="31"/>
  <c r="A244" i="31"/>
  <c r="A232" i="31"/>
  <c r="A220" i="31"/>
  <c r="A208" i="31"/>
  <c r="A196" i="31"/>
  <c r="A184" i="31"/>
  <c r="A172" i="31"/>
  <c r="A161" i="31"/>
  <c r="A149" i="31"/>
  <c r="A137" i="31"/>
  <c r="A125" i="31"/>
  <c r="A113" i="31"/>
  <c r="A102" i="31"/>
  <c r="A90" i="31"/>
  <c r="A78" i="31"/>
  <c r="A62" i="31"/>
  <c r="A50" i="31"/>
  <c r="A42" i="31"/>
  <c r="A30" i="31"/>
  <c r="A21" i="31"/>
  <c r="A9" i="31"/>
  <c r="D34" i="33" l="1"/>
  <c r="D35" i="33"/>
  <c r="A368" i="31"/>
  <c r="F35" i="33" s="1"/>
  <c r="F34" i="33" l="1"/>
  <c r="E68" i="3"/>
  <c r="E67" i="3"/>
  <c r="E65" i="3"/>
  <c r="E64" i="3"/>
  <c r="E62" i="3"/>
  <c r="E61" i="3"/>
  <c r="E59" i="3"/>
  <c r="E58" i="3"/>
  <c r="E56" i="3"/>
  <c r="E55" i="3"/>
  <c r="E53" i="3"/>
  <c r="E52" i="3"/>
  <c r="A6" i="43" l="1"/>
  <c r="A7" i="43"/>
  <c r="A8" i="43"/>
  <c r="A9" i="43"/>
  <c r="A10" i="43"/>
  <c r="A11" i="43"/>
  <c r="A12" i="43"/>
  <c r="A13" i="43"/>
  <c r="A14" i="43"/>
  <c r="A15" i="43"/>
  <c r="A16" i="43"/>
  <c r="A17" i="43"/>
  <c r="A18" i="43"/>
  <c r="A19" i="43"/>
  <c r="A20" i="43"/>
  <c r="K6" i="43" l="1"/>
  <c r="K9" i="43"/>
  <c r="K10" i="43"/>
  <c r="K11" i="43"/>
  <c r="K12" i="43"/>
  <c r="K13" i="43"/>
  <c r="K14" i="43"/>
  <c r="K15" i="43"/>
  <c r="K16" i="43"/>
  <c r="K17" i="43"/>
  <c r="K18" i="43"/>
  <c r="K19" i="43"/>
  <c r="K20" i="43"/>
  <c r="K21" i="43"/>
  <c r="K22" i="43"/>
  <c r="K23" i="43"/>
  <c r="K24" i="43"/>
  <c r="K25" i="43"/>
  <c r="K26" i="43"/>
  <c r="K27" i="43"/>
  <c r="K28" i="43"/>
  <c r="K29" i="43"/>
  <c r="K30" i="43"/>
  <c r="K31" i="43"/>
  <c r="K32" i="43"/>
  <c r="K33" i="43"/>
  <c r="K34" i="43"/>
  <c r="K35" i="43"/>
  <c r="K36" i="43"/>
  <c r="K37" i="43"/>
  <c r="K38" i="43"/>
  <c r="K39" i="43"/>
  <c r="K40" i="43"/>
  <c r="K41" i="43"/>
  <c r="K42" i="43"/>
  <c r="K43" i="43"/>
  <c r="K44" i="43"/>
  <c r="K45" i="43"/>
  <c r="K46" i="43"/>
  <c r="K47" i="43"/>
  <c r="K48" i="43"/>
  <c r="K49" i="43"/>
  <c r="K50" i="43"/>
  <c r="K51" i="43"/>
  <c r="K52" i="43"/>
  <c r="K53" i="43"/>
  <c r="K54" i="43"/>
  <c r="K55" i="43"/>
  <c r="K56" i="43"/>
  <c r="K57" i="43"/>
  <c r="K58" i="43"/>
  <c r="K59" i="43"/>
  <c r="K2" i="43"/>
  <c r="A2" i="43"/>
  <c r="G68" i="15" l="1"/>
  <c r="G72" i="15"/>
  <c r="K68" i="15"/>
  <c r="K72" i="15"/>
  <c r="K71" i="15"/>
  <c r="G69" i="15"/>
  <c r="G70" i="15"/>
  <c r="G71" i="15"/>
  <c r="K70" i="15"/>
  <c r="K69" i="15"/>
  <c r="A3" i="42"/>
  <c r="A4" i="42"/>
  <c r="A5" i="42"/>
  <c r="A6" i="42"/>
  <c r="A7" i="42"/>
  <c r="A8" i="42"/>
  <c r="A9" i="42"/>
  <c r="A10" i="42"/>
  <c r="A11" i="42"/>
  <c r="A12" i="42"/>
  <c r="A13" i="42"/>
  <c r="A14" i="42"/>
  <c r="A15" i="42"/>
  <c r="A16" i="42"/>
  <c r="A17" i="42"/>
  <c r="A18" i="42"/>
  <c r="A20" i="42"/>
  <c r="A21" i="42"/>
  <c r="A22" i="42"/>
  <c r="A23" i="42"/>
  <c r="A24" i="42"/>
  <c r="A25" i="42"/>
  <c r="A26" i="42"/>
  <c r="A27" i="42"/>
  <c r="A28" i="42"/>
  <c r="A29" i="42"/>
  <c r="A30" i="42"/>
  <c r="A32" i="42"/>
  <c r="A33" i="42"/>
  <c r="A34" i="42"/>
  <c r="A35" i="42"/>
  <c r="A36" i="42"/>
  <c r="A37" i="42"/>
  <c r="A38" i="42"/>
  <c r="A39" i="42"/>
  <c r="A40" i="42"/>
  <c r="A41" i="42"/>
  <c r="A42" i="42"/>
  <c r="A43" i="42"/>
  <c r="A44" i="42"/>
  <c r="A45" i="42"/>
  <c r="A46" i="42"/>
  <c r="A47" i="42"/>
  <c r="A48" i="42"/>
  <c r="A49" i="42"/>
  <c r="A50" i="42"/>
  <c r="A51" i="42"/>
  <c r="A52" i="42"/>
  <c r="A53" i="42"/>
  <c r="A54" i="42"/>
  <c r="A56" i="42"/>
  <c r="A57" i="42"/>
  <c r="A58" i="42"/>
  <c r="A60" i="42"/>
  <c r="A61" i="42"/>
  <c r="A62" i="42"/>
  <c r="A63" i="42"/>
  <c r="A64" i="42"/>
  <c r="A65" i="42"/>
  <c r="A66" i="42"/>
  <c r="A67" i="42"/>
  <c r="A68" i="42"/>
  <c r="A72" i="42"/>
  <c r="A75" i="42"/>
  <c r="A76" i="42"/>
  <c r="A77" i="42"/>
  <c r="O6" i="37"/>
  <c r="P2" i="42"/>
  <c r="A2" i="42"/>
  <c r="J51" i="33" l="1"/>
  <c r="J59" i="33"/>
  <c r="I53" i="33"/>
  <c r="I61" i="33"/>
  <c r="H55" i="33"/>
  <c r="H63" i="33"/>
  <c r="F57" i="33"/>
  <c r="C51" i="33"/>
  <c r="C59" i="33"/>
  <c r="F62" i="33"/>
  <c r="H61" i="33"/>
  <c r="J52" i="33"/>
  <c r="J60" i="33"/>
  <c r="I54" i="33"/>
  <c r="I62" i="33"/>
  <c r="H56" i="33"/>
  <c r="H64" i="33"/>
  <c r="F58" i="33"/>
  <c r="C52" i="33"/>
  <c r="C60" i="33"/>
  <c r="H60" i="33"/>
  <c r="I59" i="33"/>
  <c r="J53" i="33"/>
  <c r="J61" i="33"/>
  <c r="I55" i="33"/>
  <c r="I63" i="33"/>
  <c r="H57" i="33"/>
  <c r="F51" i="33"/>
  <c r="F59" i="33"/>
  <c r="C53" i="33"/>
  <c r="C61" i="33"/>
  <c r="H52" i="33"/>
  <c r="F55" i="33"/>
  <c r="J54" i="33"/>
  <c r="J62" i="33"/>
  <c r="I56" i="33"/>
  <c r="I64" i="33"/>
  <c r="H58" i="33"/>
  <c r="F52" i="33"/>
  <c r="F60" i="33"/>
  <c r="C54" i="33"/>
  <c r="C62" i="33"/>
  <c r="I58" i="33"/>
  <c r="C64" i="33"/>
  <c r="C57" i="33"/>
  <c r="J55" i="33"/>
  <c r="J63" i="33"/>
  <c r="I57" i="33"/>
  <c r="H51" i="33"/>
  <c r="H59" i="33"/>
  <c r="F53" i="33"/>
  <c r="F61" i="33"/>
  <c r="C55" i="33"/>
  <c r="C63" i="33"/>
  <c r="J64" i="33"/>
  <c r="H53" i="33"/>
  <c r="J56" i="33"/>
  <c r="C56" i="33"/>
  <c r="J57" i="33"/>
  <c r="I51" i="33"/>
  <c r="F63" i="33"/>
  <c r="J58" i="33"/>
  <c r="I52" i="33"/>
  <c r="I60" i="33"/>
  <c r="H54" i="33"/>
  <c r="H62" i="33"/>
  <c r="F56" i="33"/>
  <c r="F64" i="33"/>
  <c r="C58" i="33"/>
  <c r="F54" i="33"/>
  <c r="J50" i="33"/>
  <c r="I50" i="33"/>
  <c r="H50" i="33"/>
  <c r="F50" i="33"/>
  <c r="C50" i="33"/>
  <c r="AB16" i="37"/>
  <c r="Q25" i="37"/>
  <c r="Q17" i="37"/>
  <c r="T24" i="37"/>
  <c r="T15" i="37"/>
  <c r="X22" i="37"/>
  <c r="Z15" i="37"/>
  <c r="Z22" i="37"/>
  <c r="AB29" i="37"/>
  <c r="AB21" i="37"/>
  <c r="Q24" i="37"/>
  <c r="Q16" i="37"/>
  <c r="T23" i="37"/>
  <c r="X29" i="37"/>
  <c r="X21" i="37"/>
  <c r="Z29" i="37"/>
  <c r="Z21" i="37"/>
  <c r="AB28" i="37"/>
  <c r="AB20" i="37"/>
  <c r="AB18" i="37"/>
  <c r="Q29" i="37"/>
  <c r="Q21" i="37"/>
  <c r="T28" i="37"/>
  <c r="T20" i="37"/>
  <c r="X26" i="37"/>
  <c r="X18" i="37"/>
  <c r="Z26" i="37"/>
  <c r="Z18" i="37"/>
  <c r="AB25" i="37"/>
  <c r="AB17" i="37"/>
  <c r="Q28" i="37"/>
  <c r="Q20" i="37"/>
  <c r="T27" i="37"/>
  <c r="T19" i="37"/>
  <c r="X25" i="37"/>
  <c r="X17" i="37"/>
  <c r="Z25" i="37"/>
  <c r="Z17" i="37"/>
  <c r="AB24" i="37"/>
  <c r="Q27" i="37"/>
  <c r="Q23" i="37"/>
  <c r="Q19" i="37"/>
  <c r="T16" i="37"/>
  <c r="T26" i="37"/>
  <c r="T22" i="37"/>
  <c r="T18" i="37"/>
  <c r="X28" i="37"/>
  <c r="X24" i="37"/>
  <c r="X20" i="37"/>
  <c r="X16" i="37"/>
  <c r="Z28" i="37"/>
  <c r="Z24" i="37"/>
  <c r="Z20" i="37"/>
  <c r="Z16" i="37"/>
  <c r="AB27" i="37"/>
  <c r="AB23" i="37"/>
  <c r="AB19" i="37"/>
  <c r="Q15" i="37"/>
  <c r="Q26" i="37"/>
  <c r="Q22" i="37"/>
  <c r="Q18" i="37"/>
  <c r="T29" i="37"/>
  <c r="T25" i="37"/>
  <c r="T21" i="37"/>
  <c r="T17" i="37"/>
  <c r="X27" i="37"/>
  <c r="X23" i="37"/>
  <c r="X19" i="37"/>
  <c r="X15" i="37"/>
  <c r="Z27" i="37"/>
  <c r="Z23" i="37"/>
  <c r="Z19" i="37"/>
  <c r="AB15" i="37"/>
  <c r="AB26" i="37"/>
  <c r="AB22" i="37"/>
  <c r="F78" i="3"/>
  <c r="A2" i="38" l="1"/>
  <c r="AB2" i="38"/>
  <c r="I25" i="37" l="1"/>
  <c r="I26" i="37"/>
  <c r="I27" i="37"/>
  <c r="I24" i="37"/>
  <c r="A1" i="17" l="1"/>
  <c r="B23" i="37" l="1"/>
  <c r="B15" i="37"/>
  <c r="B31" i="37"/>
  <c r="B77" i="3" l="1"/>
  <c r="B75" i="3"/>
  <c r="L14" i="19" l="1"/>
  <c r="J69" i="15" l="1"/>
  <c r="E69" i="15"/>
  <c r="E70" i="15"/>
  <c r="E72" i="15"/>
  <c r="J70" i="15"/>
  <c r="J71" i="15"/>
  <c r="E71" i="15"/>
  <c r="J72" i="15"/>
  <c r="H69" i="15"/>
  <c r="F69" i="15"/>
  <c r="C69" i="15"/>
  <c r="F70" i="15"/>
  <c r="C70" i="15"/>
  <c r="F71" i="15"/>
  <c r="C71" i="15"/>
  <c r="C72" i="15"/>
  <c r="H70" i="15"/>
  <c r="F72" i="15"/>
  <c r="H71" i="15"/>
  <c r="H72" i="15"/>
  <c r="J68" i="15"/>
  <c r="C68" i="15"/>
  <c r="F68" i="15"/>
  <c r="E68" i="15"/>
  <c r="H68" i="15"/>
  <c r="C51" i="15"/>
  <c r="C50" i="15"/>
  <c r="E40" i="32" l="1"/>
  <c r="F40" i="32"/>
  <c r="G40" i="32"/>
  <c r="D40" i="32"/>
  <c r="J42" i="32" l="1"/>
  <c r="A2" i="16"/>
  <c r="A1" i="16"/>
  <c r="I31" i="5"/>
  <c r="F31" i="5"/>
  <c r="I30" i="5"/>
  <c r="F30" i="5"/>
  <c r="I29" i="5"/>
  <c r="F29" i="5"/>
  <c r="F28" i="5"/>
  <c r="I27" i="5"/>
  <c r="F27" i="5"/>
  <c r="I26" i="5"/>
  <c r="F26" i="5"/>
  <c r="I20" i="5"/>
  <c r="F20" i="5"/>
  <c r="I19" i="5"/>
  <c r="F19" i="5"/>
  <c r="I18" i="5"/>
  <c r="F18" i="5"/>
  <c r="I17" i="5"/>
  <c r="F17" i="5"/>
  <c r="I16" i="5"/>
  <c r="F16" i="5"/>
  <c r="I15" i="5"/>
  <c r="F15" i="5"/>
  <c r="I14" i="5"/>
  <c r="F14" i="5"/>
  <c r="I12" i="5"/>
  <c r="F12" i="5"/>
  <c r="I11" i="5"/>
  <c r="F11" i="5"/>
  <c r="F24" i="4"/>
  <c r="F23" i="4"/>
  <c r="F22" i="4"/>
  <c r="F21" i="4"/>
  <c r="I19" i="4"/>
  <c r="F19" i="4"/>
  <c r="I18" i="4"/>
  <c r="F18" i="4"/>
  <c r="I17" i="4"/>
  <c r="F17" i="4"/>
  <c r="I16" i="4"/>
  <c r="F16" i="4"/>
  <c r="I15" i="4"/>
  <c r="F15" i="4"/>
  <c r="I14" i="4"/>
  <c r="F14" i="4"/>
  <c r="I12" i="4"/>
  <c r="F12" i="4"/>
  <c r="I11" i="4"/>
  <c r="F11" i="4"/>
  <c r="F80" i="3"/>
  <c r="F76" i="3"/>
  <c r="F74" i="3"/>
  <c r="F18" i="3"/>
  <c r="C23" i="15" l="1"/>
  <c r="H54" i="15"/>
  <c r="H50" i="15"/>
  <c r="F52" i="15"/>
  <c r="C54" i="15"/>
  <c r="F54" i="15"/>
  <c r="H52" i="15"/>
  <c r="G51" i="15"/>
  <c r="E53" i="15"/>
  <c r="F50" i="15"/>
  <c r="C52" i="15"/>
  <c r="G53" i="15"/>
  <c r="E54" i="15"/>
  <c r="E51" i="15"/>
  <c r="F26" i="15"/>
  <c r="F30" i="15"/>
  <c r="F27" i="15"/>
  <c r="F31" i="15"/>
  <c r="F28" i="15"/>
  <c r="F29" i="15"/>
  <c r="G31" i="15"/>
  <c r="F32" i="15"/>
  <c r="C26" i="15"/>
  <c r="C32" i="15"/>
  <c r="C33" i="15"/>
  <c r="K36" i="15"/>
  <c r="K31" i="15"/>
  <c r="H23" i="15"/>
  <c r="C30" i="15"/>
  <c r="C29" i="15"/>
  <c r="C35" i="15"/>
  <c r="K24" i="15"/>
  <c r="K30" i="15"/>
  <c r="C34" i="15"/>
  <c r="C37" i="15"/>
  <c r="C28" i="15"/>
  <c r="K28" i="15"/>
  <c r="K37" i="15"/>
  <c r="K35" i="15"/>
  <c r="C38" i="15"/>
  <c r="C27" i="15"/>
  <c r="C36" i="15"/>
  <c r="K32" i="15"/>
  <c r="K34" i="15"/>
  <c r="K33" i="15"/>
  <c r="K38" i="15"/>
  <c r="C31" i="15"/>
  <c r="K29" i="15"/>
  <c r="K27" i="15"/>
  <c r="K25" i="15"/>
  <c r="C24" i="15"/>
  <c r="G30" i="15"/>
  <c r="C25" i="15"/>
  <c r="H24" i="15"/>
  <c r="G24" i="15"/>
  <c r="F36" i="15"/>
  <c r="E32" i="15"/>
  <c r="H29" i="15"/>
  <c r="G29" i="15"/>
  <c r="F25" i="15"/>
  <c r="E37" i="15"/>
  <c r="H26" i="15"/>
  <c r="G26" i="15"/>
  <c r="F38" i="15"/>
  <c r="H43" i="15"/>
  <c r="G23" i="15"/>
  <c r="F35" i="15"/>
  <c r="E31" i="15"/>
  <c r="F34" i="15"/>
  <c r="E42" i="15"/>
  <c r="H28" i="15"/>
  <c r="G28" i="15"/>
  <c r="F24" i="15"/>
  <c r="E36" i="15"/>
  <c r="H33" i="15"/>
  <c r="G33" i="15"/>
  <c r="E25" i="15"/>
  <c r="H30" i="15"/>
  <c r="E26" i="15"/>
  <c r="H42" i="15"/>
  <c r="H27" i="15"/>
  <c r="G27" i="15"/>
  <c r="F43" i="15"/>
  <c r="F23" i="15"/>
  <c r="E35" i="15"/>
  <c r="G34" i="15"/>
  <c r="H32" i="15"/>
  <c r="G32" i="15"/>
  <c r="E24" i="15"/>
  <c r="H41" i="15"/>
  <c r="H37" i="15"/>
  <c r="G37" i="15"/>
  <c r="F33" i="15"/>
  <c r="E29" i="15"/>
  <c r="H34" i="15"/>
  <c r="G38" i="15"/>
  <c r="E30" i="15"/>
  <c r="H31" i="15"/>
  <c r="E43" i="15"/>
  <c r="E23" i="15"/>
  <c r="E34" i="15"/>
  <c r="H40" i="15"/>
  <c r="H36" i="15"/>
  <c r="G36" i="15"/>
  <c r="E28" i="15"/>
  <c r="H25" i="15"/>
  <c r="G25" i="15"/>
  <c r="F37" i="15"/>
  <c r="E33" i="15"/>
  <c r="H38" i="15"/>
  <c r="E38" i="15"/>
  <c r="H35" i="15"/>
  <c r="G35" i="15"/>
  <c r="E27" i="15"/>
  <c r="F42" i="15"/>
  <c r="G50" i="15"/>
  <c r="F51" i="15"/>
  <c r="E52" i="15"/>
  <c r="C53" i="15"/>
  <c r="H53" i="15"/>
  <c r="G54" i="15"/>
  <c r="E50" i="15"/>
  <c r="H51" i="15"/>
  <c r="G52" i="15"/>
  <c r="F53"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Vitello, Sophia (ENE)</author>
  </authors>
  <commentList>
    <comment ref="G15" authorId="0" shapeId="0" xr:uid="{47227477-F216-415D-9FFC-6D944740CD28}">
      <text>
        <r>
          <rPr>
            <sz val="9"/>
            <color indexed="81"/>
            <rFont val="Tahoma"/>
            <family val="2"/>
          </rPr>
          <t>Please specify blend (e.g., B5, B10, B20, etc). If additional blends have been purchased, please provide additional information in "Notes" section.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Vitello, Sophia (ENE)</author>
  </authors>
  <commentList>
    <comment ref="G14" authorId="0" shapeId="0" xr:uid="{E5DC7E37-10A5-4DE8-B8A4-4C57729F656A}">
      <text>
        <r>
          <rPr>
            <sz val="9"/>
            <color indexed="81"/>
            <rFont val="Tahoma"/>
            <family val="2"/>
          </rPr>
          <t>Please specify blend (e.g., B5, B10, B20, etc). If additional blends have been purchased, please provide additional information in "Notes" section.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Alisha.Park</author>
    <author>tc={ABA54F30-AD6E-4C97-A315-A04CBDC8FBD5}</author>
    <author>murrutia</author>
  </authors>
  <commentList>
    <comment ref="C97" authorId="0" shapeId="0" xr:uid="{872E87EA-BFDC-48A6-97F2-E20F20019EAD}">
      <text>
        <r>
          <rPr>
            <b/>
            <sz val="9"/>
            <color rgb="FF000000"/>
            <rFont val="Tahoma"/>
            <family val="2"/>
          </rPr>
          <t>Alisha.Park:</t>
        </r>
        <r>
          <rPr>
            <sz val="9"/>
            <color rgb="FF000000"/>
            <rFont val="Tahoma"/>
            <family val="2"/>
          </rPr>
          <t xml:space="preserve">
</t>
        </r>
        <r>
          <rPr>
            <sz val="9"/>
            <color rgb="FF000000"/>
            <rFont val="Tahoma"/>
            <family val="2"/>
          </rPr>
          <t>Already entered into cerp</t>
        </r>
      </text>
    </comment>
    <comment ref="F107" authorId="1" shapeId="0" xr:uid="{ABA54F30-AD6E-4C97-A315-A04CBDC8FBD5}">
      <text>
        <t>[Threaded comment]
Your version of Excel allows you to read this threaded comment; however, any edits to it will get removed if the file is opened in a newer version of Excel. Learn more: https://go.microsoft.com/fwlink/?linkid=870924
Comment:
    @Vitello, Sophia (ENE) Noticed that these two solar PV numbers (MWRA Wachusett) don't match column R, or what we have in other spots. Might just want to check and make sure we have the right number for these two...
Reply:
    Thanks for flagging! Just checked with Denise and updated -- should be 36 &amp; 36 in row H and R</t>
      </text>
    </comment>
    <comment ref="M171" authorId="2" shapeId="0" xr:uid="{CA1039D4-D360-4F03-8DFF-C87FA0DCDF5E}">
      <text>
        <r>
          <rPr>
            <b/>
            <sz val="9"/>
            <color indexed="81"/>
            <rFont val="Tahoma"/>
            <family val="2"/>
          </rPr>
          <t>murrutia:</t>
        </r>
        <r>
          <rPr>
            <sz val="9"/>
            <color indexed="81"/>
            <rFont val="Tahoma"/>
            <family val="2"/>
          </rPr>
          <t xml:space="preserve">
is it 16,000?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tc={745DA904-F801-40A8-B3BA-B7D6D1F7004F}</author>
  </authors>
  <commentList>
    <comment ref="AD31" authorId="0" shapeId="0" xr:uid="{745DA904-F801-40A8-B3BA-B7D6D1F7004F}">
      <text>
        <t>[Threaded comment]
Your version of Excel allows you to read this threaded comment; however, any edits to it will get removed if the file is opened in a newer version of Excel. Learn more: https://go.microsoft.com/fwlink/?linkid=870924
Comment:
    Add "including seed mix or species planted, if applicable"</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tc={442F39A8-FDEC-4AA1-80C9-4248F266D317}</author>
  </authors>
  <commentList>
    <comment ref="D8" authorId="0" shapeId="0" xr:uid="{442F39A8-FDEC-4AA1-80C9-4248F266D317}">
      <text>
        <t>[Threaded comment]
Your version of Excel allows you to read this threaded comment; however, any edits to it will get removed if the file is opened in a newer version of Excel. Learn more: https://go.microsoft.com/fwlink/?linkid=870924
Comment:
    Exact size TBD; likely 4-4.5</t>
      </text>
    </comment>
  </commentList>
</comments>
</file>

<file path=xl/sharedStrings.xml><?xml version="1.0" encoding="utf-8"?>
<sst xmlns="http://schemas.openxmlformats.org/spreadsheetml/2006/main" count="11695" uniqueCount="2599">
  <si>
    <t>EXECUTIVE OFFICE OF ENERGY AND ENVIRONMENTAL AFFAIRS</t>
  </si>
  <si>
    <t>DEPARTMENT OF ENERGY RESOURCES</t>
  </si>
  <si>
    <t>Leading by Example Program</t>
  </si>
  <si>
    <t>General</t>
  </si>
  <si>
    <t xml:space="preserve">Where appropriate, we have automated additional tabs to pre-populate with previously submitted data. As with last year's form, ALL pre-populated fields rely on the selection of your agency/campus from the "Contact Information" tab dropdown. If not selected, no data will pre-populate. Additionally, you will no longer be able to select your agency/campus on individual tabs. We have also condensed or removed some sheets to try simplify the reporting process. </t>
  </si>
  <si>
    <t>Sustainability</t>
  </si>
  <si>
    <t>To the best of your ability, please enter the correct information and energy consumption data in the following tabs:</t>
  </si>
  <si>
    <t>Contact Info</t>
  </si>
  <si>
    <t xml:space="preserve">Select your agency/campus from the dropdown list provided and contact information will autpopulate. Additional fields are available for contact information that is incorrect or not listed. </t>
  </si>
  <si>
    <t>Square Footage</t>
  </si>
  <si>
    <t>Electricity Consumption</t>
  </si>
  <si>
    <t>This tab includes electricity consumption and costs associated with grid electricity purchases, on-site generation, and net meter credit agreements. Please fill out electricity data for all the sources that apply to your facilities. Please note that we also ask for data on Renewable Energy Certificates and Alternative Energy Credits purchased/sold separate from the DCAMM state contract.</t>
  </si>
  <si>
    <t>Building Fuel Consumption</t>
  </si>
  <si>
    <t xml:space="preserve">This tab includes energy data associated with all building fuels except for electricity and on-site generation at buildings.  Please enter consumption information for all non-electric building energy use in this tab, including natural gas, oil, propane, etc. </t>
  </si>
  <si>
    <t>Vehicle &amp; Other Fuel Consumption</t>
  </si>
  <si>
    <t xml:space="preserve">This tab includes vehicle energy data, as well as energy data associated with any facility operations not attributed to building or vehicle use (e.g. fuel for boats/aircraft, landscaping equipment, etc.). </t>
  </si>
  <si>
    <t>Installed Clean Power</t>
  </si>
  <si>
    <t>On this tab you will find a pre-populated list of renewable, onsite generation, energy storage, and renewable thermal projects that have been reported to LBE for your agency/campus, along with their installed capacity. Please make any corrections, where necessary, and enter any additional renewable projects that you have installed.</t>
  </si>
  <si>
    <t>Vehicle Fleet</t>
  </si>
  <si>
    <t>EV Charging Stations</t>
  </si>
  <si>
    <t>This tab requests information about current and upcoming EV charging stations at your facilities.</t>
  </si>
  <si>
    <t xml:space="preserve">This tab requests information on a suite of sustainability efforts at your facilities including, waste diversion, water use &amp; conervation, sustainable lanscaping activities, and other sustainability efforts not captured elsewhere in the tracking form. </t>
  </si>
  <si>
    <t>INSTRUCTIONS ON FILLING OUT TAB</t>
  </si>
  <si>
    <t xml:space="preserve">Note: If your agency/campus is not selected from the dropdown menu below, subsequent tabs will not display any pre-populated data. </t>
  </si>
  <si>
    <t>Please answer all items in yellow, where appropriate.</t>
  </si>
  <si>
    <t>Contact Information</t>
  </si>
  <si>
    <t>Agency/Campus:</t>
  </si>
  <si>
    <t>Bristol Comm. College</t>
  </si>
  <si>
    <t>Contact Name 1:</t>
  </si>
  <si>
    <t xml:space="preserve">Email: </t>
  </si>
  <si>
    <t xml:space="preserve"> Title:</t>
  </si>
  <si>
    <t>Phone:</t>
  </si>
  <si>
    <t>Contact Name 2:</t>
  </si>
  <si>
    <t xml:space="preserve">Contact Name 3: </t>
  </si>
  <si>
    <t xml:space="preserve">Contact Name 4: </t>
  </si>
  <si>
    <t>Framingham State University</t>
  </si>
  <si>
    <t xml:space="preserve">Agency </t>
  </si>
  <si>
    <t>Contact</t>
  </si>
  <si>
    <t>Contact Title</t>
  </si>
  <si>
    <t xml:space="preserve">Email </t>
  </si>
  <si>
    <t>Phone</t>
  </si>
  <si>
    <t>Alternate Contact</t>
  </si>
  <si>
    <t>Alternate Contact Title</t>
  </si>
  <si>
    <t xml:space="preserve">Alternate Email </t>
  </si>
  <si>
    <t>Alternate Phone</t>
  </si>
  <si>
    <t>Alternate Contact 2</t>
  </si>
  <si>
    <t>Alternate Contact Title 2</t>
  </si>
  <si>
    <t>Alternate Email 2</t>
  </si>
  <si>
    <t>Alternate Phone 2</t>
  </si>
  <si>
    <t>Please select your answer from the dropdown</t>
  </si>
  <si>
    <t>-</t>
  </si>
  <si>
    <t>Berkshire Comm. College</t>
  </si>
  <si>
    <t>David Moran</t>
  </si>
  <si>
    <t>Building Maintenance Supervisor</t>
  </si>
  <si>
    <t>dmoran@berkshirecc.edu</t>
  </si>
  <si>
    <t>(413) 236-3028</t>
  </si>
  <si>
    <t>Director of Facilites</t>
  </si>
  <si>
    <t>413-236-3015</t>
  </si>
  <si>
    <t>Bridgewater State University</t>
  </si>
  <si>
    <t>Patricia Delaney</t>
  </si>
  <si>
    <t>Asst. Director EH&amp;S Officer</t>
  </si>
  <si>
    <t>PDELANEY@bridgew.edu</t>
  </si>
  <si>
    <t>508-531-2751</t>
  </si>
  <si>
    <t>Karen Jason</t>
  </si>
  <si>
    <t>Vice President Operations</t>
  </si>
  <si>
    <t>kjason@bridgew.edu</t>
  </si>
  <si>
    <t>508-531-2750</t>
  </si>
  <si>
    <t>Asst. VP of Administration &amp; Finance</t>
  </si>
  <si>
    <t>508-678-2811 x3058</t>
  </si>
  <si>
    <t>Barbara Cadima</t>
  </si>
  <si>
    <t>Facilities</t>
  </si>
  <si>
    <t>Barbara.Cadima@bristolcc.edu</t>
  </si>
  <si>
    <t>774-357-2533</t>
  </si>
  <si>
    <t>Bunker Hill Comm. College</t>
  </si>
  <si>
    <t>Gary Bigelow</t>
  </si>
  <si>
    <t>Executive Director of Facilities</t>
  </si>
  <si>
    <t>gbigelow@bhcc.mass.edu</t>
  </si>
  <si>
    <t>617-936-1985</t>
  </si>
  <si>
    <t>Bureau of the State House</t>
  </si>
  <si>
    <t>Cape Cod Comm. College</t>
  </si>
  <si>
    <t>Joseph MacKinnon</t>
  </si>
  <si>
    <t>Director, Facilities Management</t>
  </si>
  <si>
    <t>jmackinnon@capecod.edu</t>
  </si>
  <si>
    <t xml:space="preserve"> -</t>
  </si>
  <si>
    <t>Mark Waldruff</t>
  </si>
  <si>
    <t>Facilities Associate</t>
  </si>
  <si>
    <t>mwaldruff@capecod.edu</t>
  </si>
  <si>
    <t>508-362-2131 x4324</t>
  </si>
  <si>
    <t>Steve Zazzera</t>
  </si>
  <si>
    <t>Project Specialist</t>
  </si>
  <si>
    <t>szazzera@capecod.edu</t>
  </si>
  <si>
    <t>774-330-4411</t>
  </si>
  <si>
    <t>Dept. of Conservation and Recreation</t>
  </si>
  <si>
    <t>Dept. of Correction</t>
  </si>
  <si>
    <t>Andy Bakinowski</t>
  </si>
  <si>
    <t>Environmental Consultant</t>
  </si>
  <si>
    <t>Andrew.W.Bakinowski@doc.state.ma.us</t>
  </si>
  <si>
    <t>(508)422-3660</t>
  </si>
  <si>
    <t>Dept. of Developmental Services</t>
  </si>
  <si>
    <t>Dept. of Fire Services</t>
  </si>
  <si>
    <t>Dept. of Fish and Game</t>
  </si>
  <si>
    <t>Dept. of Mental Health</t>
  </si>
  <si>
    <t>Dept. of Public Health</t>
  </si>
  <si>
    <t>Dept. of State Police</t>
  </si>
  <si>
    <t>Dept. of Youth Services</t>
  </si>
  <si>
    <t>Div. of Capital Asset Management</t>
  </si>
  <si>
    <t>Environmental Police</t>
  </si>
  <si>
    <t>Fitchburg State University</t>
  </si>
  <si>
    <t>Ken Brasili</t>
  </si>
  <si>
    <t>Director, Power Plant and Support Services</t>
  </si>
  <si>
    <t>kbrasili@framingham.edu</t>
  </si>
  <si>
    <t>508-626-4086</t>
  </si>
  <si>
    <t>Maureen Fowler</t>
  </si>
  <si>
    <t>Director, Environmental Health &amp; Safety Coordinator</t>
  </si>
  <si>
    <t>mfowler@framingham.edu</t>
  </si>
  <si>
    <t>508-626-4633</t>
  </si>
  <si>
    <t>Greenfield Comm. College</t>
  </si>
  <si>
    <t>Jeffrey Marques</t>
  </si>
  <si>
    <t>Director of Facilities</t>
  </si>
  <si>
    <t>marquesj@gcc.mass.edu</t>
  </si>
  <si>
    <t>413-775-1700</t>
  </si>
  <si>
    <t>Holyoke Comm. College</t>
  </si>
  <si>
    <t>Daniel Campbell</t>
  </si>
  <si>
    <t>dcampbell@hcc.edu</t>
  </si>
  <si>
    <t>(413-552-2705)</t>
  </si>
  <si>
    <t>Deputy Superintendent</t>
  </si>
  <si>
    <t>Superintendent</t>
  </si>
  <si>
    <t>MA Data Centers</t>
  </si>
  <si>
    <t>Mass. Bay Comm. College</t>
  </si>
  <si>
    <t>Joe DeLisle</t>
  </si>
  <si>
    <t>jdelisle@massbay.edu</t>
  </si>
  <si>
    <t>781-239-2571</t>
  </si>
  <si>
    <t>Mass. College of Art &amp; Design</t>
  </si>
  <si>
    <t>617-879-7938</t>
  </si>
  <si>
    <t>Mass. College of Liberal Arts</t>
  </si>
  <si>
    <t>413-662-5559</t>
  </si>
  <si>
    <t>413-662-5529</t>
  </si>
  <si>
    <t>Mass. Maritime Academy</t>
  </si>
  <si>
    <t>Kathy Driscoll</t>
  </si>
  <si>
    <t>EH&amp;S / Sustainability</t>
  </si>
  <si>
    <t>kdriscoll@maritime.edu</t>
  </si>
  <si>
    <t>508-830-5235</t>
  </si>
  <si>
    <t>Allen Metcalfe</t>
  </si>
  <si>
    <t>ametcalfe@maritime.edu</t>
  </si>
  <si>
    <t>508-830-5202</t>
  </si>
  <si>
    <t>Mass. Water Resources Authority</t>
  </si>
  <si>
    <t>Jonathan Sycamore</t>
  </si>
  <si>
    <t>Sr. Financial Analyst</t>
  </si>
  <si>
    <t>jonathan.sycamore@mwra.com</t>
  </si>
  <si>
    <t>617 788 2269</t>
  </si>
  <si>
    <t>Denise Breiteneicher</t>
  </si>
  <si>
    <t>Program Energy Management</t>
  </si>
  <si>
    <t>denise.breiteneicher@mwra.com</t>
  </si>
  <si>
    <t>617 305 5927</t>
  </si>
  <si>
    <t>Massasoit Comm. College</t>
  </si>
  <si>
    <t>508-588-9100 x1168</t>
  </si>
  <si>
    <t xml:space="preserve">William Mitchell </t>
  </si>
  <si>
    <t>VP of Administration/CFO</t>
  </si>
  <si>
    <t>wamitchell@massasoit.mass.edu</t>
  </si>
  <si>
    <t>508-588-9100 x1510</t>
  </si>
  <si>
    <t>Jennifer Holbrook</t>
  </si>
  <si>
    <t>Staff Associate to the V.P. for Administration/CFO</t>
  </si>
  <si>
    <t>jholbroo2@massasoit.mass.edu</t>
  </si>
  <si>
    <t>508-588-9100 x1501</t>
  </si>
  <si>
    <t>MassDEP - leased</t>
  </si>
  <si>
    <t>MassDEP - owned</t>
  </si>
  <si>
    <t>MassDOT - Highway &amp; Turnpike Divisions</t>
  </si>
  <si>
    <t>MassPort Authority</t>
  </si>
  <si>
    <t>Peter DeBruin</t>
  </si>
  <si>
    <t>Climate Mitgation &amp; Resiliency Manager</t>
  </si>
  <si>
    <t>pdebruin@massport.com</t>
  </si>
  <si>
    <t>617-568-9583</t>
  </si>
  <si>
    <t>Middlesex Comm. College</t>
  </si>
  <si>
    <t>Military Division</t>
  </si>
  <si>
    <t>Mount Wachusett Comm. College</t>
  </si>
  <si>
    <t>VP of Administration &amp; Finance</t>
  </si>
  <si>
    <t>978-630-9267</t>
  </si>
  <si>
    <t>North Shore Comm. College</t>
  </si>
  <si>
    <t>Jamieson Wicks</t>
  </si>
  <si>
    <t>Facilities Director</t>
  </si>
  <si>
    <t>jwicks@northshore.edu</t>
  </si>
  <si>
    <t>(617) 879-7939</t>
  </si>
  <si>
    <t>Northern Essex Comm. College</t>
  </si>
  <si>
    <t>Quinsigamond Comm. College</t>
  </si>
  <si>
    <t>Stephen Zisk</t>
  </si>
  <si>
    <t>Director of Engineering, Energy &amp; Environment</t>
  </si>
  <si>
    <t>szisk@qcc.mass.edu</t>
  </si>
  <si>
    <t>508.854.4424</t>
  </si>
  <si>
    <t>Roxbury Comm. College</t>
  </si>
  <si>
    <t>Ken Hall</t>
  </si>
  <si>
    <t>Salem State University</t>
  </si>
  <si>
    <t>Tara Gallagher</t>
  </si>
  <si>
    <t>Sustainability &amp; EH&amp;S Coordinator</t>
  </si>
  <si>
    <t>tgallagher@salemstate.edu</t>
  </si>
  <si>
    <t>978-542-3073</t>
  </si>
  <si>
    <t>Springfield Technical Comm. College</t>
  </si>
  <si>
    <t>Debra Avery</t>
  </si>
  <si>
    <t>Senior Director of Facilities</t>
  </si>
  <si>
    <t>ddavery@stcc.edu</t>
  </si>
  <si>
    <t>413-755-4607</t>
  </si>
  <si>
    <t>Trial Court</t>
  </si>
  <si>
    <t>UMass Amherst</t>
  </si>
  <si>
    <t>Ezra Small</t>
  </si>
  <si>
    <t>Campus Sustainability Manager</t>
  </si>
  <si>
    <t>esmall@umass.edu</t>
  </si>
  <si>
    <t>413-545-0799</t>
  </si>
  <si>
    <t>UMass Boston</t>
  </si>
  <si>
    <t>UMass Dartmouth</t>
  </si>
  <si>
    <t>Jamie Jacquart</t>
  </si>
  <si>
    <t>Asst. Director of Campus Sustainability</t>
  </si>
  <si>
    <t>jjacquart@umassd.edu</t>
  </si>
  <si>
    <t>508-999-8880</t>
  </si>
  <si>
    <t>UMass Lowell</t>
  </si>
  <si>
    <t>UMass Medical</t>
  </si>
  <si>
    <t xml:space="preserve">Suzanne Wood </t>
  </si>
  <si>
    <t>Sustainability &amp; Energy Manager</t>
  </si>
  <si>
    <t>suzanne.wood@umassmed.edu</t>
  </si>
  <si>
    <t>508-856-6324</t>
  </si>
  <si>
    <t>Westfield State University</t>
  </si>
  <si>
    <t>Exec. Director, Facilities &amp; Operations</t>
  </si>
  <si>
    <t>Worcester State University</t>
  </si>
  <si>
    <t xml:space="preserve">Select your agency/campus from a dropdown list provided and provide square footage and space optimization information.  If you have added a new building or demolished an existing building, please provide an occupancy date.  </t>
  </si>
  <si>
    <t>Please answer items in yellow, where applicable.</t>
  </si>
  <si>
    <t>Square Footage &amp; Space Optimization</t>
  </si>
  <si>
    <t>Current square footage in LBE database 
(as reported in your last tracking form submission)</t>
  </si>
  <si>
    <t>Please Select</t>
  </si>
  <si>
    <t>If reporting a different square footage from last year, please indicate the increases or decreases in square footage and provide available details below</t>
  </si>
  <si>
    <t>Name of Building</t>
  </si>
  <si>
    <t>Building Type</t>
  </si>
  <si>
    <t>Type of Change (+/-)</t>
  </si>
  <si>
    <t>Date of Change</t>
  </si>
  <si>
    <t>Approximate Date of Change</t>
  </si>
  <si>
    <t>Please provide any additional notes regarding square footage changes below:</t>
  </si>
  <si>
    <t xml:space="preserve">Electricity </t>
  </si>
  <si>
    <r>
      <t xml:space="preserve">This tab includes electricity consumption and costs associated with grid electricity purchases, on-site generation, and net meter credit agreements. Please fill out electricity data for all the sources that apply to your facilities. 
Please note that we also ask for data on Renewable Energy Certificates, Alternative Energy Credits and SMART incentives. If these incentives are managed by DCAMM, you do not need to report as part of this tracking form submission. If these incentives are managed by your agency/campus or another entity separate from DCAMM, please report any available information in Section V below. 
</t>
    </r>
    <r>
      <rPr>
        <b/>
        <sz val="11"/>
        <color rgb="FFFF0000"/>
        <rFont val="Calibri"/>
        <family val="2"/>
        <scheme val="minor"/>
      </rPr>
      <t>If "Calculated Rate" cell is highlighted, please verify the total consumption and cost.</t>
    </r>
  </si>
  <si>
    <t>Please answer all items in yellow if applicable.</t>
  </si>
  <si>
    <t>Electricity Purchases, On-site Generation, Net-metering &amp; RECs/AECs</t>
  </si>
  <si>
    <t>Section I: Grid electricity purchases</t>
  </si>
  <si>
    <t>Section II: On-site power generation owned and operated by Commonwealth</t>
  </si>
  <si>
    <t>Section III: On-site power generation through power purchase agreement</t>
  </si>
  <si>
    <t>Section IV: Net metering credit purchase agreements</t>
  </si>
  <si>
    <t>Section V: Energy credits. Please include RECs/AECs sold or purchased through state contract vendors or others</t>
  </si>
  <si>
    <t>Section I(a)</t>
  </si>
  <si>
    <t>Grid Electricity Purchases</t>
  </si>
  <si>
    <t>CATEGORY</t>
  </si>
  <si>
    <t>UNIT*</t>
  </si>
  <si>
    <t>TOTAL COST
(Include Supply + T&amp;D)</t>
  </si>
  <si>
    <t>CALCULATED RATE</t>
  </si>
  <si>
    <t>NOTES</t>
  </si>
  <si>
    <t xml:space="preserve">Grid Electricity </t>
  </si>
  <si>
    <t>kWh</t>
  </si>
  <si>
    <t>Section II</t>
  </si>
  <si>
    <t>OnSite Generation - State Owned</t>
  </si>
  <si>
    <t>On-site power generation owned and operated by Commonwealth</t>
  </si>
  <si>
    <r>
      <t xml:space="preserve">REQUESTED INFORMATION
</t>
    </r>
    <r>
      <rPr>
        <sz val="10"/>
        <color rgb="FFFFFFFF"/>
        <rFont val="Calibri"/>
        <family val="2"/>
        <scheme val="minor"/>
      </rPr>
      <t>(highlighted cells only)</t>
    </r>
  </si>
  <si>
    <t xml:space="preserve">CHP/ Co-Generation </t>
  </si>
  <si>
    <t>Onsite Electricity Generation</t>
  </si>
  <si>
    <t>List fuel used for equipment</t>
  </si>
  <si>
    <t>Onsite Thermal Output</t>
  </si>
  <si>
    <t>kBtu</t>
  </si>
  <si>
    <t>Solar PV</t>
  </si>
  <si>
    <t>Generation consumed on site</t>
  </si>
  <si>
    <t>Excess Generation to Grid</t>
  </si>
  <si>
    <t>Wind</t>
  </si>
  <si>
    <t>Hydro</t>
  </si>
  <si>
    <t>Anaerobic Digestion (AD)</t>
  </si>
  <si>
    <t>Other Renewables</t>
  </si>
  <si>
    <t>List renewable type</t>
  </si>
  <si>
    <t>Section III</t>
  </si>
  <si>
    <t>OnSite Generation - PPA</t>
  </si>
  <si>
    <r>
      <t xml:space="preserve">Power generation through </t>
    </r>
    <r>
      <rPr>
        <b/>
        <sz val="12"/>
        <color rgb="FFFFFFFF"/>
        <rFont val="Calibri"/>
        <family val="2"/>
        <scheme val="minor"/>
      </rPr>
      <t>power purchase agreement</t>
    </r>
  </si>
  <si>
    <t xml:space="preserve"> RATE</t>
  </si>
  <si>
    <r>
      <t xml:space="preserve">TOTAL </t>
    </r>
    <r>
      <rPr>
        <b/>
        <sz val="11"/>
        <color theme="0"/>
        <rFont val="Calibri"/>
        <family val="2"/>
        <scheme val="minor"/>
      </rPr>
      <t>EXPENDITURES</t>
    </r>
  </si>
  <si>
    <t>Section IV</t>
  </si>
  <si>
    <t>Net metering credit purchase agreements (off-take only)</t>
  </si>
  <si>
    <t>Project Name</t>
  </si>
  <si>
    <t>Net Metering Generation (kWh)</t>
  </si>
  <si>
    <t>Net-metering Credit ($)</t>
  </si>
  <si>
    <t>Net Savings (S)</t>
  </si>
  <si>
    <t>Renewable Technology Type</t>
  </si>
  <si>
    <t>Size of Installation 
Off-Take Portion Only (MW)</t>
  </si>
  <si>
    <t>Select Technology</t>
  </si>
  <si>
    <t>Section V</t>
  </si>
  <si>
    <t>AECs, RECs and SMART Incentives</t>
  </si>
  <si>
    <t xml:space="preserve">If incentives are managed by DCAMM, you do not need to report as part of this tracking form submission. </t>
  </si>
  <si>
    <t xml:space="preserve">If managed by your agency/campus or another entity separate from DCAMM, please report any available information below. </t>
  </si>
  <si>
    <t>Category</t>
  </si>
  <si>
    <t>Total Revenue/Cost  (S)</t>
  </si>
  <si>
    <t>Notes</t>
  </si>
  <si>
    <t>Alternative Energy Certificates</t>
  </si>
  <si>
    <t>AECs Sold</t>
  </si>
  <si>
    <t>AEC</t>
  </si>
  <si>
    <t>Renewable Energy Certificates</t>
  </si>
  <si>
    <t>MA Class I Sold</t>
  </si>
  <si>
    <t>REC</t>
  </si>
  <si>
    <t>MA Class II Sold</t>
  </si>
  <si>
    <t>MA SRECs  Sold</t>
  </si>
  <si>
    <t>Other RECs Sold</t>
  </si>
  <si>
    <t>Additional RECs Purchased</t>
  </si>
  <si>
    <t>REC details (certified by, technology, location of installation):</t>
  </si>
  <si>
    <t>Total Revenue ($)</t>
  </si>
  <si>
    <t>Installation Size</t>
  </si>
  <si>
    <t>Project Type</t>
  </si>
  <si>
    <t>SMART Incentives</t>
  </si>
  <si>
    <t xml:space="preserve"> </t>
  </si>
  <si>
    <t>Select System Type</t>
  </si>
  <si>
    <t>Other Building Fuels</t>
  </si>
  <si>
    <r>
      <t xml:space="preserve">This tab includes energy data associated with all building fuels except for electricity and on-site generation at buildings.  Please enter consumption information all non-electric building energy use in this tab, including natural gas, oil, propane, etc. 
</t>
    </r>
    <r>
      <rPr>
        <b/>
        <sz val="11"/>
        <color rgb="FFFF0000"/>
        <rFont val="Calibri"/>
        <family val="2"/>
        <scheme val="minor"/>
      </rPr>
      <t>If "Calculated Rate" cell is highlighted, please verify the total consumption and cost.</t>
    </r>
  </si>
  <si>
    <t>Please answer all items in yellow, if applicable.</t>
  </si>
  <si>
    <t>Building Energy Use (Fuels other than Electricity)</t>
  </si>
  <si>
    <t>UNIT</t>
  </si>
  <si>
    <t>TOTAL COST</t>
  </si>
  <si>
    <t xml:space="preserve">CALCULATED RATE </t>
  </si>
  <si>
    <t>ADDITIONAL INFORMATION</t>
  </si>
  <si>
    <t>Natural Gas</t>
  </si>
  <si>
    <t>therms</t>
  </si>
  <si>
    <t>Liquid Natural Gas</t>
  </si>
  <si>
    <t>Fuel Oil #2 for Buildings</t>
  </si>
  <si>
    <t>gallons</t>
  </si>
  <si>
    <t>Bioheat #2 Heating Oil</t>
  </si>
  <si>
    <t>Diesel/ Fuel Oil #2 for Emergency Generators</t>
  </si>
  <si>
    <t>Fuel Oil #4</t>
  </si>
  <si>
    <t>Fuel Oil #6</t>
  </si>
  <si>
    <t>Propane (cooking and/or heating)</t>
  </si>
  <si>
    <t>Purchased Steam</t>
  </si>
  <si>
    <t>mlbs</t>
  </si>
  <si>
    <t>Wood Chips</t>
  </si>
  <si>
    <t>tons</t>
  </si>
  <si>
    <t>Pellets</t>
  </si>
  <si>
    <t>Other (please list)</t>
  </si>
  <si>
    <t>Select Units</t>
  </si>
  <si>
    <t>For purchased bioheat, please provide any available information below:</t>
  </si>
  <si>
    <t>Vendor Name</t>
  </si>
  <si>
    <t>Blend (e.g. B5, B10, B20, etc.)</t>
  </si>
  <si>
    <t>Bioheat source (e.g. soy, cooking oil, etc.)</t>
  </si>
  <si>
    <t>Associated emission reductions</t>
  </si>
  <si>
    <t>Do you know if the fuel meets APS eligibility requirements?</t>
  </si>
  <si>
    <t>Vehicle &amp; Other Fuels</t>
  </si>
  <si>
    <r>
      <t xml:space="preserve">This tab includes vehicle energy data, as well as energy data associated with any facility operations not attributed to building or vehicle use (e.g. fuel for boats/aircraft, landscaping equipment, etc.). 
</t>
    </r>
    <r>
      <rPr>
        <b/>
        <sz val="11"/>
        <color rgb="FFFF0000"/>
        <rFont val="Calibri"/>
        <family val="2"/>
        <scheme val="minor"/>
      </rPr>
      <t>If an "Calculated Rate" cell is highlighted, please verify the total consumption and cost.</t>
    </r>
  </si>
  <si>
    <t>Vehicle Energy Use</t>
  </si>
  <si>
    <t>FUEL TYPE</t>
  </si>
  <si>
    <t>Gasoline</t>
  </si>
  <si>
    <t xml:space="preserve">Diesel </t>
  </si>
  <si>
    <t>Biodiesel blend</t>
  </si>
  <si>
    <t>Ethanol (E85)</t>
  </si>
  <si>
    <t>Compressed Natural Gas (CNG)</t>
  </si>
  <si>
    <t>Propane</t>
  </si>
  <si>
    <t>Jet Fuel</t>
  </si>
  <si>
    <t>Electric</t>
  </si>
  <si>
    <t>Is this kWh included in your overall grid electricity value?</t>
  </si>
  <si>
    <t>Other</t>
  </si>
  <si>
    <t>Other Fuel Energy Use</t>
  </si>
  <si>
    <t xml:space="preserve">FUEL TYPE </t>
  </si>
  <si>
    <t>FUEL PURPOSE</t>
  </si>
  <si>
    <t>For purchased biofuel, please provide any available information below:</t>
  </si>
  <si>
    <t>Clean Power</t>
  </si>
  <si>
    <t xml:space="preserve">Formerly "Installed Capacity", on this tab you will find a list of renewable, onsite generation, renewable thermal, and storage projects that have been reported to LBE for your agency/campus, along with their installed capacity. Please make any corrections where necessary and enter any additional renewable projects that you have installed. </t>
  </si>
  <si>
    <t xml:space="preserve">Note: A dropdown list will provide the various technologies that LBE is tracking.  If you have a technology not included in the list, please make a note of this in the "Notes" section. </t>
  </si>
  <si>
    <t>Please answer all items in yellow where applicable.</t>
  </si>
  <si>
    <t>Installed Clean Power &amp; Storage</t>
  </si>
  <si>
    <t>Section I</t>
  </si>
  <si>
    <t xml:space="preserve">Onsite Renewable &amp; Electricity Generation Installed at State Agencies/Campuses: Installations on record with LBE are pre-populated, please verify and correct. If there are additional installations, please enter in the yellow fields below the pre-populated data. </t>
  </si>
  <si>
    <t xml:space="preserve">Section II </t>
  </si>
  <si>
    <t xml:space="preserve">Renewable Thermal Installed at State Agencies/Campuses: Installations on record with LBE are pre-populated, please verify and correct. If there are additional installations, please enter in the yellow fields below the pre-populated data. </t>
  </si>
  <si>
    <t xml:space="preserve">Energy Storage Installed at State Agencies/Campuses: Installations on record with LBE are pre-populated, please verify and correct. If there are additional installations, please enter in the yellow fields below the pre-populated data. </t>
  </si>
  <si>
    <t>SECTION I</t>
  </si>
  <si>
    <t>Onsite Renewable &amp; Electricity Generation Installed at State Agencies/Campuses</t>
  </si>
  <si>
    <t>Please review the pre-populated list, where applicable note corrections in Column H.</t>
  </si>
  <si>
    <t>Installations that LBE has documented as "In Progress" will appear in green. Please correct in "Corrections/Notes" column if status has changed.</t>
  </si>
  <si>
    <t>If you have additional projects that are not in the pre-populated list, please add them in yellow fields below.</t>
  </si>
  <si>
    <t>Site/Facility Name</t>
  </si>
  <si>
    <t>City/Town</t>
  </si>
  <si>
    <t>Capacity (kW)</t>
  </si>
  <si>
    <t>Technology</t>
  </si>
  <si>
    <t>Ownership Model</t>
  </si>
  <si>
    <t>Corrections/Notes</t>
  </si>
  <si>
    <r>
      <t>Please add any installations that are</t>
    </r>
    <r>
      <rPr>
        <b/>
        <sz val="12"/>
        <color rgb="FF00B050"/>
        <rFont val="Calibri"/>
        <family val="2"/>
        <scheme val="minor"/>
      </rPr>
      <t xml:space="preserve"> </t>
    </r>
    <r>
      <rPr>
        <b/>
        <u/>
        <sz val="12"/>
        <color theme="0"/>
        <rFont val="Calibri"/>
        <family val="2"/>
        <scheme val="minor"/>
      </rPr>
      <t>currently installed or in progress</t>
    </r>
    <r>
      <rPr>
        <b/>
        <sz val="12"/>
        <color theme="0"/>
        <rFont val="Calibri"/>
        <family val="2"/>
        <scheme val="minor"/>
      </rPr>
      <t>, bu</t>
    </r>
    <r>
      <rPr>
        <b/>
        <sz val="12"/>
        <color rgb="FFFFFFFF"/>
        <rFont val="Calibri"/>
        <family val="2"/>
        <scheme val="minor"/>
      </rPr>
      <t>t NOT listed above.</t>
    </r>
  </si>
  <si>
    <t>Please enter additional installations</t>
  </si>
  <si>
    <t>SECTION II</t>
  </si>
  <si>
    <r>
      <t>Renewable Thermal Installed at State Agencies/Ca</t>
    </r>
    <r>
      <rPr>
        <b/>
        <sz val="14"/>
        <color theme="0"/>
        <rFont val="Calibri"/>
        <family val="2"/>
        <scheme val="minor"/>
      </rPr>
      <t xml:space="preserve">mpuses (e.g. solar thermal, air-source heat pumps, ground-source heat pumps, </t>
    </r>
    <r>
      <rPr>
        <b/>
        <sz val="14"/>
        <color rgb="FFFFFFFF"/>
        <rFont val="Calibri"/>
        <family val="2"/>
        <scheme val="minor"/>
      </rPr>
      <t>biomass, clean CHP, etc.)</t>
    </r>
  </si>
  <si>
    <t>Please review the pre-populated list, where applicable make corrections in Column I</t>
  </si>
  <si>
    <t>If you have addition projects that are not in the pre-populated list, please add them in yellow fields below.</t>
  </si>
  <si>
    <t>Capacity</t>
  </si>
  <si>
    <t>Capacity Units</t>
  </si>
  <si>
    <r>
      <t xml:space="preserve">Please add any installations that are </t>
    </r>
    <r>
      <rPr>
        <b/>
        <u/>
        <sz val="12"/>
        <color rgb="FFFFFFFF"/>
        <rFont val="Calibri"/>
        <family val="2"/>
        <scheme val="minor"/>
      </rPr>
      <t>currently installed or in progress</t>
    </r>
    <r>
      <rPr>
        <b/>
        <sz val="12"/>
        <color rgb="FFFFFFFF"/>
        <rFont val="Calibri"/>
        <family val="2"/>
        <scheme val="minor"/>
      </rPr>
      <t xml:space="preserve"> but NOT listed above.</t>
    </r>
  </si>
  <si>
    <t>SECTION III</t>
  </si>
  <si>
    <t>Energy Storage Installed at State Agencies/Campuses</t>
  </si>
  <si>
    <t>Please review the pre-populated list, where applicable make corrections in Column K</t>
  </si>
  <si>
    <t xml:space="preserve">Type of System </t>
  </si>
  <si>
    <t>Rated Power Capacity (kW)</t>
  </si>
  <si>
    <t>Useful Energy Capacity (kWh)</t>
  </si>
  <si>
    <t>Expected Cycling per Year</t>
  </si>
  <si>
    <t>Energy Storage Objectives 
(all or any installations)</t>
  </si>
  <si>
    <t>Program Enrollement (e.g., CPS, utility demand response,  ConnectedSolutions)</t>
  </si>
  <si>
    <r>
      <t xml:space="preserve">Please add any installations that are </t>
    </r>
    <r>
      <rPr>
        <b/>
        <u/>
        <sz val="12"/>
        <color rgb="FFFFFFFF"/>
        <rFont val="Calibri"/>
        <family val="2"/>
        <scheme val="minor"/>
      </rPr>
      <t>currently installed, planned or in progress</t>
    </r>
    <r>
      <rPr>
        <b/>
        <sz val="12"/>
        <color rgb="FFFFFFFF"/>
        <rFont val="Calibri"/>
        <family val="2"/>
        <scheme val="minor"/>
      </rPr>
      <t xml:space="preserve"> but NOT listed above.</t>
    </r>
  </si>
  <si>
    <t>Select Ownership Model</t>
  </si>
  <si>
    <t>Agency &amp; Number</t>
  </si>
  <si>
    <t>Expected cycling per year</t>
  </si>
  <si>
    <t>Select All Applicable Objectives</t>
  </si>
  <si>
    <t>Agency</t>
  </si>
  <si>
    <t>#</t>
  </si>
  <si>
    <t>Energy Storage (Standalone)</t>
  </si>
  <si>
    <t>Not reported</t>
  </si>
  <si>
    <t>Energy Storage &amp; Battery Storage</t>
  </si>
  <si>
    <t>Peak demand Mgmt/Energy Cost Savings; Integration with on-site renewables; resilience &amp; power backup</t>
  </si>
  <si>
    <t xml:space="preserve">3rd part-owned &amp; operated </t>
  </si>
  <si>
    <t>Integration with on-site renewables</t>
  </si>
  <si>
    <t>MWRA Chelsea Admin Building</t>
  </si>
  <si>
    <t>Peak demand mgmt/energy cost savings</t>
  </si>
  <si>
    <t>MWRA Brattle Court Water Pump Station</t>
  </si>
  <si>
    <t>System Type</t>
  </si>
  <si>
    <t>PTS ID/ APS ID/ NEPOOL GIS ID</t>
  </si>
  <si>
    <t>Site Name</t>
  </si>
  <si>
    <t>Capacity (kW DC)</t>
  </si>
  <si>
    <t>Address</t>
  </si>
  <si>
    <t>City</t>
  </si>
  <si>
    <t>State</t>
  </si>
  <si>
    <t>Zip</t>
  </si>
  <si>
    <t>COD</t>
  </si>
  <si>
    <t>FY Complete</t>
  </si>
  <si>
    <t>EO</t>
  </si>
  <si>
    <t>Ownerhsip Model</t>
  </si>
  <si>
    <t>Site Details</t>
  </si>
  <si>
    <t>Project Cost ($)</t>
  </si>
  <si>
    <t>Est. Electricity Rate</t>
  </si>
  <si>
    <t>Est. Reduced Annual Energy Costs ($)</t>
  </si>
  <si>
    <t>Status (Comp., Const., Award, Bid, Design, Study)</t>
  </si>
  <si>
    <t>Capacity Factor</t>
  </si>
  <si>
    <t>Potential Annual Generation (kWh)</t>
  </si>
  <si>
    <t>Details</t>
  </si>
  <si>
    <t>Monitoring System?</t>
  </si>
  <si>
    <t>Renewable</t>
  </si>
  <si>
    <t>Solar PV (Building)</t>
  </si>
  <si>
    <t>NFG-NN1981-05161</t>
  </si>
  <si>
    <t>Berkshire Community College - Field /Library/Arts Building</t>
  </si>
  <si>
    <t>1350 West Street</t>
  </si>
  <si>
    <t>Pittsfield</t>
  </si>
  <si>
    <t>MA</t>
  </si>
  <si>
    <t>BHE</t>
  </si>
  <si>
    <t>complete</t>
  </si>
  <si>
    <t>NFG-NN1981-05162</t>
  </si>
  <si>
    <t>Berkshire Community College - Hawthorne Hall</t>
  </si>
  <si>
    <t>NFG-NN1981-05163</t>
  </si>
  <si>
    <t>Berkshire Community College - Melville Hall</t>
  </si>
  <si>
    <t>NFG-NN1981-05165</t>
  </si>
  <si>
    <t>Berkshire Community College - Stanley</t>
  </si>
  <si>
    <t>NFG-NN1981-05164</t>
  </si>
  <si>
    <t>Berkshire Community College - Susan B Anthony College Center</t>
  </si>
  <si>
    <t>NFG-NN1981-04660</t>
  </si>
  <si>
    <t>131 Summer St </t>
  </si>
  <si>
    <t>Bridgewater</t>
  </si>
  <si>
    <t>PPA</t>
  </si>
  <si>
    <t>On-site Generation</t>
  </si>
  <si>
    <t>CHP</t>
  </si>
  <si>
    <t>NON39007</t>
  </si>
  <si>
    <t>777 Elsbree Street</t>
  </si>
  <si>
    <t>Fall River</t>
  </si>
  <si>
    <t>Solar PV (Canopy)</t>
  </si>
  <si>
    <t>NON39415</t>
  </si>
  <si>
    <t>Bunker Hill Community College</t>
  </si>
  <si>
    <t>Boston</t>
  </si>
  <si>
    <t>State House</t>
  </si>
  <si>
    <t>24 Beacon St</t>
  </si>
  <si>
    <t>EOANF</t>
  </si>
  <si>
    <t>CWS-CS1275-01507</t>
  </si>
  <si>
    <t>Cape Cod Community College</t>
  </si>
  <si>
    <t>2240 Iyannough Road</t>
  </si>
  <si>
    <t>Barnstable</t>
  </si>
  <si>
    <t>Solar PV (Ground)</t>
  </si>
  <si>
    <t>NFG-NN1981-10136</t>
  </si>
  <si>
    <t>SRI-PV392-00357</t>
  </si>
  <si>
    <t>Cape Cod Community College1 - PV</t>
  </si>
  <si>
    <t>SRI-RS714-01206</t>
  </si>
  <si>
    <t>Cape Cod Community College2 - PV</t>
  </si>
  <si>
    <t>GBI-JL963-00846</t>
  </si>
  <si>
    <t>NON39009</t>
  </si>
  <si>
    <t>Chelsea Soldiers Home - Solar PV Installation- Crebs 1</t>
  </si>
  <si>
    <t>91 Crest Ave, Chelsea</t>
  </si>
  <si>
    <t>Chelsea</t>
  </si>
  <si>
    <t>EOHHS</t>
  </si>
  <si>
    <t>Boston Harbor Islands</t>
  </si>
  <si>
    <t>EOEEA</t>
  </si>
  <si>
    <t xml:space="preserve">DCR Waquoit Bay Reserve </t>
  </si>
  <si>
    <t>East Falmouth</t>
  </si>
  <si>
    <t>NFG-NN1981-05166</t>
  </si>
  <si>
    <t>Chickatawbut Hill - Mass Dept. of Conservation &amp; Recreation</t>
  </si>
  <si>
    <t>1904 Canton Avenue</t>
  </si>
  <si>
    <t>Milton</t>
  </si>
  <si>
    <t>915 Walden St</t>
  </si>
  <si>
    <t>Concord</t>
  </si>
  <si>
    <t xml:space="preserve">MCI Bridgewater </t>
  </si>
  <si>
    <t>Administration Road</t>
  </si>
  <si>
    <t>EOPS</t>
  </si>
  <si>
    <t xml:space="preserve">MCI Norfolk  </t>
  </si>
  <si>
    <t>10 Old Campbell Road</t>
  </si>
  <si>
    <t>Norfolk</t>
  </si>
  <si>
    <t>NFG-NN1981-04433</t>
  </si>
  <si>
    <t>1486 Harvard Road</t>
  </si>
  <si>
    <t>Shirley</t>
  </si>
  <si>
    <t>NFG-NN1981-04431</t>
  </si>
  <si>
    <t>DOC Cedar Junction - Industries Building (2)</t>
  </si>
  <si>
    <t>Route 1A</t>
  </si>
  <si>
    <t>Walpole</t>
  </si>
  <si>
    <t>2405 Main St</t>
  </si>
  <si>
    <t>NFG-NN1981-04430</t>
  </si>
  <si>
    <t>DOC Northeast Correctional - Barretts Mill</t>
  </si>
  <si>
    <t>1 Barretts Mill Road</t>
  </si>
  <si>
    <t xml:space="preserve">MCI Framingham </t>
  </si>
  <si>
    <t>99 Loring Dr</t>
  </si>
  <si>
    <t>Framingham</t>
  </si>
  <si>
    <t>135 Western Ave</t>
  </si>
  <si>
    <t>NON38942</t>
  </si>
  <si>
    <t>NCCI Gardner</t>
  </si>
  <si>
    <t xml:space="preserve"> 500 Colony Rd</t>
  </si>
  <si>
    <t>Gardner</t>
  </si>
  <si>
    <t>NFG-NN1981-04429</t>
  </si>
  <si>
    <t>DOC Bay State Correctional</t>
  </si>
  <si>
    <t>28 Clark Street</t>
  </si>
  <si>
    <t>NFG-NN1981-04432</t>
  </si>
  <si>
    <t>DOC Norfolk #1 - Waste Water Treatment Plant</t>
  </si>
  <si>
    <t>NON34523</t>
  </si>
  <si>
    <t>DDS Wrentham Developmental</t>
  </si>
  <si>
    <t>Emerald Street</t>
  </si>
  <si>
    <t>Wrentham</t>
  </si>
  <si>
    <t>NON32888</t>
  </si>
  <si>
    <t xml:space="preserve">DFS Stow </t>
  </si>
  <si>
    <t>1 State Road</t>
  </si>
  <si>
    <t>Stow</t>
  </si>
  <si>
    <t>DFW Headquarters</t>
  </si>
  <si>
    <t>1 Rabbit Hill Road</t>
  </si>
  <si>
    <t>Westborough</t>
  </si>
  <si>
    <t>NON34592</t>
  </si>
  <si>
    <t>Worcester Recovery Center and Hospital</t>
  </si>
  <si>
    <t>309 Belmont Street</t>
  </si>
  <si>
    <t>Worcester</t>
  </si>
  <si>
    <t>NFG-NN1981-07378</t>
  </si>
  <si>
    <t>Canton Housing Authority</t>
  </si>
  <si>
    <t>660 Washington St</t>
  </si>
  <si>
    <t>Canton</t>
  </si>
  <si>
    <t>NFG-NN1981-07348</t>
  </si>
  <si>
    <t>DCAMM Surplus Property Office</t>
  </si>
  <si>
    <t>Lancaster</t>
  </si>
  <si>
    <t>NFG-NN1981-05168</t>
  </si>
  <si>
    <t>Fitchburg State College - Anthony Building</t>
  </si>
  <si>
    <t>160 Pearl Street</t>
  </si>
  <si>
    <t>Fitchburg</t>
  </si>
  <si>
    <t>NFG-NN1981-05167</t>
  </si>
  <si>
    <t>Fitchburg State College - Sanders Admin Building</t>
  </si>
  <si>
    <t>NFG-NN1981-05169</t>
  </si>
  <si>
    <t>Framingham State College - Athletic Center</t>
  </si>
  <si>
    <t>100 State Street</t>
  </si>
  <si>
    <t>NFG-NN1981-05170</t>
  </si>
  <si>
    <t>Framingham State College - McCarthy Student Center</t>
  </si>
  <si>
    <t>NFG-NN1981-07345</t>
  </si>
  <si>
    <t>Greenfield Community College - East Building</t>
  </si>
  <si>
    <t>One College Drive</t>
  </si>
  <si>
    <t>Greenfield</t>
  </si>
  <si>
    <t>375 Church St</t>
  </si>
  <si>
    <t>North Adams</t>
  </si>
  <si>
    <t>CPV-NN18-00276</t>
  </si>
  <si>
    <t>Mass College of Liberal Arts - Science Center</t>
  </si>
  <si>
    <t>NON32626</t>
  </si>
  <si>
    <t>Mass Maritime Academy</t>
  </si>
  <si>
    <t>101 Academy Dr</t>
  </si>
  <si>
    <t>Bourne</t>
  </si>
  <si>
    <t>NON32596</t>
  </si>
  <si>
    <t>Mass Maritime Academy - Wind Turbine Project</t>
  </si>
  <si>
    <t>NON33813</t>
  </si>
  <si>
    <t>AD - Steam Turbine Generator</t>
  </si>
  <si>
    <t>MWRA Deer Island</t>
  </si>
  <si>
    <t>190 Tafts Ave.</t>
  </si>
  <si>
    <t>Winthrop</t>
  </si>
  <si>
    <t>AUTHORITY</t>
  </si>
  <si>
    <t>NON39003</t>
  </si>
  <si>
    <t>MSS1062</t>
  </si>
  <si>
    <t>MWRA Wachusett Reservoir Cosgrove</t>
  </si>
  <si>
    <t>Clinton</t>
  </si>
  <si>
    <t>MSS857</t>
  </si>
  <si>
    <t>MWRA Wachusett Reservoir Oakdale</t>
  </si>
  <si>
    <t>West Boylston</t>
  </si>
  <si>
    <t>NON38939</t>
  </si>
  <si>
    <t>MWRA Loring Road</t>
  </si>
  <si>
    <t>Weston</t>
  </si>
  <si>
    <t>NFG-NN1981-04762</t>
  </si>
  <si>
    <t>NFG-NN1981-04840</t>
  </si>
  <si>
    <t>NFG-NN1981-04761</t>
  </si>
  <si>
    <t>NON38938</t>
  </si>
  <si>
    <t>MWRA J.C. Carroll</t>
  </si>
  <si>
    <t>86 D’Angelo Drive</t>
  </si>
  <si>
    <t>Marlborough</t>
  </si>
  <si>
    <t>NON38970</t>
  </si>
  <si>
    <t>MWRA Charlestown DeLauri</t>
  </si>
  <si>
    <t>172 Alford St</t>
  </si>
  <si>
    <t>NON39006</t>
  </si>
  <si>
    <t>NFG-NN1981-05171</t>
  </si>
  <si>
    <t>Massasoit Community College - Humanities Building</t>
  </si>
  <si>
    <t>One Massasoit Blvd</t>
  </si>
  <si>
    <t>Brockton</t>
  </si>
  <si>
    <t>NFG-NN1981-05172</t>
  </si>
  <si>
    <t>Massasoit Community College - Liberal Arts Building</t>
  </si>
  <si>
    <t>NFG-NN1981-05173</t>
  </si>
  <si>
    <t>Massasoit Community College - Science Building</t>
  </si>
  <si>
    <t>NFG-NN1981-05174</t>
  </si>
  <si>
    <t>Massasoit Community College - Student Center</t>
  </si>
  <si>
    <t>NFG-NN1981-05175</t>
  </si>
  <si>
    <t>Massasoit Community College - Technology Building</t>
  </si>
  <si>
    <t>NON33903</t>
  </si>
  <si>
    <t>DEP Wall Laboratory</t>
  </si>
  <si>
    <t>37 Shattuck Street</t>
  </si>
  <si>
    <t>Lawrence</t>
  </si>
  <si>
    <t>NFG-NN1981-07347</t>
  </si>
  <si>
    <t>Springfield Recycling Facility Complex</t>
  </si>
  <si>
    <t>84 Birnie Avenue</t>
  </si>
  <si>
    <t>Springfield</t>
  </si>
  <si>
    <t>MassDOT District 2 Highway Office</t>
  </si>
  <si>
    <t>811 North King St.</t>
  </si>
  <si>
    <t>Northampton</t>
  </si>
  <si>
    <t>MASSDOT</t>
  </si>
  <si>
    <t>Ground (RoW)</t>
  </si>
  <si>
    <t>Natick</t>
  </si>
  <si>
    <t>Plymouth</t>
  </si>
  <si>
    <t>MassPort Hanscom Civil Air Terminal</t>
  </si>
  <si>
    <t>200 Hanscom Drive</t>
  </si>
  <si>
    <t>Bedford</t>
  </si>
  <si>
    <t>NFG-NN1981-07383</t>
  </si>
  <si>
    <t>1 Harborside Drive </t>
  </si>
  <si>
    <t>NFG-NN1981-07384</t>
  </si>
  <si>
    <t>MassPort Logan Airport  Terminal B Parking Garage</t>
  </si>
  <si>
    <t>MassPort Green Bus Depot</t>
  </si>
  <si>
    <t xml:space="preserve">Boston </t>
  </si>
  <si>
    <t>MassPort Logan Airport</t>
  </si>
  <si>
    <t>1 Harborside Drive</t>
  </si>
  <si>
    <t>MassPort Rental Car Center</t>
  </si>
  <si>
    <t>OFG-JI1239-01150</t>
  </si>
  <si>
    <t>Mt. Wachusett CC</t>
  </si>
  <si>
    <t>444 Green Street</t>
  </si>
  <si>
    <t>NON39005</t>
  </si>
  <si>
    <t>Mt. Wachusett Comm College</t>
  </si>
  <si>
    <t>WasteHeat to Power</t>
  </si>
  <si>
    <t xml:space="preserve">Mount Wachusett Community College  </t>
  </si>
  <si>
    <t>NON39017</t>
  </si>
  <si>
    <t>North Shore Comm College - McGee Building</t>
  </si>
  <si>
    <t>1 Ferncroft Road</t>
  </si>
  <si>
    <t>Danvers</t>
  </si>
  <si>
    <t>NFG-NN1981-08282</t>
  </si>
  <si>
    <t>NFG-NN1981-05176</t>
  </si>
  <si>
    <t>North Shore Community College - Berry Bldg</t>
  </si>
  <si>
    <t>1234 Columbus Ave</t>
  </si>
  <si>
    <t>NFG-NN1981-07346</t>
  </si>
  <si>
    <t>Salem State College - O'Keefe</t>
  </si>
  <si>
    <t>352 Lafayette Street</t>
  </si>
  <si>
    <t>Salem</t>
  </si>
  <si>
    <t>OFG-PF1130-01052</t>
  </si>
  <si>
    <t>71 Loring Avenue</t>
  </si>
  <si>
    <t>N/A</t>
  </si>
  <si>
    <t>OFGI-JI1237-01149</t>
  </si>
  <si>
    <t>1 Armory Square, Building 20</t>
  </si>
  <si>
    <t>NON32845</t>
  </si>
  <si>
    <t>Umass Amherst</t>
  </si>
  <si>
    <t>300 Massachusetts Ave</t>
  </si>
  <si>
    <t>Amherst</t>
  </si>
  <si>
    <t>UMASS</t>
  </si>
  <si>
    <t>UMass Research Farm</t>
  </si>
  <si>
    <t>Deerfield</t>
  </si>
  <si>
    <t>http://www.powerdash.com/systems/1000367/</t>
  </si>
  <si>
    <t>NFG-NN1981-05616</t>
  </si>
  <si>
    <t>100 Morrissey Blvd</t>
  </si>
  <si>
    <t>NFG-NN1981-05177</t>
  </si>
  <si>
    <t>UMass Dartmouth - Tripp Athletic Center</t>
  </si>
  <si>
    <t>285 Old Westport Road</t>
  </si>
  <si>
    <t>Dartmouth</t>
  </si>
  <si>
    <t>NFG-NN1981-05178</t>
  </si>
  <si>
    <t>UMass Dartmouth - Woodland Common Evergreen Dormitory</t>
  </si>
  <si>
    <t>NFG-NN1981-05179</t>
  </si>
  <si>
    <t>UMass Dartmouth - Woodland Common Hickory Dormitory</t>
  </si>
  <si>
    <t>NFG-NN1981-05180</t>
  </si>
  <si>
    <t>UMass Dartmouth - Woodland Common Ivy Dormitory</t>
  </si>
  <si>
    <t>NFG-NN1981-05181</t>
  </si>
  <si>
    <t>UMass Dartmouth - Woodland Common Willow Dormitory</t>
  </si>
  <si>
    <t>NON36166</t>
  </si>
  <si>
    <t>NFG-NN1981-05617</t>
  </si>
  <si>
    <t>UMass Lowell - Bourgeois Hall</t>
  </si>
  <si>
    <t>One University Avenue</t>
  </si>
  <si>
    <t>Lowell</t>
  </si>
  <si>
    <t>NFG-NN1981-05618</t>
  </si>
  <si>
    <t>UMass Lowell - Costello Gym</t>
  </si>
  <si>
    <t>NFG-NN1981-05619</t>
  </si>
  <si>
    <t>UMass Lowell - Dugan</t>
  </si>
  <si>
    <t>NFG-NN1981-05620</t>
  </si>
  <si>
    <t>UMass Lowell - Leitch</t>
  </si>
  <si>
    <t>NON34176</t>
  </si>
  <si>
    <t>55 N Lake Ave</t>
  </si>
  <si>
    <t>NFG-NN1981-05182</t>
  </si>
  <si>
    <t>Westfield State College - Bates Hall</t>
  </si>
  <si>
    <t>577 Western Avenue</t>
  </si>
  <si>
    <t>Westfield</t>
  </si>
  <si>
    <t>NFG-NN1981-05183</t>
  </si>
  <si>
    <t>Westfield State College - Wilson Hall</t>
  </si>
  <si>
    <t>NON32922</t>
  </si>
  <si>
    <t>286 Chandler St</t>
  </si>
  <si>
    <t>NFG-NN1981-05482</t>
  </si>
  <si>
    <t>NON39013</t>
  </si>
  <si>
    <t>MassDOT West Stockbridge RoW</t>
  </si>
  <si>
    <t>West Stockbridge</t>
  </si>
  <si>
    <t>105 Rabbit Road, Depot</t>
  </si>
  <si>
    <t>Salisbury</t>
  </si>
  <si>
    <t>MassDOT Hopkinton Canopy</t>
  </si>
  <si>
    <t>Hopkinton</t>
  </si>
  <si>
    <t>Canopy</t>
  </si>
  <si>
    <t>MassDOT Hopkinton Rooftop</t>
  </si>
  <si>
    <t>Roof</t>
  </si>
  <si>
    <t>4 College Drive</t>
  </si>
  <si>
    <t>Salem State Marsh Hall (PPA)</t>
  </si>
  <si>
    <t>71B Loring Avenue</t>
  </si>
  <si>
    <t>Salem State Gassett Fitness Center (PPA)</t>
  </si>
  <si>
    <t>225 A Canal Street</t>
  </si>
  <si>
    <t>TBD</t>
  </si>
  <si>
    <t>UMass Amherst--Computer Science</t>
  </si>
  <si>
    <t>UMass Amherst--Police Station</t>
  </si>
  <si>
    <t>UMass Amherst--Rec Center</t>
  </si>
  <si>
    <t>Site</t>
  </si>
  <si>
    <t>Location</t>
  </si>
  <si>
    <t>Renewable Thermal</t>
  </si>
  <si>
    <t>Solar Thermal</t>
  </si>
  <si>
    <t>Bridgewater State - Science and Mathematics Center</t>
  </si>
  <si>
    <t>Unknown</t>
  </si>
  <si>
    <t>On North Wing</t>
  </si>
  <si>
    <t>Ground Source Heat Pump</t>
  </si>
  <si>
    <t>Sbrega Health and Sciences Building</t>
  </si>
  <si>
    <t>Air Source Heat Pump</t>
  </si>
  <si>
    <t>BTU</t>
  </si>
  <si>
    <t>125-150 tons cooling</t>
  </si>
  <si>
    <t>Holyoke CC Bartley Center</t>
  </si>
  <si>
    <t>Holyoke</t>
  </si>
  <si>
    <t>kW</t>
  </si>
  <si>
    <t>Authority</t>
  </si>
  <si>
    <t>MWRA</t>
  </si>
  <si>
    <t>geothermal system, Wachusett Aqueduct Pumping Station</t>
  </si>
  <si>
    <t>Biomass</t>
  </si>
  <si>
    <t>NSCC</t>
  </si>
  <si>
    <t>Quinsigamond Community College</t>
  </si>
  <si>
    <t>RCC Building 3 Roof</t>
  </si>
  <si>
    <t>Salem State Berry Library and Learning Commons</t>
  </si>
  <si>
    <t>MMBtu</t>
  </si>
  <si>
    <t xml:space="preserve">closed-loop geothermal system comprised of 48 6-inch diameter wells </t>
  </si>
  <si>
    <t>STCC</t>
  </si>
  <si>
    <t xml:space="preserve">Building 15 DPS </t>
  </si>
  <si>
    <t>Building 27 Shipping and Receiving</t>
  </si>
  <si>
    <t>Building 19</t>
  </si>
  <si>
    <t>no information on the system provided (not available)</t>
  </si>
  <si>
    <t>UMass Amherst Police Station</t>
  </si>
  <si>
    <t>There are 5 pump units, each ranging from 5 MBH (1.5 kW) to 25 MBH (7.4 kW.)</t>
  </si>
  <si>
    <t>UMass Amherst Crotty Hall</t>
  </si>
  <si>
    <t>2 WW180</t>
  </si>
  <si>
    <t>I am told that we have two Bosch WW180 Heat Pumps. This system is not earning any AEC's.</t>
  </si>
  <si>
    <t>Hadley</t>
  </si>
  <si>
    <t>UMass Lowell Inn &amp; Conference Center</t>
  </si>
  <si>
    <t xml:space="preserve">Lowell </t>
  </si>
  <si>
    <r>
      <t xml:space="preserve">This tab requests information about vehicle fleets. All LBE partners should respond to Section I. 
Section II is applicable only to those entities that </t>
    </r>
    <r>
      <rPr>
        <i/>
        <u/>
        <sz val="12"/>
        <color theme="3"/>
        <rFont val="Calibri"/>
        <family val="2"/>
        <scheme val="minor"/>
      </rPr>
      <t>do not</t>
    </r>
    <r>
      <rPr>
        <sz val="12"/>
        <color theme="3"/>
        <rFont val="Calibri"/>
        <family val="2"/>
        <scheme val="minor"/>
      </rPr>
      <t xml:space="preserve"> purchase/lease vehicles through the Office of Vehicle Management (OVM). 
Please only include leased and owned on-road vehicles that are operated by your agency or the Commonwealth.</t>
    </r>
    <r>
      <rPr>
        <b/>
        <u/>
        <sz val="12"/>
        <color theme="3"/>
        <rFont val="Calibri"/>
        <family val="2"/>
        <scheme val="minor"/>
      </rPr>
      <t xml:space="preserve"> </t>
    </r>
  </si>
  <si>
    <r>
      <t xml:space="preserve">Section I: </t>
    </r>
    <r>
      <rPr>
        <sz val="12"/>
        <color theme="3"/>
        <rFont val="Calibri"/>
        <family val="2"/>
        <scheme val="minor"/>
      </rPr>
      <t xml:space="preserve">Current and future fleet questions. Please answer to the best of your ability. </t>
    </r>
  </si>
  <si>
    <t>Section I: Fleet Questions</t>
  </si>
  <si>
    <t>Please answer the related fleet questions below before proceeding to the next section.</t>
  </si>
  <si>
    <t>If possible, please provide any available details below</t>
  </si>
  <si>
    <t>Would you like assistance with planning or purchasing of zero-emissions assets for your fleet (e.g. fleet analysis, ZEV model information, grant application support, etc)?</t>
  </si>
  <si>
    <t>If possible, please indicate any assitance you are seeking</t>
  </si>
  <si>
    <t>Fuel Type</t>
  </si>
  <si>
    <t>Passenger Cars</t>
  </si>
  <si>
    <t>SUVs</t>
  </si>
  <si>
    <t>Pickup Trucks</t>
  </si>
  <si>
    <t>Passenger Vans</t>
  </si>
  <si>
    <t>Cargo Vans</t>
  </si>
  <si>
    <t>Neighboorhood/ 
Utility Vehicles*</t>
  </si>
  <si>
    <t>Diesel</t>
  </si>
  <si>
    <t>Hybrid Electric (HEV)</t>
  </si>
  <si>
    <t>Plug-in Hybrid Electric (PHEV)</t>
  </si>
  <si>
    <t>Battery Electric (BEV)</t>
  </si>
  <si>
    <t>Other - Please Select</t>
  </si>
  <si>
    <t>TOTAL</t>
  </si>
  <si>
    <t>If calculated fleet total is incorrect, please indicate below</t>
  </si>
  <si>
    <t xml:space="preserve">On this tab you will find a list of EV charging stations that have been reported to LBE for your agency/campus, along with charging station details. Please make any corrections where necessary and enter any additional stations that you have installed. </t>
  </si>
  <si>
    <t xml:space="preserve"> Note: Dropdown lists will help to populate fields.  If you have additional information not included in the lists, please make a note of this in the "Notes" section. </t>
  </si>
  <si>
    <t xml:space="preserve"> Existing EV Charging Stations. This EV charging stations section is pre-populated, please verify and correct.</t>
  </si>
  <si>
    <t>Expected EV Charging Stations. Please add any EV charging stations that are planned or in progress.</t>
  </si>
  <si>
    <t>EV Charging Stations at State Facilities</t>
  </si>
  <si>
    <t>Please review the pre-populated list, where applicable enter details in Corrections/Notes column.</t>
  </si>
  <si>
    <t xml:space="preserve">If you have additional EV charging stations that are not in the pre-populated list, please add them in yellow rows below. </t>
  </si>
  <si>
    <t>Type of Charger</t>
  </si>
  <si>
    <t>Single or Dual Head?</t>
  </si>
  <si>
    <t>Installation Date</t>
  </si>
  <si>
    <t xml:space="preserve">Access </t>
  </si>
  <si>
    <t xml:space="preserve">Corrections/Notes </t>
  </si>
  <si>
    <t>Add any EV charging stations that are currently installed but NOT listed in Section I.</t>
  </si>
  <si>
    <t>Site Address</t>
  </si>
  <si>
    <t># of Stations</t>
  </si>
  <si>
    <t>EV Charging Stations in progress or planned</t>
  </si>
  <si>
    <r>
      <t xml:space="preserve">If you have additional EV charging station installation projects that are in progress or </t>
    </r>
    <r>
      <rPr>
        <b/>
        <sz val="12"/>
        <color theme="0"/>
        <rFont val="Calibri"/>
        <family val="2"/>
        <scheme val="minor"/>
      </rPr>
      <t>planned within</t>
    </r>
    <r>
      <rPr>
        <sz val="12"/>
        <color theme="0"/>
        <rFont val="Calibri"/>
        <family val="2"/>
        <scheme val="minor"/>
      </rPr>
      <t xml:space="preserve"> the next year,  please list them below. </t>
    </r>
  </si>
  <si>
    <t>Access</t>
  </si>
  <si>
    <t>Would you be interested in discussing charging deployment opportunities and assistance to support fleet electrification?</t>
  </si>
  <si>
    <t>Agency #</t>
  </si>
  <si>
    <t>Entity</t>
  </si>
  <si>
    <t>ZIP</t>
  </si>
  <si>
    <t>Plus4</t>
  </si>
  <si>
    <t>Status Code</t>
  </si>
  <si>
    <t>Expected Date</t>
  </si>
  <si>
    <t>Utility</t>
  </si>
  <si>
    <t>Status</t>
  </si>
  <si>
    <t>EV Level1 EVSE Num</t>
  </si>
  <si>
    <t># Level2 EV Stations</t>
  </si>
  <si>
    <t># EV DC Fast Stations</t>
  </si>
  <si>
    <t>SUM of EV Charging Stations</t>
  </si>
  <si>
    <t># of Ports</t>
  </si>
  <si>
    <t>ID</t>
  </si>
  <si>
    <t>Open Date</t>
  </si>
  <si>
    <t>EV Connector Types</t>
  </si>
  <si>
    <t>EV Charging Station</t>
  </si>
  <si>
    <t>DCAMM</t>
  </si>
  <si>
    <t>HOLYOKE COMMUNITY COLLEGE</t>
  </si>
  <si>
    <t>Campus Center (Lot S)</t>
  </si>
  <si>
    <t>01040</t>
  </si>
  <si>
    <t>MLP</t>
  </si>
  <si>
    <t>Active</t>
  </si>
  <si>
    <t>Public</t>
  </si>
  <si>
    <t>Level 2</t>
  </si>
  <si>
    <t xml:space="preserve">Dual </t>
  </si>
  <si>
    <t>BRIDGEWATER STATE UNIVERSITY</t>
  </si>
  <si>
    <t>02324</t>
  </si>
  <si>
    <t>National Grid</t>
  </si>
  <si>
    <t xml:space="preserve">BRISTOL COMMUNITY COLLEGE </t>
  </si>
  <si>
    <t>02720</t>
  </si>
  <si>
    <t>DCR</t>
  </si>
  <si>
    <t>01742</t>
  </si>
  <si>
    <t xml:space="preserve">DPH TEWKSBURY HOSPITAL </t>
  </si>
  <si>
    <t>Tewksbury</t>
  </si>
  <si>
    <t>01876</t>
  </si>
  <si>
    <t>DIVISION OF CAPITAL ASSET MANAGEMENT</t>
  </si>
  <si>
    <t>436 Dwight Street</t>
  </si>
  <si>
    <t>01103</t>
  </si>
  <si>
    <t>Eversource</t>
  </si>
  <si>
    <t>1 Ashburton Place</t>
  </si>
  <si>
    <t>02108</t>
  </si>
  <si>
    <t>01701</t>
  </si>
  <si>
    <t>GREENFIELD COMMUNITY COLLEGE</t>
  </si>
  <si>
    <t>One College Dr</t>
  </si>
  <si>
    <t>01301</t>
  </si>
  <si>
    <t>DCFC</t>
  </si>
  <si>
    <t>02115</t>
  </si>
  <si>
    <t>Level 1</t>
  </si>
  <si>
    <t>MASS. COLLEGE OF LIBERAL ARTS</t>
  </si>
  <si>
    <t>01247</t>
  </si>
  <si>
    <t>DEP</t>
  </si>
  <si>
    <t>MASSDEP - CERO</t>
  </si>
  <si>
    <t>8 New Bond Street</t>
  </si>
  <si>
    <t>01606</t>
  </si>
  <si>
    <t>MASSDEP (Lakeville)</t>
  </si>
  <si>
    <t>20 Riverside Drive</t>
  </si>
  <si>
    <t>Lakeville</t>
  </si>
  <si>
    <t>02347</t>
  </si>
  <si>
    <t>Fleet Charging Only</t>
  </si>
  <si>
    <t>MASSDOT District Office #4</t>
  </si>
  <si>
    <t>Arlington</t>
  </si>
  <si>
    <t>02476</t>
  </si>
  <si>
    <t>MASSDOT District Office #6</t>
  </si>
  <si>
    <t>185 Kneeland St</t>
  </si>
  <si>
    <t>02111</t>
  </si>
  <si>
    <t>MASSDOT HQ</t>
  </si>
  <si>
    <t>10 Park Plaza</t>
  </si>
  <si>
    <t>02116</t>
  </si>
  <si>
    <t>MASSDOT District Office #5</t>
  </si>
  <si>
    <t>1000 County Street MA-140</t>
  </si>
  <si>
    <t>Taunton</t>
  </si>
  <si>
    <t>02780</t>
  </si>
  <si>
    <t>MASSDOT District Office #3</t>
  </si>
  <si>
    <t>01604</t>
  </si>
  <si>
    <t xml:space="preserve">Public </t>
  </si>
  <si>
    <t>MassPike Rest Areas Framingham West</t>
  </si>
  <si>
    <t>01748</t>
  </si>
  <si>
    <t xml:space="preserve">MassPike Rest Areas Lee East </t>
  </si>
  <si>
    <t>Lee</t>
  </si>
  <si>
    <t>01238</t>
  </si>
  <si>
    <t>MassPike Rest Areas Lee West</t>
  </si>
  <si>
    <t>01239</t>
  </si>
  <si>
    <t>01507</t>
  </si>
  <si>
    <t>01508</t>
  </si>
  <si>
    <t>MASSPORT</t>
  </si>
  <si>
    <t>02128</t>
  </si>
  <si>
    <t>02129</t>
  </si>
  <si>
    <t>2 Griffin Way</t>
  </si>
  <si>
    <t>02150</t>
  </si>
  <si>
    <t>Southborough</t>
  </si>
  <si>
    <t>Deer Island</t>
  </si>
  <si>
    <t>190 Tafts Ave</t>
  </si>
  <si>
    <t>84 D'Angelo Dr</t>
  </si>
  <si>
    <t>QUINSIGAMOND COMMUNITY COLLEGE</t>
  </si>
  <si>
    <t xml:space="preserve">Surprenant Building </t>
  </si>
  <si>
    <t>East side of parking lot #2</t>
  </si>
  <si>
    <t>01607</t>
  </si>
  <si>
    <t>ROXBURY COMMUNITY COLLEGE</t>
  </si>
  <si>
    <t>02120</t>
  </si>
  <si>
    <t xml:space="preserve">SALEM STATE </t>
  </si>
  <si>
    <t>01970</t>
  </si>
  <si>
    <t>UMASS AMHERST</t>
  </si>
  <si>
    <t>01003</t>
  </si>
  <si>
    <t xml:space="preserve">Holdsworth Way &amp; Commonwealth Ave: Lot 41 </t>
  </si>
  <si>
    <t>Visitor Center Parking Lot</t>
  </si>
  <si>
    <t>Newton</t>
  </si>
  <si>
    <t>UMASS DARTMOUTH</t>
  </si>
  <si>
    <t>Parking Lot 13</t>
  </si>
  <si>
    <t>02747</t>
  </si>
  <si>
    <t>SMAST East Campus</t>
  </si>
  <si>
    <t>New Bedford</t>
  </si>
  <si>
    <t>UMASS LOWELL</t>
  </si>
  <si>
    <t>01854</t>
  </si>
  <si>
    <t>South Garage Patient Visitor</t>
  </si>
  <si>
    <t>01655</t>
  </si>
  <si>
    <t>Plantation Street Garage</t>
  </si>
  <si>
    <t>Restricted</t>
  </si>
  <si>
    <t>WORCESTER STATE UNIVERSITY</t>
  </si>
  <si>
    <t>486 Chandler St</t>
  </si>
  <si>
    <t>01602</t>
  </si>
  <si>
    <t>Site/Location</t>
  </si>
  <si>
    <t>Agency#</t>
  </si>
  <si>
    <t>FiscalYear</t>
  </si>
  <si>
    <t>EOName</t>
  </si>
  <si>
    <t>Total Gallons</t>
  </si>
  <si>
    <t>Cost</t>
  </si>
  <si>
    <t>not reported</t>
  </si>
  <si>
    <t>11,401 (?)</t>
  </si>
  <si>
    <t>COURTS</t>
  </si>
  <si>
    <t>Recycling</t>
  </si>
  <si>
    <t>This tab requests information on waste management, water use and converation, and other sustainability efforts at your facilities.  If you have more than one facility you would like to track separately, feel free to contact Sophia Vitello (sophia.vitello@mass.gov)</t>
  </si>
  <si>
    <t>Please answer all items in yellow, where applicable.</t>
  </si>
  <si>
    <t>Waste Diversion</t>
  </si>
  <si>
    <t>Water Use &amp; Conservation</t>
  </si>
  <si>
    <t>Sustainable Landscaping</t>
  </si>
  <si>
    <t>Other Sustainability</t>
  </si>
  <si>
    <t>Section I: Waste Diversion</t>
  </si>
  <si>
    <r>
      <t xml:space="preserve"> If available, please provide total tonnage diverted from waste stream </t>
    </r>
    <r>
      <rPr>
        <i/>
        <sz val="11"/>
        <color theme="3"/>
        <rFont val="Calibri"/>
        <family val="2"/>
        <scheme val="minor"/>
      </rPr>
      <t/>
    </r>
  </si>
  <si>
    <r>
      <t xml:space="preserve"> If available, please provide total tonnage of materials disposed of in the solid waste stream </t>
    </r>
    <r>
      <rPr>
        <i/>
        <sz val="11"/>
        <color theme="3"/>
        <rFont val="Calibri"/>
        <family val="2"/>
        <scheme val="minor"/>
      </rPr>
      <t>(not including diverted materials)</t>
    </r>
  </si>
  <si>
    <t xml:space="preserve">Calculated Waste Diversion Rate </t>
  </si>
  <si>
    <t>Please discuss any new or innovative programs in place to reduce waste/expand recycling programs that you have implemented in the last year</t>
  </si>
  <si>
    <t>Section II: Water Use &amp; Conservation</t>
  </si>
  <si>
    <t>Fiscal Year</t>
  </si>
  <si>
    <t>Total Cost</t>
  </si>
  <si>
    <t xml:space="preserve">Section III: Sustainable Landscaping </t>
  </si>
  <si>
    <t>Pollinator Habitat</t>
  </si>
  <si>
    <t xml:space="preserve">If your campus/agency employs any of the following practices to support pollinator habitats and species, 
please provide details in the spaces provided below each question. </t>
  </si>
  <si>
    <t>Strategy</t>
  </si>
  <si>
    <t>Est. Size 
(Acres)</t>
  </si>
  <si>
    <t>Year Established</t>
  </si>
  <si>
    <t>Implementation Status</t>
  </si>
  <si>
    <t>If your campus/agency has existing, in progress or expected pollinator habitat efforts not listed above, please provide any available details below</t>
  </si>
  <si>
    <t>Battery Powered Landscaping Equipment</t>
  </si>
  <si>
    <t>Equipment Type</t>
  </si>
  <si>
    <t>Manufacturer</t>
  </si>
  <si>
    <t># of item</t>
  </si>
  <si>
    <t>Notes/Description</t>
  </si>
  <si>
    <t>Would you be interested in talking to LBE about the procurement of BPLE and their fiscal, health, and environmental benefits?</t>
  </si>
  <si>
    <t>Landscaping</t>
  </si>
  <si>
    <t>This landscaping tab is voluntary to complete. The Leading by Example Program appreciates any information and feedback related to your landscaping practices as we work to advance the progress of sustainability initiatives across the Commonwealth.</t>
  </si>
  <si>
    <t>If your agency/campus submitted answers to the below questions in past years and you would like LBE to use al or some of this data for your FY21 submission,
 please note this in the dropdown to the right.</t>
  </si>
  <si>
    <t xml:space="preserve">If your campus/agency employs any of the folllowing landscaping practices, 
please provide details in the spaces provided  below each question. </t>
  </si>
  <si>
    <t xml:space="preserve">If your campus/agency employs any of the folllowing practices to support pollinator habitats and species, 
please provide details in the spaces provided  below each question. </t>
  </si>
  <si>
    <t xml:space="preserve">Do you maintain your own landscape? </t>
  </si>
  <si>
    <t>à</t>
  </si>
  <si>
    <t>Zero-Turn Riding Mowers</t>
  </si>
  <si>
    <t>Push Mowers</t>
  </si>
  <si>
    <t>Leaf Blowers, String Trimmers</t>
  </si>
  <si>
    <t>Do  you currently/plan to implement any sustainable landscaping practices (e.g. reduction/elimination of pest management, use of environmentally preferrable products, battery-powered landscape equipment)?</t>
  </si>
  <si>
    <t>Reduction/elimination of pest management</t>
  </si>
  <si>
    <t>Use of environmentally preferrable products</t>
  </si>
  <si>
    <t>Use of battery-powered landscape equipment</t>
  </si>
  <si>
    <t xml:space="preserve">Do you use potable water for landscaping purposes? </t>
  </si>
  <si>
    <t>Est. Size (Acres)</t>
  </si>
  <si>
    <t xml:space="preserve">Year </t>
  </si>
  <si>
    <t>On-Site Signage</t>
  </si>
  <si>
    <t>Photos?</t>
  </si>
  <si>
    <t>On LBE Map?</t>
  </si>
  <si>
    <t>Third-Party Certification or Program?</t>
  </si>
  <si>
    <t>Status Update</t>
  </si>
  <si>
    <t>Agency/Campus</t>
  </si>
  <si>
    <t>Implemented</t>
  </si>
  <si>
    <t>No</t>
  </si>
  <si>
    <t>Yes</t>
  </si>
  <si>
    <t>Bristol Community College</t>
  </si>
  <si>
    <t>Managed Wildflower Meadow</t>
  </si>
  <si>
    <t>In Progress</t>
  </si>
  <si>
    <t xml:space="preserve">
Joe Desa </t>
  </si>
  <si>
    <r>
      <t xml:space="preserve">No/limited mow areas around Sbrega Building. Previously this area was mowed </t>
    </r>
    <r>
      <rPr>
        <sz val="11"/>
        <color rgb="FFFF0000"/>
        <rFont val="Calibri"/>
        <family val="2"/>
        <scheme val="minor"/>
      </rPr>
      <t>#</t>
    </r>
    <r>
      <rPr>
        <sz val="11"/>
        <rFont val="Calibri"/>
        <family val="2"/>
        <scheme val="minor"/>
      </rPr>
      <t xml:space="preserve"> times annually and is now mowed </t>
    </r>
    <r>
      <rPr>
        <sz val="11"/>
        <color rgb="FFFF0000"/>
        <rFont val="Calibri"/>
        <family val="2"/>
        <scheme val="minor"/>
      </rPr>
      <t>#</t>
    </r>
    <r>
      <rPr>
        <sz val="11"/>
        <rFont val="Calibri"/>
        <family val="2"/>
        <scheme val="minor"/>
      </rPr>
      <t xml:space="preserve"> times annually. </t>
    </r>
    <r>
      <rPr>
        <sz val="11"/>
        <color rgb="FFFF0000"/>
        <rFont val="Calibri"/>
        <family val="2"/>
        <scheme val="minor"/>
      </rPr>
      <t>(Checking w/ BCC)</t>
    </r>
  </si>
  <si>
    <t>Middlesex Fells Reservation (Botume House Visitor Center)</t>
  </si>
  <si>
    <t>Pollinator Garden</t>
  </si>
  <si>
    <t>DOC Bridgewater (West)</t>
  </si>
  <si>
    <t>Sean Foley and Andy Bakinowski</t>
  </si>
  <si>
    <t>In 2017, tilled area in summer and planted northeast wildflower mix in fall</t>
  </si>
  <si>
    <t>DOC Bridgewater (East)</t>
  </si>
  <si>
    <t>Planned</t>
  </si>
  <si>
    <t>Taunton State Hospital</t>
  </si>
  <si>
    <t>Rick Navarro</t>
  </si>
  <si>
    <t>The site of a former hospital building has been fenced in for years, and is only accessed by landscapping staff once or twice per year to mow. This limited mow plan has unintentionally benefited pollinators and wildlife, while staff limit mowing simply because it isn't an accessible space. Unsure of start year.</t>
  </si>
  <si>
    <t>REQUESTED</t>
  </si>
  <si>
    <t>Police Academy (New Braintree)</t>
  </si>
  <si>
    <t>Paul Hession</t>
  </si>
  <si>
    <t>DFW Westborough Field Headquarters</t>
  </si>
  <si>
    <t>Dave Paulson</t>
  </si>
  <si>
    <t xml:space="preserve">In 2016, MassWildlife planted a pollinator-friendly habitat at the Westborough Field Headquarters.  A 2017 survey of the planting  identified 10 species of butterflies: Black Swallowtail, Spicebush Swallowtail, Cabbage White, Orange Sulphur, Gray Hairstreak, Pearl Crescent, Common Buckeye, Common Ringlet, Monarch, and Wild Indigo Duskywing. At the time of the survey, the ground cover is dominated by the soil-stabilizing rye, but some wildflowers  are starting to appear, including Common Milkweed, Partridge Pea, and New York Ironweed. </t>
  </si>
  <si>
    <t>Mass. Bay Transportation Authority</t>
  </si>
  <si>
    <t>South Hall</t>
  </si>
  <si>
    <t>Bond Street</t>
  </si>
  <si>
    <t>Student led effort (&amp; Joe Santucci is a staff contact)</t>
  </si>
  <si>
    <t>http://www.mcla.edu/news1/2017-Nov/sophomore-spearheads-save-the-bees-campaign
LBE requested information</t>
  </si>
  <si>
    <t>Highland Avenue</t>
  </si>
  <si>
    <t>Brockton Campus</t>
  </si>
  <si>
    <t>Andrew Oguma and Michael Bankson</t>
  </si>
  <si>
    <t>Massasoit has for several years been converting traditional gardens and lawns to sustainable landscapes with non-invasive plants native to New England. These efforts conserve water, mitigate stormwater run-off; reduce the use of pesticides, fertilizers, and fossil fuels; and increase wildlife habitat, including habitat for native pollinators. Massasoit's sustainable landscaping efforts have led to an ongoing faculty-student research project focused on native pollinators, which not only helps advance research in this field but also provides students with hands-on educational experiences.</t>
  </si>
  <si>
    <t xml:space="preserve"> In 2009, the Massasoit CC stopped weekly mowing in spring, summer, and fall in this area to mowing just once a year \This initiative reduces the use of pesticides, fertilizers, and fossil fuels. This area provides habitat for wildlife including eastern cottontails, bees, butterflies, a wide variety of song birds, plus wildflowers</t>
  </si>
  <si>
    <t>Brookfield - Bridge Project</t>
  </si>
  <si>
    <t>Tara Mitchell</t>
  </si>
  <si>
    <t>Added by MassDOT in 2014, this is pollinator-friendly meadow that included native New England wildflowers as part of the seed mix (as part of a Quabog River Bridge project).</t>
  </si>
  <si>
    <t>Duxbury Roundabout</t>
  </si>
  <si>
    <t>Pollinator-friendly planting that included native New England wildflowers as part of the seed mix</t>
  </si>
  <si>
    <t>Leominster - Route 2 &amp; 12 Interchange</t>
  </si>
  <si>
    <t>Pollinator-friendly meadow that included native New England wildflowers as part of the seed mix</t>
  </si>
  <si>
    <t>Lynnfield Wake - Basins</t>
  </si>
  <si>
    <t>Converted from a parking lot in 2006 (and reseeded in 2011 and 2015), MassDOT added this  pollinator-friendly meadow that included native New England wildflowers as part of the seed mix.</t>
  </si>
  <si>
    <t>Plymouth Native Seed</t>
  </si>
  <si>
    <t>Uxbridge Exit 4 - Basins</t>
  </si>
  <si>
    <t>Waltham I-95</t>
  </si>
  <si>
    <t>Whittier Bridge Bike Path: Newburyport &amp; Amesbury</t>
  </si>
  <si>
    <t>In 2016, MassDOT planted this pollinator-friendly meadow that included native New England wildflowers as part of the seed mix on the Whittier Bridge Bike Path from Newburyport to Amesbury.</t>
  </si>
  <si>
    <t>MassDOT District 3: Along I-290</t>
  </si>
  <si>
    <t xml:space="preserve">MassDOT planning to seed area with plants specific to pollinator habitat and such that it provides seasonal habitat. Planning to plant in May 2019, and intends to seed a section that currently has bare, gravel soil - so it will include experimental native meadow seed as well. </t>
  </si>
  <si>
    <t>Route 146: Uxbridge Exit 3 - On Ramp from Route 16 to 146N</t>
  </si>
  <si>
    <t>Route 146: Uxbridge Exit 4 - Top of off Ramp to Lackey Dam Road</t>
  </si>
  <si>
    <t>Route 146: Uxbridge Median SB between Exit 3&amp;4</t>
  </si>
  <si>
    <t>Route 146: Sutton Exit 7 off ramp NB</t>
  </si>
  <si>
    <t>I-190: Leominster w/ tree barrier planting</t>
  </si>
  <si>
    <t>I-190: Leominster - basin</t>
  </si>
  <si>
    <t>I-190: Lancaster</t>
  </si>
  <si>
    <t>Plymouth Route 3 Rest Area</t>
  </si>
  <si>
    <t>Starting in 2015, this area is mowed only once a year (in the spring) - previously, the area was mowed 2 - 4 times annually.</t>
  </si>
  <si>
    <t xml:space="preserve">Plymouth Commerce Way </t>
  </si>
  <si>
    <t>Starting in 2011, this area has become a no mow zone to restore vegetation. Previously, the area was mowed 2 - 4 times annually.</t>
  </si>
  <si>
    <t>Nut Island Headworks
(47 Sea Ave, Quincy, MA 02169)</t>
  </si>
  <si>
    <t xml:space="preserve">MWRA Information in Progress </t>
  </si>
  <si>
    <t>Danvers MA Parking Lot 6</t>
  </si>
  <si>
    <t>Front area of campus (between Administration Building and Boylston Street)</t>
  </si>
  <si>
    <t>Steve Zisk</t>
  </si>
  <si>
    <t>Governor's Drive</t>
  </si>
  <si>
    <t>Eastman Lane Low Mow</t>
  </si>
  <si>
    <t>Area includes a roadside bank (0.3 acres) and a grassland buffer zone (0.5 acres) along the treeline. 
Both areas were previously mowed on a weekly basis. Beginning in 2019, both are now mowed once annually in the late fall. Signs have been placed along the bank but are often hit by cars and/or removed.</t>
  </si>
  <si>
    <t>Stadium Drive Meadow Ribbon</t>
  </si>
  <si>
    <t>Previous mowing regime was on a weekly basis, new regime beginning 2019  is one annual scheduled fall mowing. 
On site signage says “Area maintained as meadow habitat. Please do not disturb”</t>
  </si>
  <si>
    <t>Gunness Bank</t>
  </si>
  <si>
    <t>Previously mowed weekly. Beginning in 2019 mowed once every fall.</t>
  </si>
  <si>
    <t>Department Headquarters Meadow Ribbon</t>
  </si>
  <si>
    <t>Multiple</t>
  </si>
  <si>
    <t>Agriculture Learning Center</t>
  </si>
  <si>
    <t>Integrated Sciences Complex</t>
  </si>
  <si>
    <t>UCRR Project</t>
  </si>
  <si>
    <t>University Crossing</t>
  </si>
  <si>
    <t xml:space="preserve">Sheehy/Allen House </t>
  </si>
  <si>
    <t>Coburn Hall</t>
  </si>
  <si>
    <t>UML discussing adding a Managed Wildflower Meadow/or Pollinator Garden in the Coburn Hall area as the renovation project comes to completion in late 2019/2020</t>
  </si>
  <si>
    <t>Joel Moser</t>
  </si>
  <si>
    <r>
      <t xml:space="preserve">Bee Campus USA Certified | </t>
    </r>
    <r>
      <rPr>
        <sz val="11"/>
        <color rgb="FFFF0000"/>
        <rFont val="Calibri"/>
        <family val="2"/>
        <scheme val="minor"/>
      </rPr>
      <t>LBE requested information</t>
    </r>
  </si>
  <si>
    <t>NG Units</t>
  </si>
  <si>
    <t>Fuel Oil Units</t>
  </si>
  <si>
    <t>Woods</t>
  </si>
  <si>
    <t>Steam</t>
  </si>
  <si>
    <t>other</t>
  </si>
  <si>
    <t>Please Select from the Dropdown</t>
  </si>
  <si>
    <t>Anaerobic Digestion</t>
  </si>
  <si>
    <t>Air source heat pump</t>
  </si>
  <si>
    <t xml:space="preserve">Yes </t>
  </si>
  <si>
    <t>1 station</t>
  </si>
  <si>
    <t>3 Heads</t>
  </si>
  <si>
    <t xml:space="preserve">Single Head </t>
  </si>
  <si>
    <t>Agency/State Owned</t>
  </si>
  <si>
    <t>No Changes, Please Use Last Year's Data</t>
  </si>
  <si>
    <t>Energy Storage (Stand alone)</t>
  </si>
  <si>
    <t>Site owned &amp; operated</t>
  </si>
  <si>
    <t>Behind-the-Meter</t>
  </si>
  <si>
    <t>Single stream</t>
  </si>
  <si>
    <t>CNG</t>
  </si>
  <si>
    <t>Zero-turn mower</t>
  </si>
  <si>
    <t>Clean Combined Heat and Power (CHP)/Co-Generation</t>
  </si>
  <si>
    <t>MW</t>
  </si>
  <si>
    <t>CCF</t>
  </si>
  <si>
    <t>barrels</t>
  </si>
  <si>
    <t>Btu</t>
  </si>
  <si>
    <t>2-5 stations</t>
  </si>
  <si>
    <t>Plugs</t>
  </si>
  <si>
    <t>Dual Head</t>
  </si>
  <si>
    <t>Power Purchase Agreement</t>
  </si>
  <si>
    <t>Some Changes, Please See Updates Below</t>
  </si>
  <si>
    <t>Energy Storage (Paired w/ RPS Class 1 resource)</t>
  </si>
  <si>
    <t xml:space="preserve">Integration with on-site renewables </t>
  </si>
  <si>
    <t>Standalone (w/ off-takers)</t>
  </si>
  <si>
    <t xml:space="preserve">Multi-stream </t>
  </si>
  <si>
    <t>LNG</t>
  </si>
  <si>
    <t>Stand-on mower</t>
  </si>
  <si>
    <t>Clean Combined Heat and Power (CHP)</t>
  </si>
  <si>
    <t>Not sure</t>
  </si>
  <si>
    <t>Do Not Generate</t>
  </si>
  <si>
    <t>Not Sure</t>
  </si>
  <si>
    <t>5-8 stations</t>
  </si>
  <si>
    <t>Employee Charging Only</t>
  </si>
  <si>
    <t>Never Reported, All New Data</t>
  </si>
  <si>
    <t>Energy Storage (Paired w/ RPS Class 2 resource)</t>
  </si>
  <si>
    <t>Other (please describe in notes)</t>
  </si>
  <si>
    <t>Resilience &amp; power backup</t>
  </si>
  <si>
    <t>Standalone (w/o off-takers)</t>
  </si>
  <si>
    <t>LPG</t>
  </si>
  <si>
    <t>Not sure?</t>
  </si>
  <si>
    <t>Ride-on mower</t>
  </si>
  <si>
    <t>Ground source heat pump</t>
  </si>
  <si>
    <t>kBtu/hr</t>
  </si>
  <si>
    <t>Do Not Know</t>
  </si>
  <si>
    <t>n/a</t>
  </si>
  <si>
    <t>more than 5 stations</t>
  </si>
  <si>
    <t>Revenue generation</t>
  </si>
  <si>
    <t>Help! What's EO594?!</t>
  </si>
  <si>
    <t>Unsure</t>
  </si>
  <si>
    <t>Push mower</t>
  </si>
  <si>
    <t>Gallons</t>
  </si>
  <si>
    <t>Dual-fuel/Bi-fuel</t>
  </si>
  <si>
    <t>Multiple - please list at right</t>
  </si>
  <si>
    <t>Leaf blower</t>
  </si>
  <si>
    <t>String trimmer</t>
  </si>
  <si>
    <t>Pole saw</t>
  </si>
  <si>
    <t>Chainsaw</t>
  </si>
  <si>
    <t>Select your agency/campus from a dropdown list provided and contact information will auto-populate.  If contact information is incorrect, please note changes where appropriate and clearly mark the change (highlighting, underlining, etc). If additional contacts should be included for your campus, please list them in the yellow boxes.</t>
  </si>
  <si>
    <t>Please provide more details in the box below if possible.</t>
  </si>
  <si>
    <t>Access Type 
(e.g., Public, Fleet)</t>
  </si>
  <si>
    <t>7. Please discuss any significant sustainability efforts implemented this past year. In this section, please feel free to provide greater detail on a sustainability project listed in other sections of this form (i.e., waste, water use, food, efficiency) or provide detail on a sustainability project or broader sustainability effort that does not fit within any other form boxes.</t>
  </si>
  <si>
    <t>6. Please detail any efforts being undertaken to enhance resilience at your agency or entity.</t>
  </si>
  <si>
    <t>Pollinator Habitat (Existing)</t>
  </si>
  <si>
    <t>Gravely</t>
  </si>
  <si>
    <t>Agency/Entity</t>
  </si>
  <si>
    <t>Do you have any off-road vehicles/equipment in your fleet (ATV, tractor, excavator, bulldozer, sweeper, etc.)?</t>
  </si>
  <si>
    <t>Agency/Campus Site</t>
  </si>
  <si>
    <t>Street Address/Site</t>
  </si>
  <si>
    <t>Station Location</t>
  </si>
  <si>
    <t xml:space="preserve">Groups With Access </t>
  </si>
  <si>
    <t>Access Type</t>
  </si>
  <si>
    <t>Access Days Time</t>
  </si>
  <si>
    <t>Level 1  Chargers</t>
  </si>
  <si>
    <t>Level 2 Chargers</t>
  </si>
  <si>
    <t>Fast Chargers</t>
  </si>
  <si>
    <t>Total EV Stations</t>
  </si>
  <si>
    <t>Type</t>
  </si>
  <si>
    <t>Main Campus -- Lot 5</t>
  </si>
  <si>
    <t>2240 Lyannough Road</t>
  </si>
  <si>
    <t>West Barnstable</t>
  </si>
  <si>
    <t>02668</t>
  </si>
  <si>
    <t>24 hours daily</t>
  </si>
  <si>
    <t>Greenfield Community College</t>
  </si>
  <si>
    <t xml:space="preserve">MassDOT/ Rest Areas Bridgewater </t>
  </si>
  <si>
    <t>Rte. 24 NB Bridgewater Service Plaza</t>
  </si>
  <si>
    <t>Rte. 24 SB Bridgewater Service Plaza</t>
  </si>
  <si>
    <t>MassDOT/ Greenfield</t>
  </si>
  <si>
    <t>18 Miner Street</t>
  </si>
  <si>
    <t>Greenfield RMV - Tourist Info</t>
  </si>
  <si>
    <t xml:space="preserve">MassDOT/ MassPike Rest Areas Lee East </t>
  </si>
  <si>
    <t>MassDOT/ MassPike Rest Areas Lee West</t>
  </si>
  <si>
    <t>MassDOT / MassPike Rest Areas Charlton East</t>
  </si>
  <si>
    <t>MassPike Rest Areas Charlton East</t>
  </si>
  <si>
    <t>Charlton</t>
  </si>
  <si>
    <t>MassDOT / MassPike Rest Areas Charlton West</t>
  </si>
  <si>
    <t>MassPike Rest Areas Charlton West</t>
  </si>
  <si>
    <t>MassDOT / MassPike Rest Areas Framingham West</t>
  </si>
  <si>
    <t>Public (Restricted)</t>
  </si>
  <si>
    <t>Mass College of Art &amp; Design</t>
  </si>
  <si>
    <t>Ward Street Parking area</t>
  </si>
  <si>
    <t>Great Hill Drive</t>
  </si>
  <si>
    <t xml:space="preserve"> Parking Garage </t>
  </si>
  <si>
    <t>Across from Sbrega Building under Canopy, lot 7</t>
  </si>
  <si>
    <t>Under solar canopy, lot 8</t>
  </si>
  <si>
    <t>Under solar canopy, lot 9</t>
  </si>
  <si>
    <t>CCRTA</t>
  </si>
  <si>
    <t>Cape Cod Regional Transit Authority</t>
  </si>
  <si>
    <t>HYANNIS TRANSPORTATION CENTER</t>
  </si>
  <si>
    <t>215 Iyannough Road</t>
  </si>
  <si>
    <t>Hyannis</t>
  </si>
  <si>
    <t>02601</t>
  </si>
  <si>
    <t>DCR Walden Pond</t>
  </si>
  <si>
    <t>9 am - 5pm</t>
  </si>
  <si>
    <t>North Point Maintenance Facility</t>
  </si>
  <si>
    <t>6 Museum Way</t>
  </si>
  <si>
    <t>Cambridge</t>
  </si>
  <si>
    <t>02141</t>
  </si>
  <si>
    <t>FSU Conlon Fine Arts Building</t>
  </si>
  <si>
    <t xml:space="preserve"> 01420</t>
  </si>
  <si>
    <t>23 Salem End Road</t>
  </si>
  <si>
    <t>Facilities Building Lot</t>
  </si>
  <si>
    <t>01702</t>
  </si>
  <si>
    <t>Commuter Lot</t>
  </si>
  <si>
    <t>SHERIFF</t>
  </si>
  <si>
    <t>Franklin County Sheriff's Office</t>
  </si>
  <si>
    <t>FRANKLIN COUNTY SHERIFF</t>
  </si>
  <si>
    <t xml:space="preserve">160 Elm Street </t>
  </si>
  <si>
    <t>Under solar canopy</t>
  </si>
  <si>
    <t>01300</t>
  </si>
  <si>
    <t>Holyoke Community College</t>
  </si>
  <si>
    <t>303 Homestead Avenue</t>
  </si>
  <si>
    <t>Campus Center</t>
  </si>
  <si>
    <t>404 Jarvis Avenue</t>
  </si>
  <si>
    <t>MCCA</t>
  </si>
  <si>
    <t>Boston Convention and Exhibition Center</t>
  </si>
  <si>
    <t>BOS COM GARAGE1; On entrance level, near center of garage</t>
  </si>
  <si>
    <t>02210</t>
  </si>
  <si>
    <t>BOS COM GARAGE2; On entrance level, near center of garage</t>
  </si>
  <si>
    <t>02211</t>
  </si>
  <si>
    <t>Feigenbaum building parking lot</t>
  </si>
  <si>
    <t>MassDEP (Woburn) - Northeast Regional Office</t>
  </si>
  <si>
    <t>150 Presidential Way</t>
  </si>
  <si>
    <t>Woburn</t>
  </si>
  <si>
    <t>01801</t>
  </si>
  <si>
    <t>MassDOT/ Hopkinton Facility</t>
  </si>
  <si>
    <t>MassDOT/ Whatley Park and Ride Lot</t>
  </si>
  <si>
    <t>421 State Rd</t>
  </si>
  <si>
    <t>Park and Ride Lot</t>
  </si>
  <si>
    <t>South Deerfield</t>
  </si>
  <si>
    <t>01373</t>
  </si>
  <si>
    <t>Weston Maintenance Facility</t>
  </si>
  <si>
    <t>MassDOT Park &amp; Ride Harwich</t>
  </si>
  <si>
    <t>Harwich</t>
  </si>
  <si>
    <t>02645</t>
  </si>
  <si>
    <t>MassDOT Park &amp; Ride New Bedford</t>
  </si>
  <si>
    <t>02754</t>
  </si>
  <si>
    <t>MassDOT-Bourne - Sagamore Park &amp; Ride</t>
  </si>
  <si>
    <t>Route 6 &amp; Route 3 Interchange</t>
  </si>
  <si>
    <t>Employees Only</t>
  </si>
  <si>
    <t>Employees/Students Only</t>
  </si>
  <si>
    <t>MBTA</t>
  </si>
  <si>
    <t>MBTA WOODLAND</t>
  </si>
  <si>
    <t>Second floor or garage near front</t>
  </si>
  <si>
    <t>02466</t>
  </si>
  <si>
    <t>McCormack Building</t>
  </si>
  <si>
    <t>MWRTA</t>
  </si>
  <si>
    <t>MetroWest Regional Transit Authority</t>
  </si>
  <si>
    <t>MWRTA Blandin Hub</t>
  </si>
  <si>
    <t>15 Blandin Avenue</t>
  </si>
  <si>
    <t>Southborough HQ Western Operations</t>
  </si>
  <si>
    <t>270 Boston Rd</t>
  </si>
  <si>
    <t>01772</t>
  </si>
  <si>
    <t>Chelsea Facility</t>
  </si>
  <si>
    <t>Carroll Water Treatment Plant</t>
  </si>
  <si>
    <t>Roxbury Community College</t>
  </si>
  <si>
    <t>Under solar canopy lot</t>
  </si>
  <si>
    <t>225 Canal Street</t>
  </si>
  <si>
    <t>O'Keefe Center Parking Lot</t>
  </si>
  <si>
    <t>1 College Drive</t>
  </si>
  <si>
    <t>North Campus Parking Garage</t>
  </si>
  <si>
    <t>365 East Street</t>
  </si>
  <si>
    <t xml:space="preserve">B Lot </t>
  </si>
  <si>
    <t>Campus Center Way</t>
  </si>
  <si>
    <t>Campus Center Parking Garage, 4th level</t>
  </si>
  <si>
    <t>300 Massachusetts Avenue</t>
  </si>
  <si>
    <t>Stockbridge Road</t>
  </si>
  <si>
    <t xml:space="preserve"> Lot 62 (behind Design Building)</t>
  </si>
  <si>
    <t>Thatcher Road</t>
  </si>
  <si>
    <t xml:space="preserve">Lot 52 </t>
  </si>
  <si>
    <t>UMASS BOSTON</t>
  </si>
  <si>
    <t>West Garage</t>
  </si>
  <si>
    <t>TSONGAS B RIGHT</t>
  </si>
  <si>
    <t>TSONGAS B LEFT</t>
  </si>
  <si>
    <t>2-98 Standish St</t>
  </si>
  <si>
    <t xml:space="preserve"> 910 Broadway St</t>
  </si>
  <si>
    <t>SOUTH GARAGE 1C</t>
  </si>
  <si>
    <t>890-930 Broadway St</t>
  </si>
  <si>
    <t>SOUTH GARAGE 1B</t>
  </si>
  <si>
    <t>SOUTH GARAGE</t>
  </si>
  <si>
    <t>288-298 Salem St</t>
  </si>
  <si>
    <t>232 Pawtucket St</t>
  </si>
  <si>
    <t xml:space="preserve">272 Riverside St   </t>
  </si>
  <si>
    <t>NORTH GARAGE 1B</t>
  </si>
  <si>
    <t xml:space="preserve">281 Riverside St </t>
  </si>
  <si>
    <t>NORTH GARAGE</t>
  </si>
  <si>
    <t xml:space="preserve">40 Perkins St </t>
  </si>
  <si>
    <t>HALL GARAGE 1B</t>
  </si>
  <si>
    <t>HALL GARAGE</t>
  </si>
  <si>
    <t xml:space="preserve">11-21 Pawtucket St   </t>
  </si>
  <si>
    <t>EAST GARAGE</t>
  </si>
  <si>
    <t xml:space="preserve">Coburn Hall </t>
  </si>
  <si>
    <t>Riverhawk Village</t>
  </si>
  <si>
    <t>UMass Chan Medical School</t>
  </si>
  <si>
    <t>Outside Parking Garage (Lot C)</t>
  </si>
  <si>
    <t>Parking Garage (Building 14)</t>
  </si>
  <si>
    <t>17 Eastman Lane</t>
  </si>
  <si>
    <t>North Lot (Lot O)</t>
  </si>
  <si>
    <t>DOC</t>
  </si>
  <si>
    <t>MCI Concord</t>
  </si>
  <si>
    <t>965 Elm St</t>
  </si>
  <si>
    <t>DOC Milford</t>
  </si>
  <si>
    <t>50 Maple St</t>
  </si>
  <si>
    <t>Milford</t>
  </si>
  <si>
    <t>01757</t>
  </si>
  <si>
    <t>Dana Mohler-Faria Science &amp; Mathematics Center</t>
  </si>
  <si>
    <t>24 Park Ave</t>
  </si>
  <si>
    <t>Tinsley Center</t>
  </si>
  <si>
    <t>325 Plymouth St</t>
  </si>
  <si>
    <t>02325</t>
  </si>
  <si>
    <t>Viking Hall</t>
  </si>
  <si>
    <t>400 Venture Way</t>
  </si>
  <si>
    <t>01035</t>
  </si>
  <si>
    <t>Mt Ida 3, 183 Wiswall Road</t>
  </si>
  <si>
    <t>02459</t>
  </si>
  <si>
    <t>Orchard Hill Way</t>
  </si>
  <si>
    <t>Orchard Hill Lot 49</t>
  </si>
  <si>
    <t>Worcester Visitor Center</t>
  </si>
  <si>
    <t>2 Clancy Way</t>
  </si>
  <si>
    <t>MassDOT I-95NB Lexington Service Plaza</t>
  </si>
  <si>
    <t>I-95 North, Mile Marker 46.3</t>
  </si>
  <si>
    <t>Lexington</t>
  </si>
  <si>
    <t>MassDOT - Whately Park &amp; Ride</t>
  </si>
  <si>
    <t>457 State Road (Routes 10/5)</t>
  </si>
  <si>
    <t>Whately</t>
  </si>
  <si>
    <t>MassBay Comm. College</t>
  </si>
  <si>
    <t>50 Oakland Street</t>
  </si>
  <si>
    <t>Faculty Lot</t>
  </si>
  <si>
    <t>Wellesley</t>
  </si>
  <si>
    <t>02481</t>
  </si>
  <si>
    <t>Springfield Tech Comm. College</t>
  </si>
  <si>
    <t>Springfield Technical Community College</t>
  </si>
  <si>
    <t>1 Armory Square</t>
  </si>
  <si>
    <t>Lot A</t>
  </si>
  <si>
    <t>01105</t>
  </si>
  <si>
    <t>Expected Installation Date (FY)</t>
  </si>
  <si>
    <t>Single</t>
  </si>
  <si>
    <t>Dual</t>
  </si>
  <si>
    <t>Framingham State University - Larned Hall</t>
  </si>
  <si>
    <t>77 State Street</t>
  </si>
  <si>
    <t>MassDOT District 3 HQ (Central MA Transportation Center)</t>
  </si>
  <si>
    <t>499 Plantation St</t>
  </si>
  <si>
    <t>01605</t>
  </si>
  <si>
    <t xml:space="preserve">constructed </t>
  </si>
  <si>
    <t>Salem State Meier Hall</t>
  </si>
  <si>
    <t>UMass Amherst--Lot 49</t>
  </si>
  <si>
    <t>EOVS</t>
  </si>
  <si>
    <t>Building #17 Room 204</t>
  </si>
  <si>
    <t>Building #11</t>
  </si>
  <si>
    <t>Do you have irrigation</t>
  </si>
  <si>
    <t>Please select a response from dropdown.</t>
  </si>
  <si>
    <t>Maybe</t>
  </si>
  <si>
    <t>Irrigation assessment</t>
  </si>
  <si>
    <t>Irrigation tracking</t>
  </si>
  <si>
    <t>##</t>
  </si>
  <si>
    <t>Section II: Fleet Overview &amp; Inventory</t>
  </si>
  <si>
    <t>Total LD Fleet Vehicles (&lt;8,501 lbs)</t>
  </si>
  <si>
    <t>Other Medium Duty</t>
  </si>
  <si>
    <t>Medium Duty Vehicles (8,501 - 14,000 lbs)</t>
  </si>
  <si>
    <t>Heavy Duty (&gt;14,000 lbs)</t>
  </si>
  <si>
    <t>Total MD/HD Fleet Vehicles (&gt;8,500 lbs)</t>
  </si>
  <si>
    <r>
      <t xml:space="preserve">For agencies/campuses that do not purchase/lease through OVM please provide data, where available, for yellow sections below. If you would prefer that LBE send you the current fleet overview we have on file for your entity to update, please reach out to Sophia (sophia.vitello@mass.gov).
If available, LBE kindly asks that you also submit a </t>
    </r>
    <r>
      <rPr>
        <b/>
        <i/>
        <sz val="14"/>
        <color rgb="FFFFFF97"/>
        <rFont val="Calibri"/>
        <family val="2"/>
        <scheme val="minor"/>
      </rPr>
      <t>detailed fleet inventory</t>
    </r>
    <r>
      <rPr>
        <b/>
        <i/>
        <sz val="14"/>
        <color theme="0"/>
        <rFont val="Calibri"/>
        <family val="2"/>
        <scheme val="minor"/>
      </rPr>
      <t xml:space="preserve"> with this tracking form (it can be a simple Excel spreadsheet with make, model, fuel type, vehicle class/GVWR if possible).</t>
    </r>
  </si>
  <si>
    <r>
      <t xml:space="preserve">Section II: </t>
    </r>
    <r>
      <rPr>
        <sz val="12"/>
        <color theme="3"/>
        <rFont val="Calibri"/>
        <family val="2"/>
        <scheme val="minor"/>
      </rPr>
      <t>Fleet Overview &amp; Inventory. Please provide the requested fleet information and inventory (if possible) as indicated.</t>
    </r>
  </si>
  <si>
    <t>Fast Charger</t>
  </si>
  <si>
    <t>Fitchburg State</t>
  </si>
  <si>
    <t>Framingham State</t>
  </si>
  <si>
    <t>Massasoit CC</t>
  </si>
  <si>
    <t>UML</t>
  </si>
  <si>
    <t>Worcester State</t>
  </si>
  <si>
    <t>MassBay CC</t>
  </si>
  <si>
    <t>MassDOT (unknown location)</t>
  </si>
  <si>
    <t>MWRA (location unknown)</t>
  </si>
  <si>
    <t>MassDOT Aeronautics Turner's Falls</t>
  </si>
  <si>
    <t>MassDOT Aeronautics Southbridge</t>
  </si>
  <si>
    <t>MassDOT Aeronautics Beverly</t>
  </si>
  <si>
    <t>MassDOT Aeronautics Chatham</t>
  </si>
  <si>
    <t>MassDOT Aeronautics New Bedford</t>
  </si>
  <si>
    <t>MassDOT Aeronautics Fitchburg</t>
  </si>
  <si>
    <t>MassDOT Aeronautics Marshfield</t>
  </si>
  <si>
    <t>MassDOT Aeronautics Barnstable</t>
  </si>
  <si>
    <t>MassDOT Aeronautics Lawrence</t>
  </si>
  <si>
    <t>MassDOT Aeronautics Orange</t>
  </si>
  <si>
    <t>MassDOT Aeronautics Norwood</t>
  </si>
  <si>
    <t>MassDOT Aeronautics Pittsfield</t>
  </si>
  <si>
    <t>MassDOT Aeronautics Plymouth</t>
  </si>
  <si>
    <t>MassDOT Aeronautics Taunton</t>
  </si>
  <si>
    <t>Backpack blowers</t>
  </si>
  <si>
    <t>Leaf blowers</t>
  </si>
  <si>
    <t>String Trimmer</t>
  </si>
  <si>
    <t>Electric Cut-of saw</t>
  </si>
  <si>
    <t>Pole saw/pruner</t>
  </si>
  <si>
    <t>Hedge trimmer</t>
  </si>
  <si>
    <t>Ride-on mower CXR-52s</t>
  </si>
  <si>
    <t>Push mower WBX-33HD</t>
  </si>
  <si>
    <t>Trimmers</t>
  </si>
  <si>
    <t>Cutoff saw</t>
  </si>
  <si>
    <t>Garden pruner kit</t>
  </si>
  <si>
    <t>Saw</t>
  </si>
  <si>
    <t>Pole hedge trimmer</t>
  </si>
  <si>
    <t>14” chainsaw</t>
  </si>
  <si>
    <t>Backpack blower</t>
  </si>
  <si>
    <t>Grass trimmer</t>
  </si>
  <si>
    <t>80 volt batteries (4)</t>
  </si>
  <si>
    <t>Rapid battery charge station</t>
  </si>
  <si>
    <t>Electric utility vehicle</t>
  </si>
  <si>
    <t>Z-turn mower with solar canopy</t>
  </si>
  <si>
    <t>25 kW solar array</t>
  </si>
  <si>
    <t>14" chainsaw</t>
  </si>
  <si>
    <t>14" chainsaw (2)</t>
  </si>
  <si>
    <t>Grass trimmer (2)</t>
  </si>
  <si>
    <t>80 volt batteries (8)</t>
  </si>
  <si>
    <t>STIHL</t>
  </si>
  <si>
    <t>Husqvarna</t>
  </si>
  <si>
    <t>Milwaukee</t>
  </si>
  <si>
    <t>EGO</t>
  </si>
  <si>
    <t>Mean Green</t>
  </si>
  <si>
    <t>Stihl</t>
  </si>
  <si>
    <t>Honda/Ryobi</t>
  </si>
  <si>
    <t>Greenworks</t>
  </si>
  <si>
    <t>If any information below for existing BPLE for your entity is incorrect, please provide corrected details if applicable.</t>
  </si>
  <si>
    <t>Section IV: Other Efforts</t>
  </si>
  <si>
    <t>Are you interested in receiving technical assistance in enhancing or expanding your waste diversion programs?</t>
  </si>
  <si>
    <t>Light Duty Vehicles (0 - 8,500 lbs)</t>
  </si>
  <si>
    <t>Please discuss below any new or innovative water conservation measures that you have implemented in the last year</t>
  </si>
  <si>
    <t>Mark Carmody</t>
  </si>
  <si>
    <t>Associate Vice President Operations</t>
  </si>
  <si>
    <t>m1carmody@bridgew.edu</t>
  </si>
  <si>
    <t>508-531-2972</t>
  </si>
  <si>
    <t>John Masters</t>
  </si>
  <si>
    <t>Fleet Manager</t>
  </si>
  <si>
    <t>john.masters@mass.gov</t>
  </si>
  <si>
    <t>857-303-0509</t>
  </si>
  <si>
    <t>Susan F. Hamilton</t>
  </si>
  <si>
    <t>Assistant Deputy Commissioner</t>
  </si>
  <si>
    <t>susan.f.hamilton@mass.gov</t>
  </si>
  <si>
    <t>617-719-8210</t>
  </si>
  <si>
    <t>Fred Corazzini</t>
  </si>
  <si>
    <t>Dir. of Capital Asset Management</t>
  </si>
  <si>
    <t xml:space="preserve">Frederic.Corazzini@mass.gov </t>
  </si>
  <si>
    <t>978-567-3161</t>
  </si>
  <si>
    <t>Meaghan Hencir</t>
  </si>
  <si>
    <t>Facilities Planning &amp; Admin. Coordinator</t>
  </si>
  <si>
    <t>Meaghan.Hencir@mass.gov</t>
  </si>
  <si>
    <t>978-567-3162</t>
  </si>
  <si>
    <t>Daniel Giard</t>
  </si>
  <si>
    <t>Exec. Director, Facility Operations</t>
  </si>
  <si>
    <t>dgiard@framingham.edu</t>
  </si>
  <si>
    <t>508-626-4590</t>
  </si>
  <si>
    <t>Michael Lazo</t>
  </si>
  <si>
    <t>michael.lazo2@mass.gov</t>
  </si>
  <si>
    <t>(413) 552-4737</t>
  </si>
  <si>
    <t>Glen Hevy</t>
  </si>
  <si>
    <t>glen.hevy@mass.gov</t>
  </si>
  <si>
    <t>(413) 552-4706</t>
  </si>
  <si>
    <t>Michael Lynch</t>
  </si>
  <si>
    <t>Chief Financial Officer</t>
  </si>
  <si>
    <t>michael.lynch2@mass.gov</t>
  </si>
  <si>
    <t>(413) 552-4751</t>
  </si>
  <si>
    <t>Alternate Contact 3</t>
  </si>
  <si>
    <t>Alternate Contact Title 3</t>
  </si>
  <si>
    <t>Alternate Email 3</t>
  </si>
  <si>
    <t>Alternate Phone 3</t>
  </si>
  <si>
    <t>Richard Polwrek</t>
  </si>
  <si>
    <t>richard.polwrek@mass.gov</t>
  </si>
  <si>
    <t>(413) 552-4777</t>
  </si>
  <si>
    <t>VP Operations</t>
  </si>
  <si>
    <t>paul.hession@pol.state.ma.us</t>
  </si>
  <si>
    <t>(508) 820-2650</t>
  </si>
  <si>
    <t>James Politano</t>
  </si>
  <si>
    <t>Director of Facilities Operations</t>
  </si>
  <si>
    <t>jpolitano@northshore.edu</t>
  </si>
  <si>
    <t>978-762-4041</t>
  </si>
  <si>
    <t>Suzanne Gray</t>
  </si>
  <si>
    <t>Staff Associate</t>
  </si>
  <si>
    <t>sgray2@salemstate.edu</t>
  </si>
  <si>
    <t>978-542-4839</t>
  </si>
  <si>
    <t>Janna Cohen-Rosenthal</t>
  </si>
  <si>
    <t>Sustainability &amp; Resiliency Planner</t>
  </si>
  <si>
    <t>Janna.CohenRosenthal@umb.edu</t>
  </si>
  <si>
    <t>Dennis Swinford</t>
  </si>
  <si>
    <t>Dir. Campus Planning &amp; Sustainability</t>
  </si>
  <si>
    <t>dennis.swinford@umb.edu</t>
  </si>
  <si>
    <t>(617) 287-5162</t>
  </si>
  <si>
    <t>J. Jerue</t>
  </si>
  <si>
    <t>Assistant Vice Chancellor for Facilities Operations</t>
  </si>
  <si>
    <t>jjerue@umassd.edu</t>
  </si>
  <si>
    <t>508-999-9216</t>
  </si>
  <si>
    <t>Assistant Director, Office of Sustainability</t>
  </si>
  <si>
    <t>Kortni Wroten</t>
  </si>
  <si>
    <t>Kortni.wroten@umassmed.edu</t>
  </si>
  <si>
    <t>508-523-2799</t>
  </si>
  <si>
    <t>Nancy Ramsdell</t>
  </si>
  <si>
    <t>Director Operations &amp; Planning Support Services, Facilities</t>
  </si>
  <si>
    <t>nramsdell@worcester.edu</t>
  </si>
  <si>
    <t>508-929-8720</t>
  </si>
  <si>
    <t>Sandra Quaye</t>
  </si>
  <si>
    <t>squaye1@mwcc.mass.edu</t>
  </si>
  <si>
    <t xml:space="preserve">978-630-9272  </t>
  </si>
  <si>
    <t xml:space="preserve">Contact Name 5: </t>
  </si>
  <si>
    <t>Nicole Kelly</t>
  </si>
  <si>
    <t>Berkshire County Sheriff / HOC</t>
  </si>
  <si>
    <t>Bridgewater State University - Summer St</t>
  </si>
  <si>
    <t>Bristol Community College Elsbree Street Campus</t>
  </si>
  <si>
    <t>BHCC Building G Roof</t>
  </si>
  <si>
    <t>Cape Cod Community College Loruso Applied Tech Bldg PV</t>
  </si>
  <si>
    <t>CCRTA Hyannis Transportation Center</t>
  </si>
  <si>
    <t>DCR Halibut Point State Park</t>
  </si>
  <si>
    <t>DCR Walden Pond Visitor Center</t>
  </si>
  <si>
    <t>Lt. James F. Reilly Recreation Rink/Pool Complex</t>
  </si>
  <si>
    <t>Francis L. Murphy Memorial Ice Skating Rink</t>
  </si>
  <si>
    <t>Bridgewater Correctional Complex</t>
  </si>
  <si>
    <t xml:space="preserve">MCI South Middlesex Correctional Center  </t>
  </si>
  <si>
    <t>DYS Middleton</t>
  </si>
  <si>
    <t>Massachusetts College of Liberal Arts</t>
  </si>
  <si>
    <t>Massachusetts College of Liberal Arts (Feigenbaum Center)</t>
  </si>
  <si>
    <t>Massachusetts College of Liberal Arts (Venable Hall)</t>
  </si>
  <si>
    <t>Mass Maritime Academy (Gray and Bassett Hall)</t>
  </si>
  <si>
    <t>Mass Maritime Academy (Information Commons)</t>
  </si>
  <si>
    <t>Mass Maritime Academy Lights</t>
  </si>
  <si>
    <t>MEMA Bunker</t>
  </si>
  <si>
    <t>MassDOT Framingham I-90 Interchange 13 North RoW</t>
  </si>
  <si>
    <t>MassDOT Framingham I-90 Interchange 13 South RoW</t>
  </si>
  <si>
    <t>MassDOT Framingham I-90 WB Service Plaza RoW</t>
  </si>
  <si>
    <t>MassDOT Natick I-90 WB Embankment RoW</t>
  </si>
  <si>
    <t>MassDOT Plymouth Route 3 Exit 5 RoW</t>
  </si>
  <si>
    <t>MassDOT Salisbury District 4 Depot RoW</t>
  </si>
  <si>
    <t>Massport Logan - Terminal A PPA</t>
  </si>
  <si>
    <t>Massport Logan - Terminal A Satellite PPA</t>
  </si>
  <si>
    <t>MassPort Logan Airport Economy Parking Garage</t>
  </si>
  <si>
    <t>MBTA Orient Heights (Blue Line Station)</t>
  </si>
  <si>
    <t>MBTA Bridgewater Wind Turbine</t>
  </si>
  <si>
    <t>MBTA Kingston Layover Wind Turbine</t>
  </si>
  <si>
    <t>MBTA Nantasket Junction Solar Canopy</t>
  </si>
  <si>
    <t>MBTA Norwood Central Solar Canopy</t>
  </si>
  <si>
    <t>MBTA West Hingham Solar Canopy</t>
  </si>
  <si>
    <t>Middlesex Sheriff's Office</t>
  </si>
  <si>
    <t>Natick Readiness Center</t>
  </si>
  <si>
    <t>MWRA Deer Island Grit roof --222 kW PV (PPA)</t>
  </si>
  <si>
    <t>MWRA Deer Island Parking Lot --234 kW PV (PPA)</t>
  </si>
  <si>
    <t>MWRA Deer Island Solar 1 (Odor Control Building)</t>
  </si>
  <si>
    <t>MWRA Deer Island Solar 2 (Admin/Warehouse)</t>
  </si>
  <si>
    <t>MWRA Chicopee Valley</t>
  </si>
  <si>
    <t>MWRA Deer Island (Backpressure STG)</t>
  </si>
  <si>
    <t>MWRA Deer Island Ogin</t>
  </si>
  <si>
    <t>MWRA Fish Hatchery</t>
  </si>
  <si>
    <t>MWRA Brutsch Hydro</t>
  </si>
  <si>
    <t>Wachusett Aqueduct Pumping Station 1</t>
  </si>
  <si>
    <t>Wachusett Aqueduct Pumping Station 2</t>
  </si>
  <si>
    <t>Norfolk County Sheriif's Office</t>
  </si>
  <si>
    <t>North Shore Community College - Health Professions &amp; Student Services Center</t>
  </si>
  <si>
    <t>Roxbury Community College - Parking Lot 1 canopy</t>
  </si>
  <si>
    <t>Salem State Berry Library (PPA)</t>
  </si>
  <si>
    <t>Salem State College Atlantic Hall</t>
  </si>
  <si>
    <t>Salem State College - O'Keefe Center Phase 2 (PPA)</t>
  </si>
  <si>
    <t xml:space="preserve">STCC building 20 </t>
  </si>
  <si>
    <t>Lowell Trial Court Roof</t>
  </si>
  <si>
    <t>Lowell Trial Court Canopy</t>
  </si>
  <si>
    <t>UMass Amherst--Champions Center</t>
  </si>
  <si>
    <t>UMass Amherst-- Bromery Center for the Arts (Fine Arts Center)</t>
  </si>
  <si>
    <t xml:space="preserve">UMass Amherst--Lot 25 </t>
  </si>
  <si>
    <t>UMass Amherst--Lot 44</t>
  </si>
  <si>
    <t>UMass Amherst--Lot 34</t>
  </si>
  <si>
    <t>UMass Amherst--Lots 21-22</t>
  </si>
  <si>
    <t>UMass Boston - University Hall</t>
  </si>
  <si>
    <t>UMass Boston - Parking Lot Canopy</t>
  </si>
  <si>
    <t>UMass Lowell - South Garage Solar Canopy</t>
  </si>
  <si>
    <t>Worcester State University Wasylean Hall</t>
  </si>
  <si>
    <t>Worcester State University Dowden Hall</t>
  </si>
  <si>
    <t>Worcester State University Sheehan Hall</t>
  </si>
  <si>
    <t>Blackstone Visitor Center</t>
  </si>
  <si>
    <t>Community Living Center</t>
  </si>
  <si>
    <t>Northborough Maintenance Facility</t>
  </si>
  <si>
    <t>Dorchester</t>
  </si>
  <si>
    <t>Framingham Armory</t>
  </si>
  <si>
    <t>467 Cheshire Rd</t>
  </si>
  <si>
    <t>1 Transportation Avenue</t>
  </si>
  <si>
    <t>330 River Street</t>
  </si>
  <si>
    <t>915 Walden Street</t>
  </si>
  <si>
    <t>355 Chestnut Hill Ave</t>
  </si>
  <si>
    <t>1880 Day Boulevard</t>
  </si>
  <si>
    <t>33 Gregory Street</t>
  </si>
  <si>
    <t>0 Bolton Road</t>
  </si>
  <si>
    <t>160 Elm Street</t>
  </si>
  <si>
    <t>400 Worcester Road</t>
  </si>
  <si>
    <t>5 Macadam Road</t>
  </si>
  <si>
    <t>1000 Bennington Street</t>
  </si>
  <si>
    <t>220 Titicut Road</t>
  </si>
  <si>
    <t>200 Marion Drive</t>
  </si>
  <si>
    <t>190 Summer Street</t>
  </si>
  <si>
    <t>164 Broadway</t>
  </si>
  <si>
    <t>20 Fort Hill Road</t>
  </si>
  <si>
    <t>149 Speen Street</t>
  </si>
  <si>
    <t>1234 Columbus Avenue</t>
  </si>
  <si>
    <t>370 Jackson Street</t>
  </si>
  <si>
    <t>190 Commonwealth Ave</t>
  </si>
  <si>
    <t>140 Governors Drive</t>
  </si>
  <si>
    <t>151 Presidents Drive</t>
  </si>
  <si>
    <t>Commonwealth Ave</t>
  </si>
  <si>
    <t>North Residential Drive</t>
  </si>
  <si>
    <t>585 East Pleasant St</t>
  </si>
  <si>
    <t>161 Commonwealth Ave</t>
  </si>
  <si>
    <t>3 Paul Clancy Way</t>
  </si>
  <si>
    <t>91 Crest Avenue</t>
  </si>
  <si>
    <t>187 Lyman Street</t>
  </si>
  <si>
    <t>165 Marston Street</t>
  </si>
  <si>
    <t>70 Victory Road</t>
  </si>
  <si>
    <t>522 Concord Street</t>
  </si>
  <si>
    <t xml:space="preserve">Waltham </t>
  </si>
  <si>
    <t>Middleton</t>
  </si>
  <si>
    <t>Kingston</t>
  </si>
  <si>
    <t>Hingham</t>
  </si>
  <si>
    <t>Norwood</t>
  </si>
  <si>
    <t>Billerica</t>
  </si>
  <si>
    <t>Ware</t>
  </si>
  <si>
    <t>Belchertown</t>
  </si>
  <si>
    <t>Dedham</t>
  </si>
  <si>
    <t>Lynn</t>
  </si>
  <si>
    <t>Northborough</t>
  </si>
  <si>
    <t>02166</t>
  </si>
  <si>
    <t>Pending</t>
  </si>
  <si>
    <t xml:space="preserve">FWE </t>
  </si>
  <si>
    <t>EOHHA</t>
  </si>
  <si>
    <t>EOAF</t>
  </si>
  <si>
    <t>Sheriff</t>
  </si>
  <si>
    <t>PPA (with lease)</t>
  </si>
  <si>
    <t>Land lease</t>
  </si>
  <si>
    <t>ESA</t>
  </si>
  <si>
    <t>NFG-SR25630-61868</t>
  </si>
  <si>
    <t>no RECs</t>
  </si>
  <si>
    <t>retain RECs</t>
  </si>
  <si>
    <t>NON46827</t>
  </si>
  <si>
    <t>NON35282</t>
  </si>
  <si>
    <t>NON38983</t>
  </si>
  <si>
    <t>NON38984</t>
  </si>
  <si>
    <t>NON38943</t>
  </si>
  <si>
    <t>NFG-SR25630-73049</t>
  </si>
  <si>
    <t>NFG-SR25630-73050</t>
  </si>
  <si>
    <t>NFG-SR25630-73190</t>
  </si>
  <si>
    <t>NFG-SR25630-73928</t>
  </si>
  <si>
    <t>NFG-SR25630-73048</t>
  </si>
  <si>
    <t>NFG-SR25630-73053</t>
  </si>
  <si>
    <t>NFG-SR25630-73068</t>
  </si>
  <si>
    <t>NFG-SR25630-54226</t>
  </si>
  <si>
    <t>Ground</t>
  </si>
  <si>
    <t>Berkshire Sheriff</t>
  </si>
  <si>
    <t>Chelsea Soldiers' Home</t>
  </si>
  <si>
    <t>Dept. of Fish &amp; Game</t>
  </si>
  <si>
    <t>Housing and Livable Communities</t>
  </si>
  <si>
    <t>Franklin Sheriff</t>
  </si>
  <si>
    <t>Mass. Emergency Management Agency</t>
  </si>
  <si>
    <t>Middlesex Sheriff</t>
  </si>
  <si>
    <t>Norfolk Sheriff</t>
  </si>
  <si>
    <t>Essex Sheriff</t>
  </si>
  <si>
    <t>2 Clark St</t>
  </si>
  <si>
    <t>DOC Shirley</t>
  </si>
  <si>
    <t>MCI Cedar Junction</t>
  </si>
  <si>
    <t>Worcester State University Learning Resource Center</t>
  </si>
  <si>
    <t xml:space="preserve">BHE </t>
  </si>
  <si>
    <t>Air Source Water Heater</t>
  </si>
  <si>
    <t>DDS</t>
  </si>
  <si>
    <t>DFW</t>
  </si>
  <si>
    <t>MassPort</t>
  </si>
  <si>
    <t>MSP</t>
  </si>
  <si>
    <t>Berkshire HOC Main Facility- Sheriff</t>
  </si>
  <si>
    <t>Berkshire HOC Main Facility</t>
  </si>
  <si>
    <t>Berkshire</t>
  </si>
  <si>
    <t>40 (units)</t>
  </si>
  <si>
    <t>120 (tons)</t>
  </si>
  <si>
    <t>130 (tons)</t>
  </si>
  <si>
    <t xml:space="preserve">Sbrega Health and Sciences Building </t>
  </si>
  <si>
    <t>181 (MMBtu)</t>
  </si>
  <si>
    <t>Bristol County Sheriff's Office</t>
  </si>
  <si>
    <t>ICE Building</t>
  </si>
  <si>
    <t>North Dartmouth</t>
  </si>
  <si>
    <t>919 sq ft</t>
  </si>
  <si>
    <t>DCR Blackstone Heritage Corridor</t>
  </si>
  <si>
    <t>Blackstone Heritage Corridor Visitor Center and DCR Central Region administrative offices</t>
  </si>
  <si>
    <t>3x191 (MBH)</t>
  </si>
  <si>
    <t>DCR Camp Nihan</t>
  </si>
  <si>
    <t>DCR Camp Nihan Education Center</t>
  </si>
  <si>
    <t>Saugus</t>
  </si>
  <si>
    <t>191 (MBH)</t>
  </si>
  <si>
    <t>DCR Holyoke Range State Park</t>
  </si>
  <si>
    <t>51 Military Rd-- Joint Administrative Offices DCR Rangers, Forest Health, Fire District 10, Forest Utilization &amp; Markets</t>
  </si>
  <si>
    <t>Notch Visitor Center</t>
  </si>
  <si>
    <t>Halibut Point Visitor's Center</t>
  </si>
  <si>
    <t>Rockport</t>
  </si>
  <si>
    <t xml:space="preserve">DCR Quabbin </t>
  </si>
  <si>
    <t>DCR Quabbin Administration Building</t>
  </si>
  <si>
    <t>1.875 (MMBtu) / 60hp steam</t>
  </si>
  <si>
    <t>DCR Quabbin Reservoir Conference Center</t>
  </si>
  <si>
    <t>48 (MBH)</t>
  </si>
  <si>
    <t>DCR Scusset Beach</t>
  </si>
  <si>
    <t>Scusset Beach Maintenance Garage</t>
  </si>
  <si>
    <t>Sagamore</t>
  </si>
  <si>
    <t>DCR Veterans Memorial/Bennett Field Pool</t>
  </si>
  <si>
    <t>Veterans Memorial/Bennett Field Pool</t>
  </si>
  <si>
    <t>DCR Wachusett State Park</t>
  </si>
  <si>
    <t>DCR Wachusett State Park Visitor's Center</t>
  </si>
  <si>
    <t>DCR Walden Pond Visitor's Center</t>
  </si>
  <si>
    <t>80 (SqFT)</t>
  </si>
  <si>
    <t>66 &amp; 40 (MBH)</t>
  </si>
  <si>
    <t>Waquoit</t>
  </si>
  <si>
    <t>DCR West Region HQ</t>
  </si>
  <si>
    <t>740 South St.  Joint state parks and forestry administrative offices</t>
  </si>
  <si>
    <t>DDS Hogan Regional Center</t>
  </si>
  <si>
    <t>DDS Hogan Regional Center --Residential and Nursery Building</t>
  </si>
  <si>
    <t>DFW McLaughlin Hatchery</t>
  </si>
  <si>
    <t>DFW Fish Hatchery</t>
  </si>
  <si>
    <t>191,000 (btu/hr)</t>
  </si>
  <si>
    <t>DFW Plum Island</t>
  </si>
  <si>
    <t>DFW Plum Island Shellfish Purificatin Plant</t>
  </si>
  <si>
    <t>Newburyport</t>
  </si>
  <si>
    <t>Main Building / Library Addition 2009</t>
  </si>
  <si>
    <t xml:space="preserve">Hampshire Sheriff Dept. </t>
  </si>
  <si>
    <t>Northamption</t>
  </si>
  <si>
    <t>Mass Maritime Academy -  ABS /Library Modernization Project</t>
  </si>
  <si>
    <t>48, 400 foot CL wells</t>
  </si>
  <si>
    <t>Mass Maritime    Natatorium</t>
  </si>
  <si>
    <t>24 (units)</t>
  </si>
  <si>
    <t>MBTA Hingham</t>
  </si>
  <si>
    <t>MBTA Hingham Ferry Terminal</t>
  </si>
  <si>
    <t>Middlesex Community College</t>
  </si>
  <si>
    <t>Middlesex Community College Trustee's House</t>
  </si>
  <si>
    <t>Middlesex County Sheriff's Office</t>
  </si>
  <si>
    <t>Personnel Building</t>
  </si>
  <si>
    <t>10 two ton units</t>
  </si>
  <si>
    <t xml:space="preserve">MWCC Biomass </t>
  </si>
  <si>
    <t>North Shore Comm College/Health Professions &amp; Student Services Center</t>
  </si>
  <si>
    <t>Part of ZNEB</t>
  </si>
  <si>
    <t>153 tons</t>
  </si>
  <si>
    <t>Quinsigamond Community College Administration Building</t>
  </si>
  <si>
    <t xml:space="preserve">RCC Parking Lot </t>
  </si>
  <si>
    <t>16 (units)</t>
  </si>
  <si>
    <t>1.44 MMBtu</t>
  </si>
  <si>
    <t>42.5 tons cooling</t>
  </si>
  <si>
    <t>UMass Amherst International Programs Office (IPO)</t>
  </si>
  <si>
    <t>Various (MBH)</t>
  </si>
  <si>
    <t>UMass Amherst Central Heating Plant Solar Thermal</t>
  </si>
  <si>
    <t>1,757 (SqFT)</t>
  </si>
  <si>
    <t>134,700,000 (Btu)</t>
  </si>
  <si>
    <t>Bellegarde Boathouse</t>
  </si>
  <si>
    <t>700 tubes</t>
  </si>
  <si>
    <t>Miles/Dinardo Hall</t>
  </si>
  <si>
    <t>3 tons</t>
  </si>
  <si>
    <t>Bridgewater Tower Lot</t>
  </si>
  <si>
    <t>1.3 kW</t>
  </si>
  <si>
    <t>Mass Water Resources Authority</t>
  </si>
  <si>
    <t>Wachusett Aqueduct Pumping Station</t>
  </si>
  <si>
    <t>110 tons</t>
  </si>
  <si>
    <t>5 tons</t>
  </si>
  <si>
    <t>8 tons</t>
  </si>
  <si>
    <t>10 tons</t>
  </si>
  <si>
    <t>Terminal E - Volpe NLA Wing</t>
  </si>
  <si>
    <t>Department of State Police</t>
  </si>
  <si>
    <t>Medford Barracks</t>
  </si>
  <si>
    <t>Medford</t>
  </si>
  <si>
    <t>btu</t>
  </si>
  <si>
    <t>Leominster Barracks</t>
  </si>
  <si>
    <t>Leominster</t>
  </si>
  <si>
    <t>Framingham Barracks</t>
  </si>
  <si>
    <t>Danver Barracks</t>
  </si>
  <si>
    <t>South Boston Barracks</t>
  </si>
  <si>
    <t>Weygand Hall</t>
  </si>
  <si>
    <t>Operations Center</t>
  </si>
  <si>
    <t>Allied Veterans Memorial Pool, Everett Bathhouse</t>
  </si>
  <si>
    <t>Everett</t>
  </si>
  <si>
    <t>DCR Dealtry Pool</t>
  </si>
  <si>
    <t xml:space="preserve">Watertown Dealtry Pool </t>
  </si>
  <si>
    <t>Watertown</t>
  </si>
  <si>
    <t>DCR Fort Phoenix State Reservation</t>
  </si>
  <si>
    <t>Fort Phoenix State Reservation Bathhouse</t>
  </si>
  <si>
    <t>Fairhaven</t>
  </si>
  <si>
    <t>DCR Horseneck Beach</t>
  </si>
  <si>
    <t>Horseneck Beach Reservation Administration Building</t>
  </si>
  <si>
    <t>Westport</t>
  </si>
  <si>
    <t>DCR Latta Brothers Pool &amp; Foss Park</t>
  </si>
  <si>
    <t>Latta Brothers Pool &amp; Foss Park Bathhouse</t>
  </si>
  <si>
    <t>Somerville</t>
  </si>
  <si>
    <t>DCR Massasoit State Park</t>
  </si>
  <si>
    <t>Massasoit State Park Bathhouse 4</t>
  </si>
  <si>
    <t>DCR Sandisfield State Forest</t>
  </si>
  <si>
    <t>Sandisfield State Forest York Lake Bathhouse</t>
  </si>
  <si>
    <t>Sandisfield</t>
  </si>
  <si>
    <t>50 gallons</t>
  </si>
  <si>
    <t>DCR Wellflet Hollow State Campground</t>
  </si>
  <si>
    <t>Wellfleet Hollow State Campground Bathhouse</t>
  </si>
  <si>
    <t>Wellfleet</t>
  </si>
  <si>
    <t>65 gallons</t>
  </si>
  <si>
    <t>DCR Blue Hills Reservation</t>
  </si>
  <si>
    <t>Blue Hills Reservation Blue Hill Observatory</t>
  </si>
  <si>
    <t>Blue Hills Reservation Carpenter Shop</t>
  </si>
  <si>
    <t>Blue Hills Reservation Chickatawbut Education Center Cafeteria</t>
  </si>
  <si>
    <t>5 tons (x3 units)</t>
  </si>
  <si>
    <t>Blue Hills Reservation Foreman And Supplies Office</t>
  </si>
  <si>
    <t xml:space="preserve"> 4 tons (outdoor condenser)</t>
  </si>
  <si>
    <t>Blue Hills Reservation Mounted Unit Headquarters</t>
  </si>
  <si>
    <t xml:space="preserve">
60,000 Btu AC
70,000 Btu Heat</t>
  </si>
  <si>
    <t>Blue Hills Reservation Trails Bathhouse</t>
  </si>
  <si>
    <t>Blue Hills Reservation Weather Control Building</t>
  </si>
  <si>
    <t>DCR Borderland State Park</t>
  </si>
  <si>
    <t>Borderland State Park Visitor Center</t>
  </si>
  <si>
    <t>Sharon</t>
  </si>
  <si>
    <t>DCR Breakheart Reservation</t>
  </si>
  <si>
    <t>Breakheart Reservation Visitor Center</t>
  </si>
  <si>
    <t>240,000 Btu AC
260,000 Btu Heat</t>
  </si>
  <si>
    <t>Camp Nihan Office</t>
  </si>
  <si>
    <t>60,000 Btu AC
70,000 Btu Heat</t>
  </si>
  <si>
    <t>DCR Hatch Shell</t>
  </si>
  <si>
    <t>Charles River Reservation Edward A. Hatch Memorial Shell</t>
  </si>
  <si>
    <t>5 tons (x2 units)</t>
  </si>
  <si>
    <t>DCR Clinton</t>
  </si>
  <si>
    <t>Clinton Complex New Carpentry Shop</t>
  </si>
  <si>
    <t>DCR Hampton Ponds State Park</t>
  </si>
  <si>
    <t>Hampton Ponds State Park Garage</t>
  </si>
  <si>
    <t>DCR Harold Parker State Forest</t>
  </si>
  <si>
    <t>Harold Parker State Forest Administration</t>
  </si>
  <si>
    <t>Andover</t>
  </si>
  <si>
    <t>Harold Parker State Forest Berry Pond Restroom</t>
  </si>
  <si>
    <t>DCR Hopkinton State Park</t>
  </si>
  <si>
    <t>Hopkinton State Park Headquarters and Garage</t>
  </si>
  <si>
    <t>DCR Lowell Heritage State Park</t>
  </si>
  <si>
    <t>Lowell Heritage State Park Mack Building (North Region HQ)</t>
  </si>
  <si>
    <t>DCR Mohawk Trail State Forest</t>
  </si>
  <si>
    <t>Mohawk Trail State Forest Cabin Bathhouse</t>
  </si>
  <si>
    <t>Charlemont</t>
  </si>
  <si>
    <t>Mohawk Trail State Forest Headquarters Office And Garage</t>
  </si>
  <si>
    <t>DCR Myles Standish State Forest</t>
  </si>
  <si>
    <t>Myles Standish State Forest Engineering Barn</t>
  </si>
  <si>
    <t>Carver</t>
  </si>
  <si>
    <t>Myles Standish State Forest Interpretive Center</t>
  </si>
  <si>
    <t>DCR Mystic River Reservation</t>
  </si>
  <si>
    <t>Mystic River Reservation Turkey Hill Relay Tower</t>
  </si>
  <si>
    <t>108,000 Btus</t>
  </si>
  <si>
    <t>DCR Neponset Facility</t>
  </si>
  <si>
    <t>Neponset Maintenance Facility &amp; Sign Shop Office And Garage</t>
  </si>
  <si>
    <t>DCR Ponkapoag</t>
  </si>
  <si>
    <t>Ponkapoag Golf Course Clubhouse</t>
  </si>
  <si>
    <t>DCR Revere Beach</t>
  </si>
  <si>
    <t>Revere Beach Reservation Eliot House</t>
  </si>
  <si>
    <t>Revere</t>
  </si>
  <si>
    <t>DCR Robinson State Park</t>
  </si>
  <si>
    <t>Robinson State Park Park Headquarters</t>
  </si>
  <si>
    <t>Feeding Hills</t>
  </si>
  <si>
    <t>DCR Rutland State Park</t>
  </si>
  <si>
    <t>Rutland State Park Garage</t>
  </si>
  <si>
    <t>Rutland</t>
  </si>
  <si>
    <t>DCR Salisbury Beach</t>
  </si>
  <si>
    <t>Salisbury Beach State Reservation Lifeguard Station</t>
  </si>
  <si>
    <t>DCR Savoy Mountain State Forest</t>
  </si>
  <si>
    <t>Savoy Mountain State Forest HQ Administration Building and Garage</t>
  </si>
  <si>
    <t>Savoy</t>
  </si>
  <si>
    <t>DCR Stoneham</t>
  </si>
  <si>
    <t>Stoneham Engineering &amp; Maintenance Facility Carpenter Shop/Field Construction Headquarters</t>
  </si>
  <si>
    <t>Stoneham</t>
  </si>
  <si>
    <t>Stoneham Engineering &amp; Maintenance Facility, The Dugout</t>
  </si>
  <si>
    <t>DCR Wompatuck State Park</t>
  </si>
  <si>
    <t>Wompatuck State Park Administration Building</t>
  </si>
  <si>
    <t>Rutland State Park</t>
  </si>
  <si>
    <t>3600 btu/hr cooling; 3000 - 8000 btu/hr heating</t>
  </si>
  <si>
    <t>Unkown</t>
  </si>
  <si>
    <t>Northbound</t>
  </si>
  <si>
    <t>Southbound</t>
  </si>
  <si>
    <t>021324</t>
  </si>
  <si>
    <t>MassDOT / MassPike Rest Areas Natick East</t>
  </si>
  <si>
    <t>MassPike Rest Areas Natick East</t>
  </si>
  <si>
    <t>01760</t>
  </si>
  <si>
    <t>Massachusetts Avenue Robsham Visitor Center 5</t>
  </si>
  <si>
    <t>135 Ward Street</t>
  </si>
  <si>
    <t>HCC Campus Center</t>
  </si>
  <si>
    <t>HCC Center for Health Education</t>
  </si>
  <si>
    <t>Center for Health Education</t>
  </si>
  <si>
    <t>415 Summer Street</t>
  </si>
  <si>
    <t xml:space="preserve">71 Blackington St </t>
  </si>
  <si>
    <t xml:space="preserve">5 Macadam Road </t>
  </si>
  <si>
    <t>519 Appleton St</t>
  </si>
  <si>
    <t>268 South Avenue</t>
  </si>
  <si>
    <t xml:space="preserve"> Just west of I-95: John T. Driscoll Building</t>
  </si>
  <si>
    <t>02493</t>
  </si>
  <si>
    <t>292 Pleasant Lake Ave</t>
  </si>
  <si>
    <t>Park &amp; Ride Harwich</t>
  </si>
  <si>
    <t>1056 Mt. Pleasant Street</t>
  </si>
  <si>
    <t>Park &amp; Ride New Bedford</t>
  </si>
  <si>
    <t>2 Canal Street</t>
  </si>
  <si>
    <t>Sagamore Beach</t>
  </si>
  <si>
    <t>02562</t>
  </si>
  <si>
    <t>1940 Washington Street</t>
  </si>
  <si>
    <t>02152</t>
  </si>
  <si>
    <t>01752</t>
  </si>
  <si>
    <t>670 West Boylston Street</t>
  </si>
  <si>
    <t>1 Campus Center Way</t>
  </si>
  <si>
    <t>200 Commonwealth Avenue</t>
  </si>
  <si>
    <t>Mullins Center, Lot 25</t>
  </si>
  <si>
    <t>Robsham Visitor Center 2</t>
  </si>
  <si>
    <t>Lot 41</t>
  </si>
  <si>
    <t>300 Massachusetts Avenue 
VISITOR CTR 1</t>
  </si>
  <si>
    <t>Located behind the Robsham VC, off Mass Ave/Swift Way</t>
  </si>
  <si>
    <t xml:space="preserve">  Massachusetts Avenue Lot 71 (right)</t>
  </si>
  <si>
    <t>01002</t>
  </si>
  <si>
    <t>University Drive West</t>
  </si>
  <si>
    <t>02125</t>
  </si>
  <si>
    <t>836 South Rodney French Blvd</t>
  </si>
  <si>
    <t>02744</t>
  </si>
  <si>
    <t>300 Martin Luther King Jr. Way</t>
  </si>
  <si>
    <t>Pulichino Tong Business Center</t>
  </si>
  <si>
    <t>University Crossing Admissions entrance</t>
  </si>
  <si>
    <t>850 Broadway St</t>
  </si>
  <si>
    <t>Administration Building (Lot H)</t>
  </si>
  <si>
    <t>17 Eastman Lane Lot 43 Totman Gym Lot 1</t>
  </si>
  <si>
    <t>661 North Pleasant St.</t>
  </si>
  <si>
    <t>661 N. Pleasant St, Lot 63, Worcester Dining Common 1</t>
  </si>
  <si>
    <t>02421</t>
  </si>
  <si>
    <t>Lower Student Parking Lot</t>
  </si>
  <si>
    <t>ADA Parking</t>
  </si>
  <si>
    <t>Annisquam River Marine Fisheries Station</t>
  </si>
  <si>
    <t>30 Emerson Avenue</t>
  </si>
  <si>
    <t>Gloucester</t>
  </si>
  <si>
    <t>01930</t>
  </si>
  <si>
    <t>DoS</t>
  </si>
  <si>
    <t>Division of Standards</t>
  </si>
  <si>
    <t>Meteorology Laboratory</t>
  </si>
  <si>
    <t>250 Eliot Street, Suite 10-D</t>
  </si>
  <si>
    <t>Ashland</t>
  </si>
  <si>
    <t>01721</t>
  </si>
  <si>
    <t>Division of Fisheries &amp; Wildlife</t>
  </si>
  <si>
    <t>01581</t>
  </si>
  <si>
    <t>NSCC Thomas W. McGee Building</t>
  </si>
  <si>
    <t>647 Washington Street</t>
  </si>
  <si>
    <t>Faculty Parking Lot</t>
  </si>
  <si>
    <t>01901</t>
  </si>
  <si>
    <t>NSCC Health Professions &amp; Student Services Center</t>
  </si>
  <si>
    <t>Parking Lot #4</t>
  </si>
  <si>
    <t>01923</t>
  </si>
  <si>
    <t>MILITARY</t>
  </si>
  <si>
    <t>Hanscom AFB (MA National Guard)</t>
  </si>
  <si>
    <t>2 Randolph Road</t>
  </si>
  <si>
    <t>Hanscom</t>
  </si>
  <si>
    <t>01731</t>
  </si>
  <si>
    <t>Lynn Campus</t>
  </si>
  <si>
    <t>300 Broad Street</t>
  </si>
  <si>
    <t>Danvers Campus</t>
  </si>
  <si>
    <t>Massachusetts Avenue Lot 71 (left)</t>
  </si>
  <si>
    <t>92 Carlson Ave</t>
  </si>
  <si>
    <t>Mt. Ida 1</t>
  </si>
  <si>
    <t>Mt. Ida 2</t>
  </si>
  <si>
    <t>100 Carlson Ave</t>
  </si>
  <si>
    <t>Mt. Ida ATC</t>
  </si>
  <si>
    <t>Totman Gym Lot 2</t>
  </si>
  <si>
    <t>Totman Gym Lot 3</t>
  </si>
  <si>
    <t>Totman Gym Lot 4</t>
  </si>
  <si>
    <t>Parking Garage 2</t>
  </si>
  <si>
    <t>Robsham Visitor Center 3</t>
  </si>
  <si>
    <t>Robsham Visitor Center 4</t>
  </si>
  <si>
    <t>990 North Pleasant Street</t>
  </si>
  <si>
    <t>990 North Pleasant Street University Apartments</t>
  </si>
  <si>
    <t>661 N Pleasant St, Lot 63, Worcester Dining Common 2</t>
  </si>
  <si>
    <t>DFS</t>
  </si>
  <si>
    <t>Department of Fire Services</t>
  </si>
  <si>
    <t>100 Grochmal Avenue</t>
  </si>
  <si>
    <t>01151</t>
  </si>
  <si>
    <t>01775</t>
  </si>
  <si>
    <t>UMass Chan Medical</t>
  </si>
  <si>
    <t>55 North Lake Avenue</t>
  </si>
  <si>
    <t>Library Lot</t>
  </si>
  <si>
    <t>131 Summer Street</t>
  </si>
  <si>
    <t>Connecticut River Greenway State Park Headquarters Garage</t>
  </si>
  <si>
    <t>136 Damon Road</t>
  </si>
  <si>
    <t>01060</t>
  </si>
  <si>
    <t>Hampton Ponds State Park Maintenance Garage</t>
  </si>
  <si>
    <t>1048 North Road</t>
  </si>
  <si>
    <t>01085</t>
  </si>
  <si>
    <t>Central Region Headquarters</t>
  </si>
  <si>
    <t>355 West Boylston Street</t>
  </si>
  <si>
    <t>01510</t>
  </si>
  <si>
    <t>Quinsigamond State Park Office Loc 1</t>
  </si>
  <si>
    <t>10 North Lake Avenue</t>
  </si>
  <si>
    <t>01612</t>
  </si>
  <si>
    <t>Lynn Shore Reservation</t>
  </si>
  <si>
    <t>1 Nahant Road</t>
  </si>
  <si>
    <t>Nahant</t>
  </si>
  <si>
    <t>01902</t>
  </si>
  <si>
    <t>4 Woodland Road</t>
  </si>
  <si>
    <t>02180</t>
  </si>
  <si>
    <t>Lawrence Heritage State Park</t>
  </si>
  <si>
    <t>1 Jackson Street</t>
  </si>
  <si>
    <t>01840</t>
  </si>
  <si>
    <t>Edwin H Land Blvd PSO Garage Building</t>
  </si>
  <si>
    <t>24 Monsignor O'Brien Highway</t>
  </si>
  <si>
    <t>Next to Museum of Science</t>
  </si>
  <si>
    <t>Wompatuck State Park Torpedo Shed</t>
  </si>
  <si>
    <t>204 Union Street</t>
  </si>
  <si>
    <t>02043</t>
  </si>
  <si>
    <t>Fall River Heritage State Park Boat House</t>
  </si>
  <si>
    <t>200 Davol Street</t>
  </si>
  <si>
    <t>Waquoit Bay Operations Building</t>
  </si>
  <si>
    <t>131 Waquoit Highway</t>
  </si>
  <si>
    <t>02536</t>
  </si>
  <si>
    <t>Department of Developmental Services</t>
  </si>
  <si>
    <t>131 Emerald Street</t>
  </si>
  <si>
    <t>Wrentham Developmental Center</t>
  </si>
  <si>
    <t>02093</t>
  </si>
  <si>
    <t>Palmer</t>
  </si>
  <si>
    <t>01069</t>
  </si>
  <si>
    <t>212 Freight Shed Road</t>
  </si>
  <si>
    <t>Templeton Developmental Center</t>
  </si>
  <si>
    <t>Templeton</t>
  </si>
  <si>
    <t>01436</t>
  </si>
  <si>
    <t>SRB</t>
  </si>
  <si>
    <t>Mosquito Control Board</t>
  </si>
  <si>
    <t>Cape Cod Mosquito Control Project</t>
  </si>
  <si>
    <t>259 Willow Street</t>
  </si>
  <si>
    <t>Cape Cod</t>
  </si>
  <si>
    <t>Yarmouthport</t>
  </si>
  <si>
    <t>02675</t>
  </si>
  <si>
    <t>Plymouth Mosquito Control Project</t>
  </si>
  <si>
    <t>272 South Meadow Road</t>
  </si>
  <si>
    <t>02360</t>
  </si>
  <si>
    <t>MCI Shirley</t>
  </si>
  <si>
    <t>104 Harvard Rd</t>
  </si>
  <si>
    <t>01464</t>
  </si>
  <si>
    <t>Bridgewater Complex</t>
  </si>
  <si>
    <t>1 Administration Rd</t>
  </si>
  <si>
    <t>MCI Norfolk</t>
  </si>
  <si>
    <t>02056</t>
  </si>
  <si>
    <t>CJT</t>
  </si>
  <si>
    <t>Municipal Police Training Committee</t>
  </si>
  <si>
    <t>MPTC Lynnfield</t>
  </si>
  <si>
    <t>425 Walnut Street</t>
  </si>
  <si>
    <t>Lynnfield</t>
  </si>
  <si>
    <t>01940</t>
  </si>
  <si>
    <t>Oak Bluffs Barracks</t>
  </si>
  <si>
    <t>51 Temahigan Ave</t>
  </si>
  <si>
    <t>Oak Bluffs</t>
  </si>
  <si>
    <t>02557</t>
  </si>
  <si>
    <t>Nantucket Barracks</t>
  </si>
  <si>
    <t>83 North Liberty Street</t>
  </si>
  <si>
    <t>Nantucket</t>
  </si>
  <si>
    <t>02554</t>
  </si>
  <si>
    <t>Lot 12</t>
  </si>
  <si>
    <t>Frank &amp; Maureen Wilkens Science &amp; Engineering Center</t>
  </si>
  <si>
    <t>Neponset Garage</t>
  </si>
  <si>
    <t>475 Neponset Avenue</t>
  </si>
  <si>
    <t>North side of building</t>
  </si>
  <si>
    <t>02122</t>
  </si>
  <si>
    <t>Mt. Wachusett Comm. College</t>
  </si>
  <si>
    <t>Mt. Wachusett Community College</t>
  </si>
  <si>
    <t>01440</t>
  </si>
  <si>
    <t>577 Western Ave</t>
  </si>
  <si>
    <t>Mass. Information Technology Center</t>
  </si>
  <si>
    <t>200 Arlington Street</t>
  </si>
  <si>
    <t>37 Salem End Rd</t>
  </si>
  <si>
    <t>Fleet Charging</t>
  </si>
  <si>
    <t>Public use M-F 5:31pm - 6:59am &amp; Sa-Su 24 hours</t>
  </si>
  <si>
    <t>Single &amp; Dual</t>
  </si>
  <si>
    <t>Natural Bridge State Park</t>
  </si>
  <si>
    <t>DOC Milford HQ</t>
  </si>
  <si>
    <t>McAuliffe Center</t>
  </si>
  <si>
    <t>50 Oakland Street - Wellesley Campus</t>
  </si>
  <si>
    <t>Atlantic Hall</t>
  </si>
  <si>
    <t>New Quad</t>
  </si>
  <si>
    <t>Library</t>
  </si>
  <si>
    <t>Student Garden</t>
  </si>
  <si>
    <t>Power Plant Slope</t>
  </si>
  <si>
    <t>Cedar Dell Field</t>
  </si>
  <si>
    <t>Main Campus</t>
  </si>
  <si>
    <t>Merrimack River Overlook</t>
  </si>
  <si>
    <t>Greenhouse 2</t>
  </si>
  <si>
    <t>Greenhouse 1</t>
  </si>
  <si>
    <t>Limited Mow Zones</t>
  </si>
  <si>
    <t>Unk</t>
  </si>
  <si>
    <t>Managed Wildflower Meadows and Grasslands</t>
  </si>
  <si>
    <t>Pollinator Gardens</t>
  </si>
  <si>
    <t>Native Species</t>
  </si>
  <si>
    <t>Tiny</t>
  </si>
  <si>
    <t>2022/23</t>
  </si>
  <si>
    <t>Fall 2023</t>
  </si>
  <si>
    <t>Pollinator Bed</t>
  </si>
  <si>
    <t>Parking lot adjacent to the building has a sloped area that is difficult to manage, people cut through it from parking lot to building leading to safety concerns over uneven ground. DOC has $1000 they could set aside for seed, bid boxes, and tools. Andy plans on meeting with Boy Scout troop to do the work. Fencing may be needed to keep people from cutting through.</t>
  </si>
  <si>
    <t>3.9.22 - planning on April 2022 work</t>
  </si>
  <si>
    <t>In May 2022, Taunton State Hospital seeded about 0.25 acres of lawn to increase the size of the meadow created in 2017.</t>
  </si>
  <si>
    <t>Filomena Cunha</t>
  </si>
  <si>
    <t>EHS staff and patients planted a small garden at entry to hospital. Species unknown; this might be an aesthetic garden, unknown if beneficial to pollinators</t>
  </si>
  <si>
    <t>established in 2020; Biology has a polllinator garden by McAuliffe Center. About 500 sf.</t>
  </si>
  <si>
    <t>Planted native species to protect bio-swale, and satisfy ms4 permit. Add plantings every year</t>
  </si>
  <si>
    <t>Howie Larosee</t>
  </si>
  <si>
    <t>Current construction of South Hall is setting up for approx. 2000 sqft of new landscaping which supports pollination. Listed as .4 acres (based on 2000 sqft, but actual pollinator plantings will likely be less)</t>
  </si>
  <si>
    <t xml:space="preserve">Follow-up with Howie summer 2022 for update and details. </t>
  </si>
  <si>
    <t>https://www.northshore.edu/news/2022/pollinator_garden.html</t>
  </si>
  <si>
    <t>Need to contact someone at NSCC to get details (6.22.22)</t>
  </si>
  <si>
    <t>Denis Swinford</t>
  </si>
  <si>
    <t xml:space="preserve">open quad that includes native plantings </t>
  </si>
  <si>
    <t>Follow-up with Denis summer 2022 for status and more details</t>
  </si>
  <si>
    <t>Low-mow, research area for Biology projects</t>
  </si>
  <si>
    <t>From FY22 tracking form</t>
  </si>
  <si>
    <t>MWRA Eastern Operations</t>
  </si>
  <si>
    <t>8" Auger</t>
  </si>
  <si>
    <t>DOC Concord Wastewater Plant</t>
  </si>
  <si>
    <t>DOC Norfolk Wastewater Plant</t>
  </si>
  <si>
    <t>DOC Plymouth Wastewater Plant</t>
  </si>
  <si>
    <t>DOC Bridgewater Wastewater Plant</t>
  </si>
  <si>
    <t>DOC Norfolk Water Supply Plant</t>
  </si>
  <si>
    <t>Skil</t>
  </si>
  <si>
    <t>Energy &amp; Fuel Data Source Key</t>
  </si>
  <si>
    <t>MEI/CEI</t>
  </si>
  <si>
    <t>Agency (missing accounts in MEI)</t>
  </si>
  <si>
    <t>OSD</t>
  </si>
  <si>
    <t>OVM</t>
  </si>
  <si>
    <t>N/A (for propane)</t>
  </si>
  <si>
    <t>State Entity</t>
  </si>
  <si>
    <t>Delivered Fuels</t>
  </si>
  <si>
    <t>Vehicle Fuels</t>
  </si>
  <si>
    <t>Fleet</t>
  </si>
  <si>
    <t>EVSE</t>
  </si>
  <si>
    <t>MEI</t>
  </si>
  <si>
    <t>CEI</t>
  </si>
  <si>
    <t>Data Sources</t>
  </si>
  <si>
    <t>Motorcycles</t>
  </si>
  <si>
    <t>*includes light-duty plated assets that can technically drive on roads such as GEMs, Gators, UTVs, etc.</t>
  </si>
  <si>
    <t>Trucks</t>
  </si>
  <si>
    <t>Other Heavy Duty</t>
  </si>
  <si>
    <t>Installation Date 
(Month &amp; Year)</t>
  </si>
  <si>
    <t>Jo Ann Bentley</t>
  </si>
  <si>
    <t>JoAnn.Bentley@bristolcc.edu</t>
  </si>
  <si>
    <t>Robert Maniatis</t>
  </si>
  <si>
    <t>Chief Operating Officer</t>
  </si>
  <si>
    <t>robert.maniatis@mass.gov</t>
  </si>
  <si>
    <t>617-887-7170</t>
  </si>
  <si>
    <t>scott.consaul2@mass.gov</t>
  </si>
  <si>
    <t>Scott Consaul</t>
  </si>
  <si>
    <t>617-887-8691</t>
  </si>
  <si>
    <t>Trina Moruzzi</t>
  </si>
  <si>
    <t>trina.moruzzi@mass.gov</t>
  </si>
  <si>
    <t>508-389-6318</t>
  </si>
  <si>
    <t>Assistant Director of Operations, DFW</t>
  </si>
  <si>
    <t>Mbangra4@fitchburgstate.edu</t>
  </si>
  <si>
    <t>Marco Bangrazi</t>
  </si>
  <si>
    <t>Environmental Health, Safety and Risk Manager</t>
  </si>
  <si>
    <t>978-751-4063</t>
  </si>
  <si>
    <t>Jim Kane</t>
  </si>
  <si>
    <t>jfk@massart.edu</t>
  </si>
  <si>
    <t>Asst. VP of Facilities &amp; Planning</t>
  </si>
  <si>
    <t>rperry@massart.edu</t>
  </si>
  <si>
    <t>Robert Perry</t>
  </si>
  <si>
    <t>VP of A&amp;F</t>
  </si>
  <si>
    <t>617-879-7810</t>
  </si>
  <si>
    <t>jeffrey.tatro@mcla.edu</t>
  </si>
  <si>
    <t>Jeffrey Tatro</t>
  </si>
  <si>
    <t>Chief Engineer/Energy Manager</t>
  </si>
  <si>
    <t>William Norcross</t>
  </si>
  <si>
    <t>Purchasing Manager</t>
  </si>
  <si>
    <t>william.norcross@mcla.edu</t>
  </si>
  <si>
    <t>cvolz1@massasoit.mass.edu</t>
  </si>
  <si>
    <t>Christofer Volz</t>
  </si>
  <si>
    <t>Glen Fox</t>
  </si>
  <si>
    <t>Sarah Bolden</t>
  </si>
  <si>
    <t>Executive Director of Facilites Management</t>
  </si>
  <si>
    <t>gfox1@mwcc.mass.edu</t>
  </si>
  <si>
    <t>sbolden1@mwcc.mass.edu</t>
  </si>
  <si>
    <t>Facilities Operations Director</t>
  </si>
  <si>
    <t>978-630-9145</t>
  </si>
  <si>
    <t>Dana Margolis</t>
  </si>
  <si>
    <t>dmargolis@necc.mass.edu</t>
  </si>
  <si>
    <t xml:space="preserve">978-556-3921			</t>
  </si>
  <si>
    <t>sqazi@rcc.mass.edu</t>
  </si>
  <si>
    <t>Shami Qazi</t>
  </si>
  <si>
    <t xml:space="preserve">khall@rcc.mass.edu </t>
  </si>
  <si>
    <t>Facilities Manager</t>
  </si>
  <si>
    <t>Nicole_Kelly@uml.edu</t>
  </si>
  <si>
    <t>kparker8@umassd.edu</t>
  </si>
  <si>
    <t>Karen Parker</t>
  </si>
  <si>
    <t>508-999-8100</t>
  </si>
  <si>
    <t>Thomas Therrien</t>
  </si>
  <si>
    <t>ttherrien@westfield.ma.edu</t>
  </si>
  <si>
    <t>srobbins@westfield.ma.edu</t>
  </si>
  <si>
    <t>Shawn Robbins</t>
  </si>
  <si>
    <t>Director, Environmental Health and Safety</t>
  </si>
  <si>
    <t>413-572-8689</t>
  </si>
  <si>
    <t>413-572-5209</t>
  </si>
  <si>
    <t>July 1, 2024 through June 30, 2025</t>
  </si>
  <si>
    <r>
      <rPr>
        <b/>
        <sz val="11"/>
        <color theme="1"/>
        <rFont val="Calibri"/>
        <family val="2"/>
      </rPr>
      <t>State entity must provide data.</t>
    </r>
    <r>
      <rPr>
        <sz val="10"/>
        <color theme="1"/>
        <rFont val="Calibri"/>
        <family val="2"/>
      </rPr>
      <t xml:space="preserve">
LBE is unable to collect this data from external resources and asks that your entity report this data.</t>
    </r>
  </si>
  <si>
    <r>
      <rPr>
        <b/>
        <sz val="11"/>
        <color theme="1"/>
        <rFont val="Calibri"/>
        <family val="2"/>
      </rPr>
      <t>LBE collects data from online utility database.</t>
    </r>
    <r>
      <rPr>
        <sz val="10"/>
        <color theme="1"/>
        <rFont val="Calibri"/>
        <family val="2"/>
      </rPr>
      <t xml:space="preserve">
LBE is able to collect your entity's grid electricity and/or natural gas data from the online utility databases (MEI &amp; CEI); LBE will provide utility usage numbers for your entity to review.</t>
    </r>
  </si>
  <si>
    <r>
      <rPr>
        <b/>
        <sz val="11"/>
        <color theme="1"/>
        <rFont val="Calibri"/>
        <family val="2"/>
      </rPr>
      <t>State entity must provide data.</t>
    </r>
    <r>
      <rPr>
        <sz val="10"/>
        <color theme="1"/>
        <rFont val="Calibri"/>
        <family val="2"/>
      </rPr>
      <t xml:space="preserve">
LBE is able to collect this data from its online utility database (MEI) but first needs your entity to report utility account numbers to ensure database can collect complete data.</t>
    </r>
  </si>
  <si>
    <r>
      <rPr>
        <b/>
        <sz val="11"/>
        <color theme="1"/>
        <rFont val="Calibri"/>
        <family val="2"/>
      </rPr>
      <t>LBE collects data from OSD vendor reports.</t>
    </r>
    <r>
      <rPr>
        <sz val="10"/>
        <color theme="1"/>
        <rFont val="Calibri"/>
        <family val="2"/>
      </rPr>
      <t xml:space="preserve">
LBE is able to collect data from the OSD statetwide contract vendor reports for delivered and/or vehicle fuels. If LBE currently lists OSD as the data source for delivered and/or vehicle fuels but your entity does not purchase off contract, please note that and report the correct number in the tracking form. Otherwise, LBE will provide these delivered/vehicle fuel usage numbers for your entity to review.</t>
    </r>
  </si>
  <si>
    <r>
      <rPr>
        <b/>
        <sz val="11"/>
        <color theme="1"/>
        <rFont val="Calibri"/>
        <family val="2"/>
      </rPr>
      <t>LBE collects data from OVM database.</t>
    </r>
    <r>
      <rPr>
        <sz val="10"/>
        <color theme="1"/>
        <rFont val="Calibri"/>
        <family val="2"/>
      </rPr>
      <t xml:space="preserve">
LBE is able to collect your entity's fleet inventory from the Office of Vehicle Management's (OVM) state fleet database. If your entity does not utilize OVM's database but OVM is listed as the source, please note that and report the correct fleet inventory either in the form or as an attachment.</t>
    </r>
  </si>
  <si>
    <r>
      <t xml:space="preserve">Agency
</t>
    </r>
    <r>
      <rPr>
        <b/>
        <i/>
        <sz val="11"/>
        <color theme="1"/>
        <rFont val="Calibri"/>
        <family val="2"/>
      </rPr>
      <t>(highlighted in red)</t>
    </r>
  </si>
  <si>
    <r>
      <t xml:space="preserve">Agency (missing accounts in MEI)
</t>
    </r>
    <r>
      <rPr>
        <b/>
        <i/>
        <sz val="11"/>
        <color theme="1"/>
        <rFont val="Calibri"/>
        <family val="2"/>
      </rPr>
      <t>(highlighted in red)</t>
    </r>
  </si>
  <si>
    <t>Project Implementation</t>
  </si>
  <si>
    <t>Decarb Plan/Roadmap</t>
  </si>
  <si>
    <t>Decarb/Electrification Projects</t>
  </si>
  <si>
    <t>If a cell is highlighted in yellow, please make sure to check the values. If the highlighted data is incorrect, please include explanation if possible for any discrepancies.</t>
  </si>
  <si>
    <t>Grid Electricity</t>
  </si>
  <si>
    <t>All Other Form Tabs</t>
  </si>
  <si>
    <r>
      <t xml:space="preserve">Please consult the list below to determine what data your entity needs to report (as compared to the data that LBE can collect through external resources). Contact </t>
    </r>
    <r>
      <rPr>
        <b/>
        <sz val="11"/>
        <color theme="4" tint="-0.249977111117893"/>
        <rFont val="Calibri"/>
        <family val="2"/>
      </rPr>
      <t>sophia.vitello@mass.gov</t>
    </r>
    <r>
      <rPr>
        <b/>
        <sz val="11"/>
        <color theme="1"/>
        <rFont val="Calibri"/>
        <family val="2"/>
      </rPr>
      <t xml:space="preserve"> with any questions on the information below. As noted in column I, LBE relies on entity reporting for the additional form tabs, such as renewable deployment, sustainability efforts, and energy efficiency projects.</t>
    </r>
  </si>
  <si>
    <t>If possible, please provide the number of off-road vehicles</t>
  </si>
  <si>
    <t>This tab requests information about vehicle fleets. All LBE partners should respond to Sections I and II. Section III is applicable to those entities that do not purchase/lease vehicles through the Office of Vehicle Management (OVM). Please only include vehicles that are owned and operated by your agency or the Commonwealth. GVWR refers to the Gross Vehicle Weight Rating of an asset.</t>
  </si>
  <si>
    <t>Leading by Example Program FY25 Energy Tracking and Reporting Form</t>
  </si>
  <si>
    <t>Measuring and tracking energy data for Massachusetts state agencies and public higher education is a critical component of the state’s Leading by Example Program (LBE).  
In order to track progress in meeting greenhouse gas, energy reduction targets, and renewable energy goals, collecting &amp; analyzing agency and campus energy data is imperative.
With the help of your agency, Leading by Example tracks energy consumption and cost data for a variety of fuel sources in the Commonwealth, as well as information on other sustainability efforts.  Please use this form to submit your agency/campus FY25 energy data to LBE.  The FY25 Tracking Form divides the fuels tracked into separate tabs for easier navigation.  The summary boxes below describe information requested in each tab, as well as highlights any new additions to the FY25 form.  Reporting should include all owned facilities within your agency/campus and be consistent from year to year.  
Thank you for working with us to track your energy and sustainability data for your facilities - we appreciate your time and effort!</t>
  </si>
  <si>
    <t>RECENT &amp; UPDATED ELEMENTS OF FY25 TRACKING FORM</t>
  </si>
  <si>
    <t>For the FY25 form, in an effort to relieve the reporting burden as much as possible on state entities, LBE has created a Data Sources tab that shows which categories of data LBE can collect from external resources such as utility databases that entities do not need to report in this form and which data we still rely on the entity to report.</t>
  </si>
  <si>
    <t>Fiscal Year 2025 Energy Tracking and Reporting Form</t>
  </si>
  <si>
    <t xml:space="preserve">Agency/campus square footage is pre-populated using your FY24 reported data.  If square footage has changed from last year or is incorrect, please provide new/corrected square footage in the space provided.  If you have added a new building or demolished an existing building, please provide as much information as possible in the fields provided.  </t>
  </si>
  <si>
    <t>LBE is tracking Energy Usage Intensity (EUI: kBtu/SF) for the various agencies.  We use your square footage to determine the EUI for your overall agency.  
If square footage has changed since last year, please use the space in Question 2 for updated square footage for FY25 and include occupancy dates/details for any new buildings.</t>
  </si>
  <si>
    <t>No propane usage
N/A is listed for entities that have not used propane historically. If your entity is listed as N/A but did use propane in FY25, please report use and cost in the form.</t>
  </si>
  <si>
    <t>Should LBE use the above square footage for FY25 reporting?</t>
  </si>
  <si>
    <t>FY25 CONSUMPTION</t>
  </si>
  <si>
    <t>FY25 GENERATION</t>
  </si>
  <si>
    <t>FY25 Purchased/Sold</t>
  </si>
  <si>
    <t>FY25 Qualified Generation Units (MW)</t>
  </si>
  <si>
    <t>FY25
CONSUMPTION</t>
  </si>
  <si>
    <t>If your campus/agency has additional BPLE not listed above or newly acquired in FY25, please list below.</t>
  </si>
  <si>
    <t xml:space="preserve">Please provide below consumption data for fuels use to provide power, heat or other energy to needs that are not associated with the day to day operations and building maintenance of state facilities.  Examples of this may include, but are not limited to, fuel used for training, industrial, grounds maintenance, or maritime purposes. </t>
  </si>
  <si>
    <t>Renewable Diesel</t>
  </si>
  <si>
    <t>Have you purchased/leased or do you plan on acquiring any zero-emission vehicles (battery electric/plug-in hybrid electric) in FY26? 
(Note: If you would like support or assistance in deploying charging for these vehicles, please see EV Charging tab)</t>
  </si>
  <si>
    <t>If yes, please provide an estimate of the number of zero-emission vehicles you have acquired or plan to acquire in FY26.</t>
  </si>
  <si>
    <t>Note feedstocks (i.e., used cooking oil)</t>
  </si>
  <si>
    <t>Installation Date (month &amp; year)</t>
  </si>
  <si>
    <t>jdion@berkshirecc.edu</t>
  </si>
  <si>
    <t>Jason Dion</t>
  </si>
  <si>
    <t>FacilitiesManagement@gcc.mass.edu</t>
  </si>
  <si>
    <t>Rebecca Clack</t>
  </si>
  <si>
    <t>Administrative Assistant</t>
  </si>
  <si>
    <t>Vithal Deshpande</t>
  </si>
  <si>
    <t>Director, EHS &amp; Sustainability</t>
  </si>
  <si>
    <t>vvdeshpande@massart.edu</t>
  </si>
  <si>
    <t>617-879-7944</t>
  </si>
  <si>
    <t>Grace O'Donnell</t>
  </si>
  <si>
    <t>Sustainability Project Manager</t>
  </si>
  <si>
    <t>godonnell@massport.com</t>
  </si>
  <si>
    <t>781-823-9511</t>
  </si>
  <si>
    <t>--</t>
  </si>
  <si>
    <t>John Macdonald</t>
  </si>
  <si>
    <t>Energy Manager</t>
  </si>
  <si>
    <t>jmacdonald2@salemstate.edu</t>
  </si>
  <si>
    <t>978-542-5147</t>
  </si>
  <si>
    <t>Luigi Marcone</t>
  </si>
  <si>
    <t>AVP, Capital Planning and Facilities Management</t>
  </si>
  <si>
    <t>lmarcone@salemstate.edu</t>
  </si>
  <si>
    <t>978-542-5137</t>
  </si>
  <si>
    <t>Peter Smith</t>
  </si>
  <si>
    <t>pm2301smith@stcc.edu</t>
  </si>
  <si>
    <t>Program Manager</t>
  </si>
  <si>
    <t>413-755-4688</t>
  </si>
  <si>
    <t>978-934-2303</t>
  </si>
  <si>
    <t>jparrett@worcester.edu</t>
  </si>
  <si>
    <t>Jill Parrett</t>
  </si>
  <si>
    <t xml:space="preserve">3rd party-owned &amp; operated </t>
  </si>
  <si>
    <t>DCR Connors Pool Maintenance Building</t>
  </si>
  <si>
    <t>DCR Connors Pool Bathhouse</t>
  </si>
  <si>
    <t>DCR Georges Island</t>
  </si>
  <si>
    <t>Quabbin Reservoir Fishing Area 1</t>
  </si>
  <si>
    <t>Quabbin Reservoir Fishing Area 2</t>
  </si>
  <si>
    <t>Quabbin Reservoir Fishing Area 3</t>
  </si>
  <si>
    <t>Waquoit Bay National Estuarine Research Reserve (WBNERR)</t>
  </si>
  <si>
    <t>DCR Head Island at Pleasure Bay</t>
  </si>
  <si>
    <t>Old Ward Road</t>
  </si>
  <si>
    <t>Regulating Dam Road</t>
  </si>
  <si>
    <t>New Salem</t>
  </si>
  <si>
    <t>Hell Huddle Road</t>
  </si>
  <si>
    <t>Petersham</t>
  </si>
  <si>
    <t>UMass Amherst -- Crotty Hall</t>
  </si>
  <si>
    <t>411 N Pleasant St</t>
  </si>
  <si>
    <t>non-operational</t>
  </si>
  <si>
    <t>UMass Boston -Wheatley Hall (non-operational)</t>
  </si>
  <si>
    <t>250 New Rutherford Avenue</t>
  </si>
  <si>
    <t>Springfield State Office Building</t>
  </si>
  <si>
    <t>Pittsfield State Office Building</t>
  </si>
  <si>
    <t>333 East Street</t>
  </si>
  <si>
    <t>01201</t>
  </si>
  <si>
    <t>Bajko Rink</t>
  </si>
  <si>
    <t>Quabbin Reservoir Watershed</t>
  </si>
  <si>
    <t>Dunn State Park</t>
  </si>
  <si>
    <t>Hopkinton State Park</t>
  </si>
  <si>
    <t>Ashuwillticook Rail Trail</t>
  </si>
  <si>
    <t>Nantasket Beach Reservation</t>
  </si>
  <si>
    <t>Myles Standish State Forest</t>
  </si>
  <si>
    <t>75 Turtle Pond Parkway</t>
  </si>
  <si>
    <t>100 Winsor Dam Road</t>
  </si>
  <si>
    <t>289 Pearl Street</t>
  </si>
  <si>
    <t>164 Cedar Street</t>
  </si>
  <si>
    <t>212 Nantasket Avenue</t>
  </si>
  <si>
    <t>194 Cranberry Road</t>
  </si>
  <si>
    <t>HQ and Garage</t>
  </si>
  <si>
    <t>02136</t>
  </si>
  <si>
    <t>01007</t>
  </si>
  <si>
    <t>Cheshire</t>
  </si>
  <si>
    <t>01225</t>
  </si>
  <si>
    <t>Hull</t>
  </si>
  <si>
    <t>02045</t>
  </si>
  <si>
    <t>02330</t>
  </si>
  <si>
    <t xml:space="preserve">MCI Shirley </t>
  </si>
  <si>
    <t>Old Colony Correctional Center</t>
  </si>
  <si>
    <t>MCI Framingham</t>
  </si>
  <si>
    <t>North Central Correctional Institution    </t>
  </si>
  <si>
    <t>50 Maple Street</t>
  </si>
  <si>
    <t>Lower Lot</t>
  </si>
  <si>
    <t>Lot behind building</t>
  </si>
  <si>
    <t>Garage</t>
  </si>
  <si>
    <t>21 Needham St</t>
  </si>
  <si>
    <t>104 Harvard Road</t>
  </si>
  <si>
    <t>Shirley Garage</t>
  </si>
  <si>
    <t>Robeiro Building</t>
  </si>
  <si>
    <t>1 Administration Road</t>
  </si>
  <si>
    <t>99 Loring Drive</t>
  </si>
  <si>
    <t>500 Colony Road</t>
  </si>
  <si>
    <t>DDS Central/West Region (CCS)</t>
  </si>
  <si>
    <t>DDS Central/West Region (CRS)</t>
  </si>
  <si>
    <t>DDS Metro Boston Region (MRS)</t>
  </si>
  <si>
    <t>DDS Northeast Region (NRS)</t>
  </si>
  <si>
    <t>DDS Central/West (TCS)</t>
  </si>
  <si>
    <t>DDS Southeast Region (SRS)</t>
  </si>
  <si>
    <t>Multiple Addresses</t>
  </si>
  <si>
    <t>200 State Avenue</t>
  </si>
  <si>
    <t>225 Dayton Street</t>
  </si>
  <si>
    <t>Group Homes</t>
  </si>
  <si>
    <t>Hogan</t>
  </si>
  <si>
    <t>DMF</t>
  </si>
  <si>
    <t>341 East St</t>
  </si>
  <si>
    <t>195 Bournedale Rd</t>
  </si>
  <si>
    <t>CT Valley District Office</t>
  </si>
  <si>
    <t>Southeast District Office</t>
  </si>
  <si>
    <t>Buzzards Bay</t>
  </si>
  <si>
    <t>02532</t>
  </si>
  <si>
    <t>DPH</t>
  </si>
  <si>
    <t>170 Morton Street</t>
  </si>
  <si>
    <t>3 Randolph Street</t>
  </si>
  <si>
    <t>DPH Lemuel Shattuck</t>
  </si>
  <si>
    <t>DPH Pappas Rehabilitation</t>
  </si>
  <si>
    <t>DPH Tewksbury Hospital</t>
  </si>
  <si>
    <t>02130</t>
  </si>
  <si>
    <t>02021</t>
  </si>
  <si>
    <t>Middleboro Barracks</t>
  </si>
  <si>
    <t>326 West Grove Street</t>
  </si>
  <si>
    <t>State Police - General Headquarters</t>
  </si>
  <si>
    <t>490 Worcester Road</t>
  </si>
  <si>
    <t>Middleboro</t>
  </si>
  <si>
    <t>02346</t>
  </si>
  <si>
    <t>490 Franklin Street</t>
  </si>
  <si>
    <t>Porter Street</t>
  </si>
  <si>
    <t>TNC Lot</t>
  </si>
  <si>
    <t>190 Prescott Street</t>
  </si>
  <si>
    <t>3rd floor</t>
  </si>
  <si>
    <t>6th floor</t>
  </si>
  <si>
    <t>Employee Only</t>
  </si>
  <si>
    <t>MBTA Fall River Station</t>
  </si>
  <si>
    <t>61 Pearce Street</t>
  </si>
  <si>
    <t>825 Davol Street</t>
  </si>
  <si>
    <t>MBTA Freetown Station</t>
  </si>
  <si>
    <t>153 South Main Street</t>
  </si>
  <si>
    <t>MBTA Middleborough Station</t>
  </si>
  <si>
    <t>65 West Clark Street</t>
  </si>
  <si>
    <t>MBTA New Bedford Station</t>
  </si>
  <si>
    <t>532 Acushnet Avenue</t>
  </si>
  <si>
    <t>Whales Tooth Lot</t>
  </si>
  <si>
    <t>MBTA Church Street Station</t>
  </si>
  <si>
    <t>387 Church Street</t>
  </si>
  <si>
    <t>Church Street Lot</t>
  </si>
  <si>
    <t>MBTA East Taunton Station</t>
  </si>
  <si>
    <t>55 Debra Drive</t>
  </si>
  <si>
    <t>1141 County St</t>
  </si>
  <si>
    <t>Freetown</t>
  </si>
  <si>
    <t>02702</t>
  </si>
  <si>
    <t>Middleborough</t>
  </si>
  <si>
    <t>02740</t>
  </si>
  <si>
    <t>02745</t>
  </si>
  <si>
    <t>Central MA Mosquito Control District</t>
  </si>
  <si>
    <t>111 Otis Street</t>
  </si>
  <si>
    <t>01532</t>
  </si>
  <si>
    <t>MPTC Holyoke</t>
  </si>
  <si>
    <t>600 Kelly Way</t>
  </si>
  <si>
    <t>WM. Brutsch Water Treatment Facility</t>
  </si>
  <si>
    <t>735 Belchertown Road</t>
  </si>
  <si>
    <t>01082</t>
  </si>
  <si>
    <t>Holdsworth Way</t>
  </si>
  <si>
    <t>100 Natural Resources Road</t>
  </si>
  <si>
    <t>Lot 65</t>
  </si>
  <si>
    <t>100 William T. Morrissey Boulevard</t>
  </si>
  <si>
    <t>385 Plantation Street</t>
  </si>
  <si>
    <t>205 Riverside St</t>
  </si>
  <si>
    <t>WSU Nettie Stevens Science Center Commuter Lot</t>
  </si>
  <si>
    <t>Nettie Stevens Science Center Commuter Lot</t>
  </si>
  <si>
    <t>WSU Dower Commuter Lot</t>
  </si>
  <si>
    <t>Power Plant Lot</t>
  </si>
  <si>
    <t>WSU Parenzo Parking Lot</t>
  </si>
  <si>
    <t>Parenzo Parking Lot</t>
  </si>
  <si>
    <t>$8,142 </t>
  </si>
  <si>
    <r>
      <t>$26,006.74</t>
    </r>
    <r>
      <rPr>
        <sz val="11"/>
        <color rgb="FF000000"/>
        <rFont val="Calibri"/>
        <family val="2"/>
      </rPr>
      <t> </t>
    </r>
  </si>
  <si>
    <t>Holyoke Soldiers' Home</t>
  </si>
  <si>
    <t>DOC Bay State Correctional Facility</t>
  </si>
  <si>
    <t>O'Connor Hall, Rear Entrance Garden</t>
  </si>
  <si>
    <t>State Street, Corrinne Toewrs</t>
  </si>
  <si>
    <t>Outdoor Learning Lab</t>
  </si>
  <si>
    <t>Hoosac Hall</t>
  </si>
  <si>
    <t>Sterling: Route 12-Chocksett Road Roundabout</t>
  </si>
  <si>
    <t>Sterling: Route 12-I90 (Exit 6) Roundabout</t>
  </si>
  <si>
    <t>Watertown: Boylston &amp; Chauncey St</t>
  </si>
  <si>
    <t>Watertown: Boylston &amp; Howe St</t>
  </si>
  <si>
    <t>Route 12 Medians, Sterling</t>
  </si>
  <si>
    <t>Coastal Marsh</t>
  </si>
  <si>
    <t>Renaissance Studies Center Meadow</t>
  </si>
  <si>
    <t xml:space="preserve">University Hall </t>
  </si>
  <si>
    <t>Office of Well-Being Garden</t>
  </si>
  <si>
    <t>46 Wilder</t>
  </si>
  <si>
    <t>Outskirts</t>
  </si>
  <si>
    <t>South Lot</t>
  </si>
  <si>
    <t>Northeast Corner Horace Mann</t>
  </si>
  <si>
    <t>Alewife Brook Reservation</t>
  </si>
  <si>
    <t>Bay Farm Conservation Area</t>
  </si>
  <si>
    <t>Blackberry River Flood Control Site</t>
  </si>
  <si>
    <t>Blackstone River and Canal Heritage State Park</t>
  </si>
  <si>
    <t>Blue Hills Reservation</t>
  </si>
  <si>
    <t>Borderland State Park</t>
  </si>
  <si>
    <t>Boston Harbor Islands State Park</t>
  </si>
  <si>
    <t>Bradley Palmer State Park</t>
  </si>
  <si>
    <t>Brook Farm</t>
  </si>
  <si>
    <t>Clam Lake Flood Control Site</t>
  </si>
  <si>
    <t>Connecticut River Greenway State Park</t>
  </si>
  <si>
    <t>Cookson State Forest</t>
  </si>
  <si>
    <t>Great Brook Farm State Park</t>
  </si>
  <si>
    <t>Greylock Glen</t>
  </si>
  <si>
    <t>Halibut Point State Park</t>
  </si>
  <si>
    <t>Jug End State Reservation and WMA</t>
  </si>
  <si>
    <t>Kenneth Dubuque Memorial State Forest</t>
  </si>
  <si>
    <t>Manuel F. Correllus State Forest</t>
  </si>
  <si>
    <t>Massasoit State Park</t>
  </si>
  <si>
    <t>Maudslay State Park</t>
  </si>
  <si>
    <t>Middlefield State Forest</t>
  </si>
  <si>
    <t>Middlesex Fells Reservation</t>
  </si>
  <si>
    <t>Mohawk Trail State Forest</t>
  </si>
  <si>
    <t>Moore State Park</t>
  </si>
  <si>
    <t>Mount Greylock State Reservation</t>
  </si>
  <si>
    <t>Mount Holyoke Range State Park</t>
  </si>
  <si>
    <t>Mount Tom State Reservation</t>
  </si>
  <si>
    <t>Mount Washington State Forest</t>
  </si>
  <si>
    <t>Mystic River Reservation</t>
  </si>
  <si>
    <t>Nasketucket Bay State Reservation</t>
  </si>
  <si>
    <t>Neponset River Reservation</t>
  </si>
  <si>
    <t>Otis State Forest</t>
  </si>
  <si>
    <t>Pilgrim Memorial State Park</t>
  </si>
  <si>
    <t>Pittsfield State Forest</t>
  </si>
  <si>
    <t>Ponkapoag Golf Course</t>
  </si>
  <si>
    <t>Purgatory Chasm State Reservation</t>
  </si>
  <si>
    <t>Savoy Mountain State Forest</t>
  </si>
  <si>
    <t>Silver Brook North Flood Control Site</t>
  </si>
  <si>
    <t>Silver Brook South Flood Control Site</t>
  </si>
  <si>
    <t>Southern New England Trunkline Trail</t>
  </si>
  <si>
    <t>Squantum Point Park</t>
  </si>
  <si>
    <t>Sweets Knoll State Park</t>
  </si>
  <si>
    <t>Taconic Trail State Park</t>
  </si>
  <si>
    <t>Tolland State Forest</t>
  </si>
  <si>
    <t>Wachusett Mountain State Reservation</t>
  </si>
  <si>
    <t>Wachusett Reservoir Regional Office</t>
  </si>
  <si>
    <t>Wachusett Reservoir Watershed</t>
  </si>
  <si>
    <t>Walden Pond State Reservation</t>
  </si>
  <si>
    <t>Waquoit Bay National Estuarine Research Reserve</t>
  </si>
  <si>
    <t>West Lake And Abbey Pond Flood Control Site</t>
  </si>
  <si>
    <t>Whitehall State Park</t>
  </si>
  <si>
    <t>Wachusett Reservoir</t>
  </si>
  <si>
    <t>Complete</t>
  </si>
  <si>
    <t>Food Forest</t>
  </si>
  <si>
    <t>No Mow</t>
  </si>
  <si>
    <t>Low Mow Zone</t>
  </si>
  <si>
    <t/>
  </si>
  <si>
    <t>Managed Meadow</t>
  </si>
  <si>
    <t>2001</t>
  </si>
  <si>
    <t>2010</t>
  </si>
  <si>
    <t>2016</t>
  </si>
  <si>
    <t>2017</t>
  </si>
  <si>
    <t>2014</t>
  </si>
  <si>
    <t>1994</t>
  </si>
  <si>
    <t>2013</t>
  </si>
  <si>
    <t>College planted seeds spring 2019 for an approximately 2500 square foot section of grassy area adjacent to a pond and forest. Class of students helped seed area and plan to re-seed area in spring 2020. Northeast Value Mix purchased from SiteOne. Note that the mix largey features non-native species.</t>
  </si>
  <si>
    <t>The Bay State location was used for hay and is cut at least once or twice per year.  The lack of rain - probably once this year.  Depending on the rainfall and the available/leases for local farmers decides who, what and when fields are cut.  This field is small and really is not worth the effort for most. Most DOC fields are mowed with field mowers, with 95 inch decks</t>
  </si>
  <si>
    <t xml:space="preserve">Total lawn is about 2.7 acres. About 1 acre was tilled several times in spring of 2017, seeded northeast wildflower mix in late spring. </t>
  </si>
  <si>
    <t xml:space="preserve">Part of GCC's Outdoor Learning Lab, the wildflower meadow habitat provides food and shelter for insect, bird and mammal species. It also stabilizes the steep slope with deep-rooted bunch grasses and wildflowers. To maintain a meadow, trees and shrubs must be prevented from growing, which requires management like mowing or grazing. The OLL also includes a wetland, permaculture garden, orchard, rain garden, and more. https://www.gcc.mass.edu/oll/ </t>
  </si>
  <si>
    <t>Jeff Tatro</t>
  </si>
  <si>
    <t>Erin Kiley, professor (e.m.kiley@mcla.edu) and Fred Ferris, facilities</t>
  </si>
  <si>
    <t>MCLA established a pollinator garden last season (2019). This was done through Facilities, in particular Fred Ferris, who's copied on this message. The designated pollinator gardens are the vacant lot next to Hoosac Hall and the dirt strip adjacent to Ashland Street across from the Facilities building. Fred direct-sowed native, pollinator-friendly seed in those areas and placed signage to identify the pollinator gardens as such to community members.</t>
  </si>
  <si>
    <t>About 2 acres of meadow, been in place "for at least 10 years" as of Oct 2023. Part of Boston Harbor Islands National Park, meadow includes walking trail for visitors</t>
  </si>
  <si>
    <t xml:space="preserve">	
Part of 12-mile corridor along Route 146, these areas are mowed only once a year (in the spring). Previously, the areas were mowed 2 - 4 times annually.</t>
  </si>
  <si>
    <t>Part of 3 mile corridor along I-90 Leominster</t>
  </si>
  <si>
    <t>Sterling has two new roundabouts with what Tara calls "Urban Meadows" with mixed habitat planting (trees, shrubs, grasses, and flowers (particularly, asters and goldenrod since that’s what grew best –  there were LOTs of bees on the flowers fall 2019). Grasses and flowers were planted as plugs and later some 1 gallon plants to make up for plugs that failed. Roundabouts have signs. Total area is maybe 4,000 square feet for both roundabouts.</t>
  </si>
  <si>
    <t>Watertown's two "Urban Meadows" are similar to those in Sterling, with mixed habitat planting, but a bit more formal – more like a garden and with more flowering species. Planting was done as part of a DOT Safe Routes to School Construction project to put in sidewalks and provide a safer walking route to Hosmer school. Planting was done in two areas where pavement removed and was in cooperation with the Town. Total areas is somewhere around 3,000 square feet.</t>
  </si>
  <si>
    <t xml:space="preserve">From Tara, 2.11.20: Medians of route 12 were seeded with a mostly native mix (wrong seed mix was used) and are on a limited mow schedule, depending on how they look. I don’t have photos of the medians due to the seeding issues and having to cut the areas because the wrong mix was used. This year I will get some photos. We also do herbicide treatment due to all the invasive stuff that showed up. Medians also have signs. </t>
  </si>
  <si>
    <t>Added in FY19 tracking form</t>
  </si>
  <si>
    <t>Collaboration between Phi Theta Kappa student group and QCC Facilities Department. QCC partnered with MassWildlife, seed mix information in progress from Steve -- PROJECT IS DORMANT (as of Jan 2024)</t>
  </si>
  <si>
    <t xml:space="preserve"> 9 acresMaintain and protect a tidally-influenced coastal marsh for many years.</t>
  </si>
  <si>
    <t>Kathleen Dion</t>
  </si>
  <si>
    <t>UMA defines this as "enhanced meadow." Unclear if it was seeded or just limited mow.</t>
  </si>
  <si>
    <t>Added to tracker 1/31/24</t>
  </si>
  <si>
    <t>Outside the Lamar Soutter Library, the Pollination Association has implemented a pilot shade garden using pollinator friendly, native, homegrown plants.</t>
  </si>
  <si>
    <t>Next to the Student Garden beds, the Pollination Association has implemented a pilot sun garden using pollinator-friendly, native, home-grown plants.</t>
  </si>
  <si>
    <t>planned for fy25</t>
  </si>
  <si>
    <t>hillside was seeded with wildflower mix - installed in October 2024</t>
  </si>
  <si>
    <t>September LBE Council Meeting - Jamie noted they have 10 acres of no mow zones</t>
  </si>
  <si>
    <t>Planted daisies, snapdragons, lupine and baby’s breath, and more. Northeast US Wildflower Mix from SiteOne Landscape Supply (North Chelmsford)</t>
  </si>
  <si>
    <t>Field and cut-off bikepath edges.</t>
  </si>
  <si>
    <t>Co-owned and managed by DCR, Kingston, &amp; Duxbury</t>
  </si>
  <si>
    <t>The pollinator garden features native plants that benefit local wildlife. DCR hosts educational programs here during the growing season. Size: ~40 sq. ft.</t>
  </si>
  <si>
    <t>Managed for Quail Hunting in partnership with MassWildlife</t>
  </si>
  <si>
    <t>Historic site.</t>
  </si>
  <si>
    <t>Small garden at the Great Falls Discover Center features native species that attract a range of pollinators. Size: ~900 sq. ft.</t>
  </si>
  <si>
    <t>Seeded in 2001 with wildflower seeds, this area has been managed as a limited mow zone, allowing local plants to colonize the area naturally. Size: 2.2 acres.</t>
  </si>
  <si>
    <t>Several large fields around the Jug End Trailhead are managed in partnership with MassWildlife. Mowed once per year, these fields provide ideal habitats for pollinators, birds, and other native wildlife. Size: 60 acres.</t>
  </si>
  <si>
    <t>Several large fields around the Jug End Trailhead are managed in partnership with MassWildlife. Mowed once per year, these fields provide ideal habitats for pollinators, birds, and other native wildlife.</t>
  </si>
  <si>
    <t>Large plots of land have been managed as limited mow zones since at least 2010, allowing local grasses and wildflowers to naturally grow. Size: ~6.5 acres.</t>
  </si>
  <si>
    <t>Built as a traditional Italian Garden in the 19th century, DCR took ownership of the Estate and associated gardens in 1985. This garden features ornamental species, some beneficial to local pollinators. Size: 0.3 acres.</t>
  </si>
  <si>
    <t>A large portion of open field is left unmowed through the growing season. Signage informs visitors of the benefits of pollinators. Size: 3.8 acres.</t>
  </si>
  <si>
    <t>Two gardens located by the Visitor Center are designed to attract pollinators.</t>
  </si>
  <si>
    <t>Seven garden beds along Woodland Road attract native pollinators. Size: .02 acres.</t>
  </si>
  <si>
    <t xml:space="preserve">This high elevation meadow (about 2,400ft. elevation) is mowed every 2-3 years to maintain this unique habitat, Established in partnership with DFW, several areas around the parking lot are maintained as open meadow, with trails allowing visitors to pass </t>
  </si>
  <si>
    <t>The fields around the Mt. Greylock Visitor Center are mowed once per year to maintain a natural meadow habitat. The field features bluebird boxes and walking trails. Size: 3.5 acres.</t>
  </si>
  <si>
    <t>This 15-yard stretch of garden features native plants that attract a range of pollinators.</t>
  </si>
  <si>
    <t>Clearwater property.</t>
  </si>
  <si>
    <t>This site is mowed once per year, allowing local plants to naturally colonize the area during the growing season. Size: 21 acres.</t>
  </si>
  <si>
    <t>The former industrial site was completely restored, which included 2 acres of wildflower meadow seed mix plantings. In addition, large expanses of salt marsh restoration (hundreds of low marsh and upper marsh grass plugs, and transplanting a healthy secti</t>
  </si>
  <si>
    <t xml:space="preserve">Atop the Taconic Range, other than its alluring fragrance and appearance to humans during its annual bloom in June, this azalea provides beneficial nectar for pollinators. Hummingbirds, bumble bees and swallowtail butterflies are attracted to the blooms. </t>
  </si>
  <si>
    <t>Made in collaboration with Hancock Shaker Village.</t>
  </si>
  <si>
    <t>In 2016, DCR added a pollinator-friendly &amp; butterfly garden at DCR Purgatory Chasm Visitor Center in Sutton in place of part of the site's lawn. Size: .01 acres.</t>
  </si>
  <si>
    <t>Leveraging an EEA Stewardship Grant, DCR procured a "Showy Northeast Native Wildflower Mix" from Ernst Seed. A section of lawn was cleared of grass by covering it in dark tarp for a summer, with seeds placed in the fall. Size: 0.1 acres.</t>
  </si>
  <si>
    <t>Low Mow Wildlife Strip along  trail edge</t>
  </si>
  <si>
    <t>This high elevation meadow (about 2,400ft. elevation) is mowed every 2-3 years to maintain this unique habitat. This meadow tends to attract hundreds of monarch butterflies.</t>
  </si>
  <si>
    <t xml:space="preserve">Two areas around the DCR Wachusett Reservoir Regional Office were planted in 2017 to be pollinator-friendly to support monarch butterflies. The fields are filled with milkweed. Size: 2.1 acres. </t>
  </si>
  <si>
    <t>Added in 2017, partnership with DCR Division of Water Supply Protection, MassWildlife and MassDOT. Area was set aside to be planted with native tree/shrubs and tall native grasses and wildflowers. This helps form a living snow-fence to keep snow off of Rt</t>
  </si>
  <si>
    <t>Established in 2014. Size: 35 acres.</t>
  </si>
  <si>
    <t>Before 1994, these front fields of the Reserve were mowed several times annually, and they are now a no/limited mow zone to encourage growth of endangered plant sandplain gerardia. This limited mowing also reduces fuel use and greenhouse gas emissions. Ra</t>
  </si>
  <si>
    <t>This  pollinator-friendly garden and stormwater management area includes swamp milkweed, common milkweed, butterfly weed, and a diverse array of pollinator-friendly plants. Added in 2013, the area was previously parking lot and is not mowed. Size: 0.06 ac</t>
  </si>
  <si>
    <t>Dike and adjacent field are mowed once per year, allowing native grasses and wildflowers to grow throughout the growing season. Size: 4.5 acres.</t>
  </si>
  <si>
    <t>Dike and adjacent field are mowed once per year, allowing native grasses and wildflowers to grow throughout the growing season. Size: 2.8 acres</t>
  </si>
  <si>
    <t>Ryan asking Joe for more info, 2.24.20</t>
  </si>
  <si>
    <t>Need to follow-up with Tara in Summer 2020 to see if sites were maintained as habitat, and size</t>
  </si>
  <si>
    <t>Yes - 8/11/20</t>
  </si>
  <si>
    <t>Tara waiting until growing season to see if limited mow schedule is maintained. She is looking into creating a Limited Mow Map with GeoDOT so is holding off on mapping these for now.</t>
  </si>
  <si>
    <t>Site is marked here</t>
  </si>
  <si>
    <t>UML purchased 25lbs of seed mix for $716.65 ($28.666/lb). Details of species, seeding rate, etc, unknown. See Order Summary from UML: LBE\Agency-Campus Annual Data Reporting\Tracking\Sustainable Landscaping\UML</t>
  </si>
  <si>
    <t>Seeds from other locations from SiteOne, need to confirm that the same mix was used across all sites.</t>
  </si>
  <si>
    <t>RK reached out to Joel 2.21.20</t>
  </si>
  <si>
    <t>Included in FY19 reporting form, may or may not fit into this program</t>
  </si>
  <si>
    <t>To add</t>
  </si>
  <si>
    <t>Sites are located around here</t>
  </si>
  <si>
    <t>More areas may be added in 2020</t>
  </si>
  <si>
    <t>RK reached out to Steve 2.21.20</t>
  </si>
  <si>
    <t>Confirmation of size, signage, and pictures to be sent by Alec. Follow-up Summer 2020 for updated info and pictures.</t>
  </si>
  <si>
    <t>Did not take -- is now lawn</t>
  </si>
  <si>
    <t>Matt getting info on size and year established</t>
  </si>
  <si>
    <t>Follow up with Matt summer 2020</t>
  </si>
  <si>
    <t>Northern Essex Comm. College Haverhill</t>
  </si>
  <si>
    <t>Ryobi</t>
  </si>
  <si>
    <t>MassPort Authority East Boston Parks &amp; Open Space</t>
  </si>
  <si>
    <t>stihl</t>
  </si>
  <si>
    <t>Sprayer</t>
  </si>
  <si>
    <t>Backpack leaf blower</t>
  </si>
  <si>
    <t>greenworks wholegoods</t>
  </si>
  <si>
    <t>Handheld leaf blower</t>
  </si>
  <si>
    <t>Equipment</t>
  </si>
  <si>
    <t>stewarts</t>
  </si>
  <si>
    <t>Equipment And Parts</t>
  </si>
  <si>
    <t>Garden Pruner</t>
  </si>
  <si>
    <t>Golf Cart</t>
  </si>
  <si>
    <t>ez-go</t>
  </si>
  <si>
    <t>Lawn Mower</t>
  </si>
  <si>
    <t>Pole Saw</t>
  </si>
  <si>
    <t>Powerhead</t>
  </si>
  <si>
    <t>Trimmer</t>
  </si>
  <si>
    <t>UMA</t>
  </si>
  <si>
    <t>UMA Tillson Farm</t>
  </si>
  <si>
    <t xml:space="preserve">MWRA Western Operations </t>
  </si>
  <si>
    <t>MWRA Metro Maintenance</t>
  </si>
  <si>
    <t>Volvo</t>
  </si>
  <si>
    <t>Power washer</t>
  </si>
  <si>
    <t>Agency/Entity Count</t>
  </si>
  <si>
    <t>FY24 Square Footage</t>
  </si>
  <si>
    <t>Please use the following section to provide information on any energy efficiency or decarbonization projects that were initiated and/or completed in FY25.</t>
  </si>
  <si>
    <t>Energy Efficiency &amp; Decarb Projects at State Facilities</t>
  </si>
  <si>
    <t>Please provide any additional notes regarding energy efficiency &amp; decarbonization projects below:</t>
  </si>
  <si>
    <t xml:space="preserve">Energy Efficiency/Decarbonization Project Description </t>
  </si>
  <si>
    <t>Please include only EE &amp; decarb projects that have occurred during FY25.</t>
  </si>
  <si>
    <r>
      <t xml:space="preserve">Energy Efficiency/Decarbonization Project Impacts
</t>
    </r>
    <r>
      <rPr>
        <sz val="12"/>
        <color rgb="FFFFFFFF"/>
        <rFont val="Calibri"/>
        <family val="2"/>
        <scheme val="minor"/>
      </rPr>
      <t>In space below, please provide any information related to project cost, project savings, and emissions reduction impacts.</t>
    </r>
  </si>
  <si>
    <t>EE &amp; Decarb Projects</t>
  </si>
  <si>
    <t>Embodied Carbon</t>
  </si>
  <si>
    <t>Project Location</t>
  </si>
  <si>
    <t>Project Square Footage</t>
  </si>
  <si>
    <t>Primary Building Use</t>
  </si>
  <si>
    <t>Please provide the following information for any project(s) which your agency incorporated embodied carbon as a factor in decision making:</t>
  </si>
  <si>
    <t>If "yes", please describe below.</t>
  </si>
  <si>
    <t>How did you measure embodied carbon impacts on this project. Please check all applicable strategies:</t>
  </si>
  <si>
    <t>Collected Environmental Product Declarations for certain materials</t>
  </si>
  <si>
    <t>Conducted a Whole Project Life Cycle Assessment</t>
  </si>
  <si>
    <t>Other (please describe below)</t>
  </si>
  <si>
    <t xml:space="preserve">If applicable, please indicate your strategies for reducing project embodied carbon. Please check as many as are relevant: </t>
  </si>
  <si>
    <t>Space Optimization</t>
  </si>
  <si>
    <t>Interior Efficiencies</t>
  </si>
  <si>
    <t>Reuse &amp; Rehabilitation</t>
  </si>
  <si>
    <t>Lightweight Design</t>
  </si>
  <si>
    <t>Timber Structure</t>
  </si>
  <si>
    <t>Low Carbon Concrete</t>
  </si>
  <si>
    <t>Low Carbon Insulation</t>
  </si>
  <si>
    <t>Other Low Carbon Products/Materials</t>
  </si>
  <si>
    <t>Please provide any known or projected embodied carbon impacts, including but not limited to, quantitative data demonstrating embodied carbon reductions.</t>
  </si>
  <si>
    <r>
      <t>Please answer the following questions (if applicable) to provide information on any projects at your facilities that incorporated embodied carbon considerations in the decision-making process in FY25.</t>
    </r>
    <r>
      <rPr>
        <b/>
        <sz val="11"/>
        <color theme="3"/>
        <rFont val="Calibri"/>
        <family val="2"/>
        <scheme val="minor"/>
      </rPr>
      <t xml:space="preserve"> If you did not have any projects that considered embodied carbon, please feel free to skip this tab.</t>
    </r>
  </si>
  <si>
    <t>Did you set minimum requirements around embodied carbon? (Yes/No)</t>
  </si>
  <si>
    <t>If "Other":</t>
  </si>
  <si>
    <r>
      <t xml:space="preserve">The deadline for submitting the FY25 Tracking Form is </t>
    </r>
    <r>
      <rPr>
        <b/>
        <sz val="14"/>
        <color rgb="FFFF0000"/>
        <rFont val="Calibri"/>
        <family val="2"/>
        <scheme val="minor"/>
      </rPr>
      <t>Friday, November 21, 2025</t>
    </r>
    <r>
      <rPr>
        <b/>
        <sz val="14"/>
        <color theme="3"/>
        <rFont val="Calibri"/>
        <family val="2"/>
        <scheme val="minor"/>
      </rPr>
      <t xml:space="preserve">. 
Please submit via email to Sophia Vitello (sophia.vitello@mass.gov). 
Please contact Sophia Vitello via email or by phone at 617-626-7353 if you need assistance in gathering your energy data. </t>
    </r>
  </si>
  <si>
    <t>EE-Decarb Projects</t>
  </si>
  <si>
    <t>This tab includes a request for information on any energy efficiency or decarbonization projects that were initiated and/or completed in FY25.</t>
  </si>
  <si>
    <t>This tab includes a request for information on any projects that incorporated embodied carbon considerations in the decision-making process in FY25.</t>
  </si>
  <si>
    <t>Dept. of Conservation &amp; Recreation</t>
  </si>
  <si>
    <t>Mass. Convention Center Authority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</si>
</sst>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 #,##0.000_);_(* \(#,##0.000\);_(* &quot;-&quot;??_);_(@_)"/>
    <numFmt numFmtId="167" formatCode="00000"/>
    <numFmt numFmtId="168" formatCode="&quot;$&quot;#,##0.00"/>
    <numFmt numFmtId="169" formatCode="0.000_);\(0.000\)"/>
    <numFmt numFmtId="170" formatCode="0.000"/>
    <numFmt numFmtId="171" formatCode="&quot;$&quot;#,##0"/>
  </numFmts>
  <fonts count="121">
    <font>
      <sz val="11"/>
      <color theme="1"/>
      <name val="Calibri"/>
      <family val="2"/>
      <scheme val="minor"/>
    </font>
    <font>
      <sz val="11"/>
      <color theme="1"/>
      <name val="Calibri"/>
      <family val="2"/>
    </font>
    <font>
      <sz val="11"/>
      <color theme="1"/>
      <name val="Calibri"/>
      <family val="2"/>
    </font>
    <font>
      <sz val="12"/>
      <color theme="1"/>
      <name val="Calibri"/>
      <family val="2"/>
      <scheme val="minor"/>
    </font>
    <font>
      <sz val="11"/>
      <color theme="1"/>
      <name val="Calibri"/>
      <family val="2"/>
      <scheme val="minor"/>
    </font>
    <font>
      <b/>
      <sz val="11"/>
      <color rgb="FFFFFFFF"/>
      <name val="Calibri"/>
      <family val="2"/>
      <scheme val="minor"/>
    </font>
    <font>
      <b/>
      <sz val="12"/>
      <color rgb="FFFFFFFF"/>
      <name val="Calibri"/>
      <family val="2"/>
      <scheme val="minor"/>
    </font>
    <font>
      <b/>
      <sz val="12"/>
      <name val="Calibri"/>
      <family val="2"/>
      <scheme val="minor"/>
    </font>
    <font>
      <sz val="11"/>
      <color indexed="8"/>
      <name val="Calibri"/>
      <family val="2"/>
    </font>
    <font>
      <b/>
      <sz val="11"/>
      <color indexed="8"/>
      <name val="Calibri"/>
      <family val="2"/>
    </font>
    <font>
      <sz val="11"/>
      <color theme="0"/>
      <name val="Calibri"/>
      <family val="2"/>
      <scheme val="minor"/>
    </font>
    <font>
      <b/>
      <sz val="11"/>
      <color theme="3"/>
      <name val="Calibri"/>
      <family val="2"/>
      <scheme val="minor"/>
    </font>
    <font>
      <b/>
      <sz val="11"/>
      <color theme="0"/>
      <name val="Calibri"/>
      <family val="2"/>
      <scheme val="minor"/>
    </font>
    <font>
      <sz val="11"/>
      <color theme="3"/>
      <name val="Calibri"/>
      <family val="2"/>
      <scheme val="minor"/>
    </font>
    <font>
      <sz val="14"/>
      <color theme="1"/>
      <name val="Calibri"/>
      <family val="2"/>
      <scheme val="minor"/>
    </font>
    <font>
      <b/>
      <sz val="14"/>
      <color rgb="FFFFFFFF"/>
      <name val="Calibri"/>
      <family val="2"/>
      <scheme val="minor"/>
    </font>
    <font>
      <b/>
      <sz val="12"/>
      <color theme="3"/>
      <name val="Calibri"/>
      <family val="2"/>
      <scheme val="minor"/>
    </font>
    <font>
      <b/>
      <sz val="12"/>
      <color rgb="FF003366"/>
      <name val="Calibri"/>
      <family val="2"/>
      <scheme val="minor"/>
    </font>
    <font>
      <sz val="12"/>
      <color theme="1"/>
      <name val="Calibri"/>
      <family val="2"/>
      <scheme val="minor"/>
    </font>
    <font>
      <sz val="12"/>
      <color theme="3"/>
      <name val="Calibri"/>
      <family val="2"/>
      <scheme val="minor"/>
    </font>
    <font>
      <sz val="12"/>
      <color rgb="FFFFFFFF"/>
      <name val="Calibri"/>
      <family val="2"/>
      <scheme val="minor"/>
    </font>
    <font>
      <sz val="12"/>
      <color theme="0"/>
      <name val="Calibri"/>
      <family val="2"/>
      <scheme val="minor"/>
    </font>
    <font>
      <sz val="12"/>
      <color rgb="FF003366"/>
      <name val="Calibri"/>
      <family val="2"/>
      <scheme val="minor"/>
    </font>
    <font>
      <i/>
      <sz val="12"/>
      <color rgb="FF003366"/>
      <name val="Calibri"/>
      <family val="2"/>
      <scheme val="minor"/>
    </font>
    <font>
      <b/>
      <sz val="12"/>
      <color theme="1"/>
      <name val="Calibri"/>
      <family val="2"/>
      <scheme val="minor"/>
    </font>
    <font>
      <b/>
      <shadow/>
      <sz val="12"/>
      <color rgb="FF003366"/>
      <name val="Calibri"/>
      <family val="2"/>
      <scheme val="minor"/>
    </font>
    <font>
      <b/>
      <sz val="9"/>
      <color indexed="81"/>
      <name val="Tahoma"/>
      <family val="2"/>
    </font>
    <font>
      <sz val="9"/>
      <color indexed="81"/>
      <name val="Tahoma"/>
      <family val="2"/>
    </font>
    <font>
      <sz val="12"/>
      <name val="Calibri"/>
      <family val="2"/>
      <scheme val="minor"/>
    </font>
    <font>
      <b/>
      <sz val="14"/>
      <color theme="3"/>
      <name val="Calibri"/>
      <family val="2"/>
      <scheme val="minor"/>
    </font>
    <font>
      <b/>
      <sz val="16"/>
      <color rgb="FFFFFFFF"/>
      <name val="Calibri"/>
      <family val="2"/>
      <scheme val="minor"/>
    </font>
    <font>
      <b/>
      <sz val="11"/>
      <color theme="1"/>
      <name val="Calibri"/>
      <family val="2"/>
      <scheme val="minor"/>
    </font>
    <font>
      <sz val="11"/>
      <name val="Calibri"/>
      <family val="2"/>
      <scheme val="minor"/>
    </font>
    <font>
      <sz val="16"/>
      <color theme="1"/>
      <name val="Calibri"/>
      <family val="2"/>
      <scheme val="minor"/>
    </font>
    <font>
      <sz val="11"/>
      <color rgb="FF000000"/>
      <name val="Calibri"/>
      <family val="2"/>
      <scheme val="minor"/>
    </font>
    <font>
      <sz val="11"/>
      <name val="Calibri"/>
      <family val="2"/>
    </font>
    <font>
      <sz val="10"/>
      <color indexed="8"/>
      <name val="Arial"/>
      <family val="2"/>
    </font>
    <font>
      <sz val="11"/>
      <color indexed="8"/>
      <name val="Calibri"/>
      <family val="2"/>
      <scheme val="minor"/>
    </font>
    <font>
      <i/>
      <sz val="11"/>
      <color theme="1"/>
      <name val="Calibri"/>
      <family val="2"/>
      <scheme val="minor"/>
    </font>
    <font>
      <i/>
      <sz val="11"/>
      <color theme="3"/>
      <name val="Calibri"/>
      <family val="2"/>
      <scheme val="minor"/>
    </font>
    <font>
      <u/>
      <sz val="11"/>
      <color theme="10"/>
      <name val="Calibri"/>
      <family val="2"/>
    </font>
    <font>
      <b/>
      <sz val="16"/>
      <color theme="0"/>
      <name val="Calibri"/>
      <family val="2"/>
      <scheme val="minor"/>
    </font>
    <font>
      <sz val="14"/>
      <color theme="0"/>
      <name val="Calibri"/>
      <family val="2"/>
      <scheme val="minor"/>
    </font>
    <font>
      <i/>
      <sz val="12"/>
      <color theme="3"/>
      <name val="Calibri"/>
      <family val="2"/>
      <scheme val="minor"/>
    </font>
    <font>
      <i/>
      <sz val="12"/>
      <color rgb="FFFFFFFF"/>
      <name val="Calibri"/>
      <family val="2"/>
      <scheme val="minor"/>
    </font>
    <font>
      <sz val="10"/>
      <color indexed="8"/>
      <name val="Arial"/>
      <family val="2"/>
    </font>
    <font>
      <b/>
      <sz val="12"/>
      <color theme="0"/>
      <name val="Calibri"/>
      <family val="2"/>
      <scheme val="minor"/>
    </font>
    <font>
      <sz val="11"/>
      <color rgb="FFFF0000"/>
      <name val="Calibri"/>
      <family val="2"/>
      <scheme val="minor"/>
    </font>
    <font>
      <sz val="10"/>
      <color indexed="8"/>
      <name val="Arial"/>
      <family val="2"/>
    </font>
    <font>
      <b/>
      <sz val="18"/>
      <color theme="3"/>
      <name val="Cambria"/>
      <family val="2"/>
      <scheme val="maj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u/>
      <sz val="11"/>
      <color theme="10"/>
      <name val="Calibri"/>
      <family val="2"/>
      <scheme val="minor"/>
    </font>
    <font>
      <b/>
      <sz val="10"/>
      <color theme="1"/>
      <name val="Calibri"/>
      <family val="2"/>
      <scheme val="minor"/>
    </font>
    <font>
      <sz val="10"/>
      <color theme="1"/>
      <name val="Calibri"/>
      <family val="2"/>
      <scheme val="minor"/>
    </font>
    <font>
      <b/>
      <sz val="11"/>
      <name val="Calibri"/>
      <family val="2"/>
      <scheme val="minor"/>
    </font>
    <font>
      <b/>
      <sz val="11"/>
      <color rgb="FFFF0000"/>
      <name val="Calibri"/>
      <family val="2"/>
      <scheme val="minor"/>
    </font>
    <font>
      <b/>
      <sz val="11"/>
      <color theme="4" tint="-0.499984740745262"/>
      <name val="Calibri"/>
      <family val="2"/>
      <scheme val="minor"/>
    </font>
    <font>
      <sz val="10"/>
      <name val="Arial"/>
      <family val="2"/>
    </font>
    <font>
      <u/>
      <sz val="10"/>
      <color indexed="12"/>
      <name val="Arial"/>
      <family val="2"/>
    </font>
    <font>
      <sz val="11"/>
      <color theme="9"/>
      <name val="Calibri"/>
      <family val="2"/>
      <scheme val="minor"/>
    </font>
    <font>
      <b/>
      <sz val="18"/>
      <color theme="0"/>
      <name val="Calibri"/>
      <family val="2"/>
      <scheme val="minor"/>
    </font>
    <font>
      <b/>
      <sz val="14"/>
      <color theme="0"/>
      <name val="Calibri"/>
      <family val="2"/>
      <scheme val="minor"/>
    </font>
    <font>
      <b/>
      <shadow/>
      <sz val="18"/>
      <color theme="0"/>
      <name val="Calibri"/>
      <family val="2"/>
      <scheme val="minor"/>
    </font>
    <font>
      <b/>
      <i/>
      <sz val="12"/>
      <color rgb="FF003366"/>
      <name val="Calibri"/>
      <family val="2"/>
      <scheme val="minor"/>
    </font>
    <font>
      <sz val="10"/>
      <color rgb="FFFFFFFF"/>
      <name val="Calibri"/>
      <family val="2"/>
      <scheme val="minor"/>
    </font>
    <font>
      <b/>
      <sz val="10"/>
      <color theme="3"/>
      <name val="Wingdings"/>
      <charset val="2"/>
    </font>
    <font>
      <b/>
      <sz val="12"/>
      <color rgb="FF00B050"/>
      <name val="Calibri"/>
      <family val="2"/>
      <scheme val="minor"/>
    </font>
    <font>
      <b/>
      <u/>
      <sz val="12"/>
      <color theme="0"/>
      <name val="Calibri"/>
      <family val="2"/>
      <scheme val="minor"/>
    </font>
    <font>
      <b/>
      <u/>
      <sz val="12"/>
      <color rgb="FFFFFFFF"/>
      <name val="Calibri"/>
      <family val="2"/>
      <scheme val="minor"/>
    </font>
    <font>
      <b/>
      <sz val="12"/>
      <color rgb="FFFF0000"/>
      <name val="Calibri"/>
      <family val="2"/>
      <scheme val="minor"/>
    </font>
    <font>
      <sz val="8"/>
      <name val="Calibri"/>
      <family val="2"/>
      <scheme val="minor"/>
    </font>
    <font>
      <b/>
      <sz val="14"/>
      <color rgb="FFFF0000"/>
      <name val="Calibri"/>
      <family val="2"/>
      <scheme val="minor"/>
    </font>
    <font>
      <b/>
      <u/>
      <sz val="11"/>
      <color theme="10"/>
      <name val="Calibri"/>
      <family val="2"/>
      <scheme val="minor"/>
    </font>
    <font>
      <sz val="11"/>
      <color theme="1"/>
      <name val="Calibri"/>
      <family val="2"/>
    </font>
    <font>
      <sz val="11"/>
      <color theme="1" tint="0.499984740745262"/>
      <name val="Calibri"/>
      <family val="2"/>
      <scheme val="minor"/>
    </font>
    <font>
      <u/>
      <sz val="11"/>
      <name val="Calibri"/>
      <family val="2"/>
      <scheme val="minor"/>
    </font>
    <font>
      <i/>
      <sz val="12"/>
      <color rgb="FF00B050"/>
      <name val="Calibri"/>
      <family val="2"/>
      <scheme val="minor"/>
    </font>
    <font>
      <b/>
      <sz val="14"/>
      <color theme="3" tint="-0.249977111117893"/>
      <name val="Calibri"/>
      <family val="2"/>
      <scheme val="minor"/>
    </font>
    <font>
      <b/>
      <sz val="16"/>
      <color theme="1"/>
      <name val="Calibri"/>
      <family val="2"/>
      <scheme val="minor"/>
    </font>
    <font>
      <sz val="12"/>
      <color rgb="FFFF0000"/>
      <name val="Calibri"/>
      <family val="2"/>
      <scheme val="minor"/>
    </font>
    <font>
      <b/>
      <u/>
      <sz val="12"/>
      <color theme="3"/>
      <name val="Calibri"/>
      <family val="2"/>
      <scheme val="minor"/>
    </font>
    <font>
      <i/>
      <u/>
      <sz val="12"/>
      <color theme="3"/>
      <name val="Calibri"/>
      <family val="2"/>
      <scheme val="minor"/>
    </font>
    <font>
      <sz val="11"/>
      <color rgb="FF00B050"/>
      <name val="Calibri"/>
      <family val="2"/>
      <scheme val="minor"/>
    </font>
    <font>
      <sz val="11"/>
      <color rgb="FF00B050"/>
      <name val="Calibri"/>
      <family val="2"/>
    </font>
    <font>
      <sz val="11"/>
      <color theme="5"/>
      <name val="Calibri"/>
      <family val="2"/>
    </font>
    <font>
      <sz val="9"/>
      <color theme="1"/>
      <name val="Calibri"/>
      <family val="2"/>
      <scheme val="minor"/>
    </font>
    <font>
      <b/>
      <sz val="9"/>
      <color rgb="FFFFFFFF"/>
      <name val="Calibri"/>
      <family val="2"/>
      <scheme val="minor"/>
    </font>
    <font>
      <b/>
      <sz val="8"/>
      <color rgb="FFFFFFFF"/>
      <name val="Calibri"/>
      <family val="2"/>
      <scheme val="minor"/>
    </font>
    <font>
      <sz val="8"/>
      <color theme="1"/>
      <name val="Calibri"/>
      <family val="2"/>
      <scheme val="minor"/>
    </font>
    <font>
      <b/>
      <sz val="10"/>
      <color rgb="FFFFFFFF"/>
      <name val="Calibri"/>
      <family val="2"/>
      <scheme val="minor"/>
    </font>
    <font>
      <sz val="11"/>
      <color rgb="FF34AC4F"/>
      <name val="Calibri"/>
      <family val="2"/>
      <scheme val="minor"/>
    </font>
    <font>
      <b/>
      <i/>
      <sz val="14"/>
      <color theme="0"/>
      <name val="Calibri"/>
      <family val="2"/>
      <scheme val="minor"/>
    </font>
    <font>
      <b/>
      <i/>
      <sz val="14"/>
      <color rgb="FFFFFF97"/>
      <name val="Calibri"/>
      <family val="2"/>
      <scheme val="minor"/>
    </font>
    <font>
      <sz val="11"/>
      <color rgb="FF000000"/>
      <name val="Calibri"/>
      <family val="2"/>
    </font>
    <font>
      <sz val="11"/>
      <color rgb="FFFF0000"/>
      <name val="Calibri"/>
      <family val="2"/>
    </font>
    <font>
      <b/>
      <sz val="9"/>
      <color rgb="FF000000"/>
      <name val="Tahoma"/>
      <family val="2"/>
    </font>
    <font>
      <sz val="9"/>
      <color rgb="FF000000"/>
      <name val="Tahoma"/>
      <family val="2"/>
    </font>
    <font>
      <sz val="10"/>
      <color theme="1"/>
      <name val="Calibri (Body)"/>
    </font>
    <font>
      <sz val="11"/>
      <color theme="3" tint="0.39997558519241921"/>
      <name val="Calibri"/>
      <family val="2"/>
      <scheme val="minor"/>
    </font>
    <font>
      <sz val="11"/>
      <color theme="4"/>
      <name val="Calibri"/>
      <family val="2"/>
      <scheme val="minor"/>
    </font>
    <font>
      <u/>
      <sz val="11"/>
      <color rgb="FF00B050"/>
      <name val="Calibri"/>
      <family val="2"/>
      <scheme val="minor"/>
    </font>
    <font>
      <b/>
      <sz val="11"/>
      <color rgb="FF00B050"/>
      <name val="Calibri"/>
      <family val="2"/>
      <scheme val="minor"/>
    </font>
    <font>
      <b/>
      <sz val="11"/>
      <color theme="0"/>
      <name val="Calibri"/>
      <family val="2"/>
    </font>
    <font>
      <b/>
      <sz val="11"/>
      <color theme="1"/>
      <name val="Calibri"/>
      <family val="2"/>
    </font>
    <font>
      <sz val="10"/>
      <color theme="1"/>
      <name val="Calibri"/>
      <family val="2"/>
    </font>
    <font>
      <b/>
      <i/>
      <sz val="11"/>
      <color theme="1"/>
      <name val="Calibri"/>
      <family val="2"/>
    </font>
    <font>
      <b/>
      <sz val="11"/>
      <color theme="4" tint="-0.249977111117893"/>
      <name val="Calibri"/>
      <family val="2"/>
    </font>
    <font>
      <b/>
      <sz val="10"/>
      <color theme="4" tint="-0.249977111117893"/>
      <name val="Calibri"/>
      <family val="2"/>
    </font>
    <font>
      <sz val="10"/>
      <color indexed="8"/>
      <name val="Arial"/>
      <family val="2"/>
    </font>
    <font>
      <sz val="11"/>
      <color indexed="8"/>
      <name val="Calibri"/>
      <family val="2"/>
    </font>
    <font>
      <u/>
      <sz val="11"/>
      <color rgb="FFFF0000"/>
      <name val="Calibri"/>
      <family val="2"/>
      <scheme val="minor"/>
    </font>
    <font>
      <b/>
      <i/>
      <sz val="11"/>
      <color theme="3"/>
      <name val="Calibri"/>
      <family val="2"/>
      <scheme val="minor"/>
    </font>
  </fonts>
  <fills count="72">
    <fill>
      <patternFill patternType="none"/>
    </fill>
    <fill>
      <patternFill patternType="gray125"/>
    </fill>
    <fill>
      <patternFill patternType="solid">
        <fgColor rgb="FF17365D"/>
        <bgColor indexed="64"/>
      </patternFill>
    </fill>
    <fill>
      <patternFill patternType="solid">
        <fgColor rgb="FF365F91"/>
        <bgColor indexed="64"/>
      </patternFill>
    </fill>
    <fill>
      <patternFill patternType="solid">
        <fgColor rgb="FFDBE5F1"/>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
      <patternFill patternType="solid">
        <fgColor rgb="FFFFFF99"/>
        <bgColor indexed="64"/>
      </patternFill>
    </fill>
    <fill>
      <patternFill patternType="solid">
        <fgColor theme="3"/>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indexed="22"/>
        <bgColor indexed="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9F9F9"/>
        <bgColor indexed="64"/>
      </patternFill>
    </fill>
    <fill>
      <patternFill patternType="solid">
        <fgColor theme="3" tint="-0.499984740745262"/>
        <bgColor indexed="64"/>
      </patternFill>
    </fill>
    <fill>
      <patternFill patternType="solid">
        <fgColor rgb="FFEAF0F6"/>
        <bgColor indexed="64"/>
      </patternFill>
    </fill>
    <fill>
      <patternFill patternType="solid">
        <fgColor rgb="FFF1F5F9"/>
        <bgColor indexed="64"/>
      </patternFill>
    </fill>
    <fill>
      <patternFill patternType="solid">
        <fgColor rgb="FFFEFE8C"/>
        <bgColor indexed="64"/>
      </patternFill>
    </fill>
    <fill>
      <patternFill patternType="solid">
        <fgColor rgb="FFFFFF89"/>
        <bgColor indexed="64"/>
      </patternFill>
    </fill>
    <fill>
      <patternFill patternType="solid">
        <fgColor rgb="FFFFFF8B"/>
        <bgColor indexed="64"/>
      </patternFill>
    </fill>
    <fill>
      <patternFill patternType="solid">
        <fgColor rgb="FFFFFF85"/>
        <bgColor indexed="64"/>
      </patternFill>
    </fill>
    <fill>
      <patternFill patternType="solid">
        <fgColor rgb="FFFFFF9B"/>
        <bgColor indexed="64"/>
      </patternFill>
    </fill>
    <fill>
      <patternFill patternType="solid">
        <fgColor rgb="FFF4F7FA"/>
        <bgColor indexed="64"/>
      </patternFill>
    </fill>
    <fill>
      <patternFill patternType="solid">
        <fgColor rgb="FFEEF3F8"/>
        <bgColor indexed="64"/>
      </patternFill>
    </fill>
    <fill>
      <patternFill patternType="solid">
        <fgColor rgb="FFECF2F8"/>
        <bgColor indexed="64"/>
      </patternFill>
    </fill>
    <fill>
      <patternFill patternType="solid">
        <fgColor rgb="FF00B050"/>
        <bgColor indexed="64"/>
      </patternFill>
    </fill>
    <fill>
      <patternFill patternType="solid">
        <fgColor rgb="FFFFC000"/>
        <bgColor indexed="64"/>
      </patternFill>
    </fill>
    <fill>
      <patternFill patternType="solid">
        <fgColor rgb="FFFFFFA7"/>
        <bgColor indexed="64"/>
      </patternFill>
    </fill>
    <fill>
      <patternFill patternType="solid">
        <fgColor theme="6" tint="0.59999389629810485"/>
        <bgColor indexed="64"/>
      </patternFill>
    </fill>
    <fill>
      <patternFill patternType="solid">
        <fgColor theme="8" tint="0.39997558519241921"/>
        <bgColor indexed="64"/>
      </patternFill>
    </fill>
    <fill>
      <patternFill patternType="solid">
        <fgColor rgb="FFFFFF97"/>
        <bgColor indexed="64"/>
      </patternFill>
    </fill>
    <fill>
      <patternFill patternType="solid">
        <fgColor theme="4" tint="0.39997558519241921"/>
        <bgColor indexed="64"/>
      </patternFill>
    </fill>
    <fill>
      <patternFill patternType="solid">
        <fgColor rgb="FFBDD7EE"/>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indexed="9"/>
        <bgColor auto="1"/>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style="thin">
        <color indexed="8"/>
      </left>
      <right/>
      <top style="thin">
        <color indexed="8"/>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thin">
        <color indexed="64"/>
      </right>
      <top style="medium">
        <color theme="0"/>
      </top>
      <bottom style="medium">
        <color theme="0"/>
      </bottom>
      <diagonal/>
    </border>
    <border>
      <left style="thin">
        <color indexed="64"/>
      </left>
      <right style="thin">
        <color indexed="64"/>
      </right>
      <top style="medium">
        <color theme="0"/>
      </top>
      <bottom style="medium">
        <color theme="0"/>
      </bottom>
      <diagonal/>
    </border>
    <border>
      <left style="thin">
        <color indexed="64"/>
      </left>
      <right style="medium">
        <color theme="0"/>
      </right>
      <top style="medium">
        <color theme="0"/>
      </top>
      <bottom style="medium">
        <color theme="0"/>
      </bottom>
      <diagonal/>
    </border>
    <border>
      <left style="medium">
        <color theme="0"/>
      </left>
      <right/>
      <top/>
      <bottom/>
      <diagonal/>
    </border>
    <border>
      <left style="medium">
        <color theme="0"/>
      </left>
      <right style="medium">
        <color theme="0"/>
      </right>
      <top style="medium">
        <color theme="0"/>
      </top>
      <bottom style="thin">
        <color indexed="64"/>
      </bottom>
      <diagonal/>
    </border>
    <border>
      <left style="medium">
        <color theme="0"/>
      </left>
      <right style="medium">
        <color theme="0"/>
      </right>
      <top style="thin">
        <color indexed="64"/>
      </top>
      <bottom style="thin">
        <color indexed="64"/>
      </bottom>
      <diagonal/>
    </border>
    <border>
      <left style="medium">
        <color theme="0"/>
      </left>
      <right style="medium">
        <color theme="0"/>
      </right>
      <top style="thin">
        <color indexed="64"/>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style="medium">
        <color theme="0"/>
      </right>
      <top/>
      <bottom/>
      <diagonal/>
    </border>
    <border>
      <left style="medium">
        <color theme="0"/>
      </left>
      <right style="medium">
        <color theme="0"/>
      </right>
      <top style="medium">
        <color theme="0"/>
      </top>
      <bottom style="medium">
        <color theme="0"/>
      </bottom>
      <diagonal/>
    </border>
    <border>
      <left/>
      <right/>
      <top/>
      <bottom style="thin">
        <color theme="0"/>
      </bottom>
      <diagonal/>
    </border>
    <border>
      <left/>
      <right/>
      <top style="thin">
        <color theme="0"/>
      </top>
      <bottom style="thin">
        <color theme="0"/>
      </bottom>
      <diagonal/>
    </border>
    <border>
      <left style="thin">
        <color indexed="64"/>
      </left>
      <right style="thin">
        <color indexed="64"/>
      </right>
      <top/>
      <bottom style="thin">
        <color indexed="64"/>
      </bottom>
      <diagonal/>
    </border>
    <border>
      <left/>
      <right/>
      <top style="thin">
        <color theme="0"/>
      </top>
      <bottom/>
      <diagonal/>
    </border>
    <border>
      <left style="medium">
        <color theme="0"/>
      </left>
      <right/>
      <top/>
      <bottom style="thin">
        <color theme="0"/>
      </bottom>
      <diagonal/>
    </border>
    <border>
      <left/>
      <right style="thin">
        <color theme="0"/>
      </right>
      <top/>
      <bottom style="medium">
        <color theme="0"/>
      </bottom>
      <diagonal/>
    </border>
    <border>
      <left/>
      <right style="thin">
        <color theme="0"/>
      </right>
      <top/>
      <bottom/>
      <diagonal/>
    </border>
    <border>
      <left style="thin">
        <color theme="0"/>
      </left>
      <right/>
      <top/>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indexed="64"/>
      </right>
      <top style="medium">
        <color theme="0"/>
      </top>
      <bottom style="medium">
        <color theme="0"/>
      </bottom>
      <diagonal/>
    </border>
    <border>
      <left style="thin">
        <color indexed="64"/>
      </left>
      <right/>
      <top style="thin">
        <color indexed="64"/>
      </top>
      <bottom/>
      <diagonal/>
    </border>
    <border>
      <left style="thin">
        <color theme="0"/>
      </left>
      <right style="medium">
        <color theme="0"/>
      </right>
      <top style="medium">
        <color theme="0"/>
      </top>
      <bottom style="medium">
        <color theme="0"/>
      </bottom>
      <diagonal/>
    </border>
    <border>
      <left style="medium">
        <color theme="0"/>
      </left>
      <right style="thin">
        <color theme="0"/>
      </right>
      <top style="medium">
        <color theme="0"/>
      </top>
      <bottom style="medium">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right/>
      <top/>
      <bottom style="thin">
        <color indexed="64"/>
      </bottom>
      <diagonal/>
    </border>
    <border>
      <left style="thin">
        <color indexed="64"/>
      </left>
      <right/>
      <top/>
      <bottom/>
      <diagonal/>
    </border>
    <border>
      <left style="thin">
        <color theme="0" tint="-0.14999847407452621"/>
      </left>
      <right/>
      <top style="thin">
        <color theme="0" tint="-0.14999847407452621"/>
      </top>
      <bottom style="thin">
        <color theme="0" tint="-0.14999847407452621"/>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left>
      <right style="medium">
        <color theme="0"/>
      </right>
      <top/>
      <bottom style="thin">
        <color theme="0" tint="-0.1499984740745262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8">
    <xf numFmtId="0" fontId="0" fillId="0" borderId="0"/>
    <xf numFmtId="44" fontId="4" fillId="0" borderId="0" applyFont="0" applyFill="0" applyBorder="0" applyAlignment="0" applyProtection="0"/>
    <xf numFmtId="43" fontId="4" fillId="0" borderId="0" applyFont="0" applyFill="0" applyBorder="0" applyAlignment="0" applyProtection="0"/>
    <xf numFmtId="0" fontId="8" fillId="0" borderId="0"/>
    <xf numFmtId="44" fontId="8" fillId="0" borderId="0" applyFont="0" applyFill="0" applyBorder="0" applyAlignment="0" applyProtection="0"/>
    <xf numFmtId="9" fontId="4"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0" fontId="36" fillId="0" borderId="0"/>
    <xf numFmtId="0" fontId="40" fillId="0" borderId="0" applyNumberFormat="0" applyFill="0" applyBorder="0" applyAlignment="0" applyProtection="0">
      <alignment vertical="top"/>
      <protection locked="0"/>
    </xf>
    <xf numFmtId="0" fontId="45" fillId="0" borderId="0"/>
    <xf numFmtId="0" fontId="48" fillId="0" borderId="0"/>
    <xf numFmtId="0" fontId="49" fillId="0" borderId="0" applyNumberFormat="0" applyFill="0" applyBorder="0" applyAlignment="0" applyProtection="0"/>
    <xf numFmtId="0" fontId="50" fillId="0" borderId="14" applyNumberFormat="0" applyFill="0" applyAlignment="0" applyProtection="0"/>
    <xf numFmtId="0" fontId="51" fillId="0" borderId="15" applyNumberFormat="0" applyFill="0" applyAlignment="0" applyProtection="0"/>
    <xf numFmtId="0" fontId="11" fillId="0" borderId="16" applyNumberFormat="0" applyFill="0" applyAlignment="0" applyProtection="0"/>
    <xf numFmtId="0" fontId="11" fillId="0" borderId="0" applyNumberFormat="0" applyFill="0" applyBorder="0" applyAlignment="0" applyProtection="0"/>
    <xf numFmtId="0" fontId="52" fillId="16" borderId="0" applyNumberFormat="0" applyBorder="0" applyAlignment="0" applyProtection="0"/>
    <xf numFmtId="0" fontId="53" fillId="17" borderId="0" applyNumberFormat="0" applyBorder="0" applyAlignment="0" applyProtection="0"/>
    <xf numFmtId="0" fontId="54" fillId="18" borderId="0" applyNumberFormat="0" applyBorder="0" applyAlignment="0" applyProtection="0"/>
    <xf numFmtId="0" fontId="55" fillId="19" borderId="17" applyNumberFormat="0" applyAlignment="0" applyProtection="0"/>
    <xf numFmtId="0" fontId="56" fillId="20" borderId="18" applyNumberFormat="0" applyAlignment="0" applyProtection="0"/>
    <xf numFmtId="0" fontId="57" fillId="20" borderId="17" applyNumberFormat="0" applyAlignment="0" applyProtection="0"/>
    <xf numFmtId="0" fontId="58" fillId="0" borderId="19" applyNumberFormat="0" applyFill="0" applyAlignment="0" applyProtection="0"/>
    <xf numFmtId="0" fontId="12" fillId="21" borderId="20" applyNumberFormat="0" applyAlignment="0" applyProtection="0"/>
    <xf numFmtId="0" fontId="47" fillId="0" borderId="0" applyNumberFormat="0" applyFill="0" applyBorder="0" applyAlignment="0" applyProtection="0"/>
    <xf numFmtId="0" fontId="4" fillId="22" borderId="21" applyNumberFormat="0" applyFont="0" applyAlignment="0" applyProtection="0"/>
    <xf numFmtId="0" fontId="59" fillId="0" borderId="0" applyNumberFormat="0" applyFill="0" applyBorder="0" applyAlignment="0" applyProtection="0"/>
    <xf numFmtId="0" fontId="31" fillId="0" borderId="22" applyNumberFormat="0" applyFill="0" applyAlignment="0" applyProtection="0"/>
    <xf numFmtId="0" fontId="10"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4" fillId="40" borderId="0" applyNumberFormat="0" applyBorder="0" applyAlignment="0" applyProtection="0"/>
    <xf numFmtId="0" fontId="4" fillId="41"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10" fillId="46" borderId="0" applyNumberFormat="0" applyBorder="0" applyAlignment="0" applyProtection="0"/>
    <xf numFmtId="0" fontId="40" fillId="0" borderId="0" applyNumberFormat="0" applyFill="0" applyBorder="0" applyAlignment="0" applyProtection="0">
      <alignment vertical="top"/>
      <protection locked="0"/>
    </xf>
    <xf numFmtId="0" fontId="60" fillId="0" borderId="0" applyNumberFormat="0" applyFill="0" applyBorder="0" applyAlignment="0" applyProtection="0"/>
    <xf numFmtId="0" fontId="66" fillId="0" borderId="0"/>
    <xf numFmtId="43" fontId="66" fillId="0" borderId="0" applyFont="0" applyFill="0" applyBorder="0" applyAlignment="0" applyProtection="0"/>
    <xf numFmtId="43" fontId="66"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67" fillId="0" borderId="0" applyNumberFormat="0" applyFill="0" applyBorder="0" applyAlignment="0" applyProtection="0">
      <alignment vertical="top"/>
      <protection locked="0"/>
    </xf>
    <xf numFmtId="0" fontId="66" fillId="0" borderId="0"/>
    <xf numFmtId="0" fontId="8" fillId="0" borderId="0"/>
    <xf numFmtId="0" fontId="4" fillId="0" borderId="0"/>
    <xf numFmtId="9" fontId="4" fillId="0" borderId="0" applyFont="0" applyFill="0" applyBorder="0" applyAlignment="0" applyProtection="0"/>
    <xf numFmtId="0" fontId="1" fillId="0" borderId="0"/>
    <xf numFmtId="0" fontId="117" fillId="0" borderId="0"/>
  </cellStyleXfs>
  <cellXfs count="1316">
    <xf numFmtId="0" fontId="0" fillId="0" borderId="0" xfId="0"/>
    <xf numFmtId="44" fontId="5" fillId="3" borderId="1" xfId="1" applyFont="1" applyFill="1" applyBorder="1" applyAlignment="1">
      <alignment horizontal="center" vertical="center"/>
    </xf>
    <xf numFmtId="44" fontId="5" fillId="3" borderId="5" xfId="1" applyFont="1" applyFill="1" applyBorder="1" applyAlignment="1">
      <alignment horizontal="center" vertical="center"/>
    </xf>
    <xf numFmtId="0" fontId="8" fillId="0" borderId="0" xfId="3"/>
    <xf numFmtId="0" fontId="10" fillId="0" borderId="0" xfId="0" applyFont="1"/>
    <xf numFmtId="0" fontId="14" fillId="0" borderId="0" xfId="0" applyFont="1"/>
    <xf numFmtId="0" fontId="18" fillId="0" borderId="0" xfId="0" applyFont="1"/>
    <xf numFmtId="0" fontId="21" fillId="0" borderId="0" xfId="0" applyFont="1"/>
    <xf numFmtId="44" fontId="18" fillId="0" borderId="0" xfId="1" applyFont="1" applyAlignment="1"/>
    <xf numFmtId="0" fontId="33" fillId="0" borderId="0" xfId="0" applyFont="1"/>
    <xf numFmtId="0" fontId="31" fillId="6" borderId="1" xfId="0" applyFont="1" applyFill="1" applyBorder="1" applyAlignment="1">
      <alignment horizontal="center" vertical="center" wrapText="1"/>
    </xf>
    <xf numFmtId="166" fontId="31" fillId="6" borderId="1" xfId="2" applyNumberFormat="1" applyFont="1" applyFill="1" applyBorder="1" applyAlignment="1">
      <alignment horizontal="center" vertical="center" wrapText="1"/>
    </xf>
    <xf numFmtId="1" fontId="9" fillId="6" borderId="1" xfId="2" applyNumberFormat="1" applyFont="1" applyFill="1" applyBorder="1" applyAlignment="1">
      <alignment horizontal="center" vertical="center" wrapText="1"/>
    </xf>
    <xf numFmtId="166" fontId="0" fillId="0" borderId="0" xfId="2" applyNumberFormat="1" applyFont="1"/>
    <xf numFmtId="1" fontId="0" fillId="0" borderId="0" xfId="2" applyNumberFormat="1" applyFont="1"/>
    <xf numFmtId="0" fontId="13" fillId="0" borderId="0" xfId="0" applyFont="1" applyAlignment="1">
      <alignment vertical="center" wrapText="1"/>
    </xf>
    <xf numFmtId="1" fontId="0" fillId="0" borderId="1" xfId="2" applyNumberFormat="1" applyFont="1" applyFill="1" applyBorder="1"/>
    <xf numFmtId="0" fontId="0" fillId="0" borderId="1" xfId="0" applyBorder="1"/>
    <xf numFmtId="0" fontId="28" fillId="0" borderId="0" xfId="0" applyFont="1"/>
    <xf numFmtId="44" fontId="5" fillId="3" borderId="1" xfId="1" applyFont="1" applyFill="1" applyBorder="1" applyAlignment="1">
      <alignment horizontal="left" vertical="center"/>
    </xf>
    <xf numFmtId="0" fontId="34" fillId="0" borderId="1" xfId="0" applyFont="1" applyBorder="1"/>
    <xf numFmtId="0" fontId="35" fillId="0" borderId="1" xfId="0" applyFont="1" applyBorder="1" applyAlignment="1">
      <alignment horizontal="left"/>
    </xf>
    <xf numFmtId="49" fontId="35" fillId="0" borderId="1" xfId="0" applyNumberFormat="1" applyFont="1" applyBorder="1" applyAlignment="1">
      <alignment horizontal="left"/>
    </xf>
    <xf numFmtId="0" fontId="32" fillId="0" borderId="1" xfId="0" applyFont="1" applyBorder="1"/>
    <xf numFmtId="167" fontId="35" fillId="0" borderId="1" xfId="0" applyNumberFormat="1" applyFont="1" applyBorder="1" applyAlignment="1">
      <alignment horizontal="right"/>
    </xf>
    <xf numFmtId="14" fontId="32" fillId="0" borderId="1" xfId="0" applyNumberFormat="1" applyFont="1" applyBorder="1" applyAlignment="1">
      <alignment horizontal="right"/>
    </xf>
    <xf numFmtId="0" fontId="8" fillId="0" borderId="1" xfId="3" applyBorder="1" applyAlignment="1">
      <alignment vertical="top"/>
    </xf>
    <xf numFmtId="1" fontId="8" fillId="0" borderId="1" xfId="2" applyNumberFormat="1" applyFont="1" applyBorder="1" applyAlignment="1">
      <alignment vertical="top"/>
    </xf>
    <xf numFmtId="1" fontId="0" fillId="0" borderId="1" xfId="2" applyNumberFormat="1" applyFont="1" applyBorder="1"/>
    <xf numFmtId="0" fontId="8" fillId="0" borderId="1" xfId="8" applyFont="1" applyBorder="1"/>
    <xf numFmtId="0" fontId="32" fillId="0" borderId="1" xfId="0" applyFont="1" applyBorder="1" applyAlignment="1">
      <alignment horizontal="left"/>
    </xf>
    <xf numFmtId="49" fontId="32" fillId="0" borderId="1" xfId="0" applyNumberFormat="1" applyFont="1" applyBorder="1" applyAlignment="1">
      <alignment horizontal="left"/>
    </xf>
    <xf numFmtId="49" fontId="37" fillId="0" borderId="1" xfId="0" applyNumberFormat="1" applyFont="1" applyBorder="1" applyAlignment="1">
      <alignment horizontal="left"/>
    </xf>
    <xf numFmtId="49" fontId="34" fillId="0" borderId="1" xfId="0" applyNumberFormat="1" applyFont="1" applyBorder="1" applyAlignment="1">
      <alignment horizontal="left" vertical="top"/>
    </xf>
    <xf numFmtId="0" fontId="37" fillId="0" borderId="1" xfId="0" applyFont="1" applyBorder="1" applyAlignment="1">
      <alignment horizontal="left"/>
    </xf>
    <xf numFmtId="0" fontId="8" fillId="0" borderId="1" xfId="3" applyBorder="1" applyAlignment="1">
      <alignment horizontal="left"/>
    </xf>
    <xf numFmtId="164" fontId="0" fillId="0" borderId="1" xfId="7" applyNumberFormat="1" applyFont="1" applyFill="1" applyBorder="1" applyAlignment="1">
      <alignment vertical="top"/>
    </xf>
    <xf numFmtId="164" fontId="0" fillId="0" borderId="1" xfId="2" applyNumberFormat="1" applyFont="1" applyFill="1" applyBorder="1"/>
    <xf numFmtId="0" fontId="35" fillId="0" borderId="12" xfId="0" applyFont="1" applyBorder="1" applyAlignment="1">
      <alignment horizontal="left"/>
    </xf>
    <xf numFmtId="0" fontId="8" fillId="0" borderId="1" xfId="10" applyFont="1" applyBorder="1" applyAlignment="1">
      <alignment wrapText="1"/>
    </xf>
    <xf numFmtId="0" fontId="0" fillId="7" borderId="1" xfId="0" applyFill="1" applyBorder="1"/>
    <xf numFmtId="0" fontId="11" fillId="0" borderId="0" xfId="0" applyFont="1" applyAlignment="1">
      <alignment vertical="center"/>
    </xf>
    <xf numFmtId="0" fontId="0" fillId="9" borderId="0" xfId="0" applyFill="1"/>
    <xf numFmtId="0" fontId="38" fillId="0" borderId="0" xfId="0" applyFont="1" applyAlignment="1">
      <alignment horizontal="center" wrapText="1"/>
    </xf>
    <xf numFmtId="0" fontId="0" fillId="0" borderId="0" xfId="0" applyProtection="1">
      <protection locked="0"/>
    </xf>
    <xf numFmtId="0" fontId="0" fillId="0" borderId="0" xfId="0" applyAlignment="1">
      <alignment vertical="center"/>
    </xf>
    <xf numFmtId="0" fontId="31" fillId="8" borderId="0" xfId="0" applyFont="1" applyFill="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0" fillId="9" borderId="0" xfId="0" applyFill="1" applyAlignment="1">
      <alignment vertical="center"/>
    </xf>
    <xf numFmtId="0" fontId="0" fillId="0" borderId="0" xfId="0" applyAlignment="1">
      <alignment horizontal="left"/>
    </xf>
    <xf numFmtId="0" fontId="61" fillId="8" borderId="1" xfId="0" applyFont="1" applyFill="1" applyBorder="1" applyAlignment="1">
      <alignment horizontal="center" vertical="center" wrapText="1"/>
    </xf>
    <xf numFmtId="0" fontId="61" fillId="8" borderId="1" xfId="0" applyFont="1" applyFill="1" applyBorder="1" applyAlignment="1">
      <alignment horizontal="center" vertical="center"/>
    </xf>
    <xf numFmtId="44" fontId="15" fillId="9" borderId="0" xfId="1" applyFont="1" applyFill="1" applyBorder="1" applyAlignment="1" applyProtection="1">
      <alignment vertical="center"/>
    </xf>
    <xf numFmtId="44" fontId="20" fillId="9" borderId="0" xfId="1" applyFont="1" applyFill="1" applyBorder="1" applyAlignment="1" applyProtection="1">
      <alignment vertical="center"/>
    </xf>
    <xf numFmtId="44" fontId="30" fillId="9" borderId="0" xfId="1" applyFont="1" applyFill="1" applyBorder="1" applyAlignment="1" applyProtection="1">
      <alignment vertical="center"/>
    </xf>
    <xf numFmtId="0" fontId="19" fillId="9" borderId="0" xfId="0" applyFont="1" applyFill="1" applyAlignment="1">
      <alignment vertical="center"/>
    </xf>
    <xf numFmtId="0" fontId="46" fillId="9" borderId="0" xfId="0" applyFont="1" applyFill="1" applyAlignment="1">
      <alignment vertical="top"/>
    </xf>
    <xf numFmtId="0" fontId="0" fillId="0" borderId="2" xfId="0" applyBorder="1"/>
    <xf numFmtId="44" fontId="20" fillId="9" borderId="0" xfId="1" applyFont="1" applyFill="1" applyBorder="1" applyAlignment="1" applyProtection="1">
      <alignment horizontal="left" vertical="center"/>
    </xf>
    <xf numFmtId="44" fontId="15" fillId="9" borderId="0" xfId="1" applyFont="1" applyFill="1" applyBorder="1" applyAlignment="1" applyProtection="1">
      <alignment vertical="center" wrapText="1"/>
    </xf>
    <xf numFmtId="0" fontId="0" fillId="9" borderId="0" xfId="0" applyFill="1" applyProtection="1">
      <protection locked="0"/>
    </xf>
    <xf numFmtId="43" fontId="0" fillId="0" borderId="0" xfId="2" applyFont="1"/>
    <xf numFmtId="164" fontId="0" fillId="0" borderId="0" xfId="2" applyNumberFormat="1" applyFont="1" applyAlignment="1">
      <alignment horizontal="center"/>
    </xf>
    <xf numFmtId="164" fontId="0" fillId="0" borderId="1" xfId="2" applyNumberFormat="1" applyFont="1" applyBorder="1" applyAlignment="1">
      <alignment horizontal="center"/>
    </xf>
    <xf numFmtId="0" fontId="0" fillId="9" borderId="0" xfId="0" applyFill="1" applyAlignment="1">
      <alignment horizontal="center" vertical="center"/>
    </xf>
    <xf numFmtId="0" fontId="31" fillId="0" borderId="1" xfId="0" applyFont="1" applyBorder="1"/>
    <xf numFmtId="0" fontId="18" fillId="0" borderId="0" xfId="0" applyFont="1" applyAlignment="1">
      <alignment vertical="center"/>
    </xf>
    <xf numFmtId="0" fontId="16" fillId="9" borderId="0" xfId="0" applyFont="1" applyFill="1" applyAlignment="1" applyProtection="1">
      <alignment horizontal="center" vertical="center"/>
      <protection locked="0"/>
    </xf>
    <xf numFmtId="0" fontId="16" fillId="9" borderId="0" xfId="0" applyFont="1" applyFill="1" applyAlignment="1">
      <alignment horizontal="center" vertical="center"/>
    </xf>
    <xf numFmtId="0" fontId="38" fillId="0" borderId="4" xfId="0" applyFont="1" applyBorder="1" applyAlignment="1">
      <alignment wrapText="1"/>
    </xf>
    <xf numFmtId="0" fontId="13" fillId="9" borderId="0" xfId="0" applyFont="1" applyFill="1" applyAlignment="1">
      <alignment horizontal="left" vertical="center" wrapText="1"/>
    </xf>
    <xf numFmtId="0" fontId="12" fillId="9" borderId="0" xfId="0" applyFont="1" applyFill="1" applyAlignment="1">
      <alignment horizontal="center" vertical="top"/>
    </xf>
    <xf numFmtId="0" fontId="41" fillId="9" borderId="0" xfId="0" applyFont="1" applyFill="1" applyAlignment="1">
      <alignment horizontal="left" vertical="top"/>
    </xf>
    <xf numFmtId="0" fontId="10" fillId="9" borderId="0" xfId="0" applyFont="1" applyFill="1" applyAlignment="1">
      <alignment horizontal="left"/>
    </xf>
    <xf numFmtId="44" fontId="12" fillId="9" borderId="0" xfId="1" applyFont="1" applyFill="1" applyBorder="1" applyAlignment="1" applyProtection="1">
      <alignment vertical="center"/>
    </xf>
    <xf numFmtId="0" fontId="38" fillId="9" borderId="0" xfId="0" applyFont="1" applyFill="1" applyAlignment="1">
      <alignment wrapText="1"/>
    </xf>
    <xf numFmtId="0" fontId="38" fillId="9" borderId="0" xfId="0" applyFont="1" applyFill="1" applyAlignment="1">
      <alignment horizontal="center" wrapText="1"/>
    </xf>
    <xf numFmtId="0" fontId="12" fillId="9" borderId="0" xfId="0" applyFont="1" applyFill="1" applyAlignment="1">
      <alignment horizontal="left"/>
    </xf>
    <xf numFmtId="0" fontId="38" fillId="9" borderId="0" xfId="0" applyFont="1" applyFill="1" applyAlignment="1">
      <alignment horizontal="center" vertical="top" wrapText="1"/>
    </xf>
    <xf numFmtId="0" fontId="11" fillId="6" borderId="44" xfId="0" applyFont="1" applyFill="1" applyBorder="1" applyAlignment="1">
      <alignment horizontal="center" vertical="center"/>
    </xf>
    <xf numFmtId="0" fontId="10" fillId="9" borderId="0" xfId="0" applyFont="1" applyFill="1"/>
    <xf numFmtId="0" fontId="19" fillId="9" borderId="0" xfId="0" applyFont="1" applyFill="1" applyAlignment="1">
      <alignment horizontal="left" wrapText="1"/>
    </xf>
    <xf numFmtId="164" fontId="0" fillId="9" borderId="0" xfId="2" applyNumberFormat="1" applyFont="1" applyFill="1" applyBorder="1" applyAlignment="1">
      <alignment horizontal="center" vertical="center"/>
    </xf>
    <xf numFmtId="3" fontId="5" fillId="3" borderId="1" xfId="2" applyNumberFormat="1" applyFont="1" applyFill="1" applyBorder="1" applyAlignment="1">
      <alignment horizontal="center" vertical="center"/>
    </xf>
    <xf numFmtId="3" fontId="0" fillId="0" borderId="0" xfId="2" applyNumberFormat="1" applyFont="1" applyAlignment="1">
      <alignment horizontal="center"/>
    </xf>
    <xf numFmtId="0" fontId="28" fillId="9" borderId="0" xfId="0" applyFont="1" applyFill="1" applyAlignment="1">
      <alignment horizontal="center" vertical="center"/>
    </xf>
    <xf numFmtId="0" fontId="7" fillId="9" borderId="0" xfId="0" applyFont="1" applyFill="1" applyAlignment="1" applyProtection="1">
      <alignment horizontal="center" vertical="center"/>
      <protection locked="0"/>
    </xf>
    <xf numFmtId="0" fontId="18" fillId="0" borderId="41" xfId="0" applyFont="1" applyBorder="1"/>
    <xf numFmtId="0" fontId="18" fillId="0" borderId="25" xfId="0" applyFont="1" applyBorder="1"/>
    <xf numFmtId="0" fontId="43" fillId="54" borderId="24" xfId="0" applyFont="1" applyFill="1" applyBorder="1" applyAlignment="1" applyProtection="1">
      <alignment horizontal="center"/>
      <protection locked="0"/>
    </xf>
    <xf numFmtId="0" fontId="23" fillId="55" borderId="41" xfId="0" applyFont="1" applyFill="1" applyBorder="1" applyAlignment="1" applyProtection="1">
      <alignment vertical="top"/>
      <protection locked="0"/>
    </xf>
    <xf numFmtId="0" fontId="14" fillId="0" borderId="41" xfId="0" applyFont="1" applyBorder="1"/>
    <xf numFmtId="0" fontId="21" fillId="0" borderId="0" xfId="0" applyFont="1" applyAlignment="1">
      <alignment vertical="center"/>
    </xf>
    <xf numFmtId="0" fontId="28" fillId="0" borderId="30" xfId="0" applyFont="1" applyBorder="1" applyAlignment="1">
      <alignment vertical="center"/>
    </xf>
    <xf numFmtId="0" fontId="18" fillId="0" borderId="41" xfId="0" applyFont="1" applyBorder="1" applyAlignment="1">
      <alignment vertical="center"/>
    </xf>
    <xf numFmtId="0" fontId="21" fillId="0" borderId="41" xfId="0" applyFont="1" applyBorder="1" applyAlignment="1">
      <alignment vertical="center"/>
    </xf>
    <xf numFmtId="0" fontId="18" fillId="0" borderId="25" xfId="0" applyFont="1" applyBorder="1" applyAlignment="1">
      <alignment vertical="center"/>
    </xf>
    <xf numFmtId="0" fontId="21" fillId="0" borderId="25" xfId="0" applyFont="1" applyBorder="1" applyAlignment="1">
      <alignment vertical="center"/>
    </xf>
    <xf numFmtId="0" fontId="0" fillId="0" borderId="41" xfId="0" applyBorder="1"/>
    <xf numFmtId="0" fontId="10" fillId="0" borderId="41" xfId="0" applyFont="1" applyBorder="1"/>
    <xf numFmtId="0" fontId="0" fillId="0" borderId="25" xfId="0" applyBorder="1"/>
    <xf numFmtId="0" fontId="10" fillId="0" borderId="25" xfId="0" applyFont="1" applyBorder="1"/>
    <xf numFmtId="0" fontId="46" fillId="11" borderId="25" xfId="0" applyFont="1" applyFill="1" applyBorder="1" applyAlignment="1">
      <alignment horizontal="center" vertical="center"/>
    </xf>
    <xf numFmtId="164" fontId="28" fillId="55" borderId="25" xfId="2" applyNumberFormat="1" applyFont="1" applyFill="1" applyBorder="1" applyAlignment="1" applyProtection="1">
      <protection locked="0"/>
    </xf>
    <xf numFmtId="44" fontId="28" fillId="55" borderId="25" xfId="1" applyFont="1" applyFill="1" applyBorder="1" applyAlignment="1" applyProtection="1">
      <alignment vertical="top"/>
      <protection locked="0"/>
    </xf>
    <xf numFmtId="0" fontId="23" fillId="55" borderId="25" xfId="0" applyFont="1" applyFill="1" applyBorder="1" applyAlignment="1" applyProtection="1">
      <alignment vertical="top"/>
      <protection locked="0"/>
    </xf>
    <xf numFmtId="164" fontId="28" fillId="55" borderId="41" xfId="2" applyNumberFormat="1" applyFont="1" applyFill="1" applyBorder="1" applyAlignment="1" applyProtection="1">
      <protection locked="0"/>
    </xf>
    <xf numFmtId="44" fontId="28" fillId="55" borderId="41" xfId="1" applyFont="1" applyFill="1" applyBorder="1" applyAlignment="1" applyProtection="1">
      <alignment vertical="top"/>
      <protection locked="0"/>
    </xf>
    <xf numFmtId="0" fontId="22" fillId="55" borderId="25" xfId="0" applyFont="1" applyFill="1" applyBorder="1" applyAlignment="1" applyProtection="1">
      <alignment vertical="top"/>
      <protection locked="0"/>
    </xf>
    <xf numFmtId="164" fontId="28" fillId="55" borderId="25" xfId="2" applyNumberFormat="1" applyFont="1" applyFill="1" applyBorder="1" applyAlignment="1" applyProtection="1">
      <alignment vertical="top"/>
      <protection locked="0"/>
    </xf>
    <xf numFmtId="0" fontId="46" fillId="11" borderId="25" xfId="0" applyFont="1" applyFill="1" applyBorder="1" applyAlignment="1">
      <alignment horizontal="center" vertical="center" wrapText="1"/>
    </xf>
    <xf numFmtId="0" fontId="43" fillId="55" borderId="25" xfId="0" applyFont="1" applyFill="1" applyBorder="1" applyAlignment="1" applyProtection="1">
      <alignment vertical="top"/>
      <protection locked="0"/>
    </xf>
    <xf numFmtId="44" fontId="6" fillId="3" borderId="0" xfId="1" applyFont="1" applyFill="1" applyBorder="1" applyAlignment="1" applyProtection="1">
      <alignment horizontal="left" vertical="center"/>
    </xf>
    <xf numFmtId="44" fontId="6" fillId="3" borderId="0" xfId="1" applyFont="1" applyFill="1" applyBorder="1" applyAlignment="1" applyProtection="1">
      <alignment horizontal="center" vertical="center" wrapText="1"/>
    </xf>
    <xf numFmtId="0" fontId="6" fillId="3" borderId="0" xfId="1" applyNumberFormat="1" applyFont="1" applyFill="1" applyBorder="1" applyAlignment="1" applyProtection="1">
      <alignment horizontal="center" vertical="center" wrapText="1"/>
    </xf>
    <xf numFmtId="0" fontId="16" fillId="6" borderId="43" xfId="0" applyFont="1" applyFill="1" applyBorder="1" applyAlignment="1">
      <alignment vertical="center"/>
    </xf>
    <xf numFmtId="0" fontId="29" fillId="9" borderId="0" xfId="0" applyFont="1" applyFill="1" applyAlignment="1">
      <alignment horizontal="center" vertical="center"/>
    </xf>
    <xf numFmtId="0" fontId="19" fillId="12" borderId="0" xfId="0" applyFont="1" applyFill="1" applyAlignment="1">
      <alignment vertical="center"/>
    </xf>
    <xf numFmtId="0" fontId="19" fillId="6" borderId="0" xfId="0" applyFont="1" applyFill="1" applyAlignment="1">
      <alignment vertical="center"/>
    </xf>
    <xf numFmtId="0" fontId="22" fillId="4" borderId="38" xfId="0" applyFont="1" applyFill="1" applyBorder="1" applyAlignment="1">
      <alignment horizontal="left" vertical="center"/>
    </xf>
    <xf numFmtId="43" fontId="28" fillId="10" borderId="38" xfId="2" applyFont="1" applyFill="1" applyBorder="1" applyAlignment="1" applyProtection="1">
      <alignment horizontal="center" vertical="center"/>
      <protection locked="0"/>
    </xf>
    <xf numFmtId="0" fontId="22" fillId="4" borderId="38" xfId="0" applyFont="1" applyFill="1" applyBorder="1" applyAlignment="1">
      <alignment horizontal="center" vertical="center"/>
    </xf>
    <xf numFmtId="44" fontId="28" fillId="10" borderId="38" xfId="1" applyFont="1" applyFill="1" applyBorder="1" applyAlignment="1" applyProtection="1">
      <alignment horizontal="center" vertical="center"/>
      <protection locked="0"/>
    </xf>
    <xf numFmtId="44" fontId="28" fillId="6" borderId="38" xfId="1" applyFont="1" applyFill="1" applyBorder="1" applyAlignment="1" applyProtection="1">
      <alignment horizontal="center" vertical="center"/>
    </xf>
    <xf numFmtId="43" fontId="28" fillId="54" borderId="0" xfId="2" applyFont="1" applyFill="1" applyBorder="1" applyAlignment="1" applyProtection="1">
      <alignment vertical="center"/>
      <protection locked="0"/>
    </xf>
    <xf numFmtId="44" fontId="28" fillId="54" borderId="0" xfId="1" applyFont="1" applyFill="1" applyBorder="1" applyAlignment="1" applyProtection="1">
      <alignment vertical="center"/>
      <protection locked="0"/>
    </xf>
    <xf numFmtId="43" fontId="28" fillId="54" borderId="45" xfId="2" applyFont="1" applyFill="1" applyBorder="1" applyAlignment="1" applyProtection="1">
      <alignment vertical="center"/>
      <protection locked="0"/>
    </xf>
    <xf numFmtId="44" fontId="28" fillId="54" borderId="45" xfId="1" applyFont="1" applyFill="1" applyBorder="1" applyAlignment="1" applyProtection="1">
      <alignment vertical="center"/>
      <protection locked="0"/>
    </xf>
    <xf numFmtId="43" fontId="28" fillId="54" borderId="46" xfId="2" applyFont="1" applyFill="1" applyBorder="1" applyAlignment="1" applyProtection="1">
      <alignment vertical="center"/>
      <protection locked="0"/>
    </xf>
    <xf numFmtId="44" fontId="28" fillId="54" borderId="46" xfId="1" applyFont="1" applyFill="1" applyBorder="1" applyAlignment="1" applyProtection="1">
      <alignment vertical="center"/>
      <protection locked="0"/>
    </xf>
    <xf numFmtId="43" fontId="28" fillId="10" borderId="0" xfId="2" applyFont="1" applyFill="1" applyBorder="1" applyAlignment="1" applyProtection="1">
      <alignment vertical="top"/>
      <protection locked="0"/>
    </xf>
    <xf numFmtId="0" fontId="22" fillId="51" borderId="0" xfId="0" applyFont="1" applyFill="1" applyAlignment="1">
      <alignment vertical="top"/>
    </xf>
    <xf numFmtId="0" fontId="22" fillId="51" borderId="0" xfId="0" applyFont="1" applyFill="1" applyAlignment="1">
      <alignment horizontal="center" vertical="top"/>
    </xf>
    <xf numFmtId="0" fontId="22" fillId="51" borderId="41" xfId="0" applyFont="1" applyFill="1" applyBorder="1" applyAlignment="1">
      <alignment vertical="top"/>
    </xf>
    <xf numFmtId="43" fontId="28" fillId="10" borderId="41" xfId="2" applyFont="1" applyFill="1" applyBorder="1" applyAlignment="1" applyProtection="1">
      <alignment vertical="top"/>
      <protection locked="0"/>
    </xf>
    <xf numFmtId="0" fontId="22" fillId="51" borderId="41" xfId="0" applyFont="1" applyFill="1" applyBorder="1" applyAlignment="1">
      <alignment horizontal="center" vertical="top"/>
    </xf>
    <xf numFmtId="0" fontId="19" fillId="51" borderId="41" xfId="0" applyFont="1" applyFill="1" applyBorder="1" applyAlignment="1">
      <alignment vertical="top"/>
    </xf>
    <xf numFmtId="43" fontId="19" fillId="10" borderId="41" xfId="2" applyFont="1" applyFill="1" applyBorder="1" applyAlignment="1" applyProtection="1">
      <alignment vertical="top"/>
      <protection locked="0"/>
    </xf>
    <xf numFmtId="0" fontId="19" fillId="51" borderId="41" xfId="0" applyFont="1" applyFill="1" applyBorder="1" applyAlignment="1">
      <alignment horizontal="center" vertical="top"/>
    </xf>
    <xf numFmtId="0" fontId="19" fillId="51" borderId="0" xfId="0" applyFont="1" applyFill="1" applyAlignment="1">
      <alignment vertical="top"/>
    </xf>
    <xf numFmtId="43" fontId="19" fillId="10" borderId="0" xfId="2" applyFont="1" applyFill="1" applyBorder="1" applyAlignment="1" applyProtection="1">
      <alignment vertical="top"/>
      <protection locked="0"/>
    </xf>
    <xf numFmtId="0" fontId="19" fillId="51" borderId="0" xfId="0" applyFont="1" applyFill="1" applyAlignment="1">
      <alignment horizontal="center" vertical="top"/>
    </xf>
    <xf numFmtId="44" fontId="28" fillId="10" borderId="0" xfId="1" applyFont="1" applyFill="1" applyBorder="1" applyAlignment="1" applyProtection="1">
      <alignment vertical="top"/>
      <protection locked="0"/>
    </xf>
    <xf numFmtId="0" fontId="23" fillId="10" borderId="0" xfId="0" applyFont="1" applyFill="1" applyAlignment="1" applyProtection="1">
      <alignment vertical="top"/>
      <protection locked="0"/>
    </xf>
    <xf numFmtId="0" fontId="23" fillId="51" borderId="0" xfId="0" applyFont="1" applyFill="1" applyAlignment="1" applyProtection="1">
      <alignment vertical="top"/>
      <protection locked="0"/>
    </xf>
    <xf numFmtId="44" fontId="22" fillId="51" borderId="0" xfId="1" applyFont="1" applyFill="1" applyBorder="1" applyAlignment="1" applyProtection="1">
      <alignment vertical="top"/>
      <protection locked="0"/>
    </xf>
    <xf numFmtId="0" fontId="22" fillId="51" borderId="0" xfId="0" applyFont="1" applyFill="1" applyAlignment="1" applyProtection="1">
      <alignment vertical="top"/>
      <protection locked="0"/>
    </xf>
    <xf numFmtId="44" fontId="28" fillId="10" borderId="41" xfId="1" applyFont="1" applyFill="1" applyBorder="1" applyAlignment="1" applyProtection="1">
      <alignment vertical="top"/>
      <protection locked="0"/>
    </xf>
    <xf numFmtId="0" fontId="23" fillId="10" borderId="41" xfId="0" applyFont="1" applyFill="1" applyBorder="1" applyAlignment="1" applyProtection="1">
      <alignment vertical="top"/>
      <protection locked="0"/>
    </xf>
    <xf numFmtId="0" fontId="23" fillId="51" borderId="41" xfId="0" applyFont="1" applyFill="1" applyBorder="1" applyAlignment="1" applyProtection="1">
      <alignment vertical="top"/>
      <protection locked="0"/>
    </xf>
    <xf numFmtId="44" fontId="22" fillId="51" borderId="41" xfId="1" applyFont="1" applyFill="1" applyBorder="1" applyAlignment="1" applyProtection="1">
      <alignment vertical="top"/>
      <protection locked="0"/>
    </xf>
    <xf numFmtId="0" fontId="22" fillId="51" borderId="41" xfId="0" applyFont="1" applyFill="1" applyBorder="1" applyAlignment="1" applyProtection="1">
      <alignment vertical="top"/>
      <protection locked="0"/>
    </xf>
    <xf numFmtId="43" fontId="28" fillId="10" borderId="25" xfId="2" applyFont="1" applyFill="1" applyBorder="1" applyAlignment="1" applyProtection="1">
      <alignment vertical="top"/>
      <protection locked="0"/>
    </xf>
    <xf numFmtId="44" fontId="28" fillId="10" borderId="25" xfId="1" applyFont="1" applyFill="1" applyBorder="1" applyAlignment="1" applyProtection="1">
      <alignment vertical="top"/>
      <protection locked="0"/>
    </xf>
    <xf numFmtId="0" fontId="10" fillId="9" borderId="0" xfId="0" applyFont="1" applyFill="1" applyAlignment="1" applyProtection="1">
      <alignment horizontal="center"/>
      <protection locked="0"/>
    </xf>
    <xf numFmtId="0" fontId="22" fillId="51" borderId="25" xfId="0" applyFont="1" applyFill="1" applyBorder="1" applyAlignment="1">
      <alignment vertical="top"/>
    </xf>
    <xf numFmtId="0" fontId="22" fillId="51" borderId="0" xfId="0" applyFont="1" applyFill="1" applyAlignment="1">
      <alignment horizontal="left" vertical="top"/>
    </xf>
    <xf numFmtId="169" fontId="43" fillId="54" borderId="40" xfId="2" applyNumberFormat="1" applyFont="1" applyFill="1" applyBorder="1" applyAlignment="1">
      <alignment horizontal="center"/>
    </xf>
    <xf numFmtId="0" fontId="43" fillId="54" borderId="40" xfId="0" applyFont="1" applyFill="1" applyBorder="1" applyAlignment="1">
      <alignment horizontal="center"/>
    </xf>
    <xf numFmtId="0" fontId="43" fillId="54" borderId="40" xfId="0" applyFont="1" applyFill="1" applyBorder="1" applyAlignment="1" applyProtection="1">
      <alignment horizontal="center"/>
      <protection locked="0"/>
    </xf>
    <xf numFmtId="0" fontId="19" fillId="50" borderId="40" xfId="0" applyFont="1" applyFill="1" applyBorder="1" applyAlignment="1">
      <alignment horizontal="center"/>
    </xf>
    <xf numFmtId="169" fontId="19" fillId="50" borderId="40" xfId="2" applyNumberFormat="1" applyFont="1" applyFill="1" applyBorder="1" applyAlignment="1">
      <alignment horizontal="center"/>
    </xf>
    <xf numFmtId="169" fontId="19" fillId="50" borderId="24" xfId="2" applyNumberFormat="1" applyFont="1" applyFill="1" applyBorder="1" applyAlignment="1">
      <alignment horizontal="center"/>
    </xf>
    <xf numFmtId="0" fontId="19" fillId="50" borderId="24" xfId="0" applyFont="1" applyFill="1" applyBorder="1" applyAlignment="1">
      <alignment horizontal="center"/>
    </xf>
    <xf numFmtId="0" fontId="19" fillId="50" borderId="41" xfId="0" applyFont="1" applyFill="1" applyBorder="1" applyAlignment="1">
      <alignment horizontal="center"/>
    </xf>
    <xf numFmtId="0" fontId="19" fillId="50" borderId="25" xfId="0" applyFont="1" applyFill="1" applyBorder="1" applyAlignment="1">
      <alignment horizontal="center"/>
    </xf>
    <xf numFmtId="0" fontId="19" fillId="50" borderId="0" xfId="0" applyFont="1" applyFill="1" applyAlignment="1">
      <alignment horizontal="center"/>
    </xf>
    <xf numFmtId="9" fontId="9" fillId="6" borderId="1" xfId="6" applyFont="1" applyFill="1" applyBorder="1" applyAlignment="1">
      <alignment horizontal="center" vertical="center" wrapText="1"/>
    </xf>
    <xf numFmtId="9" fontId="0" fillId="0" borderId="0" xfId="0" applyNumberFormat="1"/>
    <xf numFmtId="4" fontId="18" fillId="0" borderId="0" xfId="2" applyNumberFormat="1" applyFont="1" applyAlignment="1">
      <alignment horizontal="center"/>
    </xf>
    <xf numFmtId="4" fontId="19" fillId="50" borderId="40" xfId="2" applyNumberFormat="1" applyFont="1" applyFill="1" applyBorder="1" applyAlignment="1">
      <alignment horizontal="center"/>
    </xf>
    <xf numFmtId="4" fontId="19" fillId="50" borderId="24" xfId="2" applyNumberFormat="1" applyFont="1" applyFill="1" applyBorder="1" applyAlignment="1">
      <alignment horizontal="center"/>
    </xf>
    <xf numFmtId="4" fontId="6" fillId="3" borderId="41" xfId="2" applyNumberFormat="1" applyFont="1" applyFill="1" applyBorder="1" applyAlignment="1" applyProtection="1">
      <alignment horizontal="center" vertical="center"/>
    </xf>
    <xf numFmtId="4" fontId="43" fillId="54" borderId="40" xfId="2" applyNumberFormat="1" applyFont="1" applyFill="1" applyBorder="1" applyAlignment="1">
      <alignment horizontal="center"/>
    </xf>
    <xf numFmtId="0" fontId="0" fillId="0" borderId="8" xfId="0" applyBorder="1"/>
    <xf numFmtId="0" fontId="8" fillId="0" borderId="8" xfId="3" applyBorder="1"/>
    <xf numFmtId="0" fontId="34" fillId="0" borderId="8" xfId="0" applyFont="1" applyBorder="1"/>
    <xf numFmtId="0" fontId="8" fillId="0" borderId="8" xfId="3" applyBorder="1" applyAlignment="1">
      <alignment vertical="top"/>
    </xf>
    <xf numFmtId="167" fontId="35" fillId="0" borderId="8" xfId="0" applyNumberFormat="1" applyFont="1" applyBorder="1" applyAlignment="1">
      <alignment horizontal="right"/>
    </xf>
    <xf numFmtId="14" fontId="32" fillId="0" borderId="8" xfId="0" applyNumberFormat="1" applyFont="1" applyBorder="1" applyAlignment="1">
      <alignment horizontal="right"/>
    </xf>
    <xf numFmtId="0" fontId="35" fillId="0" borderId="8" xfId="0" applyFont="1" applyBorder="1" applyAlignment="1">
      <alignment horizontal="left"/>
    </xf>
    <xf numFmtId="10" fontId="8" fillId="0" borderId="1" xfId="5" applyNumberFormat="1" applyFont="1" applyFill="1" applyBorder="1"/>
    <xf numFmtId="0" fontId="13" fillId="0" borderId="38" xfId="0" applyFont="1" applyBorder="1" applyAlignment="1">
      <alignment vertical="center"/>
    </xf>
    <xf numFmtId="44" fontId="0" fillId="9" borderId="0" xfId="0" applyNumberFormat="1" applyFill="1" applyAlignment="1">
      <alignment horizontal="center" vertical="center"/>
    </xf>
    <xf numFmtId="0" fontId="19" fillId="50" borderId="37" xfId="0" applyFont="1" applyFill="1" applyBorder="1" applyAlignment="1">
      <alignment horizontal="center"/>
    </xf>
    <xf numFmtId="4" fontId="19" fillId="50" borderId="37" xfId="2" applyNumberFormat="1" applyFont="1" applyFill="1" applyBorder="1" applyAlignment="1">
      <alignment horizontal="center"/>
    </xf>
    <xf numFmtId="0" fontId="21" fillId="9" borderId="0" xfId="0" applyFont="1" applyFill="1" applyProtection="1">
      <protection hidden="1"/>
    </xf>
    <xf numFmtId="0" fontId="21" fillId="0" borderId="41" xfId="0" applyFont="1" applyBorder="1"/>
    <xf numFmtId="49" fontId="35" fillId="0" borderId="8" xfId="0" applyNumberFormat="1" applyFont="1" applyBorder="1" applyAlignment="1">
      <alignment horizontal="left"/>
    </xf>
    <xf numFmtId="0" fontId="8" fillId="0" borderId="8" xfId="8" applyFont="1" applyBorder="1"/>
    <xf numFmtId="14" fontId="0" fillId="0" borderId="1" xfId="0" applyNumberFormat="1" applyBorder="1"/>
    <xf numFmtId="0" fontId="0" fillId="51" borderId="24" xfId="0" applyFill="1" applyBorder="1" applyProtection="1">
      <protection locked="0"/>
    </xf>
    <xf numFmtId="0" fontId="0" fillId="51" borderId="25" xfId="0" applyFill="1" applyBorder="1" applyProtection="1">
      <protection locked="0"/>
    </xf>
    <xf numFmtId="0" fontId="18" fillId="9" borderId="0" xfId="0" applyFont="1" applyFill="1"/>
    <xf numFmtId="0" fontId="10" fillId="9" borderId="0" xfId="0" applyFont="1" applyFill="1" applyProtection="1">
      <protection locked="0"/>
    </xf>
    <xf numFmtId="0" fontId="42" fillId="9" borderId="0" xfId="0" applyFont="1" applyFill="1" applyAlignment="1" applyProtection="1">
      <alignment vertical="center"/>
      <protection locked="0"/>
    </xf>
    <xf numFmtId="0" fontId="13" fillId="9" borderId="0" xfId="0" applyFont="1" applyFill="1" applyAlignment="1">
      <alignment horizontal="left" wrapText="1"/>
    </xf>
    <xf numFmtId="0" fontId="22" fillId="50" borderId="41" xfId="0" applyFont="1" applyFill="1" applyBorder="1" applyAlignment="1">
      <alignment horizontal="center" vertical="top"/>
    </xf>
    <xf numFmtId="0" fontId="22" fillId="50" borderId="25" xfId="0" applyFont="1" applyFill="1" applyBorder="1" applyAlignment="1">
      <alignment horizontal="center" vertical="top"/>
    </xf>
    <xf numFmtId="0" fontId="23" fillId="50" borderId="0" xfId="0" applyFont="1" applyFill="1" applyAlignment="1" applyProtection="1">
      <alignment vertical="top"/>
      <protection locked="0"/>
    </xf>
    <xf numFmtId="0" fontId="68" fillId="0" borderId="0" xfId="0" applyFont="1"/>
    <xf numFmtId="0" fontId="28" fillId="56" borderId="36" xfId="0" quotePrefix="1" applyFont="1" applyFill="1" applyBorder="1" applyAlignment="1" applyProtection="1">
      <alignment horizontal="center"/>
      <protection locked="0"/>
    </xf>
    <xf numFmtId="0" fontId="19" fillId="54" borderId="36" xfId="0" applyFont="1" applyFill="1" applyBorder="1" applyAlignment="1" applyProtection="1">
      <alignment horizontal="center"/>
      <protection locked="0"/>
    </xf>
    <xf numFmtId="4" fontId="19" fillId="54" borderId="36" xfId="2" applyNumberFormat="1" applyFont="1" applyFill="1" applyBorder="1" applyAlignment="1" applyProtection="1">
      <alignment horizontal="center"/>
      <protection locked="0"/>
    </xf>
    <xf numFmtId="0" fontId="43" fillId="54" borderId="36" xfId="0" applyFont="1" applyFill="1" applyBorder="1" applyAlignment="1" applyProtection="1">
      <alignment horizontal="center"/>
      <protection locked="0"/>
    </xf>
    <xf numFmtId="0" fontId="28" fillId="56" borderId="44" xfId="0" applyFont="1" applyFill="1" applyBorder="1" applyAlignment="1" applyProtection="1">
      <alignment horizontal="center"/>
      <protection locked="0"/>
    </xf>
    <xf numFmtId="0" fontId="19" fillId="54" borderId="44" xfId="0" applyFont="1" applyFill="1" applyBorder="1" applyAlignment="1" applyProtection="1">
      <alignment horizontal="center"/>
      <protection locked="0"/>
    </xf>
    <xf numFmtId="4" fontId="19" fillId="54" borderId="44" xfId="2" applyNumberFormat="1" applyFont="1" applyFill="1" applyBorder="1" applyAlignment="1" applyProtection="1">
      <alignment horizontal="center"/>
      <protection locked="0"/>
    </xf>
    <xf numFmtId="0" fontId="19" fillId="56" borderId="44" xfId="0" applyFont="1" applyFill="1" applyBorder="1" applyAlignment="1" applyProtection="1">
      <alignment horizontal="center"/>
      <protection locked="0"/>
    </xf>
    <xf numFmtId="169" fontId="43" fillId="54" borderId="44" xfId="2" applyNumberFormat="1" applyFont="1" applyFill="1" applyBorder="1" applyAlignment="1" applyProtection="1">
      <alignment horizontal="center"/>
      <protection locked="0"/>
    </xf>
    <xf numFmtId="4" fontId="43" fillId="54" borderId="44" xfId="2" applyNumberFormat="1" applyFont="1" applyFill="1" applyBorder="1" applyAlignment="1" applyProtection="1">
      <alignment horizontal="center"/>
      <protection locked="0"/>
    </xf>
    <xf numFmtId="0" fontId="19" fillId="54" borderId="44" xfId="0" applyFont="1" applyFill="1" applyBorder="1" applyAlignment="1" applyProtection="1">
      <alignment horizontal="left"/>
      <protection locked="0"/>
    </xf>
    <xf numFmtId="0" fontId="13" fillId="9" borderId="0" xfId="0" applyFont="1" applyFill="1" applyAlignment="1">
      <alignment vertical="center" wrapText="1"/>
    </xf>
    <xf numFmtId="0" fontId="19" fillId="6" borderId="5" xfId="0" applyFont="1" applyFill="1" applyBorder="1" applyAlignment="1">
      <alignment vertical="center"/>
    </xf>
    <xf numFmtId="0" fontId="0" fillId="9" borderId="41" xfId="0" applyFill="1" applyBorder="1"/>
    <xf numFmtId="0" fontId="0" fillId="9" borderId="25" xfId="0" applyFill="1" applyBorder="1"/>
    <xf numFmtId="0" fontId="0" fillId="9" borderId="38" xfId="0" applyFill="1" applyBorder="1"/>
    <xf numFmtId="0" fontId="22" fillId="9" borderId="0" xfId="0" applyFont="1" applyFill="1" applyAlignment="1">
      <alignment vertical="top"/>
    </xf>
    <xf numFmtId="0" fontId="32" fillId="9" borderId="0" xfId="0" applyFont="1" applyFill="1" applyAlignment="1">
      <alignment horizontal="center"/>
    </xf>
    <xf numFmtId="0" fontId="0" fillId="9" borderId="0" xfId="0" applyFill="1" applyAlignment="1">
      <alignment horizontal="center"/>
    </xf>
    <xf numFmtId="0" fontId="39" fillId="9" borderId="0" xfId="0" applyFont="1" applyFill="1" applyAlignment="1">
      <alignment vertical="center" wrapText="1"/>
    </xf>
    <xf numFmtId="44" fontId="18" fillId="9" borderId="0" xfId="1" applyFont="1" applyFill="1" applyAlignment="1" applyProtection="1"/>
    <xf numFmtId="0" fontId="18" fillId="9" borderId="0" xfId="0" applyFont="1" applyFill="1" applyAlignment="1">
      <alignment vertical="center"/>
    </xf>
    <xf numFmtId="0" fontId="16" fillId="9" borderId="0" xfId="0" applyFont="1" applyFill="1" applyAlignment="1">
      <alignment vertical="center"/>
    </xf>
    <xf numFmtId="0" fontId="19" fillId="9" borderId="0" xfId="0" applyFont="1" applyFill="1" applyAlignment="1">
      <alignment horizontal="center"/>
    </xf>
    <xf numFmtId="0" fontId="28" fillId="51" borderId="44" xfId="0" applyFont="1" applyFill="1" applyBorder="1" applyAlignment="1">
      <alignment horizontal="center"/>
    </xf>
    <xf numFmtId="0" fontId="28" fillId="9" borderId="0" xfId="0" applyFont="1" applyFill="1"/>
    <xf numFmtId="0" fontId="28" fillId="51" borderId="26" xfId="0" applyFont="1" applyFill="1" applyBorder="1" applyProtection="1">
      <protection locked="0"/>
    </xf>
    <xf numFmtId="0" fontId="28" fillId="51" borderId="44" xfId="0" applyFont="1" applyFill="1" applyBorder="1" applyProtection="1">
      <protection locked="0"/>
    </xf>
    <xf numFmtId="44" fontId="28" fillId="9" borderId="0" xfId="1" applyFont="1" applyFill="1" applyBorder="1" applyProtection="1"/>
    <xf numFmtId="164" fontId="28" fillId="9" borderId="0" xfId="2" applyNumberFormat="1" applyFont="1" applyFill="1" applyBorder="1" applyProtection="1"/>
    <xf numFmtId="0" fontId="12" fillId="9" borderId="0" xfId="0" applyFont="1" applyFill="1"/>
    <xf numFmtId="0" fontId="12" fillId="14" borderId="3" xfId="0" applyFont="1" applyFill="1" applyBorder="1"/>
    <xf numFmtId="0" fontId="12" fillId="14" borderId="4" xfId="0" applyFont="1" applyFill="1" applyBorder="1"/>
    <xf numFmtId="0" fontId="38" fillId="9" borderId="0" xfId="0" applyFont="1" applyFill="1" applyAlignment="1">
      <alignment vertical="top" wrapText="1"/>
    </xf>
    <xf numFmtId="0" fontId="38" fillId="0" borderId="7" xfId="0" applyFont="1" applyBorder="1" applyAlignment="1">
      <alignment vertical="top" wrapText="1"/>
    </xf>
    <xf numFmtId="0" fontId="38" fillId="0" borderId="9" xfId="0" applyFont="1" applyBorder="1" applyAlignment="1">
      <alignment vertical="top" wrapText="1"/>
    </xf>
    <xf numFmtId="0" fontId="38" fillId="0" borderId="0" xfId="0" applyFont="1" applyAlignment="1">
      <alignment vertical="top" wrapText="1"/>
    </xf>
    <xf numFmtId="0" fontId="38" fillId="0" borderId="5" xfId="0" applyFont="1" applyBorder="1" applyAlignment="1">
      <alignment vertical="top" wrapText="1"/>
    </xf>
    <xf numFmtId="0" fontId="13" fillId="9" borderId="0" xfId="0" applyFont="1" applyFill="1" applyAlignment="1">
      <alignment horizontal="left" vertical="center"/>
    </xf>
    <xf numFmtId="0" fontId="11" fillId="9" borderId="0" xfId="0" applyFont="1" applyFill="1" applyAlignment="1">
      <alignment horizontal="center" vertical="center"/>
    </xf>
    <xf numFmtId="0" fontId="47" fillId="9" borderId="0" xfId="0" applyFont="1" applyFill="1"/>
    <xf numFmtId="44" fontId="30" fillId="9" borderId="0" xfId="1" applyFont="1" applyFill="1" applyBorder="1" applyAlignment="1" applyProtection="1">
      <alignment horizontal="center" vertical="center"/>
    </xf>
    <xf numFmtId="0" fontId="47" fillId="9" borderId="0" xfId="0" applyFont="1" applyFill="1" applyAlignment="1">
      <alignment horizontal="center"/>
    </xf>
    <xf numFmtId="0" fontId="47" fillId="9" borderId="0" xfId="0" applyFont="1" applyFill="1" applyAlignment="1">
      <alignment vertical="center"/>
    </xf>
    <xf numFmtId="0" fontId="38" fillId="9" borderId="0" xfId="0" applyFont="1" applyFill="1" applyAlignment="1">
      <alignment horizontal="left" wrapText="1"/>
    </xf>
    <xf numFmtId="0" fontId="13" fillId="9" borderId="0" xfId="0" applyFont="1" applyFill="1" applyAlignment="1">
      <alignment horizontal="center" vertical="top" wrapText="1"/>
    </xf>
    <xf numFmtId="0" fontId="13" fillId="9" borderId="0" xfId="0" applyFont="1" applyFill="1" applyAlignment="1">
      <alignment horizontal="center" vertical="center" wrapText="1"/>
    </xf>
    <xf numFmtId="0" fontId="74" fillId="6" borderId="0" xfId="0" applyFont="1" applyFill="1" applyAlignment="1" applyProtection="1">
      <alignment horizontal="center" vertical="center"/>
      <protection locked="0"/>
    </xf>
    <xf numFmtId="0" fontId="21" fillId="9" borderId="0" xfId="0" applyFont="1" applyFill="1" applyAlignment="1" applyProtection="1">
      <alignment vertical="center"/>
      <protection hidden="1"/>
    </xf>
    <xf numFmtId="0" fontId="16" fillId="6" borderId="26" xfId="0" applyFont="1" applyFill="1" applyBorder="1" applyAlignment="1">
      <alignment vertical="center"/>
    </xf>
    <xf numFmtId="164" fontId="0" fillId="0" borderId="1" xfId="7" applyNumberFormat="1" applyFont="1" applyBorder="1" applyAlignment="1">
      <alignment horizontal="center" vertical="top"/>
    </xf>
    <xf numFmtId="0" fontId="9" fillId="6" borderId="1" xfId="3" applyFont="1" applyFill="1" applyBorder="1" applyAlignment="1">
      <alignment horizontal="center" vertical="center" wrapText="1"/>
    </xf>
    <xf numFmtId="165" fontId="9" fillId="6" borderId="1" xfId="4" applyNumberFormat="1" applyFont="1" applyFill="1" applyBorder="1" applyAlignment="1">
      <alignment horizontal="center" vertical="center" wrapText="1"/>
    </xf>
    <xf numFmtId="0" fontId="8" fillId="0" borderId="1" xfId="3" applyBorder="1"/>
    <xf numFmtId="164" fontId="9" fillId="6" borderId="1" xfId="7" applyNumberFormat="1" applyFont="1" applyFill="1" applyBorder="1" applyAlignment="1">
      <alignment horizontal="center" vertical="center" wrapText="1"/>
    </xf>
    <xf numFmtId="0" fontId="35" fillId="0" borderId="1" xfId="3" applyFont="1" applyBorder="1"/>
    <xf numFmtId="0" fontId="35" fillId="0" borderId="1" xfId="3" applyFont="1" applyBorder="1" applyAlignment="1">
      <alignment vertical="top"/>
    </xf>
    <xf numFmtId="165" fontId="32" fillId="0" borderId="1" xfId="4" applyNumberFormat="1" applyFont="1" applyBorder="1" applyAlignment="1">
      <alignment vertical="top"/>
    </xf>
    <xf numFmtId="0" fontId="35" fillId="0" borderId="1" xfId="3" applyFont="1" applyBorder="1" applyAlignment="1">
      <alignment horizontal="center" vertical="top"/>
    </xf>
    <xf numFmtId="0" fontId="8" fillId="0" borderId="0" xfId="3" applyAlignment="1">
      <alignment horizontal="center"/>
    </xf>
    <xf numFmtId="0" fontId="35" fillId="0" borderId="1" xfId="3" applyFont="1" applyBorder="1" applyAlignment="1">
      <alignment horizontal="center"/>
    </xf>
    <xf numFmtId="0" fontId="8" fillId="0" borderId="1" xfId="3" applyBorder="1" applyAlignment="1">
      <alignment horizontal="center"/>
    </xf>
    <xf numFmtId="3" fontId="9" fillId="6" borderId="1" xfId="7" applyNumberFormat="1" applyFont="1" applyFill="1" applyBorder="1" applyAlignment="1">
      <alignment horizontal="center" vertical="center" wrapText="1"/>
    </xf>
    <xf numFmtId="3" fontId="8" fillId="0" borderId="0" xfId="2" applyNumberFormat="1" applyFont="1" applyAlignment="1">
      <alignment horizontal="center"/>
    </xf>
    <xf numFmtId="0" fontId="78" fillId="9" borderId="0" xfId="0" applyFont="1" applyFill="1" applyAlignment="1">
      <alignment vertical="center"/>
    </xf>
    <xf numFmtId="44" fontId="78" fillId="9" borderId="0" xfId="1" applyFont="1" applyFill="1" applyAlignment="1" applyProtection="1">
      <alignment vertical="center"/>
    </xf>
    <xf numFmtId="0" fontId="78" fillId="9" borderId="0" xfId="0" applyFont="1" applyFill="1" applyAlignment="1">
      <alignment horizontal="left" vertical="center"/>
    </xf>
    <xf numFmtId="0" fontId="0" fillId="60" borderId="1" xfId="0" applyFill="1" applyBorder="1"/>
    <xf numFmtId="0" fontId="8" fillId="60" borderId="1" xfId="3" applyFill="1" applyBorder="1"/>
    <xf numFmtId="0" fontId="35" fillId="60" borderId="1" xfId="0" applyFont="1" applyFill="1" applyBorder="1" applyAlignment="1">
      <alignment horizontal="left"/>
    </xf>
    <xf numFmtId="166" fontId="32" fillId="60" borderId="1" xfId="2" applyNumberFormat="1" applyFont="1" applyFill="1" applyBorder="1" applyAlignment="1" applyProtection="1">
      <alignment horizontal="right"/>
      <protection locked="0"/>
    </xf>
    <xf numFmtId="0" fontId="32" fillId="60" borderId="1" xfId="0" applyFont="1" applyFill="1" applyBorder="1"/>
    <xf numFmtId="0" fontId="8" fillId="60" borderId="1" xfId="3" applyFill="1" applyBorder="1" applyAlignment="1">
      <alignment vertical="top"/>
    </xf>
    <xf numFmtId="0" fontId="0" fillId="60" borderId="0" xfId="0" applyFill="1"/>
    <xf numFmtId="164" fontId="0" fillId="60" borderId="1" xfId="7" applyNumberFormat="1" applyFont="1" applyFill="1" applyBorder="1" applyAlignment="1">
      <alignment vertical="top"/>
    </xf>
    <xf numFmtId="0" fontId="40" fillId="60" borderId="1" xfId="9" applyFill="1" applyBorder="1" applyAlignment="1" applyProtection="1"/>
    <xf numFmtId="0" fontId="0" fillId="60" borderId="2" xfId="0" applyFill="1" applyBorder="1"/>
    <xf numFmtId="0" fontId="8" fillId="60" borderId="0" xfId="3" applyFill="1"/>
    <xf numFmtId="0" fontId="35" fillId="60" borderId="1" xfId="3" applyFont="1" applyFill="1" applyBorder="1"/>
    <xf numFmtId="0" fontId="35" fillId="60" borderId="1" xfId="3" applyFont="1" applyFill="1" applyBorder="1" applyAlignment="1">
      <alignment vertical="top"/>
    </xf>
    <xf numFmtId="0" fontId="35" fillId="60" borderId="1" xfId="3" applyFont="1" applyFill="1" applyBorder="1" applyAlignment="1">
      <alignment horizontal="center" vertical="top"/>
    </xf>
    <xf numFmtId="164" fontId="0" fillId="61" borderId="1" xfId="7" applyNumberFormat="1" applyFont="1" applyFill="1" applyBorder="1" applyAlignment="1">
      <alignment horizontal="center" vertical="top"/>
    </xf>
    <xf numFmtId="164" fontId="32" fillId="61" borderId="1" xfId="7" applyNumberFormat="1" applyFont="1" applyFill="1" applyBorder="1" applyAlignment="1">
      <alignment horizontal="center" vertical="top"/>
    </xf>
    <xf numFmtId="0" fontId="8" fillId="60" borderId="1" xfId="11" applyFont="1" applyFill="1" applyBorder="1" applyAlignment="1">
      <alignment wrapText="1"/>
    </xf>
    <xf numFmtId="0" fontId="35" fillId="60" borderId="12" xfId="0" applyFont="1" applyFill="1" applyBorder="1" applyAlignment="1">
      <alignment horizontal="left"/>
    </xf>
    <xf numFmtId="0" fontId="8" fillId="60" borderId="1" xfId="10" applyFont="1" applyFill="1" applyBorder="1" applyAlignment="1">
      <alignment horizontal="left" wrapText="1"/>
    </xf>
    <xf numFmtId="0" fontId="62" fillId="61" borderId="1" xfId="0" applyFont="1" applyFill="1" applyBorder="1" applyAlignment="1">
      <alignment horizontal="left" vertical="center"/>
    </xf>
    <xf numFmtId="0" fontId="62" fillId="61" borderId="1" xfId="0" applyFont="1" applyFill="1" applyBorder="1" applyAlignment="1">
      <alignment horizontal="center" vertical="center"/>
    </xf>
    <xf numFmtId="49" fontId="62" fillId="61" borderId="1" xfId="0" applyNumberFormat="1" applyFont="1" applyFill="1" applyBorder="1" applyAlignment="1">
      <alignment horizontal="center" vertical="center"/>
    </xf>
    <xf numFmtId="0" fontId="0" fillId="61" borderId="0" xfId="0" applyFill="1"/>
    <xf numFmtId="14" fontId="0" fillId="61" borderId="0" xfId="0" applyNumberFormat="1" applyFill="1" applyAlignment="1">
      <alignment vertical="center"/>
    </xf>
    <xf numFmtId="0" fontId="0" fillId="61" borderId="0" xfId="0" applyFill="1" applyAlignment="1">
      <alignment vertical="center"/>
    </xf>
    <xf numFmtId="0" fontId="0" fillId="61" borderId="0" xfId="0" applyFill="1" applyAlignment="1">
      <alignment horizontal="center" vertical="center"/>
    </xf>
    <xf numFmtId="44" fontId="41" fillId="5" borderId="41" xfId="1" applyFont="1" applyFill="1" applyBorder="1" applyAlignment="1" applyProtection="1">
      <alignment vertical="center"/>
    </xf>
    <xf numFmtId="0" fontId="10" fillId="9" borderId="0" xfId="0" applyFont="1" applyFill="1" applyAlignment="1">
      <alignment horizontal="center"/>
    </xf>
    <xf numFmtId="0" fontId="10" fillId="9" borderId="0" xfId="0" applyFont="1" applyFill="1" applyAlignment="1">
      <alignment horizontal="center" vertical="center" wrapText="1"/>
    </xf>
    <xf numFmtId="0" fontId="21" fillId="9" borderId="0" xfId="0" applyFont="1" applyFill="1" applyAlignment="1">
      <alignment vertical="center"/>
    </xf>
    <xf numFmtId="0" fontId="18" fillId="0" borderId="0" xfId="0" applyFont="1" applyAlignment="1">
      <alignment wrapText="1"/>
    </xf>
    <xf numFmtId="4" fontId="6" fillId="3" borderId="41" xfId="2" applyNumberFormat="1" applyFont="1" applyFill="1" applyBorder="1" applyAlignment="1" applyProtection="1">
      <alignment horizontal="center" vertical="center" wrapText="1"/>
    </xf>
    <xf numFmtId="0" fontId="23" fillId="51" borderId="38" xfId="0" applyFont="1" applyFill="1" applyBorder="1" applyAlignment="1" applyProtection="1">
      <alignment horizontal="center" vertical="top"/>
      <protection locked="0"/>
    </xf>
    <xf numFmtId="0" fontId="23" fillId="10" borderId="0" xfId="0" applyFont="1" applyFill="1" applyAlignment="1" applyProtection="1">
      <alignment horizontal="center" vertical="center"/>
      <protection locked="0"/>
    </xf>
    <xf numFmtId="0" fontId="23" fillId="10" borderId="38" xfId="0" applyFont="1" applyFill="1" applyBorder="1" applyAlignment="1" applyProtection="1">
      <alignment horizontal="center" vertical="center"/>
      <protection locked="0"/>
    </xf>
    <xf numFmtId="43" fontId="28" fillId="10" borderId="0" xfId="2" applyFont="1" applyFill="1" applyBorder="1" applyAlignment="1" applyProtection="1">
      <protection locked="0"/>
    </xf>
    <xf numFmtId="0" fontId="22" fillId="50" borderId="0" xfId="0" applyFont="1" applyFill="1" applyAlignment="1">
      <alignment horizontal="center" vertical="center"/>
    </xf>
    <xf numFmtId="44" fontId="28" fillId="10" borderId="0" xfId="1" applyFont="1" applyFill="1" applyBorder="1" applyAlignment="1" applyProtection="1">
      <protection locked="0"/>
    </xf>
    <xf numFmtId="0" fontId="23" fillId="51" borderId="0" xfId="0" applyFont="1" applyFill="1" applyAlignment="1" applyProtection="1">
      <alignment horizontal="center" vertical="top"/>
      <protection locked="0"/>
    </xf>
    <xf numFmtId="0" fontId="19" fillId="54" borderId="40" xfId="0" applyFont="1" applyFill="1" applyBorder="1" applyAlignment="1" applyProtection="1">
      <alignment horizontal="center"/>
      <protection locked="0"/>
    </xf>
    <xf numFmtId="44" fontId="6" fillId="3" borderId="41" xfId="1" applyFont="1" applyFill="1" applyBorder="1" applyAlignment="1" applyProtection="1">
      <alignment horizontal="left" vertical="center"/>
    </xf>
    <xf numFmtId="44" fontId="28" fillId="10" borderId="24" xfId="1" applyFont="1" applyFill="1" applyBorder="1" applyAlignment="1" applyProtection="1">
      <alignment vertical="top"/>
      <protection locked="0"/>
    </xf>
    <xf numFmtId="44" fontId="28" fillId="10" borderId="30" xfId="1" applyFont="1" applyFill="1" applyBorder="1" applyAlignment="1" applyProtection="1">
      <alignment vertical="top"/>
      <protection locked="0"/>
    </xf>
    <xf numFmtId="0" fontId="22" fillId="50" borderId="0" xfId="0" applyFont="1" applyFill="1" applyAlignment="1">
      <alignment horizontal="center" vertical="top"/>
    </xf>
    <xf numFmtId="0" fontId="23" fillId="10" borderId="44" xfId="0" applyFont="1" applyFill="1" applyBorder="1" applyAlignment="1" applyProtection="1">
      <alignment horizontal="right" vertical="top"/>
      <protection locked="0"/>
    </xf>
    <xf numFmtId="0" fontId="23" fillId="10" borderId="36" xfId="0" applyFont="1" applyFill="1" applyBorder="1" applyAlignment="1" applyProtection="1">
      <alignment horizontal="right" vertical="top"/>
      <protection locked="0"/>
    </xf>
    <xf numFmtId="0" fontId="23" fillId="10" borderId="36" xfId="0" applyFont="1" applyFill="1" applyBorder="1" applyAlignment="1" applyProtection="1">
      <alignment horizontal="center" vertical="top"/>
      <protection locked="0"/>
    </xf>
    <xf numFmtId="0" fontId="23" fillId="10" borderId="44" xfId="0" applyFont="1" applyFill="1" applyBorder="1" applyAlignment="1" applyProtection="1">
      <alignment horizontal="center" vertical="top"/>
      <protection locked="0"/>
    </xf>
    <xf numFmtId="44" fontId="13" fillId="9" borderId="0" xfId="0" applyNumberFormat="1" applyFont="1" applyFill="1" applyAlignment="1" applyProtection="1">
      <alignment vertical="center"/>
      <protection locked="0"/>
    </xf>
    <xf numFmtId="0" fontId="31" fillId="63" borderId="8" xfId="0" applyFont="1" applyFill="1" applyBorder="1" applyAlignment="1">
      <alignment horizontal="center" vertical="center" wrapText="1"/>
    </xf>
    <xf numFmtId="0" fontId="31" fillId="63" borderId="6" xfId="0" applyFont="1" applyFill="1" applyBorder="1" applyAlignment="1">
      <alignment horizontal="center" vertical="center" wrapText="1"/>
    </xf>
    <xf numFmtId="0" fontId="31" fillId="63" borderId="8" xfId="0" applyFont="1" applyFill="1" applyBorder="1" applyAlignment="1">
      <alignment horizontal="center" vertical="center"/>
    </xf>
    <xf numFmtId="0" fontId="81" fillId="63" borderId="6" xfId="54" applyFont="1" applyFill="1" applyBorder="1" applyAlignment="1">
      <alignment horizontal="center" vertical="center" wrapText="1"/>
    </xf>
    <xf numFmtId="0" fontId="31" fillId="64" borderId="8" xfId="0" applyFont="1" applyFill="1" applyBorder="1" applyAlignment="1">
      <alignment horizontal="center" vertical="center" wrapText="1"/>
    </xf>
    <xf numFmtId="0" fontId="32" fillId="0" borderId="1" xfId="0" applyFont="1" applyBorder="1" applyAlignment="1">
      <alignment horizontal="center" vertical="center" wrapText="1"/>
    </xf>
    <xf numFmtId="0" fontId="32" fillId="0" borderId="1" xfId="0" applyFont="1" applyBorder="1" applyAlignment="1">
      <alignment horizontal="center" vertical="center"/>
    </xf>
    <xf numFmtId="0" fontId="32" fillId="0" borderId="1" xfId="0" applyFont="1" applyBorder="1" applyAlignment="1">
      <alignment vertical="center"/>
    </xf>
    <xf numFmtId="0" fontId="32" fillId="9" borderId="0" xfId="0" applyFont="1" applyFill="1" applyAlignment="1">
      <alignment vertical="center"/>
    </xf>
    <xf numFmtId="0" fontId="32" fillId="0" borderId="0" xfId="0" applyFont="1" applyAlignment="1">
      <alignment vertical="center"/>
    </xf>
    <xf numFmtId="0" fontId="0" fillId="0" borderId="1" xfId="0" applyBorder="1" applyAlignment="1">
      <alignment horizontal="center" vertical="center"/>
    </xf>
    <xf numFmtId="0" fontId="32" fillId="9" borderId="1" xfId="0" applyFont="1" applyFill="1" applyBorder="1" applyAlignment="1">
      <alignment horizontal="center" vertical="center" wrapText="1"/>
    </xf>
    <xf numFmtId="0" fontId="83" fillId="9" borderId="0" xfId="0" applyFont="1" applyFill="1" applyAlignment="1">
      <alignment vertical="center"/>
    </xf>
    <xf numFmtId="0" fontId="83" fillId="0" borderId="0" xfId="0" applyFont="1" applyAlignment="1">
      <alignment vertical="center"/>
    </xf>
    <xf numFmtId="0" fontId="0" fillId="9" borderId="1" xfId="0" applyFill="1" applyBorder="1" applyAlignment="1">
      <alignment horizontal="center" vertical="center"/>
    </xf>
    <xf numFmtId="2" fontId="0" fillId="9" borderId="1" xfId="0" applyNumberFormat="1" applyFill="1" applyBorder="1" applyAlignment="1">
      <alignment horizontal="center" vertical="center" wrapText="1"/>
    </xf>
    <xf numFmtId="0" fontId="31" fillId="0" borderId="0" xfId="0" applyFont="1" applyAlignment="1">
      <alignment horizontal="center" vertical="center" wrapText="1"/>
    </xf>
    <xf numFmtId="0" fontId="0" fillId="0" borderId="0" xfId="0" applyAlignment="1">
      <alignment horizontal="center" vertical="center" wrapText="1"/>
    </xf>
    <xf numFmtId="0" fontId="16" fillId="9" borderId="30" xfId="0" applyFont="1" applyFill="1" applyBorder="1" applyAlignment="1">
      <alignment horizontal="center" vertical="center"/>
    </xf>
    <xf numFmtId="0" fontId="10" fillId="9" borderId="0" xfId="0" applyFont="1" applyFill="1" applyAlignment="1">
      <alignment vertical="center"/>
    </xf>
    <xf numFmtId="0" fontId="31" fillId="63" borderId="9" xfId="0" applyFont="1" applyFill="1" applyBorder="1" applyAlignment="1">
      <alignment horizontal="center" vertical="center" wrapText="1"/>
    </xf>
    <xf numFmtId="0" fontId="31" fillId="63" borderId="1" xfId="0" applyFont="1" applyFill="1" applyBorder="1" applyAlignment="1">
      <alignment horizontal="center" vertical="center" wrapText="1"/>
    </xf>
    <xf numFmtId="44" fontId="28" fillId="51" borderId="30" xfId="1" applyFont="1" applyFill="1" applyBorder="1" applyAlignment="1" applyProtection="1">
      <alignment vertical="top"/>
      <protection locked="0"/>
    </xf>
    <xf numFmtId="0" fontId="22" fillId="10" borderId="0" xfId="0" applyFont="1" applyFill="1" applyAlignment="1" applyProtection="1">
      <alignment vertical="top"/>
      <protection locked="0"/>
    </xf>
    <xf numFmtId="0" fontId="22" fillId="10" borderId="25" xfId="0" applyFont="1" applyFill="1" applyBorder="1" applyAlignment="1" applyProtection="1">
      <alignment vertical="top"/>
      <protection locked="0"/>
    </xf>
    <xf numFmtId="0" fontId="22" fillId="51" borderId="0" xfId="0" applyFont="1" applyFill="1" applyAlignment="1" applyProtection="1">
      <alignment vertical="center"/>
      <protection locked="0"/>
    </xf>
    <xf numFmtId="0" fontId="19" fillId="10" borderId="0" xfId="0" applyFont="1" applyFill="1" applyAlignment="1" applyProtection="1">
      <alignment horizontal="left"/>
      <protection locked="0"/>
    </xf>
    <xf numFmtId="0" fontId="19" fillId="10" borderId="41" xfId="0" applyFont="1" applyFill="1" applyBorder="1" applyAlignment="1" applyProtection="1">
      <alignment horizontal="left"/>
      <protection locked="0"/>
    </xf>
    <xf numFmtId="0" fontId="19" fillId="50" borderId="41" xfId="0" applyFont="1" applyFill="1" applyBorder="1" applyAlignment="1" applyProtection="1">
      <alignment horizontal="center"/>
      <protection hidden="1"/>
    </xf>
    <xf numFmtId="4" fontId="19" fillId="50" borderId="40" xfId="2" applyNumberFormat="1" applyFont="1" applyFill="1" applyBorder="1" applyAlignment="1" applyProtection="1">
      <alignment horizontal="center"/>
      <protection hidden="1"/>
    </xf>
    <xf numFmtId="0" fontId="19" fillId="50" borderId="40" xfId="0" applyFont="1" applyFill="1" applyBorder="1" applyAlignment="1" applyProtection="1">
      <alignment horizontal="center"/>
      <protection hidden="1"/>
    </xf>
    <xf numFmtId="0" fontId="19" fillId="50" borderId="44" xfId="0" applyFont="1" applyFill="1" applyBorder="1" applyAlignment="1" applyProtection="1">
      <alignment horizontal="center"/>
      <protection hidden="1"/>
    </xf>
    <xf numFmtId="0" fontId="13" fillId="62" borderId="44" xfId="0" applyFont="1" applyFill="1" applyBorder="1" applyAlignment="1" applyProtection="1">
      <alignment vertical="center"/>
      <protection locked="0"/>
    </xf>
    <xf numFmtId="0" fontId="13" fillId="62" borderId="44" xfId="0" applyFont="1" applyFill="1" applyBorder="1" applyAlignment="1" applyProtection="1">
      <alignment vertical="center"/>
      <protection locked="0" hidden="1"/>
    </xf>
    <xf numFmtId="0" fontId="13" fillId="62" borderId="44" xfId="0" applyFont="1" applyFill="1" applyBorder="1" applyAlignment="1" applyProtection="1">
      <alignment horizontal="center" vertical="top" wrapText="1"/>
      <protection locked="0"/>
    </xf>
    <xf numFmtId="0" fontId="35" fillId="60" borderId="1" xfId="10" applyFont="1" applyFill="1" applyBorder="1" applyAlignment="1">
      <alignment horizontal="left" wrapText="1"/>
    </xf>
    <xf numFmtId="0" fontId="18" fillId="9" borderId="0" xfId="0" applyFont="1" applyFill="1" applyAlignment="1">
      <alignment horizontal="left"/>
    </xf>
    <xf numFmtId="0" fontId="28" fillId="51" borderId="44" xfId="0" applyFont="1" applyFill="1" applyBorder="1" applyAlignment="1">
      <alignment horizontal="left"/>
    </xf>
    <xf numFmtId="0" fontId="19" fillId="54" borderId="24" xfId="0" applyFont="1" applyFill="1" applyBorder="1" applyAlignment="1" applyProtection="1">
      <alignment horizontal="left"/>
      <protection locked="0"/>
    </xf>
    <xf numFmtId="0" fontId="28" fillId="9" borderId="0" xfId="0" applyFont="1" applyFill="1" applyAlignment="1">
      <alignment horizontal="left"/>
    </xf>
    <xf numFmtId="44" fontId="22" fillId="51" borderId="0" xfId="1" applyFont="1" applyFill="1" applyBorder="1" applyAlignment="1">
      <alignment horizontal="center" vertical="top"/>
    </xf>
    <xf numFmtId="0" fontId="8" fillId="0" borderId="1" xfId="10" applyFont="1" applyBorder="1" applyAlignment="1">
      <alignment horizontal="left" wrapText="1"/>
    </xf>
    <xf numFmtId="0" fontId="8" fillId="0" borderId="23" xfId="10" applyFont="1" applyBorder="1" applyAlignment="1">
      <alignment wrapText="1"/>
    </xf>
    <xf numFmtId="0" fontId="8" fillId="0" borderId="12" xfId="10" applyFont="1" applyBorder="1" applyAlignment="1">
      <alignment wrapText="1"/>
    </xf>
    <xf numFmtId="0" fontId="8" fillId="15" borderId="13" xfId="11" applyFont="1" applyFill="1" applyBorder="1" applyAlignment="1">
      <alignment horizontal="center"/>
    </xf>
    <xf numFmtId="0" fontId="8" fillId="15" borderId="1" xfId="11" applyFont="1" applyFill="1" applyBorder="1" applyAlignment="1">
      <alignment horizontal="center"/>
    </xf>
    <xf numFmtId="164" fontId="8" fillId="15" borderId="1" xfId="2" applyNumberFormat="1" applyFont="1" applyFill="1" applyBorder="1" applyAlignment="1">
      <alignment horizontal="center"/>
    </xf>
    <xf numFmtId="168" fontId="8" fillId="15" borderId="1" xfId="11" applyNumberFormat="1" applyFont="1" applyFill="1" applyBorder="1" applyAlignment="1">
      <alignment horizontal="center"/>
    </xf>
    <xf numFmtId="0" fontId="8" fillId="60" borderId="1" xfId="11" applyFont="1" applyFill="1" applyBorder="1" applyAlignment="1">
      <alignment horizontal="right" wrapText="1"/>
    </xf>
    <xf numFmtId="164" fontId="8" fillId="60" borderId="1" xfId="2" applyNumberFormat="1" applyFont="1" applyFill="1" applyBorder="1" applyAlignment="1">
      <alignment horizontal="center" wrapText="1"/>
    </xf>
    <xf numFmtId="0" fontId="8" fillId="0" borderId="1" xfId="11" applyFont="1" applyBorder="1" applyAlignment="1">
      <alignment horizontal="right" wrapText="1"/>
    </xf>
    <xf numFmtId="0" fontId="8" fillId="0" borderId="1" xfId="11" applyFont="1" applyBorder="1" applyAlignment="1">
      <alignment wrapText="1"/>
    </xf>
    <xf numFmtId="164" fontId="8" fillId="0" borderId="1" xfId="2" applyNumberFormat="1" applyFont="1" applyFill="1" applyBorder="1" applyAlignment="1">
      <alignment horizontal="center" wrapText="1"/>
    </xf>
    <xf numFmtId="164" fontId="36" fillId="60" borderId="1" xfId="2" applyNumberFormat="1" applyFont="1" applyFill="1" applyBorder="1" applyAlignment="1">
      <alignment horizontal="center"/>
    </xf>
    <xf numFmtId="0" fontId="13" fillId="54" borderId="0" xfId="0" applyFont="1" applyFill="1" applyAlignment="1" applyProtection="1">
      <alignment horizontal="center" vertical="center"/>
      <protection locked="0"/>
    </xf>
    <xf numFmtId="0" fontId="22" fillId="50" borderId="45" xfId="0" applyFont="1" applyFill="1" applyBorder="1" applyAlignment="1" applyProtection="1">
      <alignment horizontal="center" vertical="center"/>
      <protection locked="0"/>
    </xf>
    <xf numFmtId="0" fontId="22" fillId="50" borderId="0" xfId="0" applyFont="1" applyFill="1" applyAlignment="1" applyProtection="1">
      <alignment horizontal="center" vertical="center"/>
      <protection locked="0"/>
    </xf>
    <xf numFmtId="0" fontId="22" fillId="50" borderId="46" xfId="0" applyFont="1" applyFill="1" applyBorder="1" applyAlignment="1" applyProtection="1">
      <alignment horizontal="center" vertical="center"/>
      <protection locked="0"/>
    </xf>
    <xf numFmtId="44" fontId="28" fillId="50" borderId="45" xfId="1" applyFont="1" applyFill="1" applyBorder="1" applyAlignment="1" applyProtection="1">
      <alignment vertical="center"/>
    </xf>
    <xf numFmtId="0" fontId="22" fillId="50" borderId="45" xfId="0" applyFont="1" applyFill="1" applyBorder="1" applyAlignment="1" applyProtection="1">
      <alignment vertical="center"/>
      <protection locked="0"/>
    </xf>
    <xf numFmtId="0" fontId="23" fillId="50" borderId="45" xfId="0" applyFont="1" applyFill="1" applyBorder="1" applyAlignment="1" applyProtection="1">
      <alignment vertical="center"/>
      <protection locked="0"/>
    </xf>
    <xf numFmtId="44" fontId="28" fillId="50" borderId="0" xfId="1" applyFont="1" applyFill="1" applyBorder="1" applyAlignment="1" applyProtection="1">
      <alignment vertical="center"/>
    </xf>
    <xf numFmtId="0" fontId="23" fillId="50" borderId="0" xfId="0" applyFont="1" applyFill="1" applyAlignment="1" applyProtection="1">
      <alignment vertical="center"/>
      <protection locked="0"/>
    </xf>
    <xf numFmtId="44" fontId="28" fillId="50" borderId="46" xfId="1" applyFont="1" applyFill="1" applyBorder="1" applyAlignment="1" applyProtection="1">
      <alignment vertical="center"/>
    </xf>
    <xf numFmtId="0" fontId="22" fillId="50" borderId="46" xfId="0" applyFont="1" applyFill="1" applyBorder="1" applyAlignment="1" applyProtection="1">
      <alignment vertical="center"/>
      <protection locked="0"/>
    </xf>
    <xf numFmtId="0" fontId="23" fillId="50" borderId="46" xfId="0" applyFont="1" applyFill="1" applyBorder="1" applyAlignment="1" applyProtection="1">
      <alignment vertical="center"/>
      <protection locked="0"/>
    </xf>
    <xf numFmtId="0" fontId="22" fillId="50" borderId="0" xfId="0" applyFont="1" applyFill="1" applyAlignment="1" applyProtection="1">
      <alignment vertical="center"/>
      <protection locked="0"/>
    </xf>
    <xf numFmtId="0" fontId="85" fillId="50" borderId="46" xfId="0" applyFont="1" applyFill="1" applyBorder="1" applyAlignment="1" applyProtection="1">
      <alignment vertical="center"/>
      <protection locked="0"/>
    </xf>
    <xf numFmtId="0" fontId="16" fillId="50" borderId="45" xfId="0" applyFont="1" applyFill="1" applyBorder="1" applyAlignment="1">
      <alignment vertical="center"/>
    </xf>
    <xf numFmtId="0" fontId="16" fillId="50" borderId="0" xfId="0" applyFont="1" applyFill="1" applyAlignment="1">
      <alignment vertical="center"/>
    </xf>
    <xf numFmtId="0" fontId="24" fillId="0" borderId="0" xfId="0" applyFont="1" applyAlignment="1">
      <alignment vertical="center"/>
    </xf>
    <xf numFmtId="0" fontId="17" fillId="50" borderId="45" xfId="0" applyFont="1" applyFill="1" applyBorder="1" applyAlignment="1">
      <alignment vertical="center"/>
    </xf>
    <xf numFmtId="0" fontId="17" fillId="50" borderId="46" xfId="0" applyFont="1" applyFill="1" applyBorder="1" applyAlignment="1">
      <alignment vertical="center"/>
    </xf>
    <xf numFmtId="0" fontId="17" fillId="50" borderId="46" xfId="0" applyFont="1" applyFill="1" applyBorder="1" applyAlignment="1">
      <alignment vertical="center" wrapText="1"/>
    </xf>
    <xf numFmtId="0" fontId="17" fillId="50" borderId="0" xfId="0" applyFont="1" applyFill="1" applyAlignment="1">
      <alignment vertical="center" wrapText="1"/>
    </xf>
    <xf numFmtId="0" fontId="17" fillId="50" borderId="0" xfId="0" applyFont="1" applyFill="1" applyAlignment="1">
      <alignment vertical="center"/>
    </xf>
    <xf numFmtId="0" fontId="22" fillId="50" borderId="25" xfId="0" applyFont="1" applyFill="1" applyBorder="1" applyAlignment="1">
      <alignment vertical="top"/>
    </xf>
    <xf numFmtId="0" fontId="28" fillId="50" borderId="25" xfId="0" applyFont="1" applyFill="1" applyBorder="1" applyAlignment="1" applyProtection="1">
      <alignment horizontal="center" vertical="top"/>
      <protection locked="0"/>
    </xf>
    <xf numFmtId="44" fontId="19" fillId="50" borderId="25" xfId="1" applyFont="1" applyFill="1" applyBorder="1" applyAlignment="1" applyProtection="1">
      <alignment vertical="top"/>
    </xf>
    <xf numFmtId="44" fontId="28" fillId="50" borderId="25" xfId="1" applyFont="1" applyFill="1" applyBorder="1" applyAlignment="1" applyProtection="1">
      <alignment vertical="top"/>
    </xf>
    <xf numFmtId="44" fontId="28" fillId="50" borderId="41" xfId="1" applyFont="1" applyFill="1" applyBorder="1" applyAlignment="1" applyProtection="1">
      <alignment vertical="top"/>
    </xf>
    <xf numFmtId="0" fontId="22" fillId="50" borderId="25" xfId="0" applyFont="1" applyFill="1" applyBorder="1" applyAlignment="1" applyProtection="1">
      <alignment horizontal="center" vertical="top"/>
      <protection locked="0"/>
    </xf>
    <xf numFmtId="0" fontId="22" fillId="50" borderId="41" xfId="0" applyFont="1" applyFill="1" applyBorder="1" applyAlignment="1" applyProtection="1">
      <alignment horizontal="center" vertical="top"/>
      <protection locked="0"/>
    </xf>
    <xf numFmtId="0" fontId="22" fillId="50" borderId="41" xfId="0" applyFont="1" applyFill="1" applyBorder="1" applyAlignment="1">
      <alignment vertical="top"/>
    </xf>
    <xf numFmtId="0" fontId="22" fillId="50" borderId="25" xfId="0" applyFont="1" applyFill="1" applyBorder="1" applyAlignment="1" applyProtection="1">
      <alignment vertical="top"/>
      <protection locked="0"/>
    </xf>
    <xf numFmtId="0" fontId="13" fillId="50" borderId="0" xfId="0" applyFont="1" applyFill="1"/>
    <xf numFmtId="0" fontId="13" fillId="9" borderId="0" xfId="0" applyFont="1" applyFill="1"/>
    <xf numFmtId="0" fontId="22" fillId="50" borderId="45" xfId="0" applyFont="1" applyFill="1" applyBorder="1" applyAlignment="1">
      <alignment vertical="center"/>
    </xf>
    <xf numFmtId="0" fontId="22" fillId="50" borderId="46" xfId="0" applyFont="1" applyFill="1" applyBorder="1" applyAlignment="1">
      <alignment vertical="center"/>
    </xf>
    <xf numFmtId="0" fontId="16" fillId="65" borderId="0" xfId="0" applyFont="1" applyFill="1" applyAlignment="1" applyProtection="1">
      <alignment horizontal="center" vertical="top"/>
      <protection locked="0"/>
    </xf>
    <xf numFmtId="0" fontId="13" fillId="6" borderId="0" xfId="0" applyFont="1" applyFill="1" applyAlignment="1" applyProtection="1">
      <alignment vertical="center"/>
      <protection locked="0"/>
    </xf>
    <xf numFmtId="0" fontId="13" fillId="54" borderId="0" xfId="0" applyFont="1" applyFill="1" applyAlignment="1" applyProtection="1">
      <alignment vertical="center"/>
      <protection locked="0"/>
    </xf>
    <xf numFmtId="0" fontId="39" fillId="6" borderId="0" xfId="0" applyFont="1" applyFill="1" applyProtection="1">
      <protection locked="0" hidden="1"/>
    </xf>
    <xf numFmtId="0" fontId="32" fillId="57" borderId="38" xfId="0" applyFont="1" applyFill="1" applyBorder="1" applyAlignment="1">
      <alignment horizontal="center"/>
    </xf>
    <xf numFmtId="0" fontId="0" fillId="57" borderId="0" xfId="0" applyFill="1" applyAlignment="1">
      <alignment horizontal="center"/>
    </xf>
    <xf numFmtId="164" fontId="32" fillId="54" borderId="24" xfId="2" applyNumberFormat="1" applyFont="1" applyFill="1" applyBorder="1" applyAlignment="1" applyProtection="1">
      <alignment horizontal="center" vertical="center"/>
      <protection locked="0"/>
    </xf>
    <xf numFmtId="0" fontId="11" fillId="6" borderId="41" xfId="0" applyFont="1" applyFill="1" applyBorder="1" applyAlignment="1">
      <alignment horizontal="center" vertical="center"/>
    </xf>
    <xf numFmtId="0" fontId="11" fillId="6" borderId="0" xfId="0" applyFont="1" applyFill="1" applyAlignment="1">
      <alignment vertical="center"/>
    </xf>
    <xf numFmtId="0" fontId="11" fillId="6" borderId="42" xfId="0" applyFont="1" applyFill="1" applyBorder="1" applyAlignment="1">
      <alignment horizontal="center" vertical="center"/>
    </xf>
    <xf numFmtId="9" fontId="11" fillId="6" borderId="37" xfId="5" applyFont="1" applyFill="1" applyBorder="1" applyAlignment="1" applyProtection="1">
      <alignment vertical="center"/>
    </xf>
    <xf numFmtId="0" fontId="31" fillId="6" borderId="0" xfId="0" applyFont="1" applyFill="1" applyAlignment="1">
      <alignment horizontal="center"/>
    </xf>
    <xf numFmtId="0" fontId="12" fillId="13" borderId="0" xfId="0" applyFont="1" applyFill="1" applyAlignment="1">
      <alignment horizontal="center"/>
    </xf>
    <xf numFmtId="0" fontId="32" fillId="9" borderId="0" xfId="0" applyFont="1" applyFill="1" applyProtection="1">
      <protection locked="0"/>
    </xf>
    <xf numFmtId="0" fontId="46" fillId="9" borderId="0" xfId="0" applyFont="1" applyFill="1" applyAlignment="1">
      <alignment horizontal="center" vertical="top"/>
    </xf>
    <xf numFmtId="0" fontId="12" fillId="9" borderId="0" xfId="0" applyFont="1" applyFill="1" applyAlignment="1">
      <alignment horizontal="center"/>
    </xf>
    <xf numFmtId="0" fontId="32" fillId="9" borderId="0" xfId="0" applyFont="1" applyFill="1"/>
    <xf numFmtId="0" fontId="32" fillId="9" borderId="0" xfId="0" applyFont="1" applyFill="1" applyAlignment="1">
      <alignment horizontal="center" wrapText="1"/>
    </xf>
    <xf numFmtId="0" fontId="63" fillId="6" borderId="0" xfId="2" applyNumberFormat="1" applyFont="1" applyFill="1" applyBorder="1" applyAlignment="1" applyProtection="1">
      <alignment horizontal="center"/>
    </xf>
    <xf numFmtId="0" fontId="17" fillId="6" borderId="0" xfId="0" applyFont="1" applyFill="1" applyAlignment="1">
      <alignment horizontal="right" vertical="top"/>
    </xf>
    <xf numFmtId="0" fontId="19" fillId="9" borderId="0" xfId="0" applyFont="1" applyFill="1" applyAlignment="1">
      <alignment horizontal="left" vertical="center"/>
    </xf>
    <xf numFmtId="0" fontId="16" fillId="6" borderId="30" xfId="0" applyFont="1" applyFill="1" applyBorder="1" applyAlignment="1">
      <alignment horizontal="left" vertical="center"/>
    </xf>
    <xf numFmtId="0" fontId="19" fillId="6" borderId="43" xfId="0" applyFont="1" applyFill="1" applyBorder="1" applyAlignment="1">
      <alignment vertical="center"/>
    </xf>
    <xf numFmtId="0" fontId="16" fillId="65" borderId="51" xfId="0" applyFont="1" applyFill="1" applyBorder="1" applyAlignment="1" applyProtection="1">
      <alignment horizontal="center" vertical="top"/>
      <protection locked="0"/>
    </xf>
    <xf numFmtId="0" fontId="0" fillId="9" borderId="52" xfId="0" applyFill="1" applyBorder="1"/>
    <xf numFmtId="0" fontId="0" fillId="9" borderId="51" xfId="0" applyFill="1" applyBorder="1" applyAlignment="1">
      <alignment horizontal="center"/>
    </xf>
    <xf numFmtId="0" fontId="0" fillId="9" borderId="55" xfId="0" applyFill="1" applyBorder="1"/>
    <xf numFmtId="0" fontId="22" fillId="9" borderId="45" xfId="0" applyFont="1" applyFill="1" applyBorder="1" applyAlignment="1">
      <alignment vertical="top"/>
    </xf>
    <xf numFmtId="0" fontId="32" fillId="9" borderId="45" xfId="0" applyFont="1" applyFill="1" applyBorder="1" applyAlignment="1">
      <alignment horizontal="center"/>
    </xf>
    <xf numFmtId="0" fontId="0" fillId="9" borderId="45" xfId="0" applyFill="1" applyBorder="1" applyAlignment="1">
      <alignment horizontal="center"/>
    </xf>
    <xf numFmtId="0" fontId="0" fillId="9" borderId="56" xfId="0" applyFill="1" applyBorder="1" applyAlignment="1">
      <alignment horizontal="center"/>
    </xf>
    <xf numFmtId="0" fontId="32" fillId="54" borderId="57" xfId="0" applyFont="1" applyFill="1" applyBorder="1" applyProtection="1">
      <protection locked="0"/>
    </xf>
    <xf numFmtId="0" fontId="23" fillId="54" borderId="57" xfId="0" applyFont="1" applyFill="1" applyBorder="1" applyAlignment="1" applyProtection="1">
      <alignment horizontal="right" vertical="top"/>
      <protection locked="0"/>
    </xf>
    <xf numFmtId="0" fontId="19" fillId="50" borderId="0" xfId="0" applyFont="1" applyFill="1" applyAlignment="1">
      <alignment wrapText="1"/>
    </xf>
    <xf numFmtId="0" fontId="13" fillId="51" borderId="44" xfId="0" applyFont="1" applyFill="1" applyBorder="1" applyAlignment="1" applyProtection="1">
      <alignment horizontal="center" vertical="center"/>
      <protection hidden="1"/>
    </xf>
    <xf numFmtId="0" fontId="69" fillId="11" borderId="0" xfId="0" applyFont="1" applyFill="1" applyAlignment="1">
      <alignment vertical="center" wrapText="1"/>
    </xf>
    <xf numFmtId="0" fontId="21" fillId="11" borderId="0" xfId="0" applyFont="1" applyFill="1" applyAlignment="1">
      <alignment vertical="center" wrapText="1"/>
    </xf>
    <xf numFmtId="0" fontId="21" fillId="11" borderId="41" xfId="0" applyFont="1" applyFill="1" applyBorder="1" applyAlignment="1">
      <alignment vertical="center" wrapText="1"/>
    </xf>
    <xf numFmtId="0" fontId="21" fillId="9" borderId="41" xfId="0" applyFont="1" applyFill="1" applyBorder="1" applyAlignment="1">
      <alignment vertical="center" wrapText="1"/>
    </xf>
    <xf numFmtId="0" fontId="19" fillId="51" borderId="38" xfId="0" applyFont="1" applyFill="1" applyBorder="1" applyAlignment="1">
      <alignment vertical="center" wrapText="1"/>
    </xf>
    <xf numFmtId="0" fontId="19" fillId="51" borderId="41" xfId="0" applyFont="1" applyFill="1" applyBorder="1" applyAlignment="1">
      <alignment vertical="center" wrapText="1"/>
    </xf>
    <xf numFmtId="0" fontId="69" fillId="9" borderId="0" xfId="0" applyFont="1" applyFill="1" applyAlignment="1">
      <alignment vertical="center" wrapText="1"/>
    </xf>
    <xf numFmtId="0" fontId="21" fillId="9" borderId="0" xfId="0" applyFont="1" applyFill="1" applyAlignment="1">
      <alignment vertical="center" wrapText="1"/>
    </xf>
    <xf numFmtId="0" fontId="19" fillId="9" borderId="38" xfId="0" applyFont="1" applyFill="1" applyBorder="1" applyAlignment="1">
      <alignment vertical="center" wrapText="1"/>
    </xf>
    <xf numFmtId="0" fontId="19" fillId="9" borderId="41" xfId="0" applyFont="1" applyFill="1" applyBorder="1" applyAlignment="1">
      <alignment vertical="center" wrapText="1"/>
    </xf>
    <xf numFmtId="0" fontId="71" fillId="11" borderId="28" xfId="0" applyFont="1" applyFill="1" applyBorder="1" applyAlignment="1">
      <alignment vertical="center"/>
    </xf>
    <xf numFmtId="0" fontId="71" fillId="11" borderId="29" xfId="0" applyFont="1" applyFill="1" applyBorder="1" applyAlignment="1">
      <alignment vertical="center"/>
    </xf>
    <xf numFmtId="0" fontId="71" fillId="9" borderId="28" xfId="0" applyFont="1" applyFill="1" applyBorder="1" applyAlignment="1">
      <alignment vertical="center"/>
    </xf>
    <xf numFmtId="0" fontId="29" fillId="9" borderId="0" xfId="0" applyFont="1" applyFill="1" applyAlignment="1">
      <alignment horizontal="center" vertical="center" wrapText="1"/>
    </xf>
    <xf numFmtId="0" fontId="82" fillId="60" borderId="1" xfId="9" applyFont="1" applyFill="1" applyBorder="1" applyAlignment="1" applyProtection="1"/>
    <xf numFmtId="0" fontId="40" fillId="0" borderId="1" xfId="9" applyBorder="1" applyAlignment="1" applyProtection="1"/>
    <xf numFmtId="0" fontId="39" fillId="62" borderId="44" xfId="0" applyFont="1" applyFill="1" applyBorder="1" applyAlignment="1" applyProtection="1">
      <alignment horizontal="center" vertical="center"/>
      <protection locked="0" hidden="1"/>
    </xf>
    <xf numFmtId="0" fontId="3" fillId="0" borderId="1" xfId="3" applyFont="1" applyBorder="1" applyProtection="1">
      <protection locked="0"/>
    </xf>
    <xf numFmtId="164" fontId="0" fillId="0" borderId="0" xfId="7" applyNumberFormat="1" applyFont="1" applyFill="1" applyBorder="1" applyAlignment="1">
      <alignment vertical="top"/>
    </xf>
    <xf numFmtId="168" fontId="8" fillId="60" borderId="1" xfId="11" applyNumberFormat="1" applyFont="1" applyFill="1" applyBorder="1" applyAlignment="1">
      <alignment horizontal="center" wrapText="1"/>
    </xf>
    <xf numFmtId="168" fontId="8" fillId="0" borderId="1" xfId="11" applyNumberFormat="1" applyFont="1" applyBorder="1" applyAlignment="1">
      <alignment horizontal="center" wrapText="1"/>
    </xf>
    <xf numFmtId="168" fontId="48" fillId="0" borderId="1" xfId="11" applyNumberFormat="1" applyBorder="1" applyAlignment="1">
      <alignment horizontal="center"/>
    </xf>
    <xf numFmtId="168" fontId="48" fillId="60" borderId="1" xfId="11" applyNumberFormat="1" applyFill="1" applyBorder="1" applyAlignment="1">
      <alignment horizontal="center"/>
    </xf>
    <xf numFmtId="168" fontId="0" fillId="0" borderId="1" xfId="0" applyNumberFormat="1" applyBorder="1" applyAlignment="1">
      <alignment horizontal="center"/>
    </xf>
    <xf numFmtId="168" fontId="0" fillId="0" borderId="0" xfId="0" applyNumberFormat="1" applyAlignment="1">
      <alignment horizontal="center"/>
    </xf>
    <xf numFmtId="0" fontId="13" fillId="65" borderId="24" xfId="0" applyFont="1" applyFill="1" applyBorder="1" applyAlignment="1" applyProtection="1">
      <alignment vertical="center"/>
      <protection locked="0"/>
    </xf>
    <xf numFmtId="0" fontId="0" fillId="6" borderId="0" xfId="0" applyFill="1" applyProtection="1">
      <protection locked="0"/>
    </xf>
    <xf numFmtId="0" fontId="19" fillId="65" borderId="40" xfId="0" applyFont="1" applyFill="1" applyBorder="1" applyAlignment="1" applyProtection="1">
      <alignment horizontal="center"/>
      <protection locked="0"/>
    </xf>
    <xf numFmtId="0" fontId="3" fillId="9" borderId="0" xfId="0" applyFont="1" applyFill="1"/>
    <xf numFmtId="0" fontId="3" fillId="0" borderId="0" xfId="0" applyFont="1"/>
    <xf numFmtId="44" fontId="3" fillId="0" borderId="0" xfId="1" applyFont="1" applyAlignment="1"/>
    <xf numFmtId="0" fontId="3" fillId="0" borderId="0" xfId="0" applyFont="1" applyAlignment="1">
      <alignment vertical="center"/>
    </xf>
    <xf numFmtId="0" fontId="3" fillId="0" borderId="30" xfId="0" applyFont="1" applyBorder="1" applyAlignment="1">
      <alignment vertical="center"/>
    </xf>
    <xf numFmtId="0" fontId="3" fillId="0" borderId="41" xfId="0" applyFont="1" applyBorder="1" applyAlignment="1">
      <alignment vertical="center"/>
    </xf>
    <xf numFmtId="0" fontId="3" fillId="0" borderId="25" xfId="0" applyFont="1" applyBorder="1" applyAlignment="1">
      <alignment vertical="center"/>
    </xf>
    <xf numFmtId="0" fontId="3" fillId="10" borderId="0" xfId="0" applyFont="1" applyFill="1" applyAlignment="1" applyProtection="1">
      <alignment horizontal="center" vertical="center"/>
      <protection locked="0"/>
    </xf>
    <xf numFmtId="0" fontId="3" fillId="50" borderId="25" xfId="0" applyFont="1" applyFill="1" applyBorder="1" applyProtection="1">
      <protection locked="0"/>
    </xf>
    <xf numFmtId="0" fontId="3" fillId="55" borderId="25" xfId="0" applyFont="1" applyFill="1" applyBorder="1" applyProtection="1">
      <protection locked="0"/>
    </xf>
    <xf numFmtId="0" fontId="3" fillId="50" borderId="41" xfId="0" applyFont="1" applyFill="1" applyBorder="1" applyProtection="1">
      <protection locked="0"/>
    </xf>
    <xf numFmtId="4" fontId="3" fillId="0" borderId="0" xfId="2" applyNumberFormat="1" applyFont="1" applyAlignment="1">
      <alignment horizontal="center"/>
    </xf>
    <xf numFmtId="0" fontId="3" fillId="0" borderId="41" xfId="0" applyFont="1" applyBorder="1"/>
    <xf numFmtId="0" fontId="3" fillId="0" borderId="25" xfId="0" applyFont="1" applyBorder="1"/>
    <xf numFmtId="0" fontId="3" fillId="0" borderId="0" xfId="0" applyFont="1" applyProtection="1">
      <protection locked="0"/>
    </xf>
    <xf numFmtId="4" fontId="3" fillId="0" borderId="0" xfId="2" applyNumberFormat="1" applyFont="1" applyAlignment="1" applyProtection="1">
      <alignment horizontal="center"/>
      <protection locked="0"/>
    </xf>
    <xf numFmtId="44" fontId="3" fillId="0" borderId="0" xfId="1" applyFont="1" applyAlignment="1" applyProtection="1">
      <protection locked="0"/>
    </xf>
    <xf numFmtId="0" fontId="3" fillId="9" borderId="0" xfId="0" applyFont="1" applyFill="1" applyAlignment="1">
      <alignment horizontal="left"/>
    </xf>
    <xf numFmtId="44" fontId="3" fillId="9" borderId="0" xfId="1" applyFont="1" applyFill="1" applyAlignment="1" applyProtection="1"/>
    <xf numFmtId="0" fontId="3" fillId="9" borderId="0" xfId="0" applyFont="1" applyFill="1" applyAlignment="1">
      <alignment vertical="center"/>
    </xf>
    <xf numFmtId="0" fontId="3" fillId="51" borderId="44" xfId="0" applyFont="1" applyFill="1" applyBorder="1" applyAlignment="1">
      <alignment horizontal="center"/>
    </xf>
    <xf numFmtId="0" fontId="3" fillId="51" borderId="34" xfId="0" applyFont="1" applyFill="1" applyBorder="1" applyAlignment="1">
      <alignment horizontal="center"/>
    </xf>
    <xf numFmtId="0" fontId="3" fillId="9" borderId="0" xfId="0" applyFont="1" applyFill="1" applyAlignment="1">
      <alignment horizontal="center"/>
    </xf>
    <xf numFmtId="0" fontId="35" fillId="0" borderId="0" xfId="0" applyFont="1" applyAlignment="1">
      <alignment horizontal="center"/>
    </xf>
    <xf numFmtId="0" fontId="32" fillId="0" borderId="0" xfId="0" applyFont="1" applyAlignment="1">
      <alignment horizontal="center"/>
    </xf>
    <xf numFmtId="0" fontId="91" fillId="9" borderId="0" xfId="0" applyFont="1" applyFill="1"/>
    <xf numFmtId="0" fontId="8" fillId="9" borderId="1" xfId="3" applyFill="1" applyBorder="1" applyAlignment="1">
      <alignment vertical="top"/>
    </xf>
    <xf numFmtId="0" fontId="34" fillId="9" borderId="1" xfId="0" applyFont="1" applyFill="1" applyBorder="1"/>
    <xf numFmtId="0" fontId="93" fillId="0" borderId="1" xfId="3" applyFont="1" applyBorder="1"/>
    <xf numFmtId="0" fontId="93" fillId="0" borderId="1" xfId="3" applyFont="1" applyBorder="1" applyAlignment="1">
      <alignment vertical="top"/>
    </xf>
    <xf numFmtId="0" fontId="93" fillId="0" borderId="0" xfId="3" applyFont="1"/>
    <xf numFmtId="0" fontId="92" fillId="0" borderId="1" xfId="3" applyFont="1" applyBorder="1"/>
    <xf numFmtId="0" fontId="92" fillId="0" borderId="1" xfId="3" applyFont="1" applyBorder="1" applyAlignment="1">
      <alignment vertical="top"/>
    </xf>
    <xf numFmtId="164" fontId="91" fillId="0" borderId="1" xfId="7" applyNumberFormat="1" applyFont="1" applyBorder="1" applyAlignment="1">
      <alignment horizontal="center" vertical="top"/>
    </xf>
    <xf numFmtId="0" fontId="92" fillId="0" borderId="0" xfId="3" applyFont="1"/>
    <xf numFmtId="0" fontId="0" fillId="0" borderId="59" xfId="0" applyBorder="1"/>
    <xf numFmtId="0" fontId="8" fillId="0" borderId="8" xfId="11" applyFont="1" applyBorder="1" applyAlignment="1">
      <alignment horizontal="right" wrapText="1"/>
    </xf>
    <xf numFmtId="0" fontId="13" fillId="62" borderId="24" xfId="0" applyFont="1" applyFill="1" applyBorder="1" applyAlignment="1" applyProtection="1">
      <alignment horizontal="center" vertical="center"/>
      <protection locked="0" hidden="1"/>
    </xf>
    <xf numFmtId="0" fontId="13" fillId="62" borderId="26" xfId="0" applyFont="1" applyFill="1" applyBorder="1" applyAlignment="1" applyProtection="1">
      <alignment horizontal="center" vertical="center"/>
      <protection locked="0" hidden="1"/>
    </xf>
    <xf numFmtId="0" fontId="31" fillId="25" borderId="0" xfId="31" applyFont="1" applyAlignment="1" applyProtection="1">
      <alignment horizontal="center"/>
    </xf>
    <xf numFmtId="0" fontId="13" fillId="62" borderId="60" xfId="0" applyFont="1" applyFill="1" applyBorder="1" applyAlignment="1" applyProtection="1">
      <alignment horizontal="center" vertical="center"/>
      <protection locked="0" hidden="1"/>
    </xf>
    <xf numFmtId="0" fontId="13" fillId="62" borderId="61" xfId="0" applyFont="1" applyFill="1" applyBorder="1" applyAlignment="1" applyProtection="1">
      <alignment horizontal="center" vertical="center"/>
      <protection locked="0" hidden="1"/>
    </xf>
    <xf numFmtId="0" fontId="0" fillId="51" borderId="37" xfId="0" applyFill="1" applyBorder="1" applyAlignment="1" applyProtection="1">
      <alignment horizontal="center"/>
      <protection locked="0"/>
    </xf>
    <xf numFmtId="0" fontId="0" fillId="51" borderId="24" xfId="0" applyFill="1" applyBorder="1" applyAlignment="1" applyProtection="1">
      <alignment horizontal="center"/>
      <protection locked="0"/>
    </xf>
    <xf numFmtId="44" fontId="11" fillId="6" borderId="41" xfId="1" applyFont="1" applyFill="1" applyBorder="1" applyAlignment="1" applyProtection="1">
      <alignment horizontal="center" vertical="center"/>
    </xf>
    <xf numFmtId="0" fontId="38" fillId="0" borderId="2" xfId="0" applyFont="1" applyBorder="1" applyAlignment="1">
      <alignment horizontal="center" wrapText="1"/>
    </xf>
    <xf numFmtId="0" fontId="38" fillId="0" borderId="4" xfId="0" applyFont="1" applyBorder="1" applyAlignment="1">
      <alignment horizontal="center" wrapText="1"/>
    </xf>
    <xf numFmtId="0" fontId="0" fillId="51" borderId="40" xfId="0" applyFill="1" applyBorder="1" applyAlignment="1" applyProtection="1">
      <alignment horizontal="center"/>
      <protection locked="0"/>
    </xf>
    <xf numFmtId="0" fontId="30" fillId="2" borderId="0" xfId="0" applyFont="1" applyFill="1" applyAlignment="1">
      <alignment horizontal="left" vertical="top"/>
    </xf>
    <xf numFmtId="0" fontId="17" fillId="51" borderId="41" xfId="1" applyNumberFormat="1" applyFont="1" applyFill="1" applyBorder="1" applyAlignment="1" applyProtection="1">
      <alignment horizontal="center" vertical="top"/>
      <protection locked="0"/>
    </xf>
    <xf numFmtId="0" fontId="17" fillId="51" borderId="25" xfId="1" applyNumberFormat="1" applyFont="1" applyFill="1" applyBorder="1" applyAlignment="1" applyProtection="1">
      <alignment horizontal="center" vertical="top"/>
      <protection locked="0"/>
    </xf>
    <xf numFmtId="0" fontId="28" fillId="54" borderId="24" xfId="0" applyFont="1" applyFill="1" applyBorder="1" applyAlignment="1" applyProtection="1">
      <alignment horizontal="center"/>
      <protection locked="0"/>
    </xf>
    <xf numFmtId="44" fontId="6" fillId="3" borderId="41" xfId="1" applyFont="1" applyFill="1" applyBorder="1" applyAlignment="1" applyProtection="1">
      <alignment horizontal="center" vertical="center"/>
    </xf>
    <xf numFmtId="0" fontId="43" fillId="54" borderId="44" xfId="0" applyFont="1" applyFill="1" applyBorder="1" applyAlignment="1" applyProtection="1">
      <alignment horizontal="center"/>
      <protection locked="0"/>
    </xf>
    <xf numFmtId="44" fontId="6" fillId="3" borderId="41" xfId="1" applyFont="1" applyFill="1" applyBorder="1" applyAlignment="1">
      <alignment horizontal="center" vertical="center"/>
    </xf>
    <xf numFmtId="0" fontId="28" fillId="54" borderId="26" xfId="0" applyFont="1" applyFill="1" applyBorder="1" applyAlignment="1" applyProtection="1">
      <alignment horizontal="center"/>
      <protection locked="0"/>
    </xf>
    <xf numFmtId="0" fontId="16" fillId="10" borderId="0" xfId="0" applyFont="1" applyFill="1" applyAlignment="1">
      <alignment horizontal="center" vertical="center"/>
    </xf>
    <xf numFmtId="0" fontId="46" fillId="13" borderId="0" xfId="0" applyFont="1" applyFill="1" applyAlignment="1">
      <alignment horizontal="center" vertical="center"/>
    </xf>
    <xf numFmtId="44" fontId="6" fillId="3" borderId="0" xfId="1" applyFont="1" applyFill="1" applyBorder="1" applyAlignment="1" applyProtection="1">
      <alignment horizontal="center" vertical="center"/>
    </xf>
    <xf numFmtId="44" fontId="6" fillId="3" borderId="41" xfId="1" applyFont="1" applyFill="1" applyBorder="1" applyAlignment="1" applyProtection="1">
      <alignment horizontal="center" vertical="center" wrapText="1"/>
    </xf>
    <xf numFmtId="0" fontId="19" fillId="54" borderId="24" xfId="0" applyFont="1" applyFill="1" applyBorder="1" applyAlignment="1" applyProtection="1">
      <alignment horizontal="center"/>
      <protection locked="0"/>
    </xf>
    <xf numFmtId="0" fontId="19" fillId="54" borderId="26" xfId="0" applyFont="1" applyFill="1" applyBorder="1" applyAlignment="1" applyProtection="1">
      <alignment horizontal="center"/>
      <protection locked="0"/>
    </xf>
    <xf numFmtId="0" fontId="13" fillId="6" borderId="38" xfId="0" applyFont="1" applyFill="1" applyBorder="1" applyAlignment="1">
      <alignment horizontal="left" vertical="center" wrapText="1"/>
    </xf>
    <xf numFmtId="0" fontId="13" fillId="6" borderId="41" xfId="0" applyFont="1" applyFill="1" applyBorder="1" applyAlignment="1">
      <alignment horizontal="left" vertical="center" wrapText="1"/>
    </xf>
    <xf numFmtId="0" fontId="13" fillId="62" borderId="44" xfId="0" applyFont="1" applyFill="1" applyBorder="1" applyAlignment="1" applyProtection="1">
      <alignment horizontal="center" vertical="center"/>
      <protection locked="0" hidden="1"/>
    </xf>
    <xf numFmtId="0" fontId="31" fillId="25" borderId="38" xfId="31" applyFont="1" applyBorder="1" applyAlignment="1" applyProtection="1">
      <alignment horizontal="center"/>
    </xf>
    <xf numFmtId="0" fontId="13" fillId="51" borderId="24" xfId="0" applyFont="1" applyFill="1" applyBorder="1" applyAlignment="1" applyProtection="1">
      <alignment horizontal="center" vertical="center"/>
      <protection hidden="1"/>
    </xf>
    <xf numFmtId="0" fontId="13" fillId="50" borderId="44" xfId="0" applyFont="1" applyFill="1" applyBorder="1" applyAlignment="1" applyProtection="1">
      <alignment horizontal="center" vertical="center"/>
      <protection hidden="1"/>
    </xf>
    <xf numFmtId="0" fontId="13" fillId="6" borderId="0" xfId="0" applyFont="1" applyFill="1" applyAlignment="1">
      <alignment horizontal="left" vertical="center"/>
    </xf>
    <xf numFmtId="0" fontId="13" fillId="6" borderId="41" xfId="0" applyFont="1" applyFill="1" applyBorder="1" applyAlignment="1">
      <alignment horizontal="left" vertical="center"/>
    </xf>
    <xf numFmtId="0" fontId="13" fillId="50" borderId="44" xfId="0" applyFont="1" applyFill="1" applyBorder="1" applyAlignment="1" applyProtection="1">
      <alignment vertical="center"/>
      <protection hidden="1"/>
    </xf>
    <xf numFmtId="0" fontId="13" fillId="0" borderId="0" xfId="0" applyFont="1" applyAlignment="1">
      <alignment horizontal="left" vertical="center" wrapText="1"/>
    </xf>
    <xf numFmtId="0" fontId="13" fillId="6" borderId="38" xfId="0" applyFont="1" applyFill="1" applyBorder="1" applyAlignment="1">
      <alignment horizontal="left" vertical="center"/>
    </xf>
    <xf numFmtId="0" fontId="94" fillId="65" borderId="0" xfId="0" applyFont="1" applyFill="1" applyAlignment="1">
      <alignment horizontal="left"/>
    </xf>
    <xf numFmtId="44" fontId="95" fillId="3" borderId="41" xfId="1" applyFont="1" applyFill="1" applyBorder="1" applyAlignment="1" applyProtection="1">
      <alignment horizontal="center" vertical="top" wrapText="1"/>
    </xf>
    <xf numFmtId="44" fontId="96" fillId="3" borderId="41" xfId="1" applyFont="1" applyFill="1" applyBorder="1" applyAlignment="1" applyProtection="1">
      <alignment horizontal="center" vertical="top" wrapText="1"/>
    </xf>
    <xf numFmtId="0" fontId="13" fillId="50" borderId="62" xfId="0" applyFont="1" applyFill="1" applyBorder="1" applyAlignment="1">
      <alignment horizontal="center" vertical="center" wrapText="1"/>
    </xf>
    <xf numFmtId="0" fontId="4" fillId="50" borderId="63" xfId="0" applyFont="1" applyFill="1" applyBorder="1" applyAlignment="1">
      <alignment horizontal="center" vertical="center" wrapText="1"/>
    </xf>
    <xf numFmtId="0" fontId="31" fillId="25" borderId="0" xfId="31" applyFont="1" applyBorder="1" applyAlignment="1" applyProtection="1">
      <alignment horizontal="center"/>
    </xf>
    <xf numFmtId="0" fontId="97" fillId="50" borderId="63" xfId="0" applyFont="1" applyFill="1" applyBorder="1" applyAlignment="1">
      <alignment horizontal="center" vertical="top" wrapText="1"/>
    </xf>
    <xf numFmtId="0" fontId="0" fillId="0" borderId="1" xfId="0" applyBorder="1" applyAlignment="1">
      <alignment horizontal="left" vertical="center"/>
    </xf>
    <xf numFmtId="0" fontId="0" fillId="0" borderId="1" xfId="0" applyBorder="1" applyAlignment="1">
      <alignment horizontal="left" vertical="center" wrapText="1"/>
    </xf>
    <xf numFmtId="49" fontId="0" fillId="0" borderId="1" xfId="0" applyNumberFormat="1" applyBorder="1" applyAlignment="1">
      <alignment horizontal="center" vertical="center"/>
    </xf>
    <xf numFmtId="1" fontId="0" fillId="0" borderId="1" xfId="0" applyNumberFormat="1" applyBorder="1" applyAlignment="1">
      <alignment horizontal="center" vertical="center"/>
    </xf>
    <xf numFmtId="0" fontId="32" fillId="0" borderId="1" xfId="0" applyFont="1" applyBorder="1" applyAlignment="1">
      <alignment horizontal="left" vertical="center"/>
    </xf>
    <xf numFmtId="49" fontId="32" fillId="0" borderId="1" xfId="0" applyNumberFormat="1" applyFont="1" applyBorder="1" applyAlignment="1">
      <alignment horizontal="center" vertical="center"/>
    </xf>
    <xf numFmtId="0" fontId="0" fillId="0" borderId="1" xfId="0" applyBorder="1" applyAlignment="1">
      <alignment horizontal="center"/>
    </xf>
    <xf numFmtId="0" fontId="0" fillId="9" borderId="1" xfId="0" applyFill="1" applyBorder="1" applyAlignment="1">
      <alignment horizontal="left" vertical="center"/>
    </xf>
    <xf numFmtId="0" fontId="0" fillId="0" borderId="1" xfId="0" applyBorder="1" applyAlignment="1">
      <alignment vertical="center"/>
    </xf>
    <xf numFmtId="0" fontId="31" fillId="67" borderId="1" xfId="0" applyFont="1" applyFill="1" applyBorder="1" applyAlignment="1">
      <alignment horizontal="center" vertical="top"/>
    </xf>
    <xf numFmtId="0" fontId="28" fillId="54" borderId="24" xfId="0" applyFont="1" applyFill="1" applyBorder="1" applyProtection="1">
      <protection locked="0"/>
    </xf>
    <xf numFmtId="44" fontId="6" fillId="0" borderId="41" xfId="1" applyFont="1" applyFill="1" applyBorder="1" applyAlignment="1" applyProtection="1">
      <alignment vertical="center" wrapText="1"/>
    </xf>
    <xf numFmtId="0" fontId="28" fillId="0" borderId="26" xfId="0" applyFont="1" applyBorder="1" applyProtection="1">
      <protection locked="0"/>
    </xf>
    <xf numFmtId="0" fontId="98" fillId="3" borderId="0" xfId="1" applyNumberFormat="1" applyFont="1" applyFill="1" applyBorder="1" applyAlignment="1" applyProtection="1">
      <alignment horizontal="center" vertical="center" wrapText="1"/>
    </xf>
    <xf numFmtId="0" fontId="99" fillId="0" borderId="0" xfId="0" applyFont="1"/>
    <xf numFmtId="43" fontId="32" fillId="0" borderId="1" xfId="2" applyFont="1" applyBorder="1" applyAlignment="1" applyProtection="1">
      <alignment horizontal="right"/>
      <protection locked="0"/>
    </xf>
    <xf numFmtId="166" fontId="32" fillId="0" borderId="1" xfId="2" applyNumberFormat="1" applyFont="1" applyBorder="1" applyAlignment="1" applyProtection="1">
      <alignment horizontal="right"/>
      <protection locked="0"/>
    </xf>
    <xf numFmtId="1" fontId="35" fillId="0" borderId="1" xfId="2" applyNumberFormat="1" applyFont="1" applyBorder="1" applyAlignment="1">
      <alignment vertical="top"/>
    </xf>
    <xf numFmtId="0" fontId="99" fillId="0" borderId="1" xfId="0" applyFont="1" applyBorder="1"/>
    <xf numFmtId="10" fontId="35" fillId="0" borderId="1" xfId="5" applyNumberFormat="1" applyFont="1" applyBorder="1"/>
    <xf numFmtId="164" fontId="0" fillId="0" borderId="1" xfId="2" applyNumberFormat="1" applyFont="1" applyBorder="1"/>
    <xf numFmtId="43" fontId="0" fillId="0" borderId="1" xfId="2" applyFont="1" applyBorder="1"/>
    <xf numFmtId="49" fontId="0" fillId="0" borderId="1" xfId="0" applyNumberFormat="1" applyBorder="1"/>
    <xf numFmtId="10" fontId="8" fillId="0" borderId="1" xfId="5" applyNumberFormat="1" applyFont="1" applyBorder="1"/>
    <xf numFmtId="43" fontId="32" fillId="0" borderId="1" xfId="2" applyFont="1" applyFill="1" applyBorder="1" applyAlignment="1" applyProtection="1">
      <alignment horizontal="right"/>
      <protection locked="0"/>
    </xf>
    <xf numFmtId="164" fontId="32" fillId="0" borderId="1" xfId="2" applyNumberFormat="1" applyFont="1" applyFill="1" applyBorder="1" applyAlignment="1" applyProtection="1">
      <alignment horizontal="right"/>
      <protection locked="0"/>
    </xf>
    <xf numFmtId="168" fontId="8" fillId="0" borderId="2" xfId="11" applyNumberFormat="1" applyFont="1" applyBorder="1" applyAlignment="1">
      <alignment horizontal="center" wrapText="1"/>
    </xf>
    <xf numFmtId="164" fontId="39" fillId="9" borderId="0" xfId="2" applyNumberFormat="1" applyFont="1" applyFill="1" applyBorder="1" applyAlignment="1" applyProtection="1">
      <alignment horizontal="center"/>
      <protection locked="0"/>
    </xf>
    <xf numFmtId="0" fontId="12" fillId="11" borderId="0" xfId="0" applyFont="1" applyFill="1"/>
    <xf numFmtId="0" fontId="22" fillId="51" borderId="52" xfId="0" applyFont="1" applyFill="1" applyBorder="1" applyAlignment="1" applyProtection="1">
      <alignment horizontal="center" vertical="top" wrapText="1"/>
      <protection locked="0"/>
    </xf>
    <xf numFmtId="0" fontId="22" fillId="51" borderId="0" xfId="0" applyFont="1" applyFill="1" applyAlignment="1" applyProtection="1">
      <alignment horizontal="center" vertical="top" wrapText="1"/>
      <protection locked="0"/>
    </xf>
    <xf numFmtId="0" fontId="22" fillId="51" borderId="51" xfId="0" applyFont="1" applyFill="1" applyBorder="1" applyAlignment="1" applyProtection="1">
      <alignment horizontal="center" vertical="top" wrapText="1"/>
      <protection locked="0"/>
    </xf>
    <xf numFmtId="0" fontId="22" fillId="0" borderId="52" xfId="0" applyFont="1" applyBorder="1" applyAlignment="1" applyProtection="1">
      <alignment horizontal="center" vertical="top" wrapText="1"/>
      <protection locked="0"/>
    </xf>
    <xf numFmtId="0" fontId="22" fillId="0" borderId="0" xfId="0" applyFont="1" applyAlignment="1" applyProtection="1">
      <alignment horizontal="center" vertical="top" wrapText="1"/>
      <protection locked="0"/>
    </xf>
    <xf numFmtId="0" fontId="22" fillId="0" borderId="51" xfId="0" applyFont="1" applyBorder="1" applyAlignment="1" applyProtection="1">
      <alignment horizontal="center" vertical="top" wrapText="1"/>
      <protection locked="0"/>
    </xf>
    <xf numFmtId="0" fontId="46" fillId="13" borderId="0" xfId="0" applyFont="1" applyFill="1" applyAlignment="1">
      <alignment horizontal="center" vertical="center" wrapText="1"/>
    </xf>
    <xf numFmtId="0" fontId="22" fillId="0" borderId="0" xfId="0" applyFont="1" applyAlignment="1" applyProtection="1">
      <alignment horizontal="left" vertical="top" wrapText="1"/>
      <protection locked="0"/>
    </xf>
    <xf numFmtId="0" fontId="46" fillId="13" borderId="34" xfId="0" applyFont="1" applyFill="1" applyBorder="1" applyAlignment="1">
      <alignment horizontal="center" vertical="center"/>
    </xf>
    <xf numFmtId="0" fontId="32" fillId="10" borderId="57" xfId="0" applyFont="1" applyFill="1" applyBorder="1" applyProtection="1">
      <protection locked="0"/>
    </xf>
    <xf numFmtId="0" fontId="46" fillId="13" borderId="30" xfId="0" applyFont="1" applyFill="1" applyBorder="1" applyAlignment="1">
      <alignment horizontal="center" vertical="center"/>
    </xf>
    <xf numFmtId="0" fontId="46" fillId="13" borderId="0" xfId="0" applyFont="1" applyFill="1" applyAlignment="1" applyProtection="1">
      <alignment horizontal="center" vertical="center"/>
      <protection locked="0"/>
    </xf>
    <xf numFmtId="0" fontId="46" fillId="13" borderId="35" xfId="0" applyFont="1" applyFill="1" applyBorder="1" applyAlignment="1">
      <alignment horizontal="center" vertical="center"/>
    </xf>
    <xf numFmtId="0" fontId="46" fillId="0" borderId="0" xfId="0" applyFont="1" applyAlignment="1">
      <alignment horizontal="center" vertical="top"/>
    </xf>
    <xf numFmtId="0" fontId="12" fillId="0" borderId="0" xfId="0" applyFont="1" applyAlignment="1">
      <alignment horizontal="center"/>
    </xf>
    <xf numFmtId="0" fontId="32" fillId="10" borderId="57" xfId="0" applyFont="1" applyFill="1" applyBorder="1"/>
    <xf numFmtId="0" fontId="32" fillId="10" borderId="57" xfId="0" applyFont="1" applyFill="1" applyBorder="1" applyAlignment="1">
      <alignment horizontal="center" vertical="top"/>
    </xf>
    <xf numFmtId="0" fontId="46" fillId="6" borderId="0" xfId="0" applyFont="1" applyFill="1" applyAlignment="1">
      <alignment horizontal="center" vertical="top"/>
    </xf>
    <xf numFmtId="0" fontId="24" fillId="6" borderId="0" xfId="0" applyFont="1" applyFill="1" applyAlignment="1">
      <alignment horizontal="center"/>
    </xf>
    <xf numFmtId="0" fontId="16" fillId="65" borderId="51" xfId="0" applyFont="1" applyFill="1" applyBorder="1" applyAlignment="1" applyProtection="1">
      <alignment horizontal="center" vertical="center"/>
      <protection locked="0"/>
    </xf>
    <xf numFmtId="0" fontId="22" fillId="62" borderId="51" xfId="0" applyFont="1" applyFill="1" applyBorder="1" applyAlignment="1" applyProtection="1">
      <alignment horizontal="center" vertical="top" wrapText="1"/>
      <protection locked="0"/>
    </xf>
    <xf numFmtId="164" fontId="39" fillId="0" borderId="0" xfId="2" applyNumberFormat="1" applyFont="1" applyFill="1" applyBorder="1" applyAlignment="1" applyProtection="1">
      <alignment horizontal="center"/>
      <protection locked="0"/>
    </xf>
    <xf numFmtId="0" fontId="19" fillId="59" borderId="40" xfId="0" applyFont="1" applyFill="1" applyBorder="1" applyAlignment="1" applyProtection="1">
      <alignment horizontal="center"/>
      <protection locked="0"/>
    </xf>
    <xf numFmtId="0" fontId="22" fillId="62" borderId="45" xfId="0" applyFont="1" applyFill="1" applyBorder="1" applyAlignment="1" applyProtection="1">
      <alignment vertical="center"/>
      <protection locked="0"/>
    </xf>
    <xf numFmtId="0" fontId="34" fillId="0" borderId="1" xfId="0" applyFont="1" applyBorder="1" applyAlignment="1">
      <alignment horizontal="center" vertical="center"/>
    </xf>
    <xf numFmtId="0" fontId="31" fillId="25" borderId="1" xfId="31" applyFont="1" applyBorder="1" applyAlignment="1" applyProtection="1">
      <alignment horizontal="center" vertical="center"/>
    </xf>
    <xf numFmtId="0" fontId="0" fillId="7" borderId="1" xfId="0" applyFill="1" applyBorder="1" applyAlignment="1">
      <alignment horizontal="center" vertical="center"/>
    </xf>
    <xf numFmtId="164" fontId="11" fillId="6" borderId="62" xfId="2" applyNumberFormat="1" applyFont="1" applyFill="1" applyBorder="1" applyAlignment="1" applyProtection="1">
      <alignment horizontal="center"/>
      <protection locked="0"/>
    </xf>
    <xf numFmtId="164" fontId="11" fillId="10" borderId="0" xfId="2" applyNumberFormat="1" applyFont="1" applyFill="1" applyBorder="1" applyAlignment="1" applyProtection="1">
      <protection locked="0"/>
    </xf>
    <xf numFmtId="0" fontId="100" fillId="9" borderId="0" xfId="0" applyFont="1" applyFill="1" applyAlignment="1">
      <alignment horizontal="center" vertical="center" wrapText="1"/>
    </xf>
    <xf numFmtId="0" fontId="40" fillId="60" borderId="1" xfId="9" applyFill="1" applyBorder="1" applyAlignment="1" applyProtection="1">
      <alignment vertical="center"/>
    </xf>
    <xf numFmtId="0" fontId="34" fillId="60" borderId="1" xfId="0" applyFont="1" applyFill="1" applyBorder="1" applyAlignment="1">
      <alignment vertical="center"/>
    </xf>
    <xf numFmtId="0" fontId="40" fillId="0" borderId="1" xfId="9" applyFill="1" applyBorder="1" applyAlignment="1" applyProtection="1"/>
    <xf numFmtId="0" fontId="2" fillId="0" borderId="1" xfId="3" applyFont="1" applyBorder="1"/>
    <xf numFmtId="0" fontId="8" fillId="9" borderId="1" xfId="3" applyFill="1" applyBorder="1"/>
    <xf numFmtId="0" fontId="8" fillId="0" borderId="68" xfId="3" applyBorder="1"/>
    <xf numFmtId="0" fontId="8" fillId="0" borderId="69" xfId="3" applyBorder="1"/>
    <xf numFmtId="0" fontId="2" fillId="0" borderId="1" xfId="0" applyFont="1" applyBorder="1" applyAlignment="1">
      <alignment horizontal="left"/>
    </xf>
    <xf numFmtId="0" fontId="37" fillId="9" borderId="1" xfId="0" applyFont="1" applyFill="1" applyBorder="1" applyAlignment="1">
      <alignment horizontal="left"/>
    </xf>
    <xf numFmtId="0" fontId="102" fillId="0" borderId="1" xfId="0" applyFont="1" applyBorder="1" applyAlignment="1">
      <alignment vertical="center"/>
    </xf>
    <xf numFmtId="0" fontId="35" fillId="0" borderId="1" xfId="0" applyFont="1" applyBorder="1" applyAlignment="1">
      <alignment vertical="center"/>
    </xf>
    <xf numFmtId="43" fontId="0" fillId="0" borderId="1" xfId="2" applyFont="1" applyBorder="1" applyAlignment="1" applyProtection="1">
      <alignment horizontal="right"/>
      <protection locked="0"/>
    </xf>
    <xf numFmtId="43" fontId="32" fillId="9" borderId="1" xfId="2" applyFont="1" applyFill="1" applyBorder="1" applyAlignment="1" applyProtection="1">
      <alignment horizontal="right"/>
      <protection locked="0"/>
    </xf>
    <xf numFmtId="43" fontId="0" fillId="0" borderId="1" xfId="2" applyFont="1" applyFill="1" applyBorder="1"/>
    <xf numFmtId="43" fontId="32" fillId="0" borderId="0" xfId="2" applyFont="1" applyBorder="1" applyAlignment="1" applyProtection="1">
      <alignment horizontal="right"/>
      <protection locked="0"/>
    </xf>
    <xf numFmtId="43" fontId="32" fillId="0" borderId="1" xfId="2" applyFont="1" applyBorder="1"/>
    <xf numFmtId="43" fontId="32" fillId="0" borderId="4" xfId="2" applyFont="1" applyBorder="1" applyAlignment="1" applyProtection="1">
      <alignment horizontal="right"/>
      <protection locked="0"/>
    </xf>
    <xf numFmtId="43" fontId="0" fillId="0" borderId="4" xfId="2" applyFont="1" applyBorder="1"/>
    <xf numFmtId="43" fontId="0" fillId="7" borderId="1" xfId="2" applyFont="1" applyFill="1" applyBorder="1"/>
    <xf numFmtId="43" fontId="32" fillId="0" borderId="8" xfId="2" applyFont="1" applyBorder="1" applyAlignment="1" applyProtection="1">
      <alignment horizontal="right"/>
      <protection locked="0"/>
    </xf>
    <xf numFmtId="43" fontId="32" fillId="0" borderId="68" xfId="2" applyFont="1" applyBorder="1" applyAlignment="1" applyProtection="1">
      <alignment horizontal="right"/>
      <protection locked="0"/>
    </xf>
    <xf numFmtId="43" fontId="32" fillId="0" borderId="69" xfId="2" applyFont="1" applyBorder="1" applyAlignment="1" applyProtection="1">
      <alignment horizontal="right"/>
      <protection locked="0"/>
    </xf>
    <xf numFmtId="0" fontId="0" fillId="0" borderId="1" xfId="0" applyBorder="1" applyAlignment="1">
      <alignment horizontal="right"/>
    </xf>
    <xf numFmtId="0" fontId="47" fillId="0" borderId="1" xfId="0" applyFont="1" applyBorder="1"/>
    <xf numFmtId="0" fontId="34" fillId="0" borderId="1" xfId="0" applyFont="1" applyBorder="1" applyAlignment="1">
      <alignment horizontal="center"/>
    </xf>
    <xf numFmtId="49" fontId="37" fillId="9" borderId="1" xfId="0" applyNumberFormat="1" applyFont="1" applyFill="1" applyBorder="1" applyAlignment="1">
      <alignment horizontal="left"/>
    </xf>
    <xf numFmtId="0" fontId="34" fillId="0" borderId="68" xfId="0" applyFont="1" applyBorder="1"/>
    <xf numFmtId="0" fontId="34" fillId="0" borderId="69" xfId="0" applyFont="1" applyBorder="1"/>
    <xf numFmtId="0" fontId="103" fillId="0" borderId="1" xfId="3" applyFont="1" applyBorder="1" applyAlignment="1">
      <alignment vertical="top"/>
    </xf>
    <xf numFmtId="49" fontId="2" fillId="0" borderId="1" xfId="0" applyNumberFormat="1" applyFont="1" applyBorder="1" applyAlignment="1">
      <alignment horizontal="left"/>
    </xf>
    <xf numFmtId="167" fontId="103" fillId="0" borderId="1" xfId="0" applyNumberFormat="1" applyFont="1" applyBorder="1" applyAlignment="1">
      <alignment horizontal="right"/>
    </xf>
    <xf numFmtId="167" fontId="35" fillId="9" borderId="1" xfId="0" applyNumberFormat="1" applyFont="1" applyFill="1" applyBorder="1" applyAlignment="1">
      <alignment horizontal="right"/>
    </xf>
    <xf numFmtId="167" fontId="32" fillId="0" borderId="1" xfId="0" applyNumberFormat="1" applyFont="1" applyBorder="1"/>
    <xf numFmtId="167" fontId="2" fillId="0" borderId="1" xfId="0" applyNumberFormat="1" applyFont="1" applyBorder="1" applyAlignment="1">
      <alignment horizontal="right"/>
    </xf>
    <xf numFmtId="0" fontId="32" fillId="0" borderId="68" xfId="0" applyFont="1" applyBorder="1"/>
    <xf numFmtId="167" fontId="35" fillId="0" borderId="68" xfId="0" applyNumberFormat="1" applyFont="1" applyBorder="1" applyAlignment="1">
      <alignment horizontal="right"/>
    </xf>
    <xf numFmtId="0" fontId="32" fillId="0" borderId="69" xfId="0" applyFont="1" applyBorder="1"/>
    <xf numFmtId="167" fontId="35" fillId="0" borderId="69" xfId="0" applyNumberFormat="1" applyFont="1" applyBorder="1" applyAlignment="1">
      <alignment horizontal="right"/>
    </xf>
    <xf numFmtId="14" fontId="47" fillId="0" borderId="1" xfId="0" applyNumberFormat="1" applyFont="1" applyBorder="1" applyAlignment="1">
      <alignment horizontal="right"/>
    </xf>
    <xf numFmtId="14" fontId="32" fillId="9" borderId="1" xfId="0" applyNumberFormat="1" applyFont="1" applyFill="1" applyBorder="1" applyAlignment="1">
      <alignment horizontal="right"/>
    </xf>
    <xf numFmtId="17" fontId="0" fillId="0" borderId="1" xfId="0" applyNumberFormat="1" applyBorder="1"/>
    <xf numFmtId="17" fontId="32" fillId="0" borderId="1" xfId="0" applyNumberFormat="1" applyFont="1" applyBorder="1"/>
    <xf numFmtId="14" fontId="32" fillId="0" borderId="68" xfId="0" applyNumberFormat="1" applyFont="1" applyBorder="1" applyAlignment="1">
      <alignment horizontal="right"/>
    </xf>
    <xf numFmtId="14" fontId="32" fillId="0" borderId="69" xfId="0" applyNumberFormat="1" applyFont="1" applyBorder="1" applyAlignment="1">
      <alignment horizontal="right"/>
    </xf>
    <xf numFmtId="14" fontId="0" fillId="0" borderId="1" xfId="0" applyNumberFormat="1" applyBorder="1" applyAlignment="1">
      <alignment horizontal="center"/>
    </xf>
    <xf numFmtId="1" fontId="103" fillId="0" borderId="1" xfId="2" applyNumberFormat="1" applyFont="1" applyBorder="1" applyAlignment="1">
      <alignment vertical="top"/>
    </xf>
    <xf numFmtId="1" fontId="8" fillId="9" borderId="1" xfId="2" applyNumberFormat="1" applyFont="1" applyFill="1" applyBorder="1" applyAlignment="1">
      <alignment vertical="top"/>
    </xf>
    <xf numFmtId="1" fontId="32" fillId="0" borderId="1" xfId="2" applyNumberFormat="1" applyFont="1" applyBorder="1"/>
    <xf numFmtId="1" fontId="8" fillId="0" borderId="1" xfId="2" applyNumberFormat="1" applyFont="1" applyBorder="1"/>
    <xf numFmtId="1" fontId="0" fillId="0" borderId="1" xfId="2" applyNumberFormat="1" applyFont="1" applyBorder="1" applyAlignment="1">
      <alignment vertical="top"/>
    </xf>
    <xf numFmtId="1" fontId="0" fillId="7" borderId="1" xfId="2" applyNumberFormat="1" applyFont="1" applyFill="1" applyBorder="1" applyAlignment="1">
      <alignment vertical="top"/>
    </xf>
    <xf numFmtId="1" fontId="8" fillId="0" borderId="8" xfId="2" applyNumberFormat="1" applyFont="1" applyBorder="1" applyAlignment="1">
      <alignment vertical="top"/>
    </xf>
    <xf numFmtId="164" fontId="32" fillId="0" borderId="1" xfId="2" applyNumberFormat="1" applyFont="1" applyBorder="1" applyAlignment="1" applyProtection="1">
      <alignment horizontal="right"/>
      <protection locked="0"/>
    </xf>
    <xf numFmtId="166" fontId="47" fillId="0" borderId="1" xfId="2" applyNumberFormat="1" applyFont="1" applyBorder="1" applyAlignment="1" applyProtection="1">
      <alignment horizontal="right"/>
      <protection locked="0"/>
    </xf>
    <xf numFmtId="0" fontId="32" fillId="0" borderId="1" xfId="2" applyNumberFormat="1" applyFont="1" applyBorder="1"/>
    <xf numFmtId="1" fontId="0" fillId="0" borderId="1" xfId="0" applyNumberFormat="1" applyBorder="1"/>
    <xf numFmtId="0" fontId="32" fillId="0" borderId="4" xfId="0" applyFont="1" applyBorder="1"/>
    <xf numFmtId="0" fontId="32" fillId="0" borderId="1" xfId="2" applyNumberFormat="1" applyFont="1" applyFill="1" applyBorder="1" applyAlignment="1" applyProtection="1">
      <alignment horizontal="right"/>
      <protection locked="0"/>
    </xf>
    <xf numFmtId="164" fontId="0" fillId="0" borderId="1" xfId="0" applyNumberFormat="1" applyBorder="1"/>
    <xf numFmtId="0" fontId="0" fillId="9" borderId="1" xfId="0" applyFill="1" applyBorder="1"/>
    <xf numFmtId="0" fontId="35" fillId="0" borderId="1" xfId="8" applyFont="1" applyBorder="1"/>
    <xf numFmtId="0" fontId="2" fillId="0" borderId="1" xfId="3" applyFont="1" applyBorder="1" applyAlignment="1">
      <alignment vertical="top"/>
    </xf>
    <xf numFmtId="0" fontId="8" fillId="0" borderId="6" xfId="3" applyBorder="1" applyAlignment="1">
      <alignment vertical="top"/>
    </xf>
    <xf numFmtId="10" fontId="0" fillId="0" borderId="1" xfId="6" applyNumberFormat="1" applyFont="1" applyBorder="1" applyAlignment="1">
      <alignment vertical="top"/>
    </xf>
    <xf numFmtId="10" fontId="32" fillId="0" borderId="1" xfId="6" applyNumberFormat="1" applyFont="1" applyBorder="1" applyAlignment="1">
      <alignment vertical="top"/>
    </xf>
    <xf numFmtId="164" fontId="47" fillId="0" borderId="1" xfId="2" applyNumberFormat="1" applyFont="1" applyBorder="1"/>
    <xf numFmtId="164" fontId="47" fillId="0" borderId="1" xfId="0" applyNumberFormat="1" applyFont="1" applyBorder="1"/>
    <xf numFmtId="9" fontId="8" fillId="0" borderId="1" xfId="5" applyFont="1" applyBorder="1"/>
    <xf numFmtId="164" fontId="32" fillId="0" borderId="1" xfId="2" applyNumberFormat="1" applyFont="1" applyBorder="1"/>
    <xf numFmtId="164" fontId="0" fillId="0" borderId="8" xfId="2" applyNumberFormat="1" applyFont="1" applyBorder="1"/>
    <xf numFmtId="0" fontId="0" fillId="0" borderId="68" xfId="0" applyBorder="1"/>
    <xf numFmtId="0" fontId="0" fillId="0" borderId="69" xfId="0" applyBorder="1"/>
    <xf numFmtId="0" fontId="28" fillId="0" borderId="1" xfId="3" applyFont="1" applyBorder="1" applyProtection="1">
      <protection locked="0"/>
    </xf>
    <xf numFmtId="0" fontId="32" fillId="0" borderId="1" xfId="3" applyFont="1" applyBorder="1" applyProtection="1">
      <protection locked="0"/>
    </xf>
    <xf numFmtId="0" fontId="35" fillId="0" borderId="0" xfId="0" applyFont="1" applyAlignment="1">
      <alignment horizontal="left"/>
    </xf>
    <xf numFmtId="0" fontId="35" fillId="0" borderId="69" xfId="0" applyFont="1" applyBorder="1" applyAlignment="1">
      <alignment horizontal="left"/>
    </xf>
    <xf numFmtId="0" fontId="35" fillId="0" borderId="68" xfId="0" applyFont="1" applyBorder="1" applyAlignment="1">
      <alignment horizontal="left"/>
    </xf>
    <xf numFmtId="43" fontId="0" fillId="7" borderId="4" xfId="2" applyFont="1" applyFill="1" applyBorder="1"/>
    <xf numFmtId="43" fontId="47" fillId="0" borderId="1" xfId="2" applyFont="1" applyBorder="1" applyAlignment="1" applyProtection="1">
      <alignment horizontal="right"/>
      <protection locked="0"/>
    </xf>
    <xf numFmtId="49" fontId="35" fillId="0" borderId="69" xfId="0" applyNumberFormat="1" applyFont="1" applyBorder="1" applyAlignment="1">
      <alignment horizontal="left"/>
    </xf>
    <xf numFmtId="49" fontId="35" fillId="0" borderId="68" xfId="0" applyNumberFormat="1" applyFont="1" applyBorder="1" applyAlignment="1">
      <alignment horizontal="left"/>
    </xf>
    <xf numFmtId="0" fontId="0" fillId="0" borderId="1" xfId="2" applyNumberFormat="1" applyFont="1" applyBorder="1"/>
    <xf numFmtId="0" fontId="8" fillId="0" borderId="69" xfId="8" applyFont="1" applyBorder="1"/>
    <xf numFmtId="0" fontId="8" fillId="0" borderId="68" xfId="8" applyFont="1" applyBorder="1"/>
    <xf numFmtId="10" fontId="8" fillId="0" borderId="68" xfId="5" applyNumberFormat="1" applyFont="1" applyBorder="1"/>
    <xf numFmtId="164" fontId="0" fillId="0" borderId="68" xfId="2" applyNumberFormat="1" applyFont="1" applyBorder="1"/>
    <xf numFmtId="0" fontId="8" fillId="0" borderId="0" xfId="3" applyAlignment="1">
      <alignment vertical="top"/>
    </xf>
    <xf numFmtId="0" fontId="0" fillId="0" borderId="1" xfId="0" applyBorder="1" applyAlignment="1">
      <alignment horizontal="left"/>
    </xf>
    <xf numFmtId="0" fontId="92" fillId="9" borderId="0" xfId="3" applyFont="1" applyFill="1"/>
    <xf numFmtId="0" fontId="32" fillId="9" borderId="1" xfId="0" applyFont="1" applyFill="1" applyBorder="1" applyAlignment="1">
      <alignment horizontal="left"/>
    </xf>
    <xf numFmtId="49" fontId="32" fillId="0" borderId="0" xfId="0" applyNumberFormat="1" applyFont="1" applyAlignment="1">
      <alignment horizontal="left"/>
    </xf>
    <xf numFmtId="1" fontId="8" fillId="0" borderId="69" xfId="2" applyNumberFormat="1" applyFont="1" applyBorder="1"/>
    <xf numFmtId="1" fontId="8" fillId="0" borderId="68" xfId="2" applyNumberFormat="1" applyFont="1" applyBorder="1"/>
    <xf numFmtId="0" fontId="0" fillId="0" borderId="4" xfId="0" applyBorder="1"/>
    <xf numFmtId="0" fontId="0" fillId="60" borderId="47" xfId="0" applyFill="1" applyBorder="1"/>
    <xf numFmtId="10" fontId="8" fillId="0" borderId="69" xfId="5" applyNumberFormat="1" applyFont="1" applyBorder="1"/>
    <xf numFmtId="164" fontId="0" fillId="0" borderId="69" xfId="2" applyNumberFormat="1" applyFont="1" applyBorder="1"/>
    <xf numFmtId="0" fontId="8" fillId="9" borderId="12" xfId="3" applyFill="1" applyBorder="1" applyAlignment="1">
      <alignment vertical="top"/>
    </xf>
    <xf numFmtId="0" fontId="8" fillId="60" borderId="12" xfId="3" applyFill="1" applyBorder="1" applyAlignment="1">
      <alignment vertical="top"/>
    </xf>
    <xf numFmtId="0" fontId="4" fillId="0" borderId="1" xfId="3" applyFont="1" applyBorder="1"/>
    <xf numFmtId="0" fontId="4" fillId="0" borderId="1" xfId="3" applyFont="1" applyBorder="1" applyAlignment="1">
      <alignment vertical="top"/>
    </xf>
    <xf numFmtId="0" fontId="4" fillId="0" borderId="1" xfId="8" applyFont="1" applyBorder="1"/>
    <xf numFmtId="0" fontId="4" fillId="0" borderId="1" xfId="0" applyFont="1" applyBorder="1"/>
    <xf numFmtId="0" fontId="4" fillId="9" borderId="1" xfId="0" applyFont="1" applyFill="1" applyBorder="1"/>
    <xf numFmtId="3" fontId="4" fillId="0" borderId="1" xfId="3" applyNumberFormat="1" applyFont="1" applyBorder="1" applyAlignment="1">
      <alignment horizontal="center" vertical="top"/>
    </xf>
    <xf numFmtId="3" fontId="4" fillId="0" borderId="1" xfId="2" applyNumberFormat="1" applyFont="1" applyBorder="1" applyAlignment="1">
      <alignment horizontal="center"/>
    </xf>
    <xf numFmtId="3" fontId="4" fillId="0" borderId="1" xfId="3" applyNumberFormat="1" applyFont="1" applyBorder="1" applyAlignment="1">
      <alignment horizontal="center"/>
    </xf>
    <xf numFmtId="3" fontId="4" fillId="0" borderId="1" xfId="7" applyNumberFormat="1" applyFont="1" applyBorder="1" applyAlignment="1">
      <alignment horizontal="center" vertical="top"/>
    </xf>
    <xf numFmtId="0" fontId="4" fillId="7" borderId="1" xfId="0" applyFont="1" applyFill="1" applyBorder="1"/>
    <xf numFmtId="0" fontId="4" fillId="9" borderId="1" xfId="0" applyFont="1" applyFill="1" applyBorder="1" applyAlignment="1">
      <alignment horizontal="left"/>
    </xf>
    <xf numFmtId="0" fontId="106" fillId="9" borderId="1" xfId="0" applyFont="1" applyFill="1" applyBorder="1"/>
    <xf numFmtId="0" fontId="62" fillId="9" borderId="1" xfId="0" applyFont="1" applyFill="1" applyBorder="1"/>
    <xf numFmtId="165" fontId="4" fillId="0" borderId="1" xfId="4" applyNumberFormat="1" applyFont="1" applyBorder="1" applyAlignment="1">
      <alignment vertical="top"/>
    </xf>
    <xf numFmtId="0" fontId="32" fillId="0" borderId="1" xfId="3" applyFont="1" applyBorder="1"/>
    <xf numFmtId="0" fontId="107" fillId="0" borderId="1" xfId="3" applyFont="1" applyBorder="1"/>
    <xf numFmtId="0" fontId="37" fillId="0" borderId="1" xfId="3" applyFont="1" applyBorder="1"/>
    <xf numFmtId="0" fontId="108" fillId="0" borderId="1" xfId="3" applyFont="1" applyBorder="1"/>
    <xf numFmtId="168" fontId="107" fillId="0" borderId="1" xfId="0" applyNumberFormat="1" applyFont="1" applyBorder="1"/>
    <xf numFmtId="165" fontId="107" fillId="0" borderId="1" xfId="4" applyNumberFormat="1" applyFont="1" applyBorder="1" applyAlignment="1">
      <alignment vertical="top"/>
    </xf>
    <xf numFmtId="44" fontId="4" fillId="0" borderId="1" xfId="4" applyFont="1" applyBorder="1" applyAlignment="1">
      <alignment horizontal="left" vertical="center"/>
    </xf>
    <xf numFmtId="0" fontId="108" fillId="7" borderId="1" xfId="0" applyFont="1" applyFill="1" applyBorder="1"/>
    <xf numFmtId="0" fontId="4" fillId="0" borderId="1" xfId="0" applyFont="1" applyBorder="1" applyAlignment="1">
      <alignment horizontal="left"/>
    </xf>
    <xf numFmtId="0" fontId="4" fillId="0" borderId="1" xfId="3" applyFont="1" applyBorder="1" applyAlignment="1">
      <alignment horizontal="center" vertical="center"/>
    </xf>
    <xf numFmtId="0" fontId="4" fillId="0" borderId="1" xfId="3" applyFont="1" applyBorder="1" applyAlignment="1">
      <alignment horizontal="center"/>
    </xf>
    <xf numFmtId="0" fontId="4" fillId="0" borderId="1" xfId="0" applyFont="1" applyBorder="1" applyAlignment="1">
      <alignment horizontal="center"/>
    </xf>
    <xf numFmtId="0" fontId="4" fillId="7" borderId="1" xfId="0" applyFont="1" applyFill="1" applyBorder="1" applyAlignment="1">
      <alignment horizontal="center"/>
    </xf>
    <xf numFmtId="0" fontId="4" fillId="9" borderId="1" xfId="0" applyFont="1" applyFill="1" applyBorder="1" applyAlignment="1">
      <alignment horizontal="center"/>
    </xf>
    <xf numFmtId="0" fontId="32" fillId="0" borderId="1" xfId="3" applyFont="1" applyBorder="1" applyAlignment="1">
      <alignment horizontal="center" vertical="top"/>
    </xf>
    <xf numFmtId="0" fontId="37" fillId="0" borderId="1" xfId="3" applyFont="1" applyBorder="1" applyAlignment="1">
      <alignment horizontal="center" vertical="top"/>
    </xf>
    <xf numFmtId="0" fontId="32" fillId="0" borderId="1" xfId="3" applyFont="1" applyBorder="1" applyAlignment="1">
      <alignment horizontal="center"/>
    </xf>
    <xf numFmtId="0" fontId="107" fillId="0" borderId="1" xfId="3" applyFont="1" applyBorder="1" applyAlignment="1">
      <alignment horizontal="center"/>
    </xf>
    <xf numFmtId="0" fontId="37" fillId="0" borderId="1" xfId="3" applyFont="1" applyBorder="1" applyAlignment="1">
      <alignment horizontal="center"/>
    </xf>
    <xf numFmtId="0" fontId="47" fillId="0" borderId="1" xfId="3" applyFont="1" applyBorder="1" applyAlignment="1">
      <alignment horizontal="center"/>
    </xf>
    <xf numFmtId="0" fontId="47" fillId="0" borderId="1" xfId="3" applyFont="1" applyBorder="1" applyAlignment="1">
      <alignment horizontal="center" vertical="top"/>
    </xf>
    <xf numFmtId="0" fontId="107" fillId="0" borderId="1" xfId="0" applyFont="1" applyBorder="1" applyAlignment="1">
      <alignment horizontal="center"/>
    </xf>
    <xf numFmtId="0" fontId="107" fillId="0" borderId="1" xfId="3" applyFont="1" applyBorder="1" applyAlignment="1">
      <alignment horizontal="center" vertical="top"/>
    </xf>
    <xf numFmtId="0" fontId="108" fillId="7" borderId="1" xfId="0" applyFont="1" applyFill="1" applyBorder="1" applyAlignment="1">
      <alignment horizontal="center"/>
    </xf>
    <xf numFmtId="0" fontId="47" fillId="9" borderId="1" xfId="0" applyFont="1" applyFill="1" applyBorder="1" applyAlignment="1">
      <alignment horizontal="center"/>
    </xf>
    <xf numFmtId="0" fontId="0" fillId="9" borderId="1" xfId="0" applyFill="1" applyBorder="1" applyAlignment="1">
      <alignment horizontal="center"/>
    </xf>
    <xf numFmtId="164" fontId="0" fillId="61" borderId="0" xfId="7" applyNumberFormat="1" applyFont="1" applyFill="1" applyBorder="1" applyAlignment="1">
      <alignment horizontal="center" vertical="top"/>
    </xf>
    <xf numFmtId="0" fontId="92" fillId="0" borderId="0" xfId="3" applyFont="1" applyAlignment="1">
      <alignment vertical="top"/>
    </xf>
    <xf numFmtId="0" fontId="35" fillId="0" borderId="0" xfId="3" applyFont="1"/>
    <xf numFmtId="0" fontId="35" fillId="60" borderId="0" xfId="3" applyFont="1" applyFill="1"/>
    <xf numFmtId="0" fontId="8" fillId="60" borderId="0" xfId="3" applyFill="1" applyAlignment="1">
      <alignment vertical="top"/>
    </xf>
    <xf numFmtId="0" fontId="28" fillId="54" borderId="39" xfId="0" applyFont="1" applyFill="1" applyBorder="1" applyAlignment="1" applyProtection="1">
      <alignment horizontal="center"/>
      <protection locked="0"/>
    </xf>
    <xf numFmtId="0" fontId="0" fillId="0" borderId="1" xfId="0" applyBorder="1" applyAlignment="1">
      <alignment horizontal="center" vertical="center" wrapText="1"/>
    </xf>
    <xf numFmtId="0" fontId="32" fillId="0" borderId="1" xfId="63" applyFont="1" applyBorder="1" applyAlignment="1">
      <alignment horizontal="center" vertical="center"/>
    </xf>
    <xf numFmtId="0" fontId="31" fillId="0" borderId="1" xfId="0" applyFont="1" applyBorder="1" applyAlignment="1">
      <alignment horizontal="center" vertical="center" wrapText="1"/>
    </xf>
    <xf numFmtId="0" fontId="91" fillId="0" borderId="1" xfId="0" applyFont="1" applyBorder="1" applyAlignment="1">
      <alignment horizontal="center" vertical="center"/>
    </xf>
    <xf numFmtId="49" fontId="91" fillId="0" borderId="1" xfId="0" applyNumberFormat="1" applyFont="1" applyBorder="1" applyAlignment="1">
      <alignment horizontal="center" vertical="center"/>
    </xf>
    <xf numFmtId="1" fontId="32" fillId="0" borderId="1" xfId="0" applyNumberFormat="1" applyFont="1" applyBorder="1" applyAlignment="1">
      <alignment horizontal="center" vertical="center"/>
    </xf>
    <xf numFmtId="0" fontId="0" fillId="9" borderId="1" xfId="0" applyFill="1" applyBorder="1" applyAlignment="1">
      <alignment horizontal="center" vertical="center" wrapText="1"/>
    </xf>
    <xf numFmtId="3" fontId="0" fillId="0" borderId="1" xfId="0" applyNumberFormat="1" applyBorder="1" applyAlignment="1">
      <alignment horizontal="center" vertical="center"/>
    </xf>
    <xf numFmtId="3" fontId="32" fillId="0" borderId="1" xfId="0" applyNumberFormat="1" applyFont="1" applyBorder="1" applyAlignment="1">
      <alignment horizontal="center" vertical="center"/>
    </xf>
    <xf numFmtId="3" fontId="91" fillId="0" borderId="1" xfId="0" applyNumberFormat="1" applyFont="1" applyBorder="1" applyAlignment="1">
      <alignment horizontal="center" vertical="center"/>
    </xf>
    <xf numFmtId="3" fontId="0" fillId="0" borderId="1" xfId="0" applyNumberFormat="1" applyBorder="1"/>
    <xf numFmtId="168" fontId="0" fillId="0" borderId="1" xfId="0" applyNumberFormat="1" applyBorder="1"/>
    <xf numFmtId="168" fontId="0" fillId="0" borderId="1" xfId="1" applyNumberFormat="1" applyFont="1" applyFill="1" applyBorder="1"/>
    <xf numFmtId="3" fontId="0" fillId="0" borderId="1" xfId="2" applyNumberFormat="1" applyFont="1" applyFill="1" applyBorder="1"/>
    <xf numFmtId="0" fontId="60" fillId="9" borderId="1" xfId="54" applyFill="1" applyBorder="1" applyAlignment="1">
      <alignment horizontal="left" vertical="center" wrapText="1"/>
    </xf>
    <xf numFmtId="0" fontId="32" fillId="0" borderId="1" xfId="0" applyFont="1" applyBorder="1" applyAlignment="1">
      <alignment horizontal="left" vertical="center" wrapText="1"/>
    </xf>
    <xf numFmtId="0" fontId="91" fillId="0" borderId="1" xfId="0" applyFont="1" applyBorder="1" applyAlignment="1">
      <alignment horizontal="left" vertical="center" wrapText="1"/>
    </xf>
    <xf numFmtId="0" fontId="91" fillId="9" borderId="1" xfId="0" applyFont="1" applyFill="1" applyBorder="1" applyAlignment="1">
      <alignment horizontal="left" vertical="center" wrapText="1"/>
    </xf>
    <xf numFmtId="0" fontId="32" fillId="7" borderId="1" xfId="0" applyFont="1" applyFill="1" applyBorder="1" applyAlignment="1">
      <alignment horizontal="left" vertical="center" wrapText="1"/>
    </xf>
    <xf numFmtId="0" fontId="32" fillId="9" borderId="1" xfId="0" applyFont="1" applyFill="1" applyBorder="1" applyAlignment="1">
      <alignment horizontal="left" vertical="center" wrapText="1"/>
    </xf>
    <xf numFmtId="2" fontId="32" fillId="9" borderId="1" xfId="0" applyNumberFormat="1" applyFont="1" applyFill="1" applyBorder="1" applyAlignment="1">
      <alignment horizontal="left" vertical="center" wrapText="1"/>
    </xf>
    <xf numFmtId="2" fontId="32" fillId="7" borderId="1" xfId="0" applyNumberFormat="1" applyFont="1" applyFill="1" applyBorder="1" applyAlignment="1">
      <alignment horizontal="left" vertical="center" wrapText="1"/>
    </xf>
    <xf numFmtId="2" fontId="91" fillId="0" borderId="1" xfId="0" applyNumberFormat="1" applyFont="1" applyBorder="1" applyAlignment="1">
      <alignment horizontal="left" vertical="center" wrapText="1"/>
    </xf>
    <xf numFmtId="2" fontId="32" fillId="0" borderId="1" xfId="0" applyNumberFormat="1" applyFont="1" applyBorder="1" applyAlignment="1">
      <alignment horizontal="left" vertical="center" wrapText="1"/>
    </xf>
    <xf numFmtId="2" fontId="91" fillId="7" borderId="1" xfId="0" applyNumberFormat="1" applyFont="1" applyFill="1" applyBorder="1" applyAlignment="1">
      <alignment horizontal="left" vertical="center" wrapText="1"/>
    </xf>
    <xf numFmtId="2" fontId="0" fillId="0" borderId="1" xfId="0" applyNumberFormat="1" applyBorder="1" applyAlignment="1">
      <alignment horizontal="left" vertical="center" wrapText="1"/>
    </xf>
    <xf numFmtId="2" fontId="0" fillId="9" borderId="1" xfId="0" applyNumberFormat="1" applyFill="1" applyBorder="1" applyAlignment="1">
      <alignment horizontal="left" vertical="center" wrapText="1"/>
    </xf>
    <xf numFmtId="170" fontId="0" fillId="9" borderId="4" xfId="0" applyNumberFormat="1" applyFill="1" applyBorder="1" applyAlignment="1">
      <alignment horizontal="center" vertical="center" wrapText="1"/>
    </xf>
    <xf numFmtId="170" fontId="0" fillId="9" borderId="1" xfId="0" applyNumberFormat="1" applyFill="1" applyBorder="1" applyAlignment="1">
      <alignment horizontal="center" vertical="center" wrapText="1"/>
    </xf>
    <xf numFmtId="0" fontId="60" fillId="0" borderId="1" xfId="54" applyBorder="1" applyAlignment="1">
      <alignment horizontal="left" vertical="center" wrapText="1"/>
    </xf>
    <xf numFmtId="0" fontId="60" fillId="0" borderId="1" xfId="54" applyBorder="1" applyAlignment="1">
      <alignment horizontal="left" vertical="center"/>
    </xf>
    <xf numFmtId="0" fontId="32" fillId="0" borderId="8" xfId="0" applyFont="1" applyBorder="1" applyAlignment="1">
      <alignment horizontal="left" vertical="center" wrapText="1"/>
    </xf>
    <xf numFmtId="0" fontId="109" fillId="9" borderId="1" xfId="54" applyFont="1" applyFill="1" applyBorder="1" applyAlignment="1">
      <alignment horizontal="left" vertical="center" wrapText="1"/>
    </xf>
    <xf numFmtId="0" fontId="109" fillId="0" borderId="1" xfId="54" applyFont="1" applyBorder="1" applyAlignment="1">
      <alignment horizontal="left" vertical="center"/>
    </xf>
    <xf numFmtId="0" fontId="91" fillId="0" borderId="1" xfId="0" applyFont="1" applyBorder="1" applyAlignment="1">
      <alignment horizontal="left" vertical="center"/>
    </xf>
    <xf numFmtId="0" fontId="60" fillId="0" borderId="1" xfId="54" applyFill="1" applyBorder="1" applyAlignment="1">
      <alignment horizontal="left" vertical="center" wrapText="1"/>
    </xf>
    <xf numFmtId="0" fontId="32" fillId="0" borderId="1" xfId="54" applyFont="1" applyBorder="1" applyAlignment="1">
      <alignment horizontal="left" vertical="center"/>
    </xf>
    <xf numFmtId="0" fontId="84" fillId="0" borderId="1" xfId="54" applyFont="1" applyBorder="1" applyAlignment="1">
      <alignment horizontal="left" vertical="center" wrapText="1"/>
    </xf>
    <xf numFmtId="0" fontId="32" fillId="9" borderId="1" xfId="0" applyFont="1" applyFill="1" applyBorder="1" applyAlignment="1">
      <alignment horizontal="left" vertical="center"/>
    </xf>
    <xf numFmtId="0" fontId="109" fillId="0" borderId="1" xfId="54" applyFont="1" applyBorder="1" applyAlignment="1">
      <alignment horizontal="left" vertical="center" wrapText="1"/>
    </xf>
    <xf numFmtId="0" fontId="91" fillId="9" borderId="1" xfId="0" applyFont="1" applyFill="1" applyBorder="1" applyAlignment="1">
      <alignment horizontal="left" vertical="center"/>
    </xf>
    <xf numFmtId="0" fontId="32" fillId="9" borderId="1" xfId="54" applyFont="1" applyFill="1" applyBorder="1" applyAlignment="1">
      <alignment horizontal="left" vertical="center" wrapText="1"/>
    </xf>
    <xf numFmtId="0" fontId="63" fillId="0" borderId="1" xfId="0" applyFont="1" applyBorder="1" applyAlignment="1">
      <alignment horizontal="left" vertical="center" wrapText="1"/>
    </xf>
    <xf numFmtId="0" fontId="63" fillId="9" borderId="1" xfId="0" applyFont="1" applyFill="1" applyBorder="1" applyAlignment="1">
      <alignment horizontal="left" vertical="center" wrapText="1"/>
    </xf>
    <xf numFmtId="0" fontId="110" fillId="0" borderId="1" xfId="0" applyFont="1" applyBorder="1" applyAlignment="1">
      <alignment horizontal="left" vertical="center" wrapText="1"/>
    </xf>
    <xf numFmtId="0" fontId="110" fillId="9" borderId="1" xfId="0" applyFont="1" applyFill="1" applyBorder="1" applyAlignment="1">
      <alignment horizontal="left" vertical="center" wrapText="1"/>
    </xf>
    <xf numFmtId="0" fontId="63" fillId="9" borderId="2" xfId="0" applyFont="1" applyFill="1" applyBorder="1" applyAlignment="1">
      <alignment horizontal="left" vertical="center" wrapText="1"/>
    </xf>
    <xf numFmtId="0" fontId="1" fillId="0" borderId="0" xfId="66" applyAlignment="1">
      <alignment horizontal="center"/>
    </xf>
    <xf numFmtId="0" fontId="1" fillId="0" borderId="0" xfId="66"/>
    <xf numFmtId="0" fontId="111" fillId="11" borderId="1" xfId="66" applyFont="1" applyFill="1" applyBorder="1" applyAlignment="1">
      <alignment horizontal="center" vertical="center"/>
    </xf>
    <xf numFmtId="0" fontId="111" fillId="11" borderId="1" xfId="66" applyFont="1" applyFill="1" applyBorder="1" applyAlignment="1">
      <alignment horizontal="center" vertical="center" wrapText="1"/>
    </xf>
    <xf numFmtId="0" fontId="1" fillId="0" borderId="0" xfId="66" applyAlignment="1">
      <alignment vertical="center"/>
    </xf>
    <xf numFmtId="0" fontId="1" fillId="0" borderId="1" xfId="66" applyBorder="1" applyAlignment="1">
      <alignment horizontal="center" vertical="center"/>
    </xf>
    <xf numFmtId="0" fontId="1" fillId="0" borderId="1" xfId="66" applyBorder="1" applyAlignment="1">
      <alignment horizontal="center" vertical="center" wrapText="1"/>
    </xf>
    <xf numFmtId="0" fontId="28" fillId="54" borderId="38" xfId="0" applyFont="1" applyFill="1" applyBorder="1" applyAlignment="1" applyProtection="1">
      <alignment horizontal="center"/>
      <protection locked="0"/>
    </xf>
    <xf numFmtId="0" fontId="19" fillId="9" borderId="0" xfId="0" applyFont="1" applyFill="1" applyAlignment="1">
      <alignment vertical="center" wrapText="1"/>
    </xf>
    <xf numFmtId="0" fontId="19" fillId="51" borderId="0" xfId="0" applyFont="1" applyFill="1" applyAlignment="1">
      <alignment vertical="center" wrapText="1"/>
    </xf>
    <xf numFmtId="0" fontId="112" fillId="8" borderId="1" xfId="66" applyFont="1" applyFill="1" applyBorder="1" applyAlignment="1">
      <alignment horizontal="center" vertical="center"/>
    </xf>
    <xf numFmtId="0" fontId="32" fillId="10" borderId="72" xfId="0" applyFont="1" applyFill="1" applyBorder="1" applyProtection="1">
      <protection locked="0"/>
    </xf>
    <xf numFmtId="0" fontId="32" fillId="10" borderId="73" xfId="0" applyFont="1" applyFill="1" applyBorder="1" applyProtection="1">
      <protection locked="0"/>
    </xf>
    <xf numFmtId="0" fontId="46" fillId="13" borderId="74" xfId="0" applyFont="1" applyFill="1" applyBorder="1" applyAlignment="1" applyProtection="1">
      <alignment horizontal="center" vertical="center"/>
      <protection locked="0"/>
    </xf>
    <xf numFmtId="0" fontId="40" fillId="60" borderId="0" xfId="9" applyFill="1" applyAlignment="1" applyProtection="1"/>
    <xf numFmtId="0" fontId="40" fillId="60" borderId="0" xfId="9" applyFill="1" applyBorder="1" applyAlignment="1" applyProtection="1"/>
    <xf numFmtId="0" fontId="0" fillId="60" borderId="71" xfId="0" applyFill="1" applyBorder="1"/>
    <xf numFmtId="0" fontId="0" fillId="60" borderId="6" xfId="0" applyFill="1" applyBorder="1"/>
    <xf numFmtId="0" fontId="112" fillId="70" borderId="1" xfId="66" applyFont="1" applyFill="1" applyBorder="1" applyAlignment="1">
      <alignment horizontal="center" vertical="center" wrapText="1"/>
    </xf>
    <xf numFmtId="0" fontId="31" fillId="0" borderId="0" xfId="0" applyFont="1"/>
    <xf numFmtId="0" fontId="3" fillId="50" borderId="0" xfId="0" applyFont="1" applyFill="1" applyProtection="1">
      <protection locked="0"/>
    </xf>
    <xf numFmtId="44" fontId="6" fillId="3" borderId="0" xfId="1" applyFont="1" applyFill="1" applyBorder="1" applyAlignment="1">
      <alignment horizontal="center" vertical="center" wrapText="1"/>
    </xf>
    <xf numFmtId="0" fontId="0" fillId="60" borderId="1" xfId="0" quotePrefix="1" applyFill="1" applyBorder="1"/>
    <xf numFmtId="0" fontId="0" fillId="60" borderId="0" xfId="0" quotePrefix="1" applyFill="1"/>
    <xf numFmtId="0" fontId="116" fillId="71" borderId="1" xfId="0" applyFont="1" applyFill="1" applyBorder="1" applyAlignment="1">
      <alignment horizontal="center" vertical="center" wrapText="1"/>
    </xf>
    <xf numFmtId="0" fontId="8" fillId="0" borderId="1" xfId="11" applyFont="1" applyBorder="1" applyAlignment="1">
      <alignment horizontal="center"/>
    </xf>
    <xf numFmtId="3" fontId="0" fillId="0" borderId="0" xfId="0" applyNumberFormat="1"/>
    <xf numFmtId="171" fontId="0" fillId="0" borderId="0" xfId="0" applyNumberFormat="1"/>
    <xf numFmtId="171" fontId="0" fillId="0" borderId="0" xfId="0" applyNumberFormat="1" applyAlignment="1">
      <alignment horizontal="right"/>
    </xf>
    <xf numFmtId="3" fontId="0" fillId="0" borderId="0" xfId="0" applyNumberFormat="1" applyAlignment="1">
      <alignment horizontal="right"/>
    </xf>
    <xf numFmtId="171" fontId="0" fillId="0" borderId="1" xfId="0" applyNumberFormat="1" applyBorder="1"/>
    <xf numFmtId="0" fontId="91" fillId="0" borderId="1" xfId="54" applyFont="1" applyFill="1" applyBorder="1" applyAlignment="1">
      <alignment horizontal="left" vertical="center" wrapText="1"/>
    </xf>
    <xf numFmtId="0" fontId="32" fillId="0" borderId="1" xfId="54" applyFont="1" applyFill="1" applyBorder="1" applyAlignment="1">
      <alignment horizontal="left" vertical="center" wrapText="1"/>
    </xf>
    <xf numFmtId="0" fontId="47" fillId="7" borderId="1" xfId="0" applyFont="1" applyFill="1" applyBorder="1" applyAlignment="1">
      <alignment horizontal="left" vertical="center" wrapText="1"/>
    </xf>
    <xf numFmtId="0" fontId="32" fillId="9" borderId="0" xfId="0" applyFont="1" applyFill="1" applyAlignment="1">
      <alignment horizontal="left" vertical="center" wrapText="1"/>
    </xf>
    <xf numFmtId="0" fontId="47" fillId="9" borderId="1" xfId="0" applyFont="1" applyFill="1" applyBorder="1" applyAlignment="1">
      <alignment horizontal="left" vertical="center" wrapText="1"/>
    </xf>
    <xf numFmtId="0" fontId="0" fillId="7" borderId="1" xfId="0" applyFill="1" applyBorder="1" applyAlignment="1">
      <alignment horizontal="left" vertical="center"/>
    </xf>
    <xf numFmtId="170" fontId="32" fillId="0" borderId="1" xfId="0" applyNumberFormat="1" applyFont="1" applyBorder="1" applyAlignment="1">
      <alignment horizontal="left" vertical="center" wrapText="1"/>
    </xf>
    <xf numFmtId="1" fontId="32" fillId="0" borderId="1" xfId="0" applyNumberFormat="1" applyFont="1" applyBorder="1" applyAlignment="1">
      <alignment horizontal="left" vertical="center" wrapText="1"/>
    </xf>
    <xf numFmtId="0" fontId="35" fillId="0" borderId="1" xfId="0" applyFont="1" applyBorder="1" applyAlignment="1">
      <alignment horizontal="left" vertical="center" wrapText="1"/>
    </xf>
    <xf numFmtId="1" fontId="32" fillId="7" borderId="1" xfId="0" applyNumberFormat="1" applyFont="1" applyFill="1" applyBorder="1" applyAlignment="1">
      <alignment horizontal="left" vertical="center" wrapText="1"/>
    </xf>
    <xf numFmtId="2" fontId="32" fillId="0" borderId="8" xfId="0" applyNumberFormat="1" applyFont="1" applyBorder="1" applyAlignment="1">
      <alignment horizontal="left" vertical="center" wrapText="1"/>
    </xf>
    <xf numFmtId="1" fontId="32" fillId="9" borderId="1" xfId="0" applyNumberFormat="1" applyFont="1" applyFill="1" applyBorder="1" applyAlignment="1">
      <alignment horizontal="left" vertical="center" wrapText="1"/>
    </xf>
    <xf numFmtId="1" fontId="91" fillId="0" borderId="1" xfId="0" applyNumberFormat="1" applyFont="1" applyBorder="1" applyAlignment="1">
      <alignment horizontal="left" vertical="center" wrapText="1"/>
    </xf>
    <xf numFmtId="1" fontId="91" fillId="7" borderId="1" xfId="0" applyNumberFormat="1" applyFont="1" applyFill="1" applyBorder="1" applyAlignment="1">
      <alignment horizontal="left" vertical="center" wrapText="1"/>
    </xf>
    <xf numFmtId="1" fontId="0" fillId="9" borderId="1" xfId="0" applyNumberFormat="1" applyFill="1" applyBorder="1" applyAlignment="1">
      <alignment horizontal="left" vertical="center" wrapText="1"/>
    </xf>
    <xf numFmtId="1" fontId="0" fillId="0" borderId="1" xfId="0" applyNumberFormat="1" applyBorder="1" applyAlignment="1">
      <alignment horizontal="left" vertical="center" wrapText="1"/>
    </xf>
    <xf numFmtId="2" fontId="47" fillId="9" borderId="1" xfId="0" applyNumberFormat="1" applyFont="1" applyFill="1" applyBorder="1" applyAlignment="1">
      <alignment horizontal="left" vertical="center" wrapText="1"/>
    </xf>
    <xf numFmtId="1" fontId="47" fillId="9" borderId="1" xfId="0" applyNumberFormat="1" applyFont="1" applyFill="1" applyBorder="1" applyAlignment="1">
      <alignment horizontal="left" vertical="center" wrapText="1"/>
    </xf>
    <xf numFmtId="1" fontId="32" fillId="9" borderId="1" xfId="0" applyNumberFormat="1" applyFont="1" applyFill="1" applyBorder="1" applyAlignment="1">
      <alignment horizontal="center" vertical="center" wrapText="1"/>
    </xf>
    <xf numFmtId="0" fontId="32" fillId="9" borderId="8" xfId="0" applyFont="1" applyFill="1" applyBorder="1" applyAlignment="1">
      <alignment horizontal="left" vertical="center" wrapText="1"/>
    </xf>
    <xf numFmtId="0" fontId="117" fillId="0" borderId="1" xfId="67" applyBorder="1"/>
    <xf numFmtId="0" fontId="118" fillId="0" borderId="1" xfId="67" applyFont="1" applyBorder="1" applyAlignment="1">
      <alignment wrapText="1"/>
    </xf>
    <xf numFmtId="0" fontId="118" fillId="0" borderId="1" xfId="67" applyFont="1" applyBorder="1" applyAlignment="1">
      <alignment horizontal="right" wrapText="1"/>
    </xf>
    <xf numFmtId="0" fontId="84" fillId="9" borderId="1" xfId="54" applyFont="1" applyFill="1" applyBorder="1" applyAlignment="1">
      <alignment horizontal="left" vertical="center" wrapText="1"/>
    </xf>
    <xf numFmtId="0" fontId="109" fillId="0" borderId="1" xfId="54" applyFont="1" applyFill="1" applyBorder="1" applyAlignment="1">
      <alignment horizontal="left" vertical="center" wrapText="1"/>
    </xf>
    <xf numFmtId="0" fontId="60" fillId="0" borderId="1" xfId="54" applyFill="1" applyBorder="1" applyAlignment="1">
      <alignment horizontal="left" wrapText="1"/>
    </xf>
    <xf numFmtId="0" fontId="32" fillId="0" borderId="1" xfId="0" quotePrefix="1" applyFont="1" applyBorder="1" applyAlignment="1">
      <alignment horizontal="left" vertical="center" wrapText="1"/>
    </xf>
    <xf numFmtId="0" fontId="119" fillId="0" borderId="1" xfId="54" applyFont="1" applyBorder="1" applyAlignment="1">
      <alignment horizontal="left" vertical="center" wrapText="1"/>
    </xf>
    <xf numFmtId="0" fontId="60" fillId="7" borderId="1" xfId="54" applyFill="1" applyBorder="1" applyAlignment="1">
      <alignment horizontal="left" vertical="center" wrapText="1"/>
    </xf>
    <xf numFmtId="0" fontId="62" fillId="0" borderId="1" xfId="0" applyFont="1" applyBorder="1" applyAlignment="1">
      <alignment horizontal="left" vertical="center" wrapText="1"/>
    </xf>
    <xf numFmtId="0" fontId="60" fillId="0" borderId="1" xfId="54" applyFill="1" applyBorder="1" applyAlignment="1">
      <alignment horizontal="left" vertical="center"/>
    </xf>
    <xf numFmtId="0" fontId="84" fillId="0" borderId="1" xfId="54" applyFont="1" applyBorder="1" applyAlignment="1">
      <alignment horizontal="left" vertical="center"/>
    </xf>
    <xf numFmtId="0" fontId="109" fillId="0" borderId="1" xfId="54" applyFont="1" applyFill="1" applyBorder="1" applyAlignment="1">
      <alignment horizontal="left" vertical="center"/>
    </xf>
    <xf numFmtId="0" fontId="60" fillId="0" borderId="0" xfId="54" applyBorder="1" applyAlignment="1">
      <alignment horizontal="left" vertical="center"/>
    </xf>
    <xf numFmtId="0" fontId="60" fillId="7" borderId="1" xfId="54" applyFill="1" applyBorder="1" applyAlignment="1">
      <alignment horizontal="left" vertical="center"/>
    </xf>
    <xf numFmtId="0" fontId="47" fillId="9" borderId="1" xfId="0" applyFont="1" applyFill="1" applyBorder="1" applyAlignment="1">
      <alignment horizontal="left" vertical="center"/>
    </xf>
    <xf numFmtId="0" fontId="60" fillId="9" borderId="1" xfId="54" applyFill="1" applyBorder="1" applyAlignment="1">
      <alignment horizontal="left" vertical="center"/>
    </xf>
    <xf numFmtId="0" fontId="32" fillId="7" borderId="1" xfId="0" applyFont="1" applyFill="1" applyBorder="1" applyAlignment="1">
      <alignment horizontal="left" vertical="center"/>
    </xf>
    <xf numFmtId="0" fontId="32" fillId="0" borderId="0" xfId="0" applyFont="1" applyAlignment="1">
      <alignment horizontal="left" vertical="center"/>
    </xf>
    <xf numFmtId="0" fontId="47" fillId="0" borderId="1" xfId="0" applyFont="1" applyBorder="1" applyAlignment="1">
      <alignment horizontal="left" vertical="center"/>
    </xf>
    <xf numFmtId="0" fontId="47" fillId="0" borderId="1" xfId="0" applyFont="1" applyBorder="1" applyAlignment="1">
      <alignment horizontal="left" vertical="center" wrapText="1"/>
    </xf>
    <xf numFmtId="0" fontId="31" fillId="0" borderId="1" xfId="0" applyFont="1" applyBorder="1" applyAlignment="1">
      <alignment horizontal="left" vertical="center" wrapText="1"/>
    </xf>
    <xf numFmtId="0" fontId="64" fillId="9" borderId="1" xfId="0" applyFont="1" applyFill="1" applyBorder="1" applyAlignment="1">
      <alignment horizontal="left" vertical="center" wrapText="1"/>
    </xf>
    <xf numFmtId="0" fontId="34" fillId="0" borderId="6" xfId="0" applyFont="1" applyBorder="1" applyAlignment="1">
      <alignment horizontal="center" vertical="center"/>
    </xf>
    <xf numFmtId="3" fontId="32" fillId="0" borderId="0" xfId="0" applyNumberFormat="1" applyFont="1" applyAlignment="1">
      <alignment horizontal="center" vertical="center"/>
    </xf>
    <xf numFmtId="3" fontId="32" fillId="0" borderId="1" xfId="2" applyNumberFormat="1" applyFont="1" applyBorder="1" applyAlignment="1">
      <alignment horizontal="center" vertical="center"/>
    </xf>
    <xf numFmtId="3" fontId="32" fillId="0" borderId="0" xfId="2" applyNumberFormat="1" applyFont="1" applyFill="1" applyAlignment="1">
      <alignment horizontal="center" vertical="center"/>
    </xf>
    <xf numFmtId="3" fontId="32" fillId="0" borderId="0" xfId="0" applyNumberFormat="1" applyFont="1" applyAlignment="1">
      <alignment horizontal="center" vertical="center" wrapText="1"/>
    </xf>
    <xf numFmtId="44" fontId="28" fillId="51" borderId="24" xfId="1" applyFont="1" applyFill="1" applyBorder="1" applyAlignment="1" applyProtection="1">
      <alignment horizontal="center"/>
      <protection locked="0"/>
    </xf>
    <xf numFmtId="44" fontId="28" fillId="51" borderId="25" xfId="1" applyFont="1" applyFill="1" applyBorder="1" applyAlignment="1" applyProtection="1">
      <alignment horizontal="center"/>
      <protection locked="0"/>
    </xf>
    <xf numFmtId="44" fontId="30" fillId="0" borderId="0" xfId="1" applyFont="1" applyFill="1" applyBorder="1" applyAlignment="1" applyProtection="1">
      <alignment horizontal="center" vertical="center"/>
    </xf>
    <xf numFmtId="0" fontId="12" fillId="14" borderId="7" xfId="0" applyFont="1" applyFill="1" applyBorder="1"/>
    <xf numFmtId="0" fontId="12" fillId="14" borderId="9" xfId="0" applyFont="1" applyFill="1" applyBorder="1"/>
    <xf numFmtId="0" fontId="38" fillId="62" borderId="0" xfId="0" applyFont="1" applyFill="1" applyAlignment="1" applyProtection="1">
      <alignment vertical="top" wrapText="1"/>
      <protection locked="0"/>
    </xf>
    <xf numFmtId="0" fontId="38" fillId="62" borderId="0" xfId="0" applyFont="1" applyFill="1" applyAlignment="1" applyProtection="1">
      <alignment vertical="top" wrapText="1"/>
      <protection locked="0"/>
      <extLst>
        <ext xmlns:xfpb="http://schemas.microsoft.com/office/spreadsheetml/2022/featurepropertybag" uri="{C7286773-470A-42A8-94C5-96B5CB345126}">
          <xfpb:xfComplement i="0"/>
        </ext>
      </extLst>
    </xf>
    <xf numFmtId="0" fontId="120" fillId="50" borderId="41" xfId="0" applyFont="1" applyFill="1" applyBorder="1" applyAlignment="1">
      <alignment horizontal="center" vertical="center"/>
    </xf>
    <xf numFmtId="0" fontId="70" fillId="2" borderId="24" xfId="0" applyFont="1" applyFill="1" applyBorder="1" applyAlignment="1" applyProtection="1">
      <alignment horizontal="center" vertical="center"/>
      <protection locked="0"/>
    </xf>
    <xf numFmtId="0" fontId="70" fillId="2" borderId="38" xfId="0" applyFont="1" applyFill="1" applyBorder="1" applyAlignment="1" applyProtection="1">
      <alignment horizontal="center" vertical="center"/>
      <protection locked="0"/>
    </xf>
    <xf numFmtId="0" fontId="70" fillId="2" borderId="39" xfId="0" applyFont="1" applyFill="1" applyBorder="1" applyAlignment="1" applyProtection="1">
      <alignment horizontal="center" vertical="center"/>
      <protection locked="0"/>
    </xf>
    <xf numFmtId="0" fontId="40" fillId="6" borderId="37" xfId="9" applyFill="1" applyBorder="1" applyAlignment="1" applyProtection="1">
      <alignment horizontal="center" vertical="center" wrapText="1"/>
      <protection locked="0"/>
    </xf>
    <xf numFmtId="0" fontId="40" fillId="6" borderId="30" xfId="9" applyFill="1" applyBorder="1" applyAlignment="1" applyProtection="1">
      <alignment horizontal="center" vertical="center" wrapText="1"/>
      <protection locked="0"/>
    </xf>
    <xf numFmtId="0" fontId="40" fillId="6" borderId="40" xfId="9" applyFill="1" applyBorder="1" applyAlignment="1" applyProtection="1">
      <alignment horizontal="center" vertical="center" wrapText="1"/>
      <protection locked="0"/>
    </xf>
    <xf numFmtId="0" fontId="19" fillId="51" borderId="38" xfId="0" applyFont="1" applyFill="1" applyBorder="1" applyAlignment="1" applyProtection="1">
      <alignment horizontal="left" vertical="center" wrapText="1"/>
      <protection locked="0"/>
    </xf>
    <xf numFmtId="0" fontId="19" fillId="51" borderId="0" xfId="0" applyFont="1" applyFill="1" applyAlignment="1" applyProtection="1">
      <alignment horizontal="left" vertical="center" wrapText="1"/>
      <protection locked="0"/>
    </xf>
    <xf numFmtId="0" fontId="19" fillId="51" borderId="38" xfId="0" applyFont="1" applyFill="1" applyBorder="1" applyAlignment="1">
      <alignment horizontal="center" vertical="center" wrapText="1"/>
    </xf>
    <xf numFmtId="0" fontId="19" fillId="51" borderId="41" xfId="0" applyFont="1" applyFill="1" applyBorder="1" applyAlignment="1">
      <alignment horizontal="center" vertical="center" wrapText="1"/>
    </xf>
    <xf numFmtId="0" fontId="19" fillId="51" borderId="0" xfId="0" applyFont="1" applyFill="1" applyAlignment="1">
      <alignment horizontal="center" vertical="center" wrapText="1"/>
    </xf>
    <xf numFmtId="0" fontId="16" fillId="6" borderId="38" xfId="0" applyFont="1" applyFill="1" applyBorder="1" applyAlignment="1">
      <alignment horizontal="center" vertical="center" wrapText="1"/>
    </xf>
    <xf numFmtId="0" fontId="16" fillId="6" borderId="41" xfId="0" applyFont="1" applyFill="1" applyBorder="1" applyAlignment="1">
      <alignment horizontal="center" vertical="center" wrapText="1"/>
    </xf>
    <xf numFmtId="0" fontId="16" fillId="6" borderId="0" xfId="0" applyFont="1" applyFill="1" applyAlignment="1">
      <alignment horizontal="center" vertical="center" wrapText="1"/>
    </xf>
    <xf numFmtId="0" fontId="19" fillId="51" borderId="41" xfId="0" applyFont="1" applyFill="1" applyBorder="1" applyAlignment="1" applyProtection="1">
      <alignment horizontal="left" vertical="center" wrapText="1"/>
      <protection locked="0"/>
    </xf>
    <xf numFmtId="0" fontId="29" fillId="59" borderId="38" xfId="0" applyFont="1" applyFill="1" applyBorder="1" applyAlignment="1">
      <alignment horizontal="center" vertical="center" wrapText="1"/>
    </xf>
    <xf numFmtId="0" fontId="29" fillId="59" borderId="0" xfId="0" applyFont="1" applyFill="1" applyAlignment="1">
      <alignment horizontal="center" vertical="center" wrapText="1"/>
    </xf>
    <xf numFmtId="0" fontId="11" fillId="54" borderId="44" xfId="0" applyFont="1" applyFill="1" applyBorder="1" applyAlignment="1">
      <alignment horizontal="center" wrapText="1"/>
    </xf>
    <xf numFmtId="0" fontId="40" fillId="6" borderId="0" xfId="9" applyFill="1" applyBorder="1" applyAlignment="1" applyProtection="1">
      <alignment horizontal="center" vertical="center" wrapText="1"/>
      <protection locked="0"/>
    </xf>
    <xf numFmtId="0" fontId="40" fillId="6" borderId="41" xfId="9" applyFill="1" applyBorder="1" applyAlignment="1" applyProtection="1">
      <alignment horizontal="center" vertical="center" wrapText="1"/>
      <protection locked="0"/>
    </xf>
    <xf numFmtId="0" fontId="40" fillId="6" borderId="62" xfId="9" applyFill="1" applyBorder="1" applyAlignment="1" applyProtection="1">
      <alignment horizontal="center" vertical="center" wrapText="1"/>
      <protection locked="0"/>
    </xf>
    <xf numFmtId="0" fontId="19" fillId="51" borderId="62" xfId="0" applyFont="1" applyFill="1" applyBorder="1" applyAlignment="1" applyProtection="1">
      <alignment horizontal="left" vertical="center" wrapText="1"/>
      <protection locked="0"/>
    </xf>
    <xf numFmtId="0" fontId="71" fillId="11" borderId="24" xfId="0" applyFont="1" applyFill="1" applyBorder="1" applyAlignment="1">
      <alignment horizontal="center" vertical="center"/>
    </xf>
    <xf numFmtId="0" fontId="71" fillId="11" borderId="25" xfId="0" applyFont="1" applyFill="1" applyBorder="1" applyAlignment="1">
      <alignment horizontal="center" vertical="center"/>
    </xf>
    <xf numFmtId="0" fontId="71" fillId="11" borderId="58" xfId="0" applyFont="1" applyFill="1" applyBorder="1" applyAlignment="1">
      <alignment horizontal="center" vertical="center"/>
    </xf>
    <xf numFmtId="0" fontId="13" fillId="6" borderId="44" xfId="0" applyFont="1" applyFill="1" applyBorder="1" applyAlignment="1">
      <alignment horizontal="center" vertical="center" wrapText="1"/>
    </xf>
    <xf numFmtId="0" fontId="69" fillId="11" borderId="0" xfId="0" applyFont="1" applyFill="1" applyAlignment="1">
      <alignment horizontal="center" vertical="center" wrapText="1"/>
    </xf>
    <xf numFmtId="0" fontId="69" fillId="11" borderId="41" xfId="0" applyFont="1" applyFill="1" applyBorder="1" applyAlignment="1">
      <alignment horizontal="center" vertical="center" wrapText="1"/>
    </xf>
    <xf numFmtId="0" fontId="24" fillId="9" borderId="0" xfId="0" applyFont="1" applyFill="1" applyAlignment="1">
      <alignment horizontal="left"/>
    </xf>
    <xf numFmtId="0" fontId="25" fillId="9" borderId="0" xfId="0" applyFont="1" applyFill="1" applyAlignment="1">
      <alignment horizontal="left" vertical="top"/>
    </xf>
    <xf numFmtId="0" fontId="17" fillId="9" borderId="0" xfId="0" applyFont="1" applyFill="1" applyAlignment="1">
      <alignment horizontal="left" vertical="top"/>
    </xf>
    <xf numFmtId="0" fontId="112" fillId="69" borderId="0" xfId="66" applyFont="1" applyFill="1" applyAlignment="1">
      <alignment horizontal="center" vertical="center" wrapText="1"/>
    </xf>
    <xf numFmtId="0" fontId="113" fillId="68" borderId="1" xfId="66" applyFont="1" applyFill="1" applyBorder="1" applyAlignment="1">
      <alignment horizontal="center" vertical="center" wrapText="1"/>
    </xf>
    <xf numFmtId="0" fontId="111" fillId="11" borderId="70" xfId="66" applyFont="1" applyFill="1" applyBorder="1" applyAlignment="1">
      <alignment horizontal="center" vertical="center"/>
    </xf>
    <xf numFmtId="0" fontId="16" fillId="6" borderId="0" xfId="0" applyFont="1" applyFill="1" applyAlignment="1">
      <alignment horizontal="center" vertical="center"/>
    </xf>
    <xf numFmtId="0" fontId="13" fillId="54" borderId="41" xfId="0" applyFont="1" applyFill="1" applyBorder="1" applyAlignment="1" applyProtection="1">
      <alignment horizontal="center" vertical="top" wrapText="1"/>
      <protection locked="0"/>
    </xf>
    <xf numFmtId="0" fontId="13" fillId="54" borderId="41" xfId="0" applyFont="1" applyFill="1" applyBorder="1" applyAlignment="1" applyProtection="1">
      <alignment horizontal="center" vertical="center" wrapText="1"/>
      <protection locked="0"/>
    </xf>
    <xf numFmtId="0" fontId="16" fillId="6" borderId="38" xfId="0" applyFont="1" applyFill="1" applyBorder="1" applyAlignment="1">
      <alignment horizontal="center" vertical="center"/>
    </xf>
    <xf numFmtId="0" fontId="13" fillId="54" borderId="38" xfId="0" applyFont="1" applyFill="1" applyBorder="1" applyAlignment="1" applyProtection="1">
      <alignment horizontal="center" vertical="top" wrapText="1"/>
      <protection locked="0"/>
    </xf>
    <xf numFmtId="0" fontId="13" fillId="54" borderId="38" xfId="0" applyFont="1" applyFill="1" applyBorder="1" applyAlignment="1" applyProtection="1">
      <alignment horizontal="center" vertical="center" wrapText="1"/>
      <protection locked="0"/>
    </xf>
    <xf numFmtId="0" fontId="16" fillId="51" borderId="0" xfId="0" applyFont="1" applyFill="1" applyAlignment="1">
      <alignment horizontal="center" vertical="center"/>
    </xf>
    <xf numFmtId="0" fontId="16" fillId="59" borderId="41" xfId="0" applyFont="1" applyFill="1" applyBorder="1" applyAlignment="1" applyProtection="1">
      <alignment horizontal="center" vertical="center" wrapText="1"/>
      <protection locked="0"/>
    </xf>
    <xf numFmtId="0" fontId="16" fillId="51" borderId="38" xfId="0" applyFont="1" applyFill="1" applyBorder="1" applyAlignment="1">
      <alignment horizontal="center" vertical="center"/>
    </xf>
    <xf numFmtId="0" fontId="16" fillId="51" borderId="41" xfId="0" applyFont="1" applyFill="1" applyBorder="1" applyAlignment="1">
      <alignment horizontal="center" vertical="center"/>
    </xf>
    <xf numFmtId="0" fontId="29" fillId="6" borderId="0" xfId="0" applyFont="1" applyFill="1" applyAlignment="1">
      <alignment horizontal="center" vertical="center"/>
    </xf>
    <xf numFmtId="0" fontId="29" fillId="6" borderId="43" xfId="0" applyFont="1" applyFill="1" applyBorder="1" applyAlignment="1">
      <alignment horizontal="center" vertical="center"/>
    </xf>
    <xf numFmtId="0" fontId="29" fillId="65" borderId="30" xfId="0" applyFont="1" applyFill="1" applyBorder="1" applyAlignment="1" applyProtection="1">
      <alignment horizontal="center" vertical="center"/>
      <protection locked="0"/>
    </xf>
    <xf numFmtId="0" fontId="29" fillId="65" borderId="0" xfId="0" applyFont="1" applyFill="1" applyAlignment="1" applyProtection="1">
      <alignment horizontal="center" vertical="center"/>
      <protection locked="0"/>
    </xf>
    <xf numFmtId="0" fontId="30" fillId="2" borderId="24" xfId="0" applyFont="1" applyFill="1" applyBorder="1" applyAlignment="1">
      <alignment horizontal="center" vertical="top"/>
    </xf>
    <xf numFmtId="0" fontId="30" fillId="2" borderId="25" xfId="0" applyFont="1" applyFill="1" applyBorder="1" applyAlignment="1">
      <alignment horizontal="center" vertical="top"/>
    </xf>
    <xf numFmtId="0" fontId="30" fillId="2" borderId="26" xfId="0" applyFont="1" applyFill="1" applyBorder="1" applyAlignment="1">
      <alignment horizontal="center" vertical="top"/>
    </xf>
    <xf numFmtId="0" fontId="12" fillId="2" borderId="24" xfId="0" applyFont="1" applyFill="1" applyBorder="1" applyAlignment="1">
      <alignment horizontal="center" vertical="top"/>
    </xf>
    <xf numFmtId="0" fontId="12" fillId="2" borderId="25" xfId="0" applyFont="1" applyFill="1" applyBorder="1" applyAlignment="1">
      <alignment horizontal="center" vertical="top"/>
    </xf>
    <xf numFmtId="0" fontId="12" fillId="2" borderId="26" xfId="0" applyFont="1" applyFill="1" applyBorder="1" applyAlignment="1">
      <alignment horizontal="center" vertical="top"/>
    </xf>
    <xf numFmtId="0" fontId="11" fillId="6" borderId="31"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1" fillId="6" borderId="33" xfId="0" applyFont="1" applyFill="1" applyBorder="1" applyAlignment="1">
      <alignment horizontal="center" vertical="center" wrapText="1"/>
    </xf>
    <xf numFmtId="0" fontId="13" fillId="0" borderId="37" xfId="0" applyFont="1" applyBorder="1" applyAlignment="1">
      <alignment horizontal="left" vertical="center" wrapText="1"/>
    </xf>
    <xf numFmtId="0" fontId="13" fillId="0" borderId="38" xfId="0" applyFont="1" applyBorder="1" applyAlignment="1">
      <alignment horizontal="left" vertical="center" wrapText="1"/>
    </xf>
    <xf numFmtId="0" fontId="13" fillId="0" borderId="39" xfId="0" applyFont="1" applyBorder="1" applyAlignment="1">
      <alignment horizontal="left" vertical="center" wrapText="1"/>
    </xf>
    <xf numFmtId="0" fontId="13" fillId="0" borderId="30" xfId="0" applyFont="1" applyBorder="1" applyAlignment="1">
      <alignment horizontal="left" vertical="center" wrapText="1"/>
    </xf>
    <xf numFmtId="0" fontId="13" fillId="0" borderId="0" xfId="0" applyFont="1" applyAlignment="1">
      <alignment horizontal="left" vertical="center" wrapText="1"/>
    </xf>
    <xf numFmtId="0" fontId="13" fillId="0" borderId="43" xfId="0" applyFont="1" applyBorder="1" applyAlignment="1">
      <alignment horizontal="left" vertical="center" wrapText="1"/>
    </xf>
    <xf numFmtId="0" fontId="80" fillId="9" borderId="40" xfId="0" applyFont="1" applyFill="1" applyBorder="1" applyAlignment="1">
      <alignment horizontal="left" vertical="top" wrapText="1"/>
    </xf>
    <xf numFmtId="0" fontId="80" fillId="9" borderId="41" xfId="0" applyFont="1" applyFill="1" applyBorder="1" applyAlignment="1">
      <alignment horizontal="left" vertical="top" wrapText="1"/>
    </xf>
    <xf numFmtId="0" fontId="80" fillId="9" borderId="42" xfId="0" applyFont="1" applyFill="1" applyBorder="1" applyAlignment="1">
      <alignment horizontal="left" vertical="top" wrapText="1"/>
    </xf>
    <xf numFmtId="0" fontId="11" fillId="54" borderId="27" xfId="0" applyFont="1" applyFill="1" applyBorder="1" applyAlignment="1">
      <alignment horizontal="left" vertical="center" wrapText="1"/>
    </xf>
    <xf numFmtId="0" fontId="11" fillId="54" borderId="28" xfId="0" applyFont="1" applyFill="1" applyBorder="1" applyAlignment="1">
      <alignment horizontal="left" vertical="center" wrapText="1"/>
    </xf>
    <xf numFmtId="0" fontId="11" fillId="54" borderId="29" xfId="0" applyFont="1" applyFill="1" applyBorder="1" applyAlignment="1">
      <alignment horizontal="left" vertical="center" wrapText="1"/>
    </xf>
    <xf numFmtId="0" fontId="0" fillId="51" borderId="37" xfId="0" applyFill="1" applyBorder="1" applyAlignment="1" applyProtection="1">
      <alignment horizontal="center"/>
      <protection locked="0"/>
    </xf>
    <xf numFmtId="0" fontId="0" fillId="51" borderId="38" xfId="0" applyFill="1" applyBorder="1" applyAlignment="1" applyProtection="1">
      <alignment horizontal="center"/>
      <protection locked="0"/>
    </xf>
    <xf numFmtId="0" fontId="38" fillId="0" borderId="1" xfId="0" applyFont="1" applyBorder="1" applyAlignment="1">
      <alignment horizontal="center" wrapText="1"/>
    </xf>
    <xf numFmtId="0" fontId="0" fillId="51" borderId="24" xfId="0" applyFill="1" applyBorder="1" applyAlignment="1" applyProtection="1">
      <alignment horizontal="center"/>
      <protection locked="0"/>
    </xf>
    <xf numFmtId="0" fontId="0" fillId="51" borderId="25" xfId="0" applyFill="1" applyBorder="1" applyAlignment="1" applyProtection="1">
      <alignment horizontal="center"/>
      <protection locked="0"/>
    </xf>
    <xf numFmtId="0" fontId="0" fillId="51" borderId="26" xfId="0" applyFill="1" applyBorder="1" applyAlignment="1" applyProtection="1">
      <alignment horizontal="center"/>
      <protection locked="0"/>
    </xf>
    <xf numFmtId="0" fontId="0" fillId="51" borderId="39" xfId="0" applyFill="1" applyBorder="1" applyAlignment="1" applyProtection="1">
      <alignment horizontal="center"/>
      <protection locked="0"/>
    </xf>
    <xf numFmtId="0" fontId="0" fillId="51" borderId="0" xfId="0" applyFill="1" applyAlignment="1" applyProtection="1">
      <alignment horizontal="center"/>
      <protection locked="0"/>
    </xf>
    <xf numFmtId="0" fontId="0" fillId="51" borderId="43" xfId="0" applyFill="1" applyBorder="1" applyAlignment="1" applyProtection="1">
      <alignment horizontal="center"/>
      <protection locked="0"/>
    </xf>
    <xf numFmtId="0" fontId="11" fillId="6" borderId="43" xfId="0" applyFont="1" applyFill="1" applyBorder="1" applyAlignment="1">
      <alignment horizontal="center" vertical="center"/>
    </xf>
    <xf numFmtId="0" fontId="88" fillId="51" borderId="30" xfId="0" applyFont="1" applyFill="1" applyBorder="1" applyAlignment="1">
      <alignment horizontal="center" vertical="center"/>
    </xf>
    <xf numFmtId="0" fontId="88" fillId="51" borderId="0" xfId="0" applyFont="1" applyFill="1" applyAlignment="1">
      <alignment horizontal="center" vertical="center"/>
    </xf>
    <xf numFmtId="44" fontId="11" fillId="52" borderId="40" xfId="0" applyNumberFormat="1" applyFont="1" applyFill="1" applyBorder="1" applyAlignment="1" applyProtection="1">
      <alignment horizontal="center" vertical="center"/>
      <protection locked="0"/>
    </xf>
    <xf numFmtId="44" fontId="11" fillId="52" borderId="41" xfId="0" applyNumberFormat="1" applyFont="1" applyFill="1" applyBorder="1" applyAlignment="1" applyProtection="1">
      <alignment horizontal="center" vertical="center"/>
      <protection locked="0"/>
    </xf>
    <xf numFmtId="0" fontId="16" fillId="51" borderId="30" xfId="0" applyFont="1" applyFill="1" applyBorder="1" applyAlignment="1">
      <alignment horizontal="right" vertical="center"/>
    </xf>
    <xf numFmtId="0" fontId="16" fillId="51" borderId="0" xfId="0" applyFont="1" applyFill="1" applyAlignment="1">
      <alignment horizontal="right" vertical="center"/>
    </xf>
    <xf numFmtId="0" fontId="29" fillId="51" borderId="30" xfId="0" applyFont="1" applyFill="1" applyBorder="1" applyAlignment="1">
      <alignment horizontal="center" vertical="center"/>
    </xf>
    <xf numFmtId="0" fontId="29" fillId="51" borderId="0" xfId="0" applyFont="1" applyFill="1" applyAlignment="1">
      <alignment horizontal="center" vertical="center"/>
    </xf>
    <xf numFmtId="0" fontId="19" fillId="51" borderId="0" xfId="0" applyFont="1" applyFill="1" applyAlignment="1" applyProtection="1">
      <alignment horizontal="center" vertical="center"/>
      <protection locked="0"/>
    </xf>
    <xf numFmtId="44" fontId="11" fillId="6" borderId="41" xfId="1" applyFont="1" applyFill="1" applyBorder="1" applyAlignment="1" applyProtection="1">
      <alignment horizontal="center" vertical="center"/>
    </xf>
    <xf numFmtId="0" fontId="13" fillId="6" borderId="37" xfId="0" applyFont="1" applyFill="1" applyBorder="1" applyAlignment="1">
      <alignment horizontal="center" vertical="center" wrapText="1"/>
    </xf>
    <xf numFmtId="0" fontId="13" fillId="6" borderId="38" xfId="0" applyFont="1" applyFill="1" applyBorder="1" applyAlignment="1">
      <alignment horizontal="center" vertical="center" wrapText="1"/>
    </xf>
    <xf numFmtId="0" fontId="13" fillId="6" borderId="39" xfId="0" applyFont="1" applyFill="1" applyBorder="1" applyAlignment="1">
      <alignment horizontal="center" vertical="center" wrapText="1"/>
    </xf>
    <xf numFmtId="0" fontId="13" fillId="6" borderId="30" xfId="0" applyFont="1" applyFill="1" applyBorder="1" applyAlignment="1">
      <alignment horizontal="center" vertical="center" wrapText="1"/>
    </xf>
    <xf numFmtId="0" fontId="13" fillId="6" borderId="0" xfId="0" applyFont="1" applyFill="1" applyAlignment="1">
      <alignment horizontal="center" vertical="center" wrapText="1"/>
    </xf>
    <xf numFmtId="0" fontId="13" fillId="6" borderId="43" xfId="0" applyFont="1" applyFill="1" applyBorder="1" applyAlignment="1">
      <alignment horizontal="center" vertical="center" wrapText="1"/>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2" xfId="0" applyFont="1" applyFill="1" applyBorder="1" applyAlignment="1">
      <alignment horizontal="center" vertical="center" wrapText="1"/>
    </xf>
    <xf numFmtId="3" fontId="86" fillId="6" borderId="24" xfId="2" applyNumberFormat="1" applyFont="1" applyFill="1" applyBorder="1" applyAlignment="1" applyProtection="1">
      <alignment horizontal="center" vertical="center"/>
    </xf>
    <xf numFmtId="3" fontId="86" fillId="6" borderId="25" xfId="2" applyNumberFormat="1" applyFont="1" applyFill="1" applyBorder="1" applyAlignment="1" applyProtection="1">
      <alignment horizontal="center" vertical="center"/>
    </xf>
    <xf numFmtId="3" fontId="86" fillId="6" borderId="26" xfId="2" applyNumberFormat="1" applyFont="1" applyFill="1" applyBorder="1" applyAlignment="1" applyProtection="1">
      <alignment horizontal="center" vertical="center"/>
    </xf>
    <xf numFmtId="0" fontId="19" fillId="51" borderId="24" xfId="0" applyFont="1" applyFill="1" applyBorder="1" applyAlignment="1">
      <alignment horizontal="center" vertical="center" wrapText="1"/>
    </xf>
    <xf numFmtId="0" fontId="19" fillId="51" borderId="25" xfId="0" applyFont="1" applyFill="1" applyBorder="1" applyAlignment="1">
      <alignment horizontal="center" vertical="center"/>
    </xf>
    <xf numFmtId="0" fontId="19" fillId="51" borderId="26" xfId="0" applyFont="1" applyFill="1" applyBorder="1" applyAlignment="1">
      <alignment horizontal="center" vertical="center"/>
    </xf>
    <xf numFmtId="0" fontId="16" fillId="6" borderId="44" xfId="0" applyFont="1" applyFill="1" applyBorder="1" applyAlignment="1">
      <alignment horizontal="center" vertical="center"/>
    </xf>
    <xf numFmtId="0" fontId="16" fillId="10" borderId="44" xfId="0" applyFont="1" applyFill="1" applyBorder="1" applyAlignment="1">
      <alignment horizontal="center" vertical="center"/>
    </xf>
    <xf numFmtId="0" fontId="12" fillId="2" borderId="8" xfId="0" applyFont="1" applyFill="1" applyBorder="1" applyAlignment="1">
      <alignment horizontal="center" vertical="top"/>
    </xf>
    <xf numFmtId="0" fontId="41" fillId="2" borderId="44" xfId="0" applyFont="1" applyFill="1" applyBorder="1" applyAlignment="1">
      <alignment horizontal="center" vertical="top"/>
    </xf>
    <xf numFmtId="0" fontId="13" fillId="47" borderId="44" xfId="0" applyFont="1" applyFill="1" applyBorder="1" applyAlignment="1">
      <alignment horizontal="left" vertical="center" wrapText="1"/>
    </xf>
    <xf numFmtId="0" fontId="11" fillId="52" borderId="44" xfId="0" applyFont="1" applyFill="1" applyBorder="1" applyAlignment="1">
      <alignment horizontal="left" vertical="center" wrapText="1"/>
    </xf>
    <xf numFmtId="0" fontId="11" fillId="6" borderId="44" xfId="0" applyFont="1" applyFill="1" applyBorder="1" applyAlignment="1">
      <alignment horizontal="center" vertical="center" wrapText="1"/>
    </xf>
    <xf numFmtId="0" fontId="11" fillId="6" borderId="41" xfId="0" applyFont="1" applyFill="1" applyBorder="1" applyAlignment="1">
      <alignment horizontal="left"/>
    </xf>
    <xf numFmtId="0" fontId="38" fillId="51" borderId="0" xfId="0" applyFont="1" applyFill="1" applyAlignment="1" applyProtection="1">
      <alignment horizontal="left" vertical="top" wrapText="1"/>
      <protection locked="0"/>
    </xf>
    <xf numFmtId="0" fontId="38" fillId="0" borderId="2" xfId="0" applyFont="1" applyBorder="1" applyAlignment="1">
      <alignment horizontal="center" wrapText="1"/>
    </xf>
    <xf numFmtId="0" fontId="38" fillId="0" borderId="4" xfId="0" applyFont="1" applyBorder="1" applyAlignment="1">
      <alignment horizontal="center" wrapText="1"/>
    </xf>
    <xf numFmtId="0" fontId="0" fillId="51" borderId="40" xfId="0" applyFill="1" applyBorder="1" applyAlignment="1" applyProtection="1">
      <alignment horizontal="center"/>
      <protection locked="0"/>
    </xf>
    <xf numFmtId="0" fontId="0" fillId="51" borderId="41" xfId="0" applyFill="1" applyBorder="1" applyAlignment="1" applyProtection="1">
      <alignment horizontal="center"/>
      <protection locked="0"/>
    </xf>
    <xf numFmtId="0" fontId="0" fillId="51" borderId="42" xfId="0" applyFill="1" applyBorder="1" applyAlignment="1" applyProtection="1">
      <alignment horizontal="center"/>
      <protection locked="0"/>
    </xf>
    <xf numFmtId="44" fontId="12" fillId="5" borderId="10" xfId="1" applyFont="1" applyFill="1" applyBorder="1" applyAlignment="1" applyProtection="1">
      <alignment horizontal="center" vertical="center"/>
    </xf>
    <xf numFmtId="44" fontId="12" fillId="5" borderId="11" xfId="1" applyFont="1" applyFill="1" applyBorder="1" applyAlignment="1" applyProtection="1">
      <alignment horizontal="center" vertical="center"/>
    </xf>
    <xf numFmtId="44" fontId="16" fillId="6" borderId="0" xfId="1" applyFont="1" applyFill="1" applyBorder="1" applyAlignment="1">
      <alignment horizontal="left" vertical="center"/>
    </xf>
    <xf numFmtId="44" fontId="19" fillId="51" borderId="0" xfId="1" applyFont="1" applyFill="1" applyBorder="1" applyAlignment="1" applyProtection="1">
      <alignment horizontal="left" vertical="top"/>
      <protection locked="0"/>
    </xf>
    <xf numFmtId="0" fontId="5" fillId="3" borderId="0" xfId="0" applyFont="1" applyFill="1" applyAlignment="1">
      <alignment horizontal="center" vertical="center" wrapText="1"/>
    </xf>
    <xf numFmtId="0" fontId="5" fillId="3" borderId="41" xfId="0" applyFont="1" applyFill="1" applyBorder="1" applyAlignment="1">
      <alignment horizontal="center" vertical="center" wrapText="1"/>
    </xf>
    <xf numFmtId="0" fontId="5" fillId="3" borderId="0" xfId="0" applyFont="1" applyFill="1" applyAlignment="1">
      <alignment horizontal="center" vertical="center"/>
    </xf>
    <xf numFmtId="44" fontId="19" fillId="51" borderId="0" xfId="1" applyFont="1" applyFill="1" applyBorder="1" applyAlignment="1" applyProtection="1">
      <alignment horizontal="center" vertical="top"/>
      <protection locked="0"/>
    </xf>
    <xf numFmtId="44" fontId="19" fillId="51" borderId="41" xfId="1" applyFont="1" applyFill="1" applyBorder="1" applyAlignment="1" applyProtection="1">
      <alignment horizontal="center" vertical="top"/>
      <protection locked="0"/>
    </xf>
    <xf numFmtId="44" fontId="19" fillId="51" borderId="41" xfId="1" applyFont="1" applyFill="1" applyBorder="1" applyAlignment="1" applyProtection="1">
      <alignment horizontal="left" vertical="top"/>
      <protection locked="0"/>
    </xf>
    <xf numFmtId="44" fontId="16" fillId="6" borderId="38" xfId="1" applyFont="1" applyFill="1" applyBorder="1" applyAlignment="1">
      <alignment horizontal="left" vertical="center"/>
    </xf>
    <xf numFmtId="0" fontId="43" fillId="10" borderId="41" xfId="0" applyFont="1" applyFill="1" applyBorder="1" applyAlignment="1" applyProtection="1">
      <alignment horizontal="left" vertical="top"/>
      <protection locked="0"/>
    </xf>
    <xf numFmtId="0" fontId="12" fillId="2" borderId="41" xfId="0" applyFont="1" applyFill="1" applyBorder="1" applyAlignment="1">
      <alignment horizontal="center" vertical="top"/>
    </xf>
    <xf numFmtId="0" fontId="30" fillId="2" borderId="0" xfId="0" applyFont="1" applyFill="1" applyAlignment="1">
      <alignment horizontal="left" vertical="top"/>
    </xf>
    <xf numFmtId="0" fontId="11" fillId="10" borderId="30" xfId="0" applyFont="1" applyFill="1" applyBorder="1" applyAlignment="1">
      <alignment horizontal="left" vertical="center" wrapText="1"/>
    </xf>
    <xf numFmtId="0" fontId="11" fillId="10" borderId="0" xfId="0" applyFont="1" applyFill="1" applyAlignment="1">
      <alignment horizontal="left" vertical="center" wrapText="1"/>
    </xf>
    <xf numFmtId="0" fontId="65" fillId="6" borderId="0" xfId="0" applyFont="1" applyFill="1" applyAlignment="1">
      <alignment horizontal="center" vertical="center" wrapText="1"/>
    </xf>
    <xf numFmtId="0" fontId="64" fillId="6" borderId="0" xfId="0" applyFont="1" applyFill="1" applyAlignment="1">
      <alignment horizontal="center" vertical="center" wrapText="1"/>
    </xf>
    <xf numFmtId="44" fontId="22" fillId="6" borderId="38" xfId="1" applyFont="1" applyFill="1" applyBorder="1" applyAlignment="1" applyProtection="1">
      <alignment horizontal="center" vertical="top"/>
      <protection locked="0"/>
    </xf>
    <xf numFmtId="0" fontId="5" fillId="3" borderId="41" xfId="0" applyFont="1" applyFill="1" applyBorder="1" applyAlignment="1">
      <alignment horizontal="center" vertical="center"/>
    </xf>
    <xf numFmtId="0" fontId="19" fillId="6" borderId="38" xfId="0" applyFont="1" applyFill="1" applyBorder="1" applyAlignment="1">
      <alignment horizontal="left" vertical="center" wrapText="1"/>
    </xf>
    <xf numFmtId="44" fontId="20" fillId="5" borderId="0" xfId="1" applyFont="1" applyFill="1" applyBorder="1" applyAlignment="1">
      <alignment horizontal="left" vertical="center"/>
    </xf>
    <xf numFmtId="0" fontId="22" fillId="9" borderId="0" xfId="0" applyFont="1" applyFill="1" applyAlignment="1">
      <alignment horizontal="left" vertical="top"/>
    </xf>
    <xf numFmtId="0" fontId="16" fillId="6" borderId="0" xfId="1" applyNumberFormat="1" applyFont="1" applyFill="1" applyBorder="1" applyAlignment="1">
      <alignment horizontal="left" vertical="center"/>
    </xf>
    <xf numFmtId="0" fontId="17" fillId="6" borderId="38" xfId="0" applyFont="1" applyFill="1" applyBorder="1" applyAlignment="1">
      <alignment horizontal="left" vertical="center"/>
    </xf>
    <xf numFmtId="0" fontId="12" fillId="3" borderId="0" xfId="0" applyFont="1" applyFill="1" applyAlignment="1">
      <alignment horizontal="center" vertical="center" wrapText="1"/>
    </xf>
    <xf numFmtId="43" fontId="28" fillId="10" borderId="24" xfId="2" applyFont="1" applyFill="1" applyBorder="1" applyAlignment="1" applyProtection="1">
      <alignment horizontal="center" vertical="top"/>
      <protection locked="0"/>
    </xf>
    <xf numFmtId="43" fontId="28" fillId="10" borderId="26" xfId="2" applyFont="1" applyFill="1" applyBorder="1" applyAlignment="1" applyProtection="1">
      <alignment horizontal="center" vertical="top"/>
      <protection locked="0"/>
    </xf>
    <xf numFmtId="43" fontId="28" fillId="10" borderId="30" xfId="2" applyFont="1" applyFill="1" applyBorder="1" applyAlignment="1" applyProtection="1">
      <alignment horizontal="center" vertical="top"/>
      <protection locked="0"/>
    </xf>
    <xf numFmtId="43" fontId="28" fillId="10" borderId="43" xfId="2" applyFont="1" applyFill="1" applyBorder="1" applyAlignment="1" applyProtection="1">
      <alignment horizontal="center" vertical="top"/>
      <protection locked="0"/>
    </xf>
    <xf numFmtId="44" fontId="17" fillId="51" borderId="0" xfId="1" applyFont="1" applyFill="1" applyBorder="1" applyAlignment="1" applyProtection="1">
      <alignment horizontal="center" vertical="top"/>
      <protection locked="0"/>
    </xf>
    <xf numFmtId="44" fontId="20" fillId="5" borderId="0" xfId="1" applyFont="1" applyFill="1" applyBorder="1" applyAlignment="1">
      <alignment horizontal="left" vertical="center" wrapText="1"/>
    </xf>
    <xf numFmtId="0" fontId="22" fillId="9" borderId="0" xfId="0" applyFont="1" applyFill="1" applyAlignment="1">
      <alignment horizontal="center" vertical="top"/>
    </xf>
    <xf numFmtId="0" fontId="3" fillId="0" borderId="0" xfId="0" applyFont="1" applyAlignment="1">
      <alignment horizontal="center"/>
    </xf>
    <xf numFmtId="43" fontId="28" fillId="10" borderId="25" xfId="2" applyFont="1" applyFill="1" applyBorder="1" applyAlignment="1" applyProtection="1">
      <alignment horizontal="center" vertical="top"/>
      <protection locked="0"/>
    </xf>
    <xf numFmtId="0" fontId="23" fillId="10" borderId="49" xfId="0" applyFont="1" applyFill="1" applyBorder="1" applyAlignment="1" applyProtection="1">
      <alignment horizontal="left" vertical="top"/>
      <protection locked="0"/>
    </xf>
    <xf numFmtId="0" fontId="23" fillId="10" borderId="45" xfId="0" applyFont="1" applyFill="1" applyBorder="1" applyAlignment="1" applyProtection="1">
      <alignment horizontal="left" vertical="top"/>
      <protection locked="0"/>
    </xf>
    <xf numFmtId="0" fontId="17" fillId="51" borderId="41" xfId="1" applyNumberFormat="1" applyFont="1" applyFill="1" applyBorder="1" applyAlignment="1" applyProtection="1">
      <alignment horizontal="center" vertical="top"/>
      <protection locked="0"/>
    </xf>
    <xf numFmtId="0" fontId="17" fillId="51" borderId="25" xfId="1" applyNumberFormat="1" applyFont="1" applyFill="1" applyBorder="1" applyAlignment="1" applyProtection="1">
      <alignment horizontal="center" vertical="top"/>
      <protection locked="0"/>
    </xf>
    <xf numFmtId="0" fontId="17" fillId="51" borderId="0" xfId="1" applyNumberFormat="1" applyFont="1" applyFill="1" applyBorder="1" applyAlignment="1" applyProtection="1">
      <alignment horizontal="center" vertical="top"/>
      <protection locked="0"/>
    </xf>
    <xf numFmtId="0" fontId="5" fillId="3" borderId="48" xfId="0" applyFont="1" applyFill="1" applyBorder="1" applyAlignment="1">
      <alignment horizontal="center" vertical="center" wrapText="1"/>
    </xf>
    <xf numFmtId="43" fontId="28" fillId="54" borderId="46" xfId="2" applyFont="1" applyFill="1" applyBorder="1" applyAlignment="1" applyProtection="1">
      <alignment horizontal="left" vertical="center"/>
      <protection locked="0"/>
    </xf>
    <xf numFmtId="43" fontId="16" fillId="12" borderId="45" xfId="2" applyFont="1" applyFill="1" applyBorder="1" applyAlignment="1" applyProtection="1">
      <alignment horizontal="left" vertical="center"/>
      <protection locked="0"/>
    </xf>
    <xf numFmtId="0" fontId="11" fillId="6" borderId="0" xfId="0" applyFont="1" applyFill="1" applyAlignment="1">
      <alignment horizontal="center" vertical="center" wrapText="1"/>
    </xf>
    <xf numFmtId="0" fontId="13" fillId="51" borderId="37" xfId="0" applyFont="1" applyFill="1" applyBorder="1" applyAlignment="1">
      <alignment horizontal="left" vertical="top" wrapText="1"/>
    </xf>
    <xf numFmtId="0" fontId="13" fillId="51" borderId="38" xfId="0" applyFont="1" applyFill="1" applyBorder="1" applyAlignment="1">
      <alignment horizontal="left" vertical="top" wrapText="1"/>
    </xf>
    <xf numFmtId="0" fontId="13" fillId="51" borderId="30" xfId="0" applyFont="1" applyFill="1" applyBorder="1" applyAlignment="1">
      <alignment horizontal="left" vertical="top" wrapText="1"/>
    </xf>
    <xf numFmtId="0" fontId="13" fillId="51" borderId="0" xfId="0" applyFont="1" applyFill="1" applyAlignment="1">
      <alignment horizontal="left" vertical="top" wrapText="1"/>
    </xf>
    <xf numFmtId="0" fontId="30" fillId="2" borderId="0" xfId="0" applyFont="1" applyFill="1" applyAlignment="1">
      <alignment horizontal="center" vertical="center"/>
    </xf>
    <xf numFmtId="0" fontId="6" fillId="3" borderId="0" xfId="0" applyFont="1" applyFill="1" applyAlignment="1">
      <alignment horizontal="center" vertical="center"/>
    </xf>
    <xf numFmtId="0" fontId="6" fillId="3" borderId="0" xfId="0" applyFont="1" applyFill="1" applyAlignment="1">
      <alignment horizontal="center" vertical="center" wrapText="1"/>
    </xf>
    <xf numFmtId="0" fontId="11" fillId="54" borderId="40" xfId="0" applyFont="1" applyFill="1" applyBorder="1" applyAlignment="1">
      <alignment horizontal="left" vertical="center"/>
    </xf>
    <xf numFmtId="0" fontId="11" fillId="54" borderId="41" xfId="0" applyFont="1" applyFill="1" applyBorder="1" applyAlignment="1">
      <alignment horizontal="left" vertical="center"/>
    </xf>
    <xf numFmtId="0" fontId="30" fillId="2" borderId="41" xfId="0" applyFont="1" applyFill="1" applyBorder="1" applyAlignment="1">
      <alignment horizontal="center" vertical="center"/>
    </xf>
    <xf numFmtId="0" fontId="13" fillId="0" borderId="40" xfId="0" applyFont="1" applyBorder="1" applyAlignment="1">
      <alignment horizontal="left" vertical="center" wrapText="1"/>
    </xf>
    <xf numFmtId="0" fontId="13" fillId="0" borderId="41" xfId="0" applyFont="1" applyBorder="1" applyAlignment="1">
      <alignment horizontal="left" vertical="center" wrapText="1"/>
    </xf>
    <xf numFmtId="0" fontId="6" fillId="11" borderId="38" xfId="0" applyFont="1" applyFill="1" applyBorder="1" applyAlignment="1">
      <alignment horizontal="center" vertical="center" wrapText="1"/>
    </xf>
    <xf numFmtId="0" fontId="6" fillId="11" borderId="0" xfId="0" applyFont="1" applyFill="1" applyAlignment="1">
      <alignment horizontal="center" vertical="center" wrapText="1"/>
    </xf>
    <xf numFmtId="0" fontId="6" fillId="11" borderId="41" xfId="0" applyFont="1" applyFill="1" applyBorder="1" applyAlignment="1">
      <alignment horizontal="center" vertical="center" wrapText="1"/>
    </xf>
    <xf numFmtId="0" fontId="20" fillId="2" borderId="0" xfId="0" applyFont="1" applyFill="1" applyAlignment="1">
      <alignment horizontal="center" vertical="top" wrapText="1"/>
    </xf>
    <xf numFmtId="0" fontId="20" fillId="2" borderId="41" xfId="0" applyFont="1" applyFill="1" applyBorder="1" applyAlignment="1">
      <alignment horizontal="center" vertical="top" wrapText="1"/>
    </xf>
    <xf numFmtId="0" fontId="6" fillId="11" borderId="38" xfId="0" applyFont="1" applyFill="1" applyBorder="1" applyAlignment="1">
      <alignment horizontal="center" vertical="center"/>
    </xf>
    <xf numFmtId="0" fontId="6" fillId="11" borderId="0" xfId="0" applyFont="1" applyFill="1" applyAlignment="1">
      <alignment horizontal="center" vertical="center"/>
    </xf>
    <xf numFmtId="0" fontId="6" fillId="11" borderId="41" xfId="0" applyFont="1" applyFill="1" applyBorder="1" applyAlignment="1">
      <alignment horizontal="center" vertical="center"/>
    </xf>
    <xf numFmtId="0" fontId="46" fillId="2" borderId="0" xfId="0" applyFont="1" applyFill="1" applyAlignment="1">
      <alignment horizontal="center" vertical="top"/>
    </xf>
    <xf numFmtId="0" fontId="46" fillId="13" borderId="0" xfId="0" applyFont="1" applyFill="1" applyAlignment="1">
      <alignment horizontal="center" vertical="top"/>
    </xf>
    <xf numFmtId="0" fontId="46" fillId="13" borderId="0" xfId="0" applyFont="1" applyFill="1" applyAlignment="1">
      <alignment horizontal="center" vertical="center"/>
    </xf>
    <xf numFmtId="0" fontId="23" fillId="51" borderId="57" xfId="0" applyFont="1" applyFill="1" applyBorder="1" applyAlignment="1">
      <alignment horizontal="left" vertical="top"/>
    </xf>
    <xf numFmtId="0" fontId="22" fillId="65" borderId="52" xfId="0" applyFont="1" applyFill="1" applyBorder="1" applyAlignment="1" applyProtection="1">
      <alignment horizontal="left" vertical="top" wrapText="1"/>
      <protection locked="0"/>
    </xf>
    <xf numFmtId="0" fontId="22" fillId="65" borderId="0" xfId="0" applyFont="1" applyFill="1" applyAlignment="1" applyProtection="1">
      <alignment horizontal="left" vertical="top" wrapText="1"/>
      <protection locked="0"/>
    </xf>
    <xf numFmtId="0" fontId="22" fillId="65" borderId="51" xfId="0" applyFont="1" applyFill="1" applyBorder="1" applyAlignment="1" applyProtection="1">
      <alignment horizontal="left" vertical="top" wrapText="1"/>
      <protection locked="0"/>
    </xf>
    <xf numFmtId="0" fontId="23" fillId="65" borderId="57" xfId="0" applyFont="1" applyFill="1" applyBorder="1" applyAlignment="1" applyProtection="1">
      <alignment horizontal="left" vertical="top"/>
      <protection locked="0"/>
    </xf>
    <xf numFmtId="0" fontId="72" fillId="4" borderId="0" xfId="0" applyFont="1" applyFill="1" applyAlignment="1">
      <alignment horizontal="left" vertical="top"/>
    </xf>
    <xf numFmtId="0" fontId="22" fillId="51" borderId="52" xfId="0" applyFont="1" applyFill="1" applyBorder="1" applyAlignment="1" applyProtection="1">
      <alignment horizontal="center" vertical="top" wrapText="1"/>
      <protection locked="0"/>
    </xf>
    <xf numFmtId="0" fontId="22" fillId="51" borderId="0" xfId="0" applyFont="1" applyFill="1" applyAlignment="1" applyProtection="1">
      <alignment horizontal="center" vertical="top" wrapText="1"/>
      <protection locked="0"/>
    </xf>
    <xf numFmtId="0" fontId="22" fillId="51" borderId="51" xfId="0" applyFont="1" applyFill="1" applyBorder="1" applyAlignment="1" applyProtection="1">
      <alignment horizontal="center" vertical="top" wrapText="1"/>
      <protection locked="0"/>
    </xf>
    <xf numFmtId="0" fontId="22" fillId="51" borderId="52" xfId="0" applyFont="1" applyFill="1" applyBorder="1" applyAlignment="1" applyProtection="1">
      <alignment horizontal="left" vertical="top" wrapText="1"/>
      <protection locked="0"/>
    </xf>
    <xf numFmtId="0" fontId="22" fillId="51" borderId="0" xfId="0" applyFont="1" applyFill="1" applyAlignment="1" applyProtection="1">
      <alignment horizontal="left" vertical="top" wrapText="1"/>
      <protection locked="0"/>
    </xf>
    <xf numFmtId="0" fontId="22" fillId="51" borderId="51" xfId="0" applyFont="1" applyFill="1" applyBorder="1" applyAlignment="1" applyProtection="1">
      <alignment horizontal="left" vertical="top" wrapText="1"/>
      <protection locked="0"/>
    </xf>
    <xf numFmtId="0" fontId="100" fillId="2" borderId="0" xfId="0" applyFont="1" applyFill="1" applyAlignment="1">
      <alignment horizontal="center" vertical="center" wrapText="1"/>
    </xf>
    <xf numFmtId="0" fontId="46" fillId="13" borderId="0" xfId="0" applyFont="1" applyFill="1" applyAlignment="1">
      <alignment horizontal="left" vertical="top"/>
    </xf>
    <xf numFmtId="0" fontId="31" fillId="50" borderId="75" xfId="0" applyFont="1" applyFill="1" applyBorder="1" applyAlignment="1">
      <alignment horizontal="center"/>
    </xf>
    <xf numFmtId="0" fontId="31" fillId="50" borderId="76" xfId="0" applyFont="1" applyFill="1" applyBorder="1" applyAlignment="1">
      <alignment horizontal="center"/>
    </xf>
    <xf numFmtId="0" fontId="63" fillId="50" borderId="75" xfId="0" applyFont="1" applyFill="1" applyBorder="1" applyAlignment="1">
      <alignment horizontal="center" vertical="top"/>
    </xf>
    <xf numFmtId="0" fontId="63" fillId="50" borderId="77" xfId="0" applyFont="1" applyFill="1" applyBorder="1" applyAlignment="1">
      <alignment horizontal="center" vertical="top"/>
    </xf>
    <xf numFmtId="0" fontId="11" fillId="6" borderId="34" xfId="0" applyFont="1" applyFill="1" applyBorder="1" applyAlignment="1">
      <alignment horizontal="center" vertical="center" wrapText="1"/>
    </xf>
    <xf numFmtId="0" fontId="11" fillId="6" borderId="35" xfId="0" applyFont="1" applyFill="1" applyBorder="1" applyAlignment="1">
      <alignment horizontal="center" vertical="center" wrapText="1"/>
    </xf>
    <xf numFmtId="0" fontId="16" fillId="6" borderId="37" xfId="0" applyFont="1" applyFill="1" applyBorder="1" applyAlignment="1">
      <alignment horizontal="left" vertical="center" wrapText="1"/>
    </xf>
    <xf numFmtId="0" fontId="16" fillId="6" borderId="38" xfId="0" applyFont="1" applyFill="1" applyBorder="1" applyAlignment="1">
      <alignment horizontal="left" vertical="center" wrapText="1"/>
    </xf>
    <xf numFmtId="0" fontId="16" fillId="6" borderId="39" xfId="0" applyFont="1" applyFill="1" applyBorder="1" applyAlignment="1">
      <alignment horizontal="left" vertical="center" wrapText="1"/>
    </xf>
    <xf numFmtId="0" fontId="0" fillId="6" borderId="0" xfId="0" applyFill="1" applyAlignment="1" applyProtection="1">
      <alignment horizontal="center"/>
      <protection locked="0"/>
    </xf>
    <xf numFmtId="0" fontId="28" fillId="65" borderId="0" xfId="0" applyFont="1" applyFill="1" applyAlignment="1" applyProtection="1">
      <alignment horizontal="left" vertical="top" wrapText="1"/>
      <protection locked="0"/>
    </xf>
    <xf numFmtId="0" fontId="44" fillId="2" borderId="52" xfId="0" applyFont="1" applyFill="1" applyBorder="1" applyAlignment="1">
      <alignment horizontal="left" vertical="center"/>
    </xf>
    <xf numFmtId="0" fontId="44" fillId="2" borderId="0" xfId="0" applyFont="1" applyFill="1" applyAlignment="1">
      <alignment horizontal="left" vertical="center"/>
    </xf>
    <xf numFmtId="0" fontId="44" fillId="2" borderId="51" xfId="0" applyFont="1" applyFill="1" applyBorder="1" applyAlignment="1">
      <alignment horizontal="left" vertical="center"/>
    </xf>
    <xf numFmtId="0" fontId="30" fillId="2" borderId="53" xfId="0" applyFont="1" applyFill="1" applyBorder="1" applyAlignment="1">
      <alignment vertical="center"/>
    </xf>
    <xf numFmtId="0" fontId="30" fillId="2" borderId="48" xfId="0" applyFont="1" applyFill="1" applyBorder="1" applyAlignment="1">
      <alignment vertical="center"/>
    </xf>
    <xf numFmtId="0" fontId="30" fillId="2" borderId="54" xfId="0" applyFont="1" applyFill="1" applyBorder="1" applyAlignment="1">
      <alignment vertical="center"/>
    </xf>
    <xf numFmtId="0" fontId="22" fillId="8" borderId="52" xfId="0" applyFont="1" applyFill="1" applyBorder="1" applyAlignment="1">
      <alignment horizontal="left" vertical="top" wrapText="1"/>
    </xf>
    <xf numFmtId="0" fontId="22" fillId="8" borderId="0" xfId="0" applyFont="1" applyFill="1" applyAlignment="1">
      <alignment horizontal="left" vertical="top" wrapText="1"/>
    </xf>
    <xf numFmtId="0" fontId="22" fillId="8" borderId="52" xfId="0" applyFont="1" applyFill="1" applyBorder="1" applyAlignment="1">
      <alignment horizontal="left" vertical="center"/>
    </xf>
    <xf numFmtId="0" fontId="22" fillId="8" borderId="0" xfId="0" applyFont="1" applyFill="1" applyAlignment="1">
      <alignment horizontal="left" vertical="center"/>
    </xf>
    <xf numFmtId="0" fontId="19" fillId="51" borderId="0" xfId="0" applyFont="1" applyFill="1" applyAlignment="1">
      <alignment horizontal="left" vertical="center" wrapText="1"/>
    </xf>
    <xf numFmtId="0" fontId="22" fillId="8" borderId="52" xfId="0" applyFont="1" applyFill="1" applyBorder="1" applyAlignment="1" applyProtection="1">
      <alignment horizontal="left" vertical="top" wrapText="1"/>
      <protection locked="0"/>
    </xf>
    <xf numFmtId="0" fontId="22" fillId="8" borderId="0" xfId="0" applyFont="1" applyFill="1" applyAlignment="1" applyProtection="1">
      <alignment horizontal="left" vertical="top" wrapText="1"/>
      <protection locked="0"/>
    </xf>
    <xf numFmtId="0" fontId="24" fillId="6" borderId="65" xfId="0" applyFont="1" applyFill="1" applyBorder="1" applyAlignment="1">
      <alignment horizontal="center" vertical="center" wrapText="1"/>
    </xf>
    <xf numFmtId="0" fontId="24" fillId="6" borderId="66" xfId="0" applyFont="1" applyFill="1" applyBorder="1" applyAlignment="1">
      <alignment horizontal="center" vertical="center" wrapText="1"/>
    </xf>
    <xf numFmtId="0" fontId="24" fillId="6" borderId="67" xfId="0" applyFont="1" applyFill="1" applyBorder="1" applyAlignment="1">
      <alignment horizontal="center" vertical="center" wrapText="1"/>
    </xf>
    <xf numFmtId="0" fontId="0" fillId="9" borderId="0" xfId="0" applyFill="1" applyAlignment="1">
      <alignment horizontal="center"/>
    </xf>
    <xf numFmtId="0" fontId="0" fillId="9" borderId="0" xfId="0" applyFill="1" applyAlignment="1">
      <alignment horizontal="left"/>
    </xf>
    <xf numFmtId="0" fontId="28" fillId="51" borderId="44" xfId="0" applyFont="1" applyFill="1" applyBorder="1" applyAlignment="1">
      <alignment horizontal="center"/>
    </xf>
    <xf numFmtId="44" fontId="6" fillId="3" borderId="0" xfId="1" applyFont="1" applyFill="1" applyBorder="1" applyAlignment="1" applyProtection="1">
      <alignment horizontal="center" vertical="center"/>
    </xf>
    <xf numFmtId="44" fontId="6" fillId="3" borderId="24" xfId="1" applyFont="1" applyFill="1" applyBorder="1" applyAlignment="1" applyProtection="1">
      <alignment horizontal="center" vertical="center"/>
    </xf>
    <xf numFmtId="44" fontId="6" fillId="3" borderId="25" xfId="1" applyFont="1" applyFill="1" applyBorder="1" applyAlignment="1" applyProtection="1">
      <alignment horizontal="center" vertical="center"/>
    </xf>
    <xf numFmtId="44" fontId="6" fillId="3" borderId="26" xfId="1" applyFont="1" applyFill="1" applyBorder="1" applyAlignment="1" applyProtection="1">
      <alignment horizontal="center" vertical="center"/>
    </xf>
    <xf numFmtId="0" fontId="43" fillId="0" borderId="0" xfId="0" applyFont="1" applyAlignment="1">
      <alignment horizontal="left" vertical="center"/>
    </xf>
    <xf numFmtId="0" fontId="43" fillId="0" borderId="0" xfId="0" applyFont="1" applyAlignment="1" applyProtection="1">
      <alignment horizontal="left" vertical="center"/>
      <protection locked="0"/>
    </xf>
    <xf numFmtId="0" fontId="16" fillId="6" borderId="41" xfId="0" applyFont="1" applyFill="1" applyBorder="1" applyAlignment="1">
      <alignment horizontal="left" vertical="center" wrapText="1"/>
    </xf>
    <xf numFmtId="0" fontId="16" fillId="6" borderId="42" xfId="0" applyFont="1" applyFill="1" applyBorder="1" applyAlignment="1">
      <alignment horizontal="left" vertical="center" wrapText="1"/>
    </xf>
    <xf numFmtId="0" fontId="16" fillId="10" borderId="40" xfId="0" applyFont="1" applyFill="1" applyBorder="1" applyAlignment="1" applyProtection="1">
      <alignment horizontal="center" vertical="center"/>
      <protection locked="0"/>
    </xf>
    <xf numFmtId="0" fontId="16" fillId="10" borderId="41" xfId="0" applyFont="1" applyFill="1" applyBorder="1" applyAlignment="1" applyProtection="1">
      <alignment horizontal="center" vertical="center"/>
      <protection locked="0"/>
    </xf>
    <xf numFmtId="0" fontId="43" fillId="51" borderId="0" xfId="0" applyFont="1" applyFill="1" applyAlignment="1">
      <alignment horizontal="left" vertical="center"/>
    </xf>
    <xf numFmtId="0" fontId="43" fillId="51" borderId="0" xfId="0" applyFont="1" applyFill="1" applyAlignment="1" applyProtection="1">
      <alignment horizontal="left" vertical="center"/>
      <protection locked="0"/>
    </xf>
    <xf numFmtId="0" fontId="16" fillId="0" borderId="41" xfId="0" applyFont="1" applyBorder="1" applyAlignment="1">
      <alignment horizontal="left" vertical="center" wrapText="1"/>
    </xf>
    <xf numFmtId="0" fontId="16" fillId="0" borderId="42" xfId="0" applyFont="1" applyBorder="1" applyAlignment="1">
      <alignment horizontal="left" vertical="center" wrapText="1"/>
    </xf>
    <xf numFmtId="0" fontId="16" fillId="0" borderId="40" xfId="0" applyFont="1" applyBorder="1" applyAlignment="1" applyProtection="1">
      <alignment horizontal="center" vertical="center"/>
      <protection locked="0"/>
    </xf>
    <xf numFmtId="0" fontId="16" fillId="0" borderId="41" xfId="0" applyFont="1" applyBorder="1" applyAlignment="1" applyProtection="1">
      <alignment horizontal="center" vertical="center"/>
      <protection locked="0"/>
    </xf>
    <xf numFmtId="0" fontId="19" fillId="54" borderId="24" xfId="0" applyFont="1" applyFill="1" applyBorder="1" applyAlignment="1" applyProtection="1">
      <alignment horizontal="center"/>
      <protection locked="0"/>
    </xf>
    <xf numFmtId="0" fontId="19" fillId="54" borderId="26" xfId="0" applyFont="1" applyFill="1" applyBorder="1" applyAlignment="1" applyProtection="1">
      <alignment horizontal="center"/>
      <protection locked="0"/>
    </xf>
    <xf numFmtId="44" fontId="6" fillId="3" borderId="38" xfId="1" applyFont="1" applyFill="1" applyBorder="1" applyAlignment="1" applyProtection="1">
      <alignment horizontal="center" vertical="center"/>
    </xf>
    <xf numFmtId="0" fontId="28" fillId="54" borderId="37" xfId="0" applyFont="1" applyFill="1" applyBorder="1" applyAlignment="1" applyProtection="1">
      <alignment horizontal="center"/>
      <protection locked="0"/>
    </xf>
    <xf numFmtId="0" fontId="28" fillId="54" borderId="39" xfId="0" applyFont="1" applyFill="1" applyBorder="1" applyAlignment="1" applyProtection="1">
      <alignment horizontal="center"/>
      <protection locked="0"/>
    </xf>
    <xf numFmtId="0" fontId="28" fillId="54" borderId="24" xfId="0" applyFont="1" applyFill="1" applyBorder="1" applyAlignment="1" applyProtection="1">
      <alignment horizontal="center"/>
      <protection locked="0"/>
    </xf>
    <xf numFmtId="0" fontId="28" fillId="54" borderId="26" xfId="0" applyFont="1" applyFill="1" applyBorder="1" applyAlignment="1" applyProtection="1">
      <alignment horizontal="center"/>
      <protection locked="0"/>
    </xf>
    <xf numFmtId="44" fontId="21" fillId="5" borderId="41" xfId="1" applyFont="1" applyFill="1" applyBorder="1" applyAlignment="1" applyProtection="1">
      <alignment horizontal="left" vertical="center"/>
    </xf>
    <xf numFmtId="0" fontId="19" fillId="54" borderId="24" xfId="0" applyFont="1" applyFill="1" applyBorder="1" applyAlignment="1">
      <alignment horizontal="center"/>
    </xf>
    <xf numFmtId="0" fontId="19" fillId="54" borderId="26" xfId="0" applyFont="1" applyFill="1" applyBorder="1" applyAlignment="1">
      <alignment horizontal="center"/>
    </xf>
    <xf numFmtId="44" fontId="30" fillId="5" borderId="0" xfId="1" applyFont="1" applyFill="1" applyBorder="1" applyAlignment="1" applyProtection="1">
      <alignment horizontal="left" vertical="center" wrapText="1"/>
    </xf>
    <xf numFmtId="44" fontId="15" fillId="5" borderId="0" xfId="1" applyFont="1" applyFill="1" applyBorder="1" applyAlignment="1" applyProtection="1">
      <alignment horizontal="left" vertical="center" wrapText="1"/>
    </xf>
    <xf numFmtId="44" fontId="20" fillId="5" borderId="41" xfId="1" applyFont="1" applyFill="1" applyBorder="1" applyAlignment="1" applyProtection="1">
      <alignment horizontal="left" vertical="center"/>
    </xf>
    <xf numFmtId="44" fontId="19" fillId="54" borderId="41" xfId="1" applyFont="1" applyFill="1" applyBorder="1" applyAlignment="1" applyProtection="1">
      <alignment horizontal="left" vertical="center"/>
    </xf>
    <xf numFmtId="44" fontId="6" fillId="3" borderId="25" xfId="1" applyFont="1" applyFill="1" applyBorder="1" applyAlignment="1" applyProtection="1">
      <alignment horizontal="center" vertical="center" wrapText="1"/>
    </xf>
    <xf numFmtId="44" fontId="30" fillId="5" borderId="41" xfId="1" applyFont="1" applyFill="1" applyBorder="1" applyAlignment="1" applyProtection="1">
      <alignment horizontal="center" vertical="center"/>
    </xf>
    <xf numFmtId="44" fontId="15" fillId="5" borderId="0" xfId="1" applyFont="1" applyFill="1" applyBorder="1" applyAlignment="1" applyProtection="1">
      <alignment horizontal="left" vertical="center"/>
    </xf>
    <xf numFmtId="0" fontId="29" fillId="6" borderId="1" xfId="0" applyFont="1" applyFill="1" applyBorder="1" applyAlignment="1">
      <alignment horizontal="center" vertical="center"/>
    </xf>
    <xf numFmtId="44" fontId="30" fillId="5" borderId="0" xfId="1" applyFont="1" applyFill="1" applyBorder="1" applyAlignment="1" applyProtection="1">
      <alignment horizontal="left" vertical="center"/>
    </xf>
    <xf numFmtId="0" fontId="29" fillId="10" borderId="1" xfId="0" applyFont="1" applyFill="1" applyBorder="1" applyAlignment="1">
      <alignment horizontal="center" vertical="center"/>
    </xf>
    <xf numFmtId="0" fontId="19" fillId="51" borderId="25" xfId="0" applyFont="1" applyFill="1" applyBorder="1" applyAlignment="1">
      <alignment horizontal="left" vertical="center" wrapText="1"/>
    </xf>
    <xf numFmtId="0" fontId="19" fillId="51" borderId="0" xfId="0" applyFont="1" applyFill="1" applyAlignment="1">
      <alignment horizontal="left" vertical="center"/>
    </xf>
    <xf numFmtId="0" fontId="46" fillId="2" borderId="41" xfId="0" applyFont="1" applyFill="1" applyBorder="1" applyAlignment="1">
      <alignment horizontal="center" vertical="top"/>
    </xf>
    <xf numFmtId="0" fontId="13" fillId="9" borderId="30" xfId="0" applyFont="1" applyFill="1" applyBorder="1" applyAlignment="1">
      <alignment horizontal="left" vertical="center" wrapText="1"/>
    </xf>
    <xf numFmtId="0" fontId="13" fillId="9" borderId="0" xfId="0" applyFont="1" applyFill="1" applyAlignment="1">
      <alignment horizontal="left" vertical="center" wrapText="1"/>
    </xf>
    <xf numFmtId="0" fontId="39" fillId="9" borderId="40" xfId="0" applyFont="1" applyFill="1" applyBorder="1" applyAlignment="1">
      <alignment horizontal="left" vertical="center" wrapText="1"/>
    </xf>
    <xf numFmtId="0" fontId="39" fillId="9" borderId="41" xfId="0" applyFont="1" applyFill="1" applyBorder="1" applyAlignment="1">
      <alignment horizontal="left" vertical="center" wrapText="1"/>
    </xf>
    <xf numFmtId="0" fontId="28" fillId="50" borderId="24" xfId="0" applyFont="1" applyFill="1" applyBorder="1" applyAlignment="1" applyProtection="1">
      <alignment horizontal="center"/>
      <protection locked="0"/>
    </xf>
    <xf numFmtId="0" fontId="28" fillId="50" borderId="25" xfId="0" applyFont="1" applyFill="1" applyBorder="1" applyAlignment="1" applyProtection="1">
      <alignment horizontal="center"/>
      <protection locked="0"/>
    </xf>
    <xf numFmtId="0" fontId="28" fillId="54" borderId="25" xfId="0" applyFont="1" applyFill="1" applyBorder="1" applyAlignment="1" applyProtection="1">
      <alignment horizontal="center"/>
      <protection locked="0"/>
    </xf>
    <xf numFmtId="44" fontId="6" fillId="3" borderId="41" xfId="1" applyFont="1" applyFill="1" applyBorder="1" applyAlignment="1" applyProtection="1">
      <alignment horizontal="center" vertical="center"/>
    </xf>
    <xf numFmtId="44" fontId="20" fillId="5" borderId="0" xfId="1" applyFont="1" applyFill="1" applyBorder="1" applyAlignment="1" applyProtection="1">
      <alignment horizontal="left" vertical="center"/>
    </xf>
    <xf numFmtId="44" fontId="19" fillId="53" borderId="0" xfId="1" applyFont="1" applyFill="1" applyBorder="1" applyAlignment="1" applyProtection="1">
      <alignment horizontal="left" vertical="center"/>
    </xf>
    <xf numFmtId="0" fontId="43" fillId="54" borderId="44" xfId="0" applyFont="1" applyFill="1" applyBorder="1" applyAlignment="1" applyProtection="1">
      <alignment horizontal="center"/>
      <protection locked="0"/>
    </xf>
    <xf numFmtId="0" fontId="19" fillId="50" borderId="24" xfId="0" applyFont="1" applyFill="1" applyBorder="1" applyAlignment="1">
      <alignment horizontal="left"/>
    </xf>
    <xf numFmtId="0" fontId="19" fillId="50" borderId="26" xfId="0" applyFont="1" applyFill="1" applyBorder="1" applyAlignment="1">
      <alignment horizontal="left"/>
    </xf>
    <xf numFmtId="44" fontId="6" fillId="3" borderId="41" xfId="1" applyFont="1" applyFill="1" applyBorder="1" applyAlignment="1">
      <alignment horizontal="center" vertical="center"/>
    </xf>
    <xf numFmtId="0" fontId="43" fillId="54" borderId="41" xfId="0" applyFont="1" applyFill="1" applyBorder="1" applyAlignment="1">
      <alignment horizontal="center"/>
    </xf>
    <xf numFmtId="0" fontId="43" fillId="54" borderId="42" xfId="0" applyFont="1" applyFill="1" applyBorder="1" applyAlignment="1">
      <alignment horizontal="center"/>
    </xf>
    <xf numFmtId="0" fontId="19" fillId="50" borderId="41" xfId="0" applyFont="1" applyFill="1" applyBorder="1" applyAlignment="1">
      <alignment horizontal="left"/>
    </xf>
    <xf numFmtId="0" fontId="19" fillId="50" borderId="42" xfId="0" applyFont="1" applyFill="1" applyBorder="1" applyAlignment="1">
      <alignment horizontal="left"/>
    </xf>
    <xf numFmtId="0" fontId="19" fillId="50" borderId="25" xfId="0" applyFont="1" applyFill="1" applyBorder="1" applyAlignment="1">
      <alignment horizontal="left"/>
    </xf>
    <xf numFmtId="44" fontId="30" fillId="5" borderId="0" xfId="1" applyFont="1" applyFill="1" applyBorder="1" applyAlignment="1" applyProtection="1">
      <alignment horizontal="center" vertical="center"/>
    </xf>
    <xf numFmtId="0" fontId="12" fillId="2" borderId="0" xfId="0" applyFont="1" applyFill="1" applyAlignment="1">
      <alignment horizontal="center" vertical="top"/>
    </xf>
    <xf numFmtId="0" fontId="13" fillId="48" borderId="30" xfId="0" applyFont="1" applyFill="1" applyBorder="1" applyAlignment="1">
      <alignment horizontal="left" vertical="center" wrapText="1"/>
    </xf>
    <xf numFmtId="0" fontId="13" fillId="48" borderId="0" xfId="0" applyFont="1" applyFill="1" applyAlignment="1">
      <alignment horizontal="left" vertical="center" wrapText="1"/>
    </xf>
    <xf numFmtId="0" fontId="39" fillId="48" borderId="30" xfId="0" applyFont="1" applyFill="1" applyBorder="1" applyAlignment="1">
      <alignment horizontal="left" vertical="center" wrapText="1"/>
    </xf>
    <xf numFmtId="0" fontId="39" fillId="48" borderId="0" xfId="0" applyFont="1" applyFill="1" applyAlignment="1">
      <alignment horizontal="left" vertical="center" wrapText="1"/>
    </xf>
    <xf numFmtId="44" fontId="20" fillId="60" borderId="0" xfId="1" applyFont="1" applyFill="1" applyBorder="1" applyAlignment="1" applyProtection="1">
      <alignment horizontal="left" vertical="center"/>
    </xf>
    <xf numFmtId="0" fontId="16" fillId="12" borderId="38" xfId="0" applyFont="1" applyFill="1" applyBorder="1" applyAlignment="1">
      <alignment horizontal="center" vertical="center" wrapText="1"/>
    </xf>
    <xf numFmtId="0" fontId="16" fillId="12" borderId="0" xfId="0" applyFont="1" applyFill="1" applyAlignment="1">
      <alignment horizontal="center" vertical="center" wrapText="1"/>
    </xf>
    <xf numFmtId="0" fontId="13" fillId="6" borderId="0" xfId="0" applyFont="1" applyFill="1" applyAlignment="1">
      <alignment horizontal="left" vertical="center" wrapText="1"/>
    </xf>
    <xf numFmtId="44" fontId="6" fillId="3" borderId="0" xfId="1" applyFont="1" applyFill="1" applyBorder="1" applyAlignment="1">
      <alignment horizontal="center" vertical="center"/>
    </xf>
    <xf numFmtId="0" fontId="6" fillId="3" borderId="38" xfId="1" applyNumberFormat="1" applyFont="1" applyFill="1" applyBorder="1" applyAlignment="1" applyProtection="1">
      <alignment horizontal="center" vertical="center"/>
    </xf>
    <xf numFmtId="0" fontId="6" fillId="3" borderId="0" xfId="1" applyNumberFormat="1" applyFont="1" applyFill="1" applyBorder="1" applyAlignment="1" applyProtection="1">
      <alignment horizontal="center" vertical="center"/>
    </xf>
    <xf numFmtId="0" fontId="19" fillId="50" borderId="41" xfId="0" applyFont="1" applyFill="1" applyBorder="1" applyAlignment="1" applyProtection="1">
      <alignment horizontal="left"/>
      <protection hidden="1"/>
    </xf>
    <xf numFmtId="0" fontId="19" fillId="50" borderId="42" xfId="0" applyFont="1" applyFill="1" applyBorder="1" applyAlignment="1" applyProtection="1">
      <alignment horizontal="left"/>
      <protection hidden="1"/>
    </xf>
    <xf numFmtId="0" fontId="16" fillId="10" borderId="30" xfId="0" applyFont="1" applyFill="1" applyBorder="1" applyAlignment="1">
      <alignment horizontal="center" vertical="center"/>
    </xf>
    <xf numFmtId="0" fontId="16" fillId="10" borderId="0" xfId="0" applyFont="1" applyFill="1" applyAlignment="1">
      <alignment horizontal="center" vertical="center"/>
    </xf>
    <xf numFmtId="0" fontId="16" fillId="6" borderId="43" xfId="0" applyFont="1" applyFill="1" applyBorder="1" applyAlignment="1">
      <alignment horizontal="center" vertical="center"/>
    </xf>
    <xf numFmtId="0" fontId="6" fillId="3" borderId="41" xfId="1" applyNumberFormat="1" applyFont="1" applyFill="1" applyBorder="1" applyAlignment="1" applyProtection="1">
      <alignment horizontal="center" vertical="center"/>
    </xf>
    <xf numFmtId="0" fontId="19" fillId="50" borderId="40" xfId="0" applyFont="1" applyFill="1" applyBorder="1" applyAlignment="1">
      <alignment horizontal="left"/>
    </xf>
    <xf numFmtId="0" fontId="6" fillId="3" borderId="25" xfId="1" applyNumberFormat="1" applyFont="1" applyFill="1" applyBorder="1" applyAlignment="1" applyProtection="1">
      <alignment horizontal="center" vertical="center"/>
      <protection locked="0"/>
    </xf>
    <xf numFmtId="0" fontId="28" fillId="54" borderId="41" xfId="0" applyFont="1" applyFill="1" applyBorder="1" applyAlignment="1" applyProtection="1">
      <alignment horizontal="center"/>
      <protection locked="0"/>
    </xf>
    <xf numFmtId="0" fontId="28" fillId="54" borderId="42" xfId="0" applyFont="1" applyFill="1" applyBorder="1" applyAlignment="1" applyProtection="1">
      <alignment horizontal="center"/>
      <protection locked="0"/>
    </xf>
    <xf numFmtId="0" fontId="13" fillId="51" borderId="30" xfId="0" applyFont="1" applyFill="1" applyBorder="1" applyAlignment="1">
      <alignment horizontal="left" vertical="center" wrapText="1"/>
    </xf>
    <xf numFmtId="0" fontId="13" fillId="51" borderId="0" xfId="0" applyFont="1" applyFill="1" applyAlignment="1">
      <alignment horizontal="left" vertical="center" wrapText="1"/>
    </xf>
    <xf numFmtId="0" fontId="11" fillId="6" borderId="0" xfId="0" applyFont="1" applyFill="1" applyAlignment="1">
      <alignment horizontal="center" vertical="center"/>
    </xf>
    <xf numFmtId="0" fontId="11" fillId="6" borderId="41" xfId="0" applyFont="1" applyFill="1" applyBorder="1" applyAlignment="1">
      <alignment horizontal="left" vertical="center"/>
    </xf>
    <xf numFmtId="0" fontId="38" fillId="62" borderId="0" xfId="0" applyFont="1" applyFill="1" applyAlignment="1" applyProtection="1">
      <alignment horizontal="center" vertical="top" wrapText="1"/>
      <protection locked="0"/>
    </xf>
    <xf numFmtId="0" fontId="6" fillId="3" borderId="38" xfId="0" applyFont="1" applyFill="1" applyBorder="1" applyAlignment="1">
      <alignment horizontal="center" vertical="center" wrapText="1"/>
    </xf>
    <xf numFmtId="0" fontId="6" fillId="3" borderId="41" xfId="0" applyFont="1" applyFill="1" applyBorder="1" applyAlignment="1">
      <alignment horizontal="center" vertical="center" wrapText="1"/>
    </xf>
    <xf numFmtId="44" fontId="28" fillId="51" borderId="24" xfId="1" applyFont="1" applyFill="1" applyBorder="1" applyAlignment="1" applyProtection="1">
      <alignment horizontal="center"/>
      <protection locked="0"/>
    </xf>
    <xf numFmtId="44" fontId="28" fillId="51" borderId="25" xfId="1" applyFont="1" applyFill="1" applyBorder="1" applyAlignment="1" applyProtection="1">
      <alignment horizontal="center"/>
      <protection locked="0"/>
    </xf>
    <xf numFmtId="0" fontId="6" fillId="3" borderId="41" xfId="0" applyFont="1" applyFill="1" applyBorder="1" applyAlignment="1">
      <alignment horizontal="center" vertical="center"/>
    </xf>
    <xf numFmtId="0" fontId="19" fillId="54" borderId="0" xfId="0" applyFont="1" applyFill="1" applyAlignment="1">
      <alignment horizontal="left" vertical="top"/>
    </xf>
    <xf numFmtId="0" fontId="6" fillId="3" borderId="0" xfId="0" applyFont="1" applyFill="1" applyAlignment="1">
      <alignment horizontal="left" vertical="center"/>
    </xf>
    <xf numFmtId="0" fontId="11" fillId="50" borderId="38" xfId="0" applyFont="1" applyFill="1" applyBorder="1" applyAlignment="1">
      <alignment horizontal="left" vertical="center"/>
    </xf>
    <xf numFmtId="0" fontId="11" fillId="6" borderId="41" xfId="0" applyFont="1" applyFill="1" applyBorder="1" applyAlignment="1">
      <alignment horizontal="center" vertical="center"/>
    </xf>
    <xf numFmtId="0" fontId="0" fillId="62" borderId="0" xfId="0" applyFill="1" applyAlignment="1" applyProtection="1">
      <alignment horizontal="left" vertical="top" wrapText="1"/>
      <protection locked="0"/>
    </xf>
    <xf numFmtId="0" fontId="0" fillId="62" borderId="38" xfId="0" applyFill="1" applyBorder="1" applyAlignment="1" applyProtection="1">
      <alignment horizontal="left" vertical="top" wrapText="1"/>
      <protection locked="0"/>
    </xf>
    <xf numFmtId="0" fontId="13" fillId="50" borderId="41" xfId="0" applyFont="1" applyFill="1" applyBorder="1" applyAlignment="1">
      <alignment horizontal="left" vertical="center"/>
    </xf>
    <xf numFmtId="0" fontId="4" fillId="50" borderId="63" xfId="0" applyFont="1" applyFill="1" applyBorder="1" applyAlignment="1">
      <alignment horizontal="center" vertical="center" wrapText="1"/>
    </xf>
    <xf numFmtId="0" fontId="4" fillId="50" borderId="46" xfId="0" applyFont="1" applyFill="1" applyBorder="1" applyAlignment="1">
      <alignment horizontal="center" vertical="center" wrapText="1"/>
    </xf>
    <xf numFmtId="0" fontId="4" fillId="50" borderId="64" xfId="0" applyFont="1" applyFill="1" applyBorder="1" applyAlignment="1">
      <alignment horizontal="center" vertical="center" wrapText="1"/>
    </xf>
    <xf numFmtId="164" fontId="39" fillId="62" borderId="38" xfId="2" applyNumberFormat="1" applyFont="1" applyFill="1" applyBorder="1" applyAlignment="1" applyProtection="1">
      <alignment horizontal="center"/>
      <protection locked="0"/>
    </xf>
    <xf numFmtId="164" fontId="39" fillId="62" borderId="0" xfId="2" applyNumberFormat="1" applyFont="1" applyFill="1" applyBorder="1" applyAlignment="1" applyProtection="1">
      <alignment horizontal="center"/>
      <protection locked="0"/>
    </xf>
    <xf numFmtId="44" fontId="30" fillId="49" borderId="0" xfId="1" applyFont="1" applyFill="1" applyBorder="1" applyAlignment="1" applyProtection="1">
      <alignment horizontal="center" vertical="center"/>
    </xf>
    <xf numFmtId="0" fontId="31" fillId="25" borderId="38" xfId="31" applyFont="1" applyBorder="1" applyAlignment="1" applyProtection="1">
      <alignment horizontal="center"/>
    </xf>
    <xf numFmtId="0" fontId="13" fillId="62" borderId="44" xfId="0" applyFont="1" applyFill="1" applyBorder="1" applyAlignment="1" applyProtection="1">
      <alignment horizontal="center" vertical="center"/>
      <protection locked="0" hidden="1"/>
    </xf>
    <xf numFmtId="0" fontId="11" fillId="6" borderId="41" xfId="0" applyFont="1" applyFill="1" applyBorder="1" applyAlignment="1">
      <alignment horizontal="left" vertical="center" wrapText="1"/>
    </xf>
    <xf numFmtId="0" fontId="0" fillId="9" borderId="0" xfId="0" applyFill="1"/>
    <xf numFmtId="0" fontId="0" fillId="62" borderId="0" xfId="0" applyFill="1" applyAlignment="1">
      <alignment horizontal="center"/>
    </xf>
    <xf numFmtId="0" fontId="11" fillId="6" borderId="0" xfId="0" applyFont="1" applyFill="1" applyAlignment="1">
      <alignment horizontal="left"/>
    </xf>
    <xf numFmtId="164" fontId="11" fillId="6" borderId="0" xfId="2" applyNumberFormat="1" applyFont="1" applyFill="1" applyBorder="1" applyAlignment="1" applyProtection="1">
      <alignment horizontal="left"/>
      <protection locked="0"/>
    </xf>
    <xf numFmtId="0" fontId="46" fillId="49" borderId="41" xfId="0" applyFont="1" applyFill="1" applyBorder="1" applyAlignment="1">
      <alignment horizontal="left" vertical="center" wrapText="1"/>
    </xf>
    <xf numFmtId="0" fontId="46" fillId="49" borderId="25" xfId="0" applyFont="1" applyFill="1" applyBorder="1" applyAlignment="1">
      <alignment horizontal="left" vertical="center"/>
    </xf>
    <xf numFmtId="0" fontId="0" fillId="10" borderId="30" xfId="0" applyFill="1" applyBorder="1" applyAlignment="1" applyProtection="1">
      <alignment horizontal="center"/>
      <protection locked="0"/>
    </xf>
    <xf numFmtId="0" fontId="0" fillId="10" borderId="0" xfId="0" applyFill="1" applyAlignment="1" applyProtection="1">
      <alignment horizontal="center"/>
      <protection locked="0"/>
    </xf>
    <xf numFmtId="0" fontId="19" fillId="51" borderId="38" xfId="0" applyFont="1" applyFill="1" applyBorder="1" applyAlignment="1">
      <alignment horizontal="left" vertical="center"/>
    </xf>
    <xf numFmtId="3" fontId="0" fillId="57" borderId="37" xfId="2" applyNumberFormat="1" applyFont="1" applyFill="1" applyBorder="1" applyAlignment="1" applyProtection="1">
      <alignment horizontal="center" vertical="center"/>
    </xf>
    <xf numFmtId="3" fontId="0" fillId="57" borderId="39" xfId="2" applyNumberFormat="1" applyFont="1" applyFill="1" applyBorder="1" applyAlignment="1" applyProtection="1">
      <alignment horizontal="center" vertical="center"/>
    </xf>
    <xf numFmtId="0" fontId="13" fillId="51" borderId="44" xfId="0" applyFont="1" applyFill="1" applyBorder="1" applyAlignment="1" applyProtection="1">
      <alignment vertical="center"/>
      <protection hidden="1"/>
    </xf>
    <xf numFmtId="0" fontId="13" fillId="51" borderId="24" xfId="0" applyFont="1" applyFill="1" applyBorder="1" applyAlignment="1" applyProtection="1">
      <alignment horizontal="center" vertical="center"/>
      <protection hidden="1"/>
    </xf>
    <xf numFmtId="0" fontId="13" fillId="51" borderId="26" xfId="0" applyFont="1" applyFill="1" applyBorder="1" applyAlignment="1" applyProtection="1">
      <alignment horizontal="center" vertical="center"/>
      <protection hidden="1"/>
    </xf>
    <xf numFmtId="0" fontId="4" fillId="66" borderId="41" xfId="0" applyFont="1" applyFill="1" applyBorder="1" applyAlignment="1">
      <alignment horizontal="center" vertical="center" wrapText="1"/>
    </xf>
    <xf numFmtId="44" fontId="87" fillId="66" borderId="0" xfId="1" applyFont="1" applyFill="1" applyBorder="1" applyAlignment="1" applyProtection="1">
      <alignment horizontal="center" vertical="center" wrapText="1"/>
    </xf>
    <xf numFmtId="44" fontId="87" fillId="66" borderId="0" xfId="1" applyFont="1" applyFill="1" applyBorder="1" applyAlignment="1" applyProtection="1">
      <alignment horizontal="center" vertical="center"/>
    </xf>
    <xf numFmtId="0" fontId="31" fillId="12" borderId="38" xfId="0" applyFont="1" applyFill="1" applyBorder="1" applyAlignment="1">
      <alignment horizontal="center" vertical="center"/>
    </xf>
    <xf numFmtId="0" fontId="31" fillId="12" borderId="41" xfId="0" applyFont="1" applyFill="1" applyBorder="1" applyAlignment="1">
      <alignment horizontal="center" vertical="center"/>
    </xf>
    <xf numFmtId="0" fontId="31" fillId="12" borderId="38" xfId="0" applyFont="1" applyFill="1" applyBorder="1" applyAlignment="1">
      <alignment horizontal="center" vertical="center" wrapText="1"/>
    </xf>
    <xf numFmtId="0" fontId="31" fillId="12" borderId="41" xfId="0" applyFont="1" applyFill="1" applyBorder="1" applyAlignment="1">
      <alignment horizontal="center" vertical="center" wrapText="1"/>
    </xf>
    <xf numFmtId="0" fontId="31" fillId="25" borderId="0" xfId="31" applyFont="1" applyBorder="1" applyAlignment="1" applyProtection="1">
      <alignment horizontal="center"/>
    </xf>
    <xf numFmtId="0" fontId="47" fillId="9" borderId="0" xfId="0" applyFont="1" applyFill="1" applyAlignment="1">
      <alignment horizontal="left" vertical="center"/>
    </xf>
    <xf numFmtId="0" fontId="11" fillId="6" borderId="40" xfId="0" applyFont="1" applyFill="1" applyBorder="1" applyAlignment="1">
      <alignment horizontal="left" vertical="center"/>
    </xf>
    <xf numFmtId="164" fontId="39" fillId="51" borderId="38" xfId="2" applyNumberFormat="1" applyFont="1" applyFill="1" applyBorder="1" applyAlignment="1" applyProtection="1">
      <alignment horizontal="center"/>
      <protection locked="0"/>
    </xf>
    <xf numFmtId="164" fontId="39" fillId="51" borderId="0" xfId="2" applyNumberFormat="1" applyFont="1" applyFill="1" applyBorder="1" applyAlignment="1" applyProtection="1">
      <alignment horizontal="center"/>
      <protection locked="0"/>
    </xf>
    <xf numFmtId="0" fontId="11" fillId="6" borderId="51" xfId="0" applyFont="1" applyFill="1" applyBorder="1" applyAlignment="1">
      <alignment horizontal="center" vertical="center"/>
    </xf>
    <xf numFmtId="0" fontId="11" fillId="6" borderId="50" xfId="0" applyFont="1" applyFill="1" applyBorder="1" applyAlignment="1">
      <alignment horizontal="center" vertical="center"/>
    </xf>
    <xf numFmtId="0" fontId="13" fillId="50" borderId="37" xfId="0" applyFont="1" applyFill="1" applyBorder="1" applyAlignment="1">
      <alignment horizontal="left" vertical="center" wrapText="1"/>
    </xf>
    <xf numFmtId="0" fontId="13" fillId="50" borderId="38" xfId="0" applyFont="1" applyFill="1" applyBorder="1" applyAlignment="1">
      <alignment horizontal="left" vertical="center" wrapText="1"/>
    </xf>
    <xf numFmtId="0" fontId="13" fillId="50" borderId="30" xfId="0" applyFont="1" applyFill="1" applyBorder="1" applyAlignment="1">
      <alignment horizontal="left" vertical="center" wrapText="1"/>
    </xf>
    <xf numFmtId="0" fontId="13" fillId="50" borderId="0" xfId="0" applyFont="1" applyFill="1" applyAlignment="1">
      <alignment horizontal="left" vertical="center" wrapText="1"/>
    </xf>
    <xf numFmtId="0" fontId="13" fillId="50" borderId="40" xfId="0" applyFont="1" applyFill="1" applyBorder="1" applyAlignment="1">
      <alignment horizontal="left" vertical="center" wrapText="1"/>
    </xf>
    <xf numFmtId="0" fontId="13" fillId="50" borderId="41" xfId="0" applyFont="1" applyFill="1" applyBorder="1" applyAlignment="1">
      <alignment horizontal="left" vertical="center" wrapText="1"/>
    </xf>
    <xf numFmtId="0" fontId="11" fillId="10" borderId="37" xfId="0" applyFont="1" applyFill="1" applyBorder="1" applyAlignment="1">
      <alignment horizontal="left" vertical="center" wrapText="1"/>
    </xf>
    <xf numFmtId="0" fontId="11" fillId="10" borderId="38" xfId="0" applyFont="1" applyFill="1" applyBorder="1" applyAlignment="1">
      <alignment horizontal="left" vertical="center" wrapText="1"/>
    </xf>
    <xf numFmtId="0" fontId="11" fillId="51" borderId="40" xfId="0" applyFont="1" applyFill="1" applyBorder="1" applyAlignment="1">
      <alignment horizontal="left" vertical="center" wrapText="1"/>
    </xf>
    <xf numFmtId="0" fontId="11" fillId="51" borderId="41" xfId="0" applyFont="1" applyFill="1" applyBorder="1" applyAlignment="1">
      <alignment horizontal="left" vertical="center" wrapText="1"/>
    </xf>
    <xf numFmtId="0" fontId="11" fillId="51" borderId="42" xfId="0" applyFont="1" applyFill="1" applyBorder="1" applyAlignment="1">
      <alignment horizontal="left" vertical="center" wrapText="1"/>
    </xf>
    <xf numFmtId="0" fontId="11" fillId="51" borderId="24" xfId="0" applyFont="1" applyFill="1" applyBorder="1" applyAlignment="1">
      <alignment horizontal="left" vertical="center" wrapText="1"/>
    </xf>
    <xf numFmtId="0" fontId="11" fillId="51" borderId="25" xfId="0" applyFont="1" applyFill="1" applyBorder="1" applyAlignment="1">
      <alignment horizontal="left" vertical="center" wrapText="1"/>
    </xf>
    <xf numFmtId="0" fontId="11" fillId="51" borderId="26" xfId="0" applyFont="1" applyFill="1" applyBorder="1" applyAlignment="1">
      <alignment horizontal="left" vertical="center" wrapText="1"/>
    </xf>
    <xf numFmtId="164" fontId="13" fillId="51" borderId="0" xfId="2" applyNumberFormat="1" applyFont="1" applyFill="1" applyBorder="1" applyAlignment="1" applyProtection="1">
      <alignment horizontal="left" vertical="top"/>
      <protection locked="0"/>
    </xf>
    <xf numFmtId="44" fontId="0" fillId="10" borderId="37" xfId="1" applyFont="1" applyFill="1" applyBorder="1" applyAlignment="1" applyProtection="1">
      <alignment horizontal="center"/>
      <protection locked="0"/>
    </xf>
    <xf numFmtId="44" fontId="0" fillId="10" borderId="39" xfId="1" applyFont="1" applyFill="1" applyBorder="1" applyAlignment="1" applyProtection="1">
      <alignment horizontal="center"/>
      <protection locked="0"/>
    </xf>
    <xf numFmtId="0" fontId="31" fillId="6" borderId="41" xfId="0" applyFont="1" applyFill="1" applyBorder="1" applyAlignment="1">
      <alignment horizontal="center"/>
    </xf>
    <xf numFmtId="44" fontId="0" fillId="57" borderId="37" xfId="1" applyFont="1" applyFill="1" applyBorder="1" applyAlignment="1" applyProtection="1">
      <alignment horizontal="center" vertical="center"/>
    </xf>
    <xf numFmtId="44" fontId="0" fillId="57" borderId="39" xfId="1" applyFont="1" applyFill="1" applyBorder="1" applyAlignment="1" applyProtection="1">
      <alignment horizontal="center" vertical="center"/>
    </xf>
    <xf numFmtId="0" fontId="32" fillId="57" borderId="24" xfId="0" applyFont="1" applyFill="1" applyBorder="1" applyAlignment="1">
      <alignment horizontal="center"/>
    </xf>
    <xf numFmtId="0" fontId="32" fillId="57" borderId="25" xfId="0" applyFont="1" applyFill="1" applyBorder="1" applyAlignment="1">
      <alignment horizontal="center"/>
    </xf>
    <xf numFmtId="0" fontId="32" fillId="57" borderId="26" xfId="0" applyFont="1" applyFill="1" applyBorder="1" applyAlignment="1">
      <alignment horizontal="center"/>
    </xf>
    <xf numFmtId="0" fontId="32" fillId="51" borderId="37" xfId="0" applyFont="1" applyFill="1" applyBorder="1" applyAlignment="1">
      <alignment horizontal="center"/>
    </xf>
    <xf numFmtId="0" fontId="32" fillId="51" borderId="38" xfId="0" applyFont="1" applyFill="1" applyBorder="1" applyAlignment="1">
      <alignment horizontal="center"/>
    </xf>
    <xf numFmtId="0" fontId="32" fillId="51" borderId="39" xfId="0" applyFont="1" applyFill="1" applyBorder="1" applyAlignment="1">
      <alignment horizontal="center"/>
    </xf>
    <xf numFmtId="3" fontId="0" fillId="62" borderId="37" xfId="2" applyNumberFormat="1" applyFont="1" applyFill="1" applyBorder="1" applyAlignment="1" applyProtection="1">
      <alignment horizontal="center" vertical="center"/>
    </xf>
    <xf numFmtId="3" fontId="0" fillId="62" borderId="39" xfId="2" applyNumberFormat="1" applyFont="1" applyFill="1" applyBorder="1" applyAlignment="1" applyProtection="1">
      <alignment horizontal="center" vertical="center"/>
    </xf>
    <xf numFmtId="0" fontId="13" fillId="6" borderId="38" xfId="0" applyFont="1" applyFill="1" applyBorder="1" applyAlignment="1">
      <alignment horizontal="left" vertical="center" wrapText="1"/>
    </xf>
    <xf numFmtId="0" fontId="13" fillId="6" borderId="41" xfId="0" applyFont="1" applyFill="1" applyBorder="1" applyAlignment="1">
      <alignment horizontal="left" vertical="center" wrapText="1"/>
    </xf>
    <xf numFmtId="0" fontId="0" fillId="54" borderId="38" xfId="0" applyFill="1" applyBorder="1" applyAlignment="1" applyProtection="1">
      <alignment horizontal="center" vertical="center"/>
      <protection locked="0"/>
    </xf>
    <xf numFmtId="0" fontId="0" fillId="54" borderId="41" xfId="0" applyFill="1" applyBorder="1" applyAlignment="1" applyProtection="1">
      <alignment horizontal="center" vertical="center"/>
      <protection locked="0"/>
    </xf>
    <xf numFmtId="0" fontId="39" fillId="24" borderId="38" xfId="30" applyFont="1" applyBorder="1" applyAlignment="1" applyProtection="1">
      <alignment horizontal="left" vertical="top" wrapText="1"/>
      <protection hidden="1"/>
    </xf>
    <xf numFmtId="0" fontId="39" fillId="51" borderId="0" xfId="0" applyFont="1" applyFill="1" applyAlignment="1" applyProtection="1">
      <alignment horizontal="left" vertical="top" wrapText="1"/>
      <protection locked="0" hidden="1"/>
    </xf>
    <xf numFmtId="0" fontId="13" fillId="62" borderId="41" xfId="0" applyFont="1" applyFill="1" applyBorder="1" applyAlignment="1">
      <alignment horizontal="center" vertical="center" wrapText="1"/>
    </xf>
    <xf numFmtId="0" fontId="31" fillId="66" borderId="38" xfId="0" applyFont="1" applyFill="1" applyBorder="1" applyAlignment="1">
      <alignment horizontal="center" vertical="center" wrapText="1"/>
    </xf>
    <xf numFmtId="0" fontId="31" fillId="66" borderId="41" xfId="0" applyFont="1" applyFill="1" applyBorder="1" applyAlignment="1">
      <alignment horizontal="center" vertical="center" wrapText="1"/>
    </xf>
    <xf numFmtId="0" fontId="31" fillId="66" borderId="0" xfId="0" applyFont="1" applyFill="1" applyAlignment="1">
      <alignment horizontal="center" vertical="center"/>
    </xf>
    <xf numFmtId="0" fontId="31" fillId="66" borderId="41" xfId="0" applyFont="1" applyFill="1" applyBorder="1" applyAlignment="1">
      <alignment horizontal="center" vertical="center"/>
    </xf>
    <xf numFmtId="0" fontId="13" fillId="50" borderId="44" xfId="0" applyFont="1" applyFill="1" applyBorder="1" applyAlignment="1" applyProtection="1">
      <alignment horizontal="center" vertical="center"/>
      <protection hidden="1"/>
    </xf>
    <xf numFmtId="0" fontId="13" fillId="6" borderId="0" xfId="0" applyFont="1" applyFill="1" applyAlignment="1">
      <alignment horizontal="left" vertical="center"/>
    </xf>
    <xf numFmtId="0" fontId="13" fillId="6" borderId="41" xfId="0" applyFont="1" applyFill="1" applyBorder="1" applyAlignment="1">
      <alignment horizontal="left" vertical="center"/>
    </xf>
    <xf numFmtId="0" fontId="0" fillId="54" borderId="0" xfId="0" applyFill="1" applyAlignment="1" applyProtection="1">
      <alignment horizontal="center" vertical="center"/>
      <protection locked="0"/>
    </xf>
    <xf numFmtId="0" fontId="13" fillId="58" borderId="38" xfId="0" applyFont="1" applyFill="1" applyBorder="1" applyAlignment="1" applyProtection="1">
      <alignment horizontal="left" vertical="center"/>
      <protection hidden="1"/>
    </xf>
    <xf numFmtId="0" fontId="13" fillId="6" borderId="0" xfId="0" applyFont="1" applyFill="1" applyAlignment="1" applyProtection="1">
      <alignment horizontal="left" vertical="center"/>
      <protection locked="0"/>
    </xf>
    <xf numFmtId="0" fontId="13" fillId="50" borderId="44" xfId="0" applyFont="1" applyFill="1" applyBorder="1" applyAlignment="1" applyProtection="1">
      <alignment horizontal="left" vertical="center"/>
      <protection hidden="1"/>
    </xf>
    <xf numFmtId="0" fontId="12" fillId="13" borderId="38" xfId="0" applyFont="1" applyFill="1" applyBorder="1" applyAlignment="1">
      <alignment horizontal="center" vertical="center"/>
    </xf>
    <xf numFmtId="0" fontId="12" fillId="13" borderId="41" xfId="0" applyFont="1" applyFill="1" applyBorder="1" applyAlignment="1">
      <alignment horizontal="center" vertical="center"/>
    </xf>
    <xf numFmtId="44" fontId="30" fillId="5" borderId="0" xfId="1" applyFont="1" applyFill="1" applyBorder="1" applyAlignment="1" applyProtection="1">
      <alignment horizontal="center" vertical="center" wrapText="1"/>
    </xf>
    <xf numFmtId="0" fontId="10" fillId="5" borderId="41" xfId="0" applyFont="1" applyFill="1" applyBorder="1" applyAlignment="1">
      <alignment horizontal="center" vertical="center" wrapText="1"/>
    </xf>
    <xf numFmtId="0" fontId="12" fillId="13" borderId="38" xfId="0" applyFont="1" applyFill="1" applyBorder="1" applyAlignment="1">
      <alignment horizontal="center" vertical="center" wrapText="1"/>
    </xf>
    <xf numFmtId="0" fontId="12" fillId="13" borderId="41" xfId="0" applyFont="1" applyFill="1" applyBorder="1" applyAlignment="1">
      <alignment horizontal="center" vertical="center" wrapText="1"/>
    </xf>
    <xf numFmtId="0" fontId="13" fillId="50" borderId="44" xfId="0" applyFont="1" applyFill="1" applyBorder="1" applyAlignment="1" applyProtection="1">
      <alignment vertical="center"/>
      <protection hidden="1"/>
    </xf>
    <xf numFmtId="44" fontId="11" fillId="10" borderId="30" xfId="0" applyNumberFormat="1" applyFont="1" applyFill="1" applyBorder="1" applyAlignment="1" applyProtection="1">
      <alignment horizontal="center" vertical="center"/>
      <protection locked="0"/>
    </xf>
    <xf numFmtId="44" fontId="11" fillId="10" borderId="0" xfId="0" applyNumberFormat="1" applyFont="1" applyFill="1" applyAlignment="1" applyProtection="1">
      <alignment horizontal="center" vertical="center"/>
      <protection locked="0"/>
    </xf>
    <xf numFmtId="0" fontId="11" fillId="6" borderId="43" xfId="0" applyFont="1" applyFill="1" applyBorder="1" applyAlignment="1">
      <alignment horizontal="center" vertical="center" wrapText="1"/>
    </xf>
    <xf numFmtId="0" fontId="39" fillId="51" borderId="38" xfId="0" applyFont="1" applyFill="1" applyBorder="1" applyAlignment="1" applyProtection="1">
      <alignment horizontal="left" vertical="top" wrapText="1"/>
      <protection locked="0" hidden="1"/>
    </xf>
    <xf numFmtId="0" fontId="13" fillId="6" borderId="38" xfId="0" applyFont="1" applyFill="1" applyBorder="1" applyAlignment="1">
      <alignment horizontal="left" vertical="center"/>
    </xf>
    <xf numFmtId="0" fontId="13" fillId="6" borderId="37" xfId="0" applyFont="1" applyFill="1" applyBorder="1" applyAlignment="1">
      <alignment horizontal="left" vertical="center" wrapText="1"/>
    </xf>
    <xf numFmtId="0" fontId="13" fillId="6" borderId="40" xfId="0" applyFont="1" applyFill="1" applyBorder="1" applyAlignment="1">
      <alignment horizontal="left" vertical="center" wrapText="1"/>
    </xf>
    <xf numFmtId="0" fontId="13" fillId="6" borderId="0" xfId="0" applyFont="1" applyFill="1" applyAlignment="1" applyProtection="1">
      <alignment horizontal="left" vertical="center" wrapText="1"/>
      <protection locked="0" hidden="1"/>
    </xf>
    <xf numFmtId="0" fontId="13" fillId="59" borderId="38" xfId="0" applyFont="1" applyFill="1" applyBorder="1" applyAlignment="1" applyProtection="1">
      <alignment horizontal="left" vertical="center" wrapText="1"/>
      <protection hidden="1"/>
    </xf>
    <xf numFmtId="0" fontId="12" fillId="13" borderId="0" xfId="0" applyFont="1" applyFill="1" applyAlignment="1">
      <alignment horizontal="center" vertical="center"/>
    </xf>
    <xf numFmtId="0" fontId="12" fillId="13" borderId="0" xfId="0" applyFont="1" applyFill="1" applyAlignment="1">
      <alignment horizontal="center" vertical="center" wrapText="1"/>
    </xf>
  </cellXfs>
  <cellStyles count="68">
    <cellStyle name="20% - Accent1" xfId="30" builtinId="30" customBuiltin="1"/>
    <cellStyle name="20% - Accent2" xfId="34" builtinId="34" customBuiltin="1"/>
    <cellStyle name="20% - Accent3" xfId="38" builtinId="38" customBuiltin="1"/>
    <cellStyle name="20% - Accent4" xfId="42" builtinId="42" customBuiltin="1"/>
    <cellStyle name="20% - Accent5" xfId="46" builtinId="46" customBuiltin="1"/>
    <cellStyle name="20% - Accent6" xfId="50" builtinId="50" customBuiltin="1"/>
    <cellStyle name="40% - Accent1" xfId="31" builtinId="31" customBuiltin="1"/>
    <cellStyle name="40% - Accent2" xfId="35" builtinId="35" customBuiltin="1"/>
    <cellStyle name="40% - Accent3" xfId="39" builtinId="39" customBuiltin="1"/>
    <cellStyle name="40% - Accent4" xfId="43" builtinId="43" customBuiltin="1"/>
    <cellStyle name="40% - Accent5" xfId="47" builtinId="47" customBuiltin="1"/>
    <cellStyle name="40% - Accent6" xfId="51" builtinId="51" customBuiltin="1"/>
    <cellStyle name="60% - Accent1" xfId="32" builtinId="32" customBuiltin="1"/>
    <cellStyle name="60% - Accent2" xfId="36" builtinId="36" customBuiltin="1"/>
    <cellStyle name="60% - Accent3" xfId="40" builtinId="40" customBuiltin="1"/>
    <cellStyle name="60% - Accent4" xfId="44" builtinId="44" customBuiltin="1"/>
    <cellStyle name="60% - Accent5" xfId="48" builtinId="48" customBuiltin="1"/>
    <cellStyle name="60%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Bad" xfId="18" builtinId="27" customBuiltin="1"/>
    <cellStyle name="Calculation" xfId="22" builtinId="22" customBuiltin="1"/>
    <cellStyle name="Check Cell" xfId="24" builtinId="23" customBuiltin="1"/>
    <cellStyle name="Comma" xfId="2" builtinId="3"/>
    <cellStyle name="Comma 2" xfId="7" xr:uid="{00000000-0005-0000-0000-00001C000000}"/>
    <cellStyle name="Comma 2 2" xfId="58" xr:uid="{00000000-0005-0000-0000-00001D000000}"/>
    <cellStyle name="Comma 2 3" xfId="57" xr:uid="{00000000-0005-0000-0000-00001E000000}"/>
    <cellStyle name="Comma 3" xfId="59" xr:uid="{00000000-0005-0000-0000-00001F000000}"/>
    <cellStyle name="Comma 4" xfId="56" xr:uid="{00000000-0005-0000-0000-000020000000}"/>
    <cellStyle name="Currency" xfId="1" builtinId="4"/>
    <cellStyle name="Currency 2" xfId="4" xr:uid="{00000000-0005-0000-0000-000022000000}"/>
    <cellStyle name="Currency 3" xfId="60" xr:uid="{00000000-0005-0000-0000-000023000000}"/>
    <cellStyle name="Explanatory Text" xfId="27" builtinId="53" customBuiltin="1"/>
    <cellStyle name="Good" xfId="17" builtinId="26" customBuiltin="1"/>
    <cellStyle name="Heading 1" xfId="13" builtinId="16" customBuiltin="1"/>
    <cellStyle name="Heading 2" xfId="14" builtinId="17" customBuiltin="1"/>
    <cellStyle name="Heading 3" xfId="15" builtinId="18" customBuiltin="1"/>
    <cellStyle name="Heading 4" xfId="16" builtinId="19" customBuiltin="1"/>
    <cellStyle name="Hyperlink" xfId="9" builtinId="8"/>
    <cellStyle name="Hyperlink 2" xfId="53" xr:uid="{00000000-0005-0000-0000-00002B000000}"/>
    <cellStyle name="Hyperlink 3" xfId="54" xr:uid="{00000000-0005-0000-0000-00002C000000}"/>
    <cellStyle name="Hyperlink 4" xfId="61" xr:uid="{00000000-0005-0000-0000-00002D000000}"/>
    <cellStyle name="Input" xfId="20" builtinId="20" customBuiltin="1"/>
    <cellStyle name="Linked Cell" xfId="23" builtinId="24" customBuiltin="1"/>
    <cellStyle name="Neutral" xfId="19" builtinId="28" customBuiltin="1"/>
    <cellStyle name="Normal" xfId="0" builtinId="0"/>
    <cellStyle name="Normal 2" xfId="3" xr:uid="{00000000-0005-0000-0000-000032000000}"/>
    <cellStyle name="Normal 2 2" xfId="63" xr:uid="{00000000-0005-0000-0000-000033000000}"/>
    <cellStyle name="Normal 2 3" xfId="62" xr:uid="{00000000-0005-0000-0000-000034000000}"/>
    <cellStyle name="Normal 3" xfId="64" xr:uid="{00000000-0005-0000-0000-000035000000}"/>
    <cellStyle name="Normal 4" xfId="55" xr:uid="{00000000-0005-0000-0000-000036000000}"/>
    <cellStyle name="Normal 5" xfId="66" xr:uid="{98DA0B8B-E7F6-4124-9E3B-D15355561730}"/>
    <cellStyle name="Normal_Sheet1" xfId="11" xr:uid="{00000000-0005-0000-0000-000037000000}"/>
    <cellStyle name="Normal_Sheet3" xfId="67" xr:uid="{92F15B74-DD90-418F-9D8A-8E013363E128}"/>
    <cellStyle name="Normal_Sheet6" xfId="8" xr:uid="{00000000-0005-0000-0000-000038000000}"/>
    <cellStyle name="Normal_Source" xfId="10" xr:uid="{00000000-0005-0000-0000-000039000000}"/>
    <cellStyle name="Note" xfId="26" builtinId="10" customBuiltin="1"/>
    <cellStyle name="Output" xfId="21" builtinId="21" customBuiltin="1"/>
    <cellStyle name="Percent" xfId="5" builtinId="5"/>
    <cellStyle name="Percent 2" xfId="6" xr:uid="{00000000-0005-0000-0000-00003D000000}"/>
    <cellStyle name="Percent 3" xfId="65" xr:uid="{00000000-0005-0000-0000-00003E000000}"/>
    <cellStyle name="Title" xfId="12" builtinId="15" customBuiltin="1"/>
    <cellStyle name="Total" xfId="28" builtinId="25" customBuiltin="1"/>
    <cellStyle name="Warning Text" xfId="25" builtinId="11" customBuiltin="1"/>
  </cellStyles>
  <dxfs count="40">
    <dxf>
      <fill>
        <patternFill>
          <bgColor rgb="FFFFFFA3"/>
        </patternFill>
      </fill>
    </dxf>
    <dxf>
      <fill>
        <patternFill>
          <bgColor rgb="FFFFFFA3"/>
        </patternFill>
      </fill>
    </dxf>
    <dxf>
      <fill>
        <patternFill>
          <bgColor rgb="FFFFFF93"/>
        </patternFill>
      </fill>
    </dxf>
    <dxf>
      <font>
        <color rgb="FFF1F5F9"/>
      </font>
      <fill>
        <patternFill>
          <bgColor rgb="FFF4F7FA"/>
        </patternFill>
      </fill>
    </dxf>
    <dxf>
      <fill>
        <patternFill>
          <bgColor rgb="FFFFFF93"/>
        </patternFill>
      </fill>
    </dxf>
    <dxf>
      <fill>
        <patternFill>
          <bgColor rgb="FFFFFF93"/>
        </patternFill>
      </fill>
    </dxf>
    <dxf>
      <font>
        <color theme="3"/>
      </font>
    </dxf>
    <dxf>
      <font>
        <color rgb="FFEEF3F8"/>
      </font>
      <fill>
        <patternFill>
          <bgColor rgb="FFECF2F8"/>
        </patternFill>
      </fill>
    </dxf>
    <dxf>
      <fill>
        <patternFill>
          <bgColor rgb="FFFFFF93"/>
        </patternFill>
      </fill>
    </dxf>
    <dxf>
      <fill>
        <patternFill>
          <bgColor rgb="FFFFFF85"/>
        </patternFill>
      </fill>
    </dxf>
    <dxf>
      <fill>
        <patternFill>
          <bgColor rgb="FFFFFF9B"/>
        </patternFill>
      </fill>
    </dxf>
    <dxf>
      <font>
        <color theme="0"/>
      </font>
      <fill>
        <patternFill>
          <bgColor theme="0"/>
        </patternFill>
      </fill>
    </dxf>
    <dxf>
      <font>
        <color theme="0"/>
      </font>
      <fill>
        <patternFill>
          <bgColor theme="0"/>
        </patternFill>
      </fill>
    </dxf>
    <dxf>
      <font>
        <color theme="3"/>
      </font>
      <fill>
        <patternFill>
          <bgColor rgb="FFFFFF9B"/>
        </patternFill>
      </fill>
    </dxf>
    <dxf>
      <font>
        <color rgb="FFEAF0F6"/>
      </font>
      <fill>
        <patternFill>
          <bgColor rgb="FFEAF0F6"/>
        </patternFill>
      </fill>
    </dxf>
    <dxf>
      <font>
        <b/>
        <i val="0"/>
        <color theme="3"/>
      </font>
      <fill>
        <patternFill>
          <bgColor rgb="FFFFFF8B"/>
        </patternFill>
      </fill>
    </dxf>
    <dxf>
      <fill>
        <patternFill>
          <bgColor rgb="FFFFFF9B"/>
        </patternFill>
      </fill>
    </dxf>
    <dxf>
      <fill>
        <patternFill>
          <bgColor rgb="FFFFFF85"/>
        </patternFill>
      </fill>
    </dxf>
    <dxf>
      <font>
        <color rgb="FF00B050"/>
      </font>
    </dxf>
    <dxf>
      <font>
        <color rgb="FF00B050"/>
      </font>
    </dxf>
    <dxf>
      <font>
        <color rgb="FF00B050"/>
      </font>
    </dxf>
    <dxf>
      <font>
        <color rgb="FF00B050"/>
      </font>
    </dxf>
    <dxf>
      <font>
        <color rgb="FF00B050"/>
      </font>
    </dxf>
    <dxf>
      <font>
        <b val="0"/>
        <i val="0"/>
        <color rgb="FF00B050"/>
      </font>
    </dxf>
    <dxf>
      <font>
        <b val="0"/>
        <i val="0"/>
        <color rgb="FF00B050"/>
      </font>
    </dxf>
    <dxf>
      <font>
        <b val="0"/>
        <i val="0"/>
        <color rgb="FF00B050"/>
      </font>
    </dxf>
    <dxf>
      <fill>
        <patternFill>
          <bgColor rgb="FFFFFFA3"/>
        </patternFill>
      </fill>
    </dxf>
    <dxf>
      <fill>
        <patternFill>
          <bgColor rgb="FFFFFFA3"/>
        </patternFill>
      </fill>
    </dxf>
    <dxf>
      <font>
        <color rgb="FFEAF0F6"/>
      </font>
      <fill>
        <patternFill>
          <bgColor rgb="FFEAF0F6"/>
        </patternFill>
      </fill>
    </dxf>
    <dxf>
      <font>
        <color rgb="FFEAF0F6"/>
      </font>
      <fill>
        <patternFill>
          <bgColor rgb="FFEAF0F6"/>
        </patternFill>
      </fill>
    </dxf>
    <dxf>
      <font>
        <color rgb="FFEAF0F6"/>
      </font>
      <fill>
        <patternFill>
          <bgColor rgb="FFEAF0F6"/>
        </patternFill>
      </fill>
    </dxf>
    <dxf>
      <font>
        <color auto="1"/>
      </font>
      <fill>
        <patternFill>
          <bgColor theme="5" tint="0.39994506668294322"/>
        </patternFill>
      </fill>
    </dxf>
    <dxf>
      <font>
        <color auto="1"/>
      </font>
      <fill>
        <patternFill>
          <bgColor theme="5" tint="0.39994506668294322"/>
        </patternFill>
      </fill>
    </dxf>
    <dxf>
      <fill>
        <patternFill>
          <bgColor theme="5" tint="0.39994506668294322"/>
        </patternFill>
      </fill>
    </dxf>
    <dxf>
      <fill>
        <patternFill>
          <bgColor theme="5" tint="0.39994506668294322"/>
        </patternFill>
      </fill>
    </dxf>
    <dxf>
      <fill>
        <patternFill>
          <bgColor rgb="FFFFFF9F"/>
        </patternFill>
      </fill>
    </dxf>
    <dxf>
      <fill>
        <patternFill>
          <bgColor rgb="FFFFFFA3"/>
        </patternFill>
      </fill>
      <border>
        <left style="thin">
          <color theme="0"/>
        </left>
        <vertical/>
        <horizontal/>
      </border>
    </dxf>
    <dxf>
      <fill>
        <patternFill>
          <bgColor rgb="FFFFFFA3"/>
        </patternFill>
      </fill>
    </dxf>
    <dxf>
      <font>
        <b/>
        <i val="0"/>
        <color theme="3"/>
      </font>
      <fill>
        <patternFill>
          <bgColor rgb="FFFFFF8B"/>
        </patternFill>
      </fill>
    </dxf>
    <dxf>
      <fill>
        <patternFill>
          <bgColor theme="5" tint="0.39994506668294322"/>
        </patternFill>
      </fill>
    </dxf>
  </dxfs>
  <tableStyles count="0" defaultTableStyle="TableStyleMedium9" defaultPivotStyle="PivotStyleLight16"/>
  <colors>
    <mruColors>
      <color rgb="FFEAF0F6"/>
      <color rgb="FFFFFF99"/>
      <color rgb="FFECF2F8"/>
      <color rgb="FFF1F5F9"/>
      <color rgb="FFEEF3F8"/>
      <color rgb="FFFFFFA7"/>
      <color rgb="FFFFFF97"/>
      <color rgb="FFFFFFA3"/>
      <color rgb="FFFFFF9F"/>
      <color rgb="FFFFFF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microsoft.com/office/2022/11/relationships/FeaturePropertyBag" Target="featurePropertyBag/featurePropertyBag.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17</xdr:col>
      <xdr:colOff>419100</xdr:colOff>
      <xdr:row>1</xdr:row>
      <xdr:rowOff>9526</xdr:rowOff>
    </xdr:from>
    <xdr:to>
      <xdr:col>19</xdr:col>
      <xdr:colOff>457199</xdr:colOff>
      <xdr:row>5</xdr:row>
      <xdr:rowOff>238126</xdr:rowOff>
    </xdr:to>
    <xdr:pic>
      <xdr:nvPicPr>
        <xdr:cNvPr id="2" name="Picture 2" descr="Leading-By-Example-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277600" y="9526"/>
          <a:ext cx="1460499" cy="1041400"/>
        </a:xfrm>
        <a:prstGeom prst="rect">
          <a:avLst/>
        </a:prstGeom>
        <a:noFill/>
      </xdr:spPr>
    </xdr:pic>
    <xdr:clientData/>
  </xdr:twoCellAnchor>
  <xdr:twoCellAnchor>
    <xdr:from>
      <xdr:col>14</xdr:col>
      <xdr:colOff>457200</xdr:colOff>
      <xdr:row>0</xdr:row>
      <xdr:rowOff>127000</xdr:rowOff>
    </xdr:from>
    <xdr:to>
      <xdr:col>15</xdr:col>
      <xdr:colOff>977899</xdr:colOff>
      <xdr:row>5</xdr:row>
      <xdr:rowOff>165100</xdr:rowOff>
    </xdr:to>
    <xdr:pic>
      <xdr:nvPicPr>
        <xdr:cNvPr id="3" name="Picture 2" descr="Leading-By-Example-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534900" y="127000"/>
          <a:ext cx="1295399" cy="104140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nhowlett/Local%20Settings/Temporary%20Internet%20Files/Content.Outlook/EZ1D14J8/SQA%20pv-proj-detail-form%20for%20Stephen%20Field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and Definitions"/>
      <sheetName val="PV Project Form"/>
      <sheetName val="Drop-Down Lists"/>
    </sheetNames>
    <sheetDataSet>
      <sheetData sheetId="0"/>
      <sheetData sheetId="1"/>
      <sheetData sheetId="2">
        <row r="2">
          <cell r="A2" t="str">
            <v>Residential (3 of fewer dwelling units per building)</v>
          </cell>
          <cell r="E2" t="str">
            <v>AL</v>
          </cell>
          <cell r="F2" t="str">
            <v>Abington</v>
          </cell>
          <cell r="G2" t="str">
            <v>National Grid</v>
          </cell>
          <cell r="H2" t="str">
            <v>Massachusetts Clean Energy Center (CEC)</v>
          </cell>
        </row>
        <row r="3">
          <cell r="E3" t="str">
            <v>AK</v>
          </cell>
          <cell r="F3" t="str">
            <v>Acton</v>
          </cell>
          <cell r="G3" t="str">
            <v>NSTAR</v>
          </cell>
        </row>
        <row r="4">
          <cell r="E4" t="str">
            <v>AZ</v>
          </cell>
          <cell r="F4" t="str">
            <v>Acushnet</v>
          </cell>
          <cell r="G4" t="str">
            <v>Unitil (Fitchburg Gas &amp; Electric)</v>
          </cell>
        </row>
        <row r="5">
          <cell r="E5" t="str">
            <v>AR</v>
          </cell>
          <cell r="F5" t="str">
            <v>Adams</v>
          </cell>
          <cell r="G5" t="str">
            <v>Western Massachusetts Electric Company</v>
          </cell>
        </row>
        <row r="6">
          <cell r="E6" t="str">
            <v>CA</v>
          </cell>
          <cell r="F6" t="str">
            <v>Agawam</v>
          </cell>
          <cell r="G6" t="str">
            <v>Municipal Light Plant</v>
          </cell>
        </row>
        <row r="7">
          <cell r="E7" t="str">
            <v>CO</v>
          </cell>
          <cell r="F7" t="str">
            <v>Alford</v>
          </cell>
        </row>
        <row r="8">
          <cell r="E8" t="str">
            <v>CT</v>
          </cell>
          <cell r="F8" t="str">
            <v>Amesbury</v>
          </cell>
        </row>
        <row r="9">
          <cell r="E9" t="str">
            <v>DE</v>
          </cell>
          <cell r="F9" t="str">
            <v>Amherst</v>
          </cell>
        </row>
        <row r="10">
          <cell r="E10" t="str">
            <v>FL</v>
          </cell>
          <cell r="F10" t="str">
            <v>Andover</v>
          </cell>
        </row>
        <row r="11">
          <cell r="E11" t="str">
            <v>GA</v>
          </cell>
          <cell r="F11" t="str">
            <v>Aquinnah</v>
          </cell>
        </row>
        <row r="12">
          <cell r="E12" t="str">
            <v>HI</v>
          </cell>
          <cell r="F12" t="str">
            <v>Arlington</v>
          </cell>
        </row>
        <row r="13">
          <cell r="E13" t="str">
            <v>ID</v>
          </cell>
          <cell r="F13" t="str">
            <v>Ashburnham</v>
          </cell>
        </row>
        <row r="14">
          <cell r="E14" t="str">
            <v>IL</v>
          </cell>
          <cell r="F14" t="str">
            <v>Ashby</v>
          </cell>
        </row>
        <row r="15">
          <cell r="E15" t="str">
            <v>IN</v>
          </cell>
          <cell r="F15" t="str">
            <v>Ashfield</v>
          </cell>
        </row>
        <row r="16">
          <cell r="E16" t="str">
            <v>IA</v>
          </cell>
          <cell r="F16" t="str">
            <v>Ashland</v>
          </cell>
        </row>
        <row r="17">
          <cell r="E17" t="str">
            <v>KS</v>
          </cell>
          <cell r="F17" t="str">
            <v>Athol</v>
          </cell>
        </row>
        <row r="18">
          <cell r="E18" t="str">
            <v>KY</v>
          </cell>
          <cell r="F18" t="str">
            <v>Attleboro</v>
          </cell>
        </row>
        <row r="19">
          <cell r="E19" t="str">
            <v>LA</v>
          </cell>
          <cell r="F19" t="str">
            <v>Auburn</v>
          </cell>
        </row>
        <row r="20">
          <cell r="E20" t="str">
            <v>ME</v>
          </cell>
          <cell r="F20" t="str">
            <v>Avon</v>
          </cell>
        </row>
        <row r="21">
          <cell r="E21" t="str">
            <v>MD</v>
          </cell>
          <cell r="F21" t="str">
            <v>Ayer</v>
          </cell>
        </row>
        <row r="22">
          <cell r="E22" t="str">
            <v>MA</v>
          </cell>
          <cell r="F22" t="str">
            <v>Barnstable</v>
          </cell>
        </row>
        <row r="23">
          <cell r="E23" t="str">
            <v>MI</v>
          </cell>
          <cell r="F23" t="str">
            <v>Barre</v>
          </cell>
        </row>
        <row r="24">
          <cell r="E24" t="str">
            <v>MN</v>
          </cell>
          <cell r="F24" t="str">
            <v>Becket</v>
          </cell>
        </row>
        <row r="25">
          <cell r="E25" t="str">
            <v>MS</v>
          </cell>
          <cell r="F25" t="str">
            <v>Bedford</v>
          </cell>
        </row>
        <row r="26">
          <cell r="E26" t="str">
            <v>MO</v>
          </cell>
          <cell r="F26" t="str">
            <v>Belchertown</v>
          </cell>
        </row>
        <row r="27">
          <cell r="E27" t="str">
            <v>MT</v>
          </cell>
          <cell r="F27" t="str">
            <v>Bellingham</v>
          </cell>
        </row>
        <row r="28">
          <cell r="E28" t="str">
            <v>NE</v>
          </cell>
          <cell r="F28" t="str">
            <v>Belmont</v>
          </cell>
        </row>
        <row r="29">
          <cell r="E29" t="str">
            <v>NV</v>
          </cell>
          <cell r="F29" t="str">
            <v>Berkley</v>
          </cell>
        </row>
        <row r="30">
          <cell r="E30" t="str">
            <v>NH</v>
          </cell>
          <cell r="F30" t="str">
            <v>Berlin</v>
          </cell>
        </row>
        <row r="31">
          <cell r="E31" t="str">
            <v>NJ</v>
          </cell>
          <cell r="F31" t="str">
            <v>Bernardston</v>
          </cell>
        </row>
        <row r="32">
          <cell r="E32" t="str">
            <v>NM</v>
          </cell>
          <cell r="F32" t="str">
            <v>Beverly</v>
          </cell>
        </row>
        <row r="33">
          <cell r="E33" t="str">
            <v>NY</v>
          </cell>
          <cell r="F33" t="str">
            <v>Billerica</v>
          </cell>
        </row>
        <row r="34">
          <cell r="E34" t="str">
            <v>NC</v>
          </cell>
          <cell r="F34" t="str">
            <v>Blackstone</v>
          </cell>
        </row>
        <row r="35">
          <cell r="E35" t="str">
            <v>ND</v>
          </cell>
          <cell r="F35" t="str">
            <v>Blandford</v>
          </cell>
        </row>
        <row r="36">
          <cell r="E36" t="str">
            <v>OH</v>
          </cell>
          <cell r="F36" t="str">
            <v>Bolton</v>
          </cell>
        </row>
        <row r="37">
          <cell r="E37" t="str">
            <v>OK</v>
          </cell>
          <cell r="F37" t="str">
            <v>Boston</v>
          </cell>
        </row>
        <row r="38">
          <cell r="E38" t="str">
            <v>OR</v>
          </cell>
          <cell r="F38" t="str">
            <v>Bourne</v>
          </cell>
        </row>
        <row r="39">
          <cell r="E39" t="str">
            <v>PA</v>
          </cell>
          <cell r="F39" t="str">
            <v>Boxborough</v>
          </cell>
        </row>
        <row r="40">
          <cell r="E40" t="str">
            <v>RI</v>
          </cell>
          <cell r="F40" t="str">
            <v>Boxford</v>
          </cell>
        </row>
        <row r="41">
          <cell r="E41" t="str">
            <v>SC</v>
          </cell>
          <cell r="F41" t="str">
            <v>Boylston</v>
          </cell>
        </row>
        <row r="42">
          <cell r="E42" t="str">
            <v>SD</v>
          </cell>
          <cell r="F42" t="str">
            <v>Braintree</v>
          </cell>
        </row>
        <row r="43">
          <cell r="E43" t="str">
            <v>TN</v>
          </cell>
          <cell r="F43" t="str">
            <v>Brewster</v>
          </cell>
        </row>
        <row r="44">
          <cell r="E44" t="str">
            <v>TX</v>
          </cell>
          <cell r="F44" t="str">
            <v>Bridgewater</v>
          </cell>
        </row>
        <row r="45">
          <cell r="E45" t="str">
            <v>UT</v>
          </cell>
          <cell r="F45" t="str">
            <v>Brimfield</v>
          </cell>
        </row>
        <row r="46">
          <cell r="E46" t="str">
            <v>VT</v>
          </cell>
          <cell r="F46" t="str">
            <v>Brockton</v>
          </cell>
        </row>
        <row r="47">
          <cell r="E47" t="str">
            <v>VA</v>
          </cell>
          <cell r="F47" t="str">
            <v>Brookfield</v>
          </cell>
        </row>
        <row r="48">
          <cell r="E48" t="str">
            <v>WA</v>
          </cell>
          <cell r="F48" t="str">
            <v>Brookline</v>
          </cell>
        </row>
        <row r="49">
          <cell r="E49" t="str">
            <v>WV</v>
          </cell>
          <cell r="F49" t="str">
            <v>Buckland</v>
          </cell>
        </row>
        <row r="50">
          <cell r="E50" t="str">
            <v>WI</v>
          </cell>
          <cell r="F50" t="str">
            <v>Burlington</v>
          </cell>
        </row>
        <row r="51">
          <cell r="E51" t="str">
            <v>WY</v>
          </cell>
          <cell r="F51" t="str">
            <v>Cambridge</v>
          </cell>
        </row>
        <row r="52">
          <cell r="F52" t="str">
            <v>Canton</v>
          </cell>
        </row>
        <row r="53">
          <cell r="F53" t="str">
            <v>Carlisle</v>
          </cell>
        </row>
        <row r="54">
          <cell r="F54" t="str">
            <v>Carver</v>
          </cell>
        </row>
        <row r="55">
          <cell r="F55" t="str">
            <v>Charlemont</v>
          </cell>
        </row>
        <row r="56">
          <cell r="F56" t="str">
            <v>Charlton</v>
          </cell>
        </row>
        <row r="57">
          <cell r="F57" t="str">
            <v>Chatham</v>
          </cell>
        </row>
        <row r="58">
          <cell r="F58" t="str">
            <v>Chelmsford</v>
          </cell>
        </row>
        <row r="59">
          <cell r="F59" t="str">
            <v>Chelsea</v>
          </cell>
        </row>
        <row r="60">
          <cell r="F60" t="str">
            <v>Cheshire</v>
          </cell>
        </row>
        <row r="61">
          <cell r="F61" t="str">
            <v>Chester</v>
          </cell>
        </row>
        <row r="62">
          <cell r="F62" t="str">
            <v>Chesterfield</v>
          </cell>
        </row>
        <row r="63">
          <cell r="F63" t="str">
            <v>Chicopee</v>
          </cell>
        </row>
        <row r="64">
          <cell r="F64" t="str">
            <v>Chilmark</v>
          </cell>
        </row>
        <row r="65">
          <cell r="F65" t="str">
            <v>Clarksburg</v>
          </cell>
        </row>
        <row r="66">
          <cell r="F66" t="str">
            <v>Clinton</v>
          </cell>
        </row>
        <row r="67">
          <cell r="F67" t="str">
            <v>Cohasset</v>
          </cell>
        </row>
        <row r="68">
          <cell r="F68" t="str">
            <v>Colrain</v>
          </cell>
        </row>
        <row r="69">
          <cell r="F69" t="str">
            <v>Concord</v>
          </cell>
        </row>
        <row r="70">
          <cell r="F70" t="str">
            <v>Conway</v>
          </cell>
        </row>
        <row r="71">
          <cell r="F71" t="str">
            <v>Cummington</v>
          </cell>
        </row>
        <row r="72">
          <cell r="F72" t="str">
            <v>Dalton</v>
          </cell>
        </row>
        <row r="73">
          <cell r="F73" t="str">
            <v>Danvers</v>
          </cell>
        </row>
        <row r="74">
          <cell r="F74" t="str">
            <v>Dartmouth</v>
          </cell>
        </row>
        <row r="75">
          <cell r="F75" t="str">
            <v>Dedham</v>
          </cell>
        </row>
        <row r="76">
          <cell r="F76" t="str">
            <v>Deerfield</v>
          </cell>
        </row>
        <row r="77">
          <cell r="F77" t="str">
            <v>Dennis</v>
          </cell>
        </row>
        <row r="78">
          <cell r="F78" t="str">
            <v>Dighton</v>
          </cell>
        </row>
        <row r="79">
          <cell r="F79" t="str">
            <v>Douglas</v>
          </cell>
        </row>
        <row r="80">
          <cell r="F80" t="str">
            <v>Dover</v>
          </cell>
        </row>
        <row r="81">
          <cell r="F81" t="str">
            <v>Dracut</v>
          </cell>
        </row>
        <row r="82">
          <cell r="F82" t="str">
            <v>Dudley</v>
          </cell>
        </row>
        <row r="83">
          <cell r="F83" t="str">
            <v>Dunstable</v>
          </cell>
        </row>
        <row r="84">
          <cell r="F84" t="str">
            <v>Duxbury</v>
          </cell>
        </row>
        <row r="85">
          <cell r="F85" t="str">
            <v>East Bridgewater</v>
          </cell>
        </row>
        <row r="86">
          <cell r="F86" t="str">
            <v>East Brookfield</v>
          </cell>
        </row>
        <row r="87">
          <cell r="F87" t="str">
            <v>East Longmeadow</v>
          </cell>
        </row>
        <row r="88">
          <cell r="F88" t="str">
            <v>Eastham</v>
          </cell>
        </row>
        <row r="89">
          <cell r="F89" t="str">
            <v>Easthampton</v>
          </cell>
        </row>
        <row r="90">
          <cell r="F90" t="str">
            <v>Easton</v>
          </cell>
        </row>
        <row r="91">
          <cell r="F91" t="str">
            <v>Edgartown</v>
          </cell>
        </row>
        <row r="92">
          <cell r="F92" t="str">
            <v>Egremont</v>
          </cell>
        </row>
        <row r="93">
          <cell r="F93" t="str">
            <v>Erving</v>
          </cell>
        </row>
        <row r="94">
          <cell r="F94" t="str">
            <v>Essex</v>
          </cell>
        </row>
        <row r="95">
          <cell r="F95" t="str">
            <v>Everett</v>
          </cell>
        </row>
        <row r="96">
          <cell r="F96" t="str">
            <v>Fairhaven</v>
          </cell>
        </row>
        <row r="97">
          <cell r="F97" t="str">
            <v>Fall River</v>
          </cell>
        </row>
        <row r="98">
          <cell r="F98" t="str">
            <v>Falmouth</v>
          </cell>
        </row>
        <row r="99">
          <cell r="F99" t="str">
            <v>Fitchburg</v>
          </cell>
        </row>
        <row r="100">
          <cell r="F100" t="str">
            <v>Florida</v>
          </cell>
        </row>
        <row r="101">
          <cell r="F101" t="str">
            <v>Foxborough</v>
          </cell>
        </row>
        <row r="102">
          <cell r="F102" t="str">
            <v>Framingham</v>
          </cell>
        </row>
        <row r="103">
          <cell r="F103" t="str">
            <v>Franklin</v>
          </cell>
        </row>
        <row r="104">
          <cell r="F104" t="str">
            <v>Freetown</v>
          </cell>
        </row>
        <row r="105">
          <cell r="F105" t="str">
            <v>Gardner</v>
          </cell>
        </row>
        <row r="106">
          <cell r="F106" t="str">
            <v>Georgetown</v>
          </cell>
        </row>
        <row r="107">
          <cell r="F107" t="str">
            <v>Gill</v>
          </cell>
        </row>
        <row r="108">
          <cell r="F108" t="str">
            <v>Gloucester</v>
          </cell>
        </row>
        <row r="109">
          <cell r="F109" t="str">
            <v>Goshen</v>
          </cell>
        </row>
        <row r="110">
          <cell r="F110" t="str">
            <v>Gosnold</v>
          </cell>
        </row>
        <row r="111">
          <cell r="F111" t="str">
            <v>Grafton</v>
          </cell>
        </row>
        <row r="112">
          <cell r="F112" t="str">
            <v>Granby</v>
          </cell>
        </row>
        <row r="113">
          <cell r="F113" t="str">
            <v>Granville</v>
          </cell>
        </row>
        <row r="114">
          <cell r="F114" t="str">
            <v>Great Barrington</v>
          </cell>
        </row>
        <row r="115">
          <cell r="F115" t="str">
            <v>Greenfield</v>
          </cell>
        </row>
        <row r="116">
          <cell r="F116" t="str">
            <v>Groton</v>
          </cell>
        </row>
        <row r="117">
          <cell r="F117" t="str">
            <v>Groveland</v>
          </cell>
        </row>
        <row r="118">
          <cell r="F118" t="str">
            <v>Hadley</v>
          </cell>
        </row>
        <row r="119">
          <cell r="F119" t="str">
            <v>Halifax</v>
          </cell>
        </row>
        <row r="120">
          <cell r="F120" t="str">
            <v>Hamilton</v>
          </cell>
        </row>
        <row r="121">
          <cell r="F121" t="str">
            <v>Hampden</v>
          </cell>
        </row>
        <row r="122">
          <cell r="F122" t="str">
            <v>Hancock</v>
          </cell>
        </row>
        <row r="123">
          <cell r="F123" t="str">
            <v>Hanover</v>
          </cell>
        </row>
        <row r="124">
          <cell r="F124" t="str">
            <v>Hanson</v>
          </cell>
        </row>
        <row r="125">
          <cell r="F125" t="str">
            <v>Hardwick</v>
          </cell>
        </row>
        <row r="126">
          <cell r="F126" t="str">
            <v>Harvard</v>
          </cell>
        </row>
        <row r="127">
          <cell r="F127" t="str">
            <v>Harwich</v>
          </cell>
        </row>
        <row r="128">
          <cell r="F128" t="str">
            <v>Hatfield</v>
          </cell>
        </row>
        <row r="129">
          <cell r="F129" t="str">
            <v>Haverhill</v>
          </cell>
        </row>
        <row r="130">
          <cell r="F130" t="str">
            <v>Hawley</v>
          </cell>
        </row>
        <row r="131">
          <cell r="F131" t="str">
            <v>Heath</v>
          </cell>
        </row>
        <row r="132">
          <cell r="F132" t="str">
            <v>Hingham</v>
          </cell>
        </row>
        <row r="133">
          <cell r="F133" t="str">
            <v>Hinsdale</v>
          </cell>
        </row>
        <row r="134">
          <cell r="F134" t="str">
            <v>Holbrook</v>
          </cell>
        </row>
        <row r="135">
          <cell r="F135" t="str">
            <v>Holden</v>
          </cell>
        </row>
        <row r="136">
          <cell r="F136" t="str">
            <v>Holland</v>
          </cell>
        </row>
        <row r="137">
          <cell r="F137" t="str">
            <v>Holliston</v>
          </cell>
        </row>
        <row r="138">
          <cell r="F138" t="str">
            <v>Holyoke</v>
          </cell>
        </row>
        <row r="139">
          <cell r="F139" t="str">
            <v>Hopedale</v>
          </cell>
        </row>
        <row r="140">
          <cell r="F140" t="str">
            <v>Hopkinton</v>
          </cell>
        </row>
        <row r="141">
          <cell r="F141" t="str">
            <v>Hubbardston</v>
          </cell>
        </row>
        <row r="142">
          <cell r="F142" t="str">
            <v>Hudson</v>
          </cell>
        </row>
        <row r="143">
          <cell r="F143" t="str">
            <v>Hull</v>
          </cell>
        </row>
        <row r="144">
          <cell r="F144" t="str">
            <v>Huntington</v>
          </cell>
        </row>
        <row r="145">
          <cell r="F145" t="str">
            <v>Ipswich</v>
          </cell>
        </row>
        <row r="146">
          <cell r="F146" t="str">
            <v>Kingston</v>
          </cell>
        </row>
        <row r="147">
          <cell r="F147" t="str">
            <v>Lakeville</v>
          </cell>
        </row>
        <row r="148">
          <cell r="F148" t="str">
            <v>Lancaster</v>
          </cell>
        </row>
        <row r="149">
          <cell r="F149" t="str">
            <v>Lanesborough</v>
          </cell>
        </row>
        <row r="150">
          <cell r="F150" t="str">
            <v>Lawrence</v>
          </cell>
        </row>
        <row r="151">
          <cell r="F151" t="str">
            <v>Lee</v>
          </cell>
        </row>
        <row r="152">
          <cell r="F152" t="str">
            <v>Leicester</v>
          </cell>
        </row>
        <row r="153">
          <cell r="F153" t="str">
            <v>Lenox</v>
          </cell>
        </row>
        <row r="154">
          <cell r="F154" t="str">
            <v>Leominster</v>
          </cell>
        </row>
        <row r="155">
          <cell r="F155" t="str">
            <v>Leverett</v>
          </cell>
        </row>
        <row r="156">
          <cell r="F156" t="str">
            <v>Lexington</v>
          </cell>
        </row>
        <row r="157">
          <cell r="F157" t="str">
            <v>Leyden</v>
          </cell>
        </row>
        <row r="158">
          <cell r="F158" t="str">
            <v>Lincoln</v>
          </cell>
        </row>
        <row r="159">
          <cell r="F159" t="str">
            <v>Littleton</v>
          </cell>
        </row>
        <row r="160">
          <cell r="F160" t="str">
            <v>Longmeadow</v>
          </cell>
        </row>
        <row r="161">
          <cell r="F161" t="str">
            <v>Lowell</v>
          </cell>
        </row>
        <row r="162">
          <cell r="F162" t="str">
            <v>Ludlow</v>
          </cell>
        </row>
        <row r="163">
          <cell r="F163" t="str">
            <v>Lunenburg</v>
          </cell>
        </row>
        <row r="164">
          <cell r="F164" t="str">
            <v>Lynn</v>
          </cell>
        </row>
        <row r="165">
          <cell r="F165" t="str">
            <v>Lynnfield</v>
          </cell>
        </row>
        <row r="166">
          <cell r="F166" t="str">
            <v>Malden</v>
          </cell>
        </row>
        <row r="167">
          <cell r="F167" t="str">
            <v>Manchester-by-the-Sea</v>
          </cell>
        </row>
        <row r="168">
          <cell r="F168" t="str">
            <v>Mansfield</v>
          </cell>
        </row>
        <row r="169">
          <cell r="F169" t="str">
            <v>Marblehead</v>
          </cell>
        </row>
        <row r="170">
          <cell r="F170" t="str">
            <v>Marion</v>
          </cell>
        </row>
        <row r="171">
          <cell r="F171" t="str">
            <v>Marlborough</v>
          </cell>
        </row>
        <row r="172">
          <cell r="F172" t="str">
            <v>Marshfield</v>
          </cell>
        </row>
        <row r="173">
          <cell r="F173" t="str">
            <v>Mashpee</v>
          </cell>
        </row>
        <row r="174">
          <cell r="F174" t="str">
            <v>Mattapoisett</v>
          </cell>
        </row>
        <row r="175">
          <cell r="F175" t="str">
            <v>Maynard</v>
          </cell>
        </row>
        <row r="176">
          <cell r="F176" t="str">
            <v>Medfield</v>
          </cell>
        </row>
        <row r="177">
          <cell r="F177" t="str">
            <v>Medford</v>
          </cell>
        </row>
        <row r="178">
          <cell r="F178" t="str">
            <v>Medway</v>
          </cell>
        </row>
        <row r="179">
          <cell r="F179" t="str">
            <v>Melrose</v>
          </cell>
        </row>
        <row r="180">
          <cell r="F180" t="str">
            <v>Mendon</v>
          </cell>
        </row>
        <row r="181">
          <cell r="F181" t="str">
            <v>Merrimac</v>
          </cell>
        </row>
        <row r="182">
          <cell r="F182" t="str">
            <v>Methuen</v>
          </cell>
        </row>
        <row r="183">
          <cell r="F183" t="str">
            <v>Middleborough</v>
          </cell>
        </row>
        <row r="184">
          <cell r="F184" t="str">
            <v>Middlefield</v>
          </cell>
        </row>
        <row r="185">
          <cell r="F185" t="str">
            <v>Middleton</v>
          </cell>
        </row>
        <row r="186">
          <cell r="F186" t="str">
            <v>Milford</v>
          </cell>
        </row>
        <row r="187">
          <cell r="F187" t="str">
            <v>Millbury</v>
          </cell>
        </row>
        <row r="188">
          <cell r="F188" t="str">
            <v>Millis</v>
          </cell>
        </row>
        <row r="189">
          <cell r="F189" t="str">
            <v>Millville</v>
          </cell>
        </row>
        <row r="190">
          <cell r="F190" t="str">
            <v>Milton</v>
          </cell>
        </row>
        <row r="191">
          <cell r="F191" t="str">
            <v>Monroe</v>
          </cell>
        </row>
        <row r="192">
          <cell r="F192" t="str">
            <v>Monson</v>
          </cell>
        </row>
        <row r="193">
          <cell r="F193" t="str">
            <v>Montague</v>
          </cell>
        </row>
        <row r="194">
          <cell r="F194" t="str">
            <v>Monterey</v>
          </cell>
        </row>
        <row r="195">
          <cell r="F195" t="str">
            <v>Montgomery</v>
          </cell>
        </row>
        <row r="196">
          <cell r="F196" t="str">
            <v>Mount Washington</v>
          </cell>
        </row>
        <row r="197">
          <cell r="F197" t="str">
            <v>Nahant</v>
          </cell>
        </row>
        <row r="198">
          <cell r="F198" t="str">
            <v>Nantucket</v>
          </cell>
        </row>
        <row r="199">
          <cell r="F199" t="str">
            <v>Natick</v>
          </cell>
        </row>
        <row r="200">
          <cell r="F200" t="str">
            <v>Needham</v>
          </cell>
        </row>
        <row r="201">
          <cell r="F201" t="str">
            <v>New Ashford</v>
          </cell>
        </row>
        <row r="202">
          <cell r="F202" t="str">
            <v>New Bedford</v>
          </cell>
        </row>
        <row r="203">
          <cell r="F203" t="str">
            <v>New Braintree</v>
          </cell>
        </row>
        <row r="204">
          <cell r="F204" t="str">
            <v>New Marlborough</v>
          </cell>
        </row>
        <row r="205">
          <cell r="F205" t="str">
            <v>New Salem</v>
          </cell>
        </row>
        <row r="206">
          <cell r="F206" t="str">
            <v>Newbury</v>
          </cell>
        </row>
        <row r="207">
          <cell r="F207" t="str">
            <v>Newburyport</v>
          </cell>
        </row>
        <row r="208">
          <cell r="F208" t="str">
            <v>Newton</v>
          </cell>
        </row>
        <row r="209">
          <cell r="F209" t="str">
            <v>Norfolk</v>
          </cell>
        </row>
        <row r="210">
          <cell r="F210" t="str">
            <v>North Adams</v>
          </cell>
        </row>
        <row r="211">
          <cell r="F211" t="str">
            <v>North Andover</v>
          </cell>
        </row>
        <row r="212">
          <cell r="F212" t="str">
            <v>North Attleborough</v>
          </cell>
        </row>
        <row r="213">
          <cell r="F213" t="str">
            <v>North Brookfield</v>
          </cell>
        </row>
        <row r="214">
          <cell r="F214" t="str">
            <v>North Reading</v>
          </cell>
        </row>
        <row r="215">
          <cell r="F215" t="str">
            <v>Northampton</v>
          </cell>
        </row>
        <row r="216">
          <cell r="F216" t="str">
            <v>Northborough</v>
          </cell>
        </row>
        <row r="217">
          <cell r="F217" t="str">
            <v>Northbridge</v>
          </cell>
        </row>
        <row r="218">
          <cell r="F218" t="str">
            <v>Northfield</v>
          </cell>
        </row>
        <row r="219">
          <cell r="F219" t="str">
            <v>Norton</v>
          </cell>
        </row>
        <row r="220">
          <cell r="F220" t="str">
            <v>Norwell</v>
          </cell>
        </row>
        <row r="221">
          <cell r="F221" t="str">
            <v>Norwood</v>
          </cell>
        </row>
        <row r="222">
          <cell r="F222" t="str">
            <v>Oak Bluffs</v>
          </cell>
        </row>
        <row r="223">
          <cell r="F223" t="str">
            <v>Oakham</v>
          </cell>
        </row>
        <row r="224">
          <cell r="F224" t="str">
            <v>Orange</v>
          </cell>
        </row>
        <row r="225">
          <cell r="F225" t="str">
            <v>Orleans</v>
          </cell>
        </row>
        <row r="226">
          <cell r="F226" t="str">
            <v>Otis</v>
          </cell>
        </row>
        <row r="227">
          <cell r="F227" t="str">
            <v>Oxford</v>
          </cell>
        </row>
        <row r="228">
          <cell r="F228" t="str">
            <v>Palmer</v>
          </cell>
        </row>
        <row r="229">
          <cell r="F229" t="str">
            <v>Paxton</v>
          </cell>
        </row>
        <row r="230">
          <cell r="F230" t="str">
            <v>Peabody</v>
          </cell>
        </row>
        <row r="231">
          <cell r="F231" t="str">
            <v>Pelham</v>
          </cell>
        </row>
        <row r="232">
          <cell r="F232" t="str">
            <v>Pembroke</v>
          </cell>
        </row>
        <row r="233">
          <cell r="F233" t="str">
            <v>Pepperell</v>
          </cell>
        </row>
        <row r="234">
          <cell r="F234" t="str">
            <v>Peru</v>
          </cell>
        </row>
        <row r="235">
          <cell r="F235" t="str">
            <v>Petersham</v>
          </cell>
        </row>
        <row r="236">
          <cell r="F236" t="str">
            <v>Phillipston</v>
          </cell>
        </row>
        <row r="237">
          <cell r="F237" t="str">
            <v>Pittsfield</v>
          </cell>
        </row>
        <row r="238">
          <cell r="F238" t="str">
            <v>Plainfield</v>
          </cell>
        </row>
        <row r="239">
          <cell r="F239" t="str">
            <v>Plainville</v>
          </cell>
        </row>
        <row r="240">
          <cell r="F240" t="str">
            <v>Plymouth</v>
          </cell>
        </row>
        <row r="241">
          <cell r="F241" t="str">
            <v>Plympton</v>
          </cell>
        </row>
        <row r="242">
          <cell r="F242" t="str">
            <v>Princeton</v>
          </cell>
        </row>
        <row r="243">
          <cell r="F243" t="str">
            <v>Provincetown</v>
          </cell>
        </row>
        <row r="244">
          <cell r="F244" t="str">
            <v>Quincy</v>
          </cell>
        </row>
        <row r="245">
          <cell r="F245" t="str">
            <v>Randolph</v>
          </cell>
        </row>
        <row r="246">
          <cell r="F246" t="str">
            <v>Raynham</v>
          </cell>
        </row>
        <row r="247">
          <cell r="F247" t="str">
            <v>Reading</v>
          </cell>
        </row>
        <row r="248">
          <cell r="F248" t="str">
            <v>Rehoboth</v>
          </cell>
        </row>
        <row r="249">
          <cell r="F249" t="str">
            <v>Revere</v>
          </cell>
        </row>
        <row r="250">
          <cell r="F250" t="str">
            <v>Richmond</v>
          </cell>
        </row>
        <row r="251">
          <cell r="F251" t="str">
            <v>Rochester</v>
          </cell>
        </row>
        <row r="252">
          <cell r="F252" t="str">
            <v>Rockland</v>
          </cell>
        </row>
        <row r="253">
          <cell r="F253" t="str">
            <v>Rockport</v>
          </cell>
        </row>
        <row r="254">
          <cell r="F254" t="str">
            <v>Rowe</v>
          </cell>
        </row>
        <row r="255">
          <cell r="F255" t="str">
            <v>Rowley</v>
          </cell>
        </row>
        <row r="256">
          <cell r="F256" t="str">
            <v>Royalston</v>
          </cell>
        </row>
        <row r="257">
          <cell r="F257" t="str">
            <v>Russell</v>
          </cell>
        </row>
        <row r="258">
          <cell r="F258" t="str">
            <v>Rutland</v>
          </cell>
        </row>
        <row r="259">
          <cell r="F259" t="str">
            <v>Salem</v>
          </cell>
        </row>
        <row r="260">
          <cell r="F260" t="str">
            <v>Salisbury</v>
          </cell>
        </row>
        <row r="261">
          <cell r="F261" t="str">
            <v>Sandisfield</v>
          </cell>
        </row>
        <row r="262">
          <cell r="F262" t="str">
            <v>Sandwich</v>
          </cell>
        </row>
        <row r="263">
          <cell r="F263" t="str">
            <v>Saugus</v>
          </cell>
        </row>
        <row r="264">
          <cell r="F264" t="str">
            <v>Savoy</v>
          </cell>
        </row>
        <row r="265">
          <cell r="F265" t="str">
            <v>Scituate</v>
          </cell>
        </row>
        <row r="266">
          <cell r="F266" t="str">
            <v>Seekonk</v>
          </cell>
        </row>
        <row r="267">
          <cell r="F267" t="str">
            <v>Sharon</v>
          </cell>
        </row>
        <row r="268">
          <cell r="F268" t="str">
            <v>Sheffield</v>
          </cell>
        </row>
        <row r="269">
          <cell r="F269" t="str">
            <v>Shelburne</v>
          </cell>
        </row>
        <row r="270">
          <cell r="F270" t="str">
            <v>Sherborn</v>
          </cell>
        </row>
        <row r="271">
          <cell r="F271" t="str">
            <v>Shirley</v>
          </cell>
        </row>
        <row r="272">
          <cell r="F272" t="str">
            <v>Shrewsbury</v>
          </cell>
        </row>
        <row r="273">
          <cell r="F273" t="str">
            <v>Shutesbury</v>
          </cell>
        </row>
        <row r="274">
          <cell r="F274" t="str">
            <v>Somerset</v>
          </cell>
        </row>
        <row r="275">
          <cell r="F275" t="str">
            <v>Somerville</v>
          </cell>
        </row>
        <row r="276">
          <cell r="F276" t="str">
            <v>South Hadley</v>
          </cell>
        </row>
        <row r="277">
          <cell r="F277" t="str">
            <v>Southampton</v>
          </cell>
        </row>
        <row r="278">
          <cell r="F278" t="str">
            <v>Southborough</v>
          </cell>
        </row>
        <row r="279">
          <cell r="F279" t="str">
            <v>Southbridge</v>
          </cell>
        </row>
        <row r="280">
          <cell r="F280" t="str">
            <v>Southwick</v>
          </cell>
        </row>
        <row r="281">
          <cell r="F281" t="str">
            <v>Spencer</v>
          </cell>
        </row>
        <row r="282">
          <cell r="F282" t="str">
            <v>Springfield</v>
          </cell>
        </row>
        <row r="283">
          <cell r="F283" t="str">
            <v>Sterling</v>
          </cell>
        </row>
        <row r="284">
          <cell r="F284" t="str">
            <v>Stockbridge</v>
          </cell>
        </row>
        <row r="285">
          <cell r="F285" t="str">
            <v>Stoneham</v>
          </cell>
        </row>
        <row r="286">
          <cell r="F286" t="str">
            <v>Stoughton</v>
          </cell>
        </row>
        <row r="287">
          <cell r="F287" t="str">
            <v>Stow</v>
          </cell>
        </row>
        <row r="288">
          <cell r="F288" t="str">
            <v>Sturbridge</v>
          </cell>
        </row>
        <row r="289">
          <cell r="F289" t="str">
            <v>Sudbury</v>
          </cell>
        </row>
        <row r="290">
          <cell r="F290" t="str">
            <v>Sunderland</v>
          </cell>
        </row>
        <row r="291">
          <cell r="F291" t="str">
            <v>Sutton</v>
          </cell>
        </row>
        <row r="292">
          <cell r="F292" t="str">
            <v>Swampscott</v>
          </cell>
        </row>
        <row r="293">
          <cell r="F293" t="str">
            <v>Swansea</v>
          </cell>
        </row>
        <row r="294">
          <cell r="F294" t="str">
            <v>Taunton</v>
          </cell>
        </row>
        <row r="295">
          <cell r="F295" t="str">
            <v>Templeton</v>
          </cell>
        </row>
        <row r="296">
          <cell r="F296" t="str">
            <v>Tewksbury</v>
          </cell>
        </row>
        <row r="297">
          <cell r="F297" t="str">
            <v>Tisbury</v>
          </cell>
        </row>
        <row r="298">
          <cell r="F298" t="str">
            <v>Tolland</v>
          </cell>
        </row>
        <row r="299">
          <cell r="F299" t="str">
            <v>Topsfield</v>
          </cell>
        </row>
        <row r="300">
          <cell r="F300" t="str">
            <v>Townsend</v>
          </cell>
        </row>
        <row r="301">
          <cell r="F301" t="str">
            <v>Truro</v>
          </cell>
        </row>
        <row r="302">
          <cell r="F302" t="str">
            <v>Tyngsborough</v>
          </cell>
        </row>
        <row r="303">
          <cell r="F303" t="str">
            <v>Tyringham</v>
          </cell>
        </row>
        <row r="304">
          <cell r="F304" t="str">
            <v>Upton</v>
          </cell>
        </row>
        <row r="305">
          <cell r="F305" t="str">
            <v>Uxbridge</v>
          </cell>
        </row>
        <row r="306">
          <cell r="F306" t="str">
            <v>Wakefield</v>
          </cell>
        </row>
        <row r="307">
          <cell r="F307" t="str">
            <v>Wales</v>
          </cell>
        </row>
        <row r="308">
          <cell r="F308" t="str">
            <v>Walpole</v>
          </cell>
        </row>
        <row r="309">
          <cell r="F309" t="str">
            <v>Waltham</v>
          </cell>
        </row>
        <row r="310">
          <cell r="F310" t="str">
            <v>Ware</v>
          </cell>
        </row>
        <row r="311">
          <cell r="F311" t="str">
            <v>Wareham</v>
          </cell>
        </row>
        <row r="312">
          <cell r="F312" t="str">
            <v>Warren</v>
          </cell>
        </row>
        <row r="313">
          <cell r="F313" t="str">
            <v>Warwick</v>
          </cell>
        </row>
        <row r="314">
          <cell r="F314" t="str">
            <v>Washington</v>
          </cell>
        </row>
        <row r="315">
          <cell r="F315" t="str">
            <v>Watertown</v>
          </cell>
        </row>
        <row r="316">
          <cell r="F316" t="str">
            <v>Wayland</v>
          </cell>
        </row>
        <row r="317">
          <cell r="F317" t="str">
            <v>Webster</v>
          </cell>
        </row>
        <row r="318">
          <cell r="F318" t="str">
            <v>Wellesley</v>
          </cell>
        </row>
        <row r="319">
          <cell r="F319" t="str">
            <v>Wellfleet</v>
          </cell>
        </row>
        <row r="320">
          <cell r="F320" t="str">
            <v>Wendell</v>
          </cell>
        </row>
        <row r="321">
          <cell r="F321" t="str">
            <v>Wenham</v>
          </cell>
        </row>
        <row r="322">
          <cell r="F322" t="str">
            <v>West Boylston</v>
          </cell>
        </row>
        <row r="323">
          <cell r="F323" t="str">
            <v>West Bridgewater</v>
          </cell>
        </row>
        <row r="324">
          <cell r="F324" t="str">
            <v>West Brookfield</v>
          </cell>
        </row>
        <row r="325">
          <cell r="F325" t="str">
            <v>West Newbury</v>
          </cell>
        </row>
        <row r="326">
          <cell r="F326" t="str">
            <v>West Springfield</v>
          </cell>
        </row>
        <row r="327">
          <cell r="F327" t="str">
            <v>West Stockbridge</v>
          </cell>
        </row>
        <row r="328">
          <cell r="F328" t="str">
            <v>West Tisbury</v>
          </cell>
        </row>
        <row r="329">
          <cell r="F329" t="str">
            <v>Westborough</v>
          </cell>
        </row>
        <row r="330">
          <cell r="F330" t="str">
            <v>Westfield</v>
          </cell>
        </row>
        <row r="331">
          <cell r="F331" t="str">
            <v>Westford</v>
          </cell>
        </row>
        <row r="332">
          <cell r="F332" t="str">
            <v>Westhampton</v>
          </cell>
        </row>
        <row r="333">
          <cell r="F333" t="str">
            <v>Westminster</v>
          </cell>
        </row>
        <row r="334">
          <cell r="F334" t="str">
            <v>Weston</v>
          </cell>
        </row>
        <row r="335">
          <cell r="F335" t="str">
            <v>Westport</v>
          </cell>
        </row>
        <row r="336">
          <cell r="F336" t="str">
            <v>Westwood</v>
          </cell>
        </row>
        <row r="337">
          <cell r="F337" t="str">
            <v>Weymouth</v>
          </cell>
        </row>
        <row r="338">
          <cell r="F338" t="str">
            <v>Whately</v>
          </cell>
        </row>
        <row r="339">
          <cell r="F339" t="str">
            <v>Whitman</v>
          </cell>
        </row>
        <row r="340">
          <cell r="F340" t="str">
            <v>Wilbraham</v>
          </cell>
        </row>
        <row r="341">
          <cell r="F341" t="str">
            <v>Williamsburg</v>
          </cell>
        </row>
        <row r="342">
          <cell r="F342" t="str">
            <v>Williamstown</v>
          </cell>
        </row>
        <row r="343">
          <cell r="F343" t="str">
            <v>Wilmington</v>
          </cell>
        </row>
        <row r="344">
          <cell r="F344" t="str">
            <v>Winchendon</v>
          </cell>
        </row>
        <row r="345">
          <cell r="F345" t="str">
            <v>Winchester</v>
          </cell>
        </row>
        <row r="346">
          <cell r="F346" t="str">
            <v>Windsor</v>
          </cell>
        </row>
        <row r="347">
          <cell r="F347" t="str">
            <v>Winthrop</v>
          </cell>
        </row>
        <row r="348">
          <cell r="F348" t="str">
            <v>Woburn</v>
          </cell>
        </row>
        <row r="349">
          <cell r="F349" t="str">
            <v>Worcester</v>
          </cell>
        </row>
        <row r="350">
          <cell r="F350" t="str">
            <v>Worthington</v>
          </cell>
        </row>
        <row r="351">
          <cell r="F351" t="str">
            <v>Wrentham</v>
          </cell>
        </row>
        <row r="352">
          <cell r="F352" t="str">
            <v>Yarmouth</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Ryan Kingston" id="{65F521D2-0005-4FC7-A6B8-F7FC385153AF}" userId="7d5ac8568ab42d70" providerId="Windows Live"/>
  <person displayName="Vitello, Sophia (ENE)" id="{887BD2B6-7469-4F6F-BBE1-C9BD4B157BA1}" userId="Sophia.Vitello@mass.gov" providerId="PeoplePicker"/>
  <person displayName="Kingston, Ryan (ENE)" id="{7F9CA2B6-7158-40A9-8893-7F2B5CD676CE}" userId="S::Ryan.Kingston@mass.gov::33742edd-98fa-45f5-827d-bca258824be9" providerId="AD"/>
  <person displayName="Sophia" id="{CB1CE036-B786-4B7B-802C-6C165908F936}" userId="S::Sophia.Vitello@mass.gov::901a5a57-0f88-4322-9ffe-fb3ca6d0a659"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07" dT="2023-01-13T19:47:56.75" personId="{7F9CA2B6-7158-40A9-8893-7F2B5CD676CE}" id="{ABA54F30-AD6E-4C97-A315-A04CBDC8FBD5}">
    <text>@Vitello, Sophia (ENE) Noticed that these two solar PV numbers (MWRA Wachusett) don't match column R, or what we have in other spots. Might just want to check and make sure we have the right number for these two...</text>
    <mentions>
      <mention mentionpersonId="{887BD2B6-7469-4F6F-BBE1-C9BD4B157BA1}" mentionId="{33E17496-2CB4-4CD9-B822-61BBBB30C6B7}" startIndex="0" length="22"/>
    </mentions>
  </threadedComment>
  <threadedComment ref="F107" dT="2023-01-20T14:22:50.71" personId="{CB1CE036-B786-4B7B-802C-6C165908F936}" id="{3C59A88C-D7E1-4652-B6F0-955D0D0225E0}" parentId="{ABA54F30-AD6E-4C97-A315-A04CBDC8FBD5}">
    <text>Thanks for flagging! Just checked with Denise and updated -- should be 36 &amp; 36 in row H and R</text>
  </threadedComment>
</ThreadedComments>
</file>

<file path=xl/threadedComments/threadedComment2.xml><?xml version="1.0" encoding="utf-8"?>
<ThreadedComments xmlns="http://schemas.microsoft.com/office/spreadsheetml/2018/threadedcomments" xmlns:x="http://schemas.openxmlformats.org/spreadsheetml/2006/main">
  <threadedComment ref="AD31" dT="2020-08-26T15:07:51.43" personId="{65F521D2-0005-4FC7-A6B8-F7FC385153AF}" id="{745DA904-F801-40A8-B3BA-B7D6D1F7004F}">
    <text>Add "including seed mix or species planted, if applicable"</text>
  </threadedComment>
</ThreadedComments>
</file>

<file path=xl/threadedComments/threadedComment3.xml><?xml version="1.0" encoding="utf-8"?>
<ThreadedComments xmlns="http://schemas.microsoft.com/office/spreadsheetml/2018/threadedcomments" xmlns:x="http://schemas.openxmlformats.org/spreadsheetml/2006/main">
  <threadedComment ref="D8" dT="2019-08-21T17:03:49.02" personId="{00000000-0000-0000-0000-000000000000}" id="{442F39A8-FDEC-4AA1-80C9-4248F266D317}">
    <text>Exact size TBD; likely 4-4.5</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6.bin"/><Relationship Id="rId4" Type="http://schemas.microsoft.com/office/2017/10/relationships/threadedComment" Target="../threadedComments/threadedComment2.xml"/></Relationships>
</file>

<file path=xl/worksheets/_rels/sheet22.xml.rels><?xml version="1.0" encoding="UTF-8" standalone="yes"?>
<Relationships xmlns="http://schemas.openxmlformats.org/package/2006/relationships"><Relationship Id="rId26" Type="http://schemas.openxmlformats.org/officeDocument/2006/relationships/hyperlink" Target="mailto:tara.mitchell@dot.state.ma.us" TargetMode="External"/><Relationship Id="rId21" Type="http://schemas.openxmlformats.org/officeDocument/2006/relationships/hyperlink" Target="mailto:tara.mitchell@dot.state.ma.us" TargetMode="External"/><Relationship Id="rId34" Type="http://schemas.openxmlformats.org/officeDocument/2006/relationships/hyperlink" Target="mailto:joe.desa@bristolcc.edu" TargetMode="External"/><Relationship Id="rId42" Type="http://schemas.openxmlformats.org/officeDocument/2006/relationships/hyperlink" Target="file:///\\env.govt.state.ma.us\enterprise\ENE-Saltonstall-WKGRP\LBE\Photos\Pollinator%20Photos\MassDOT\Sterling%20and%20Watertown%20Roundabouts%202019" TargetMode="External"/><Relationship Id="rId47" Type="http://schemas.openxmlformats.org/officeDocument/2006/relationships/hyperlink" Target="file:///\\env.govt.state.ma.us\enterprise\ENE-Saltonstall-WKGRP\LBE\Photos\Pollinator%20Photos\UMass%20Amherst\Limited%20Mow%20Zone%202019" TargetMode="External"/><Relationship Id="rId50" Type="http://schemas.openxmlformats.org/officeDocument/2006/relationships/hyperlink" Target="file:///\\env.govt.state.ma.us\enterprise\ENE-Saltonstall-WKGRP\LBE\Photos\Pollinator\Massasoit%20CC" TargetMode="External"/><Relationship Id="rId55" Type="http://schemas.openxmlformats.org/officeDocument/2006/relationships/hyperlink" Target="file:///\\env.govt.state.ma.us\enterprise\ENE-Saltonstall-WKGRP\LBE\Photos\Pollinator\Dept.%20of%20Correction" TargetMode="External"/><Relationship Id="rId63" Type="http://schemas.openxmlformats.org/officeDocument/2006/relationships/hyperlink" Target="http://www.beecityusa.org/current-bee-campuses.html" TargetMode="External"/><Relationship Id="rId7" Type="http://schemas.openxmlformats.org/officeDocument/2006/relationships/hyperlink" Target="mailto:tara.mitchell@dot.state.ma.us" TargetMode="External"/><Relationship Id="rId2" Type="http://schemas.openxmlformats.org/officeDocument/2006/relationships/hyperlink" Target="https://goo.gl/maps/9e6uY2CFLjUQrjKa7" TargetMode="External"/><Relationship Id="rId16" Type="http://schemas.openxmlformats.org/officeDocument/2006/relationships/hyperlink" Target="mailto:tara.mitchell@dot.state.ma.us" TargetMode="External"/><Relationship Id="rId29" Type="http://schemas.openxmlformats.org/officeDocument/2006/relationships/hyperlink" Target="mailto:joe.desa@bristolcc.edu" TargetMode="External"/><Relationship Id="rId11" Type="http://schemas.openxmlformats.org/officeDocument/2006/relationships/hyperlink" Target="mailto:tgallagher@salemstate.edu" TargetMode="External"/><Relationship Id="rId24" Type="http://schemas.openxmlformats.org/officeDocument/2006/relationships/hyperlink" Target="mailto:tara.mitchell@dot.state.ma.us" TargetMode="External"/><Relationship Id="rId32" Type="http://schemas.openxmlformats.org/officeDocument/2006/relationships/hyperlink" Target="mailto:Denise.Breiteneicher@mwra.com" TargetMode="External"/><Relationship Id="rId37" Type="http://schemas.openxmlformats.org/officeDocument/2006/relationships/hyperlink" Target="https://www.northshore.edu/news/2022/pollinator_garden.html" TargetMode="External"/><Relationship Id="rId40" Type="http://schemas.openxmlformats.org/officeDocument/2006/relationships/hyperlink" Target="file:///\\env.govt.state.ma.us\enterprise\ENE-Saltonstall-WKGRP\LBE\Photos\Pollinator%20Photos\MCLA" TargetMode="External"/><Relationship Id="rId45" Type="http://schemas.openxmlformats.org/officeDocument/2006/relationships/hyperlink" Target="file:///\\env.govt.state.ma.us\enterprise\ENE-Saltonstall-WKGRP\LBE\Photos\Pollinator%20Photos\MassDOT\Sterling%20and%20Watertown%20Roundabouts%202019" TargetMode="External"/><Relationship Id="rId53" Type="http://schemas.openxmlformats.org/officeDocument/2006/relationships/hyperlink" Target="file:///\\env.govt.state.ma.us\enterprise\ENE-Saltonstall-WKGRP\LBE\Photos\Pollinator\State%20Police%20Academy%20(New%20Braintree)%20-%20No%20Mow%20Zones" TargetMode="External"/><Relationship Id="rId58" Type="http://schemas.openxmlformats.org/officeDocument/2006/relationships/hyperlink" Target="file:///\\env.govt.state.ma.us\enterprise\ENE-Saltonstall-WKGRP\LBE\Photos\Pollinator\Bristol%20CC\Bristol%20CC%20No%20Mow%20Area.jpg" TargetMode="External"/><Relationship Id="rId66" Type="http://schemas.microsoft.com/office/2017/10/relationships/threadedComment" Target="../threadedComments/threadedComment3.xml"/><Relationship Id="rId5" Type="http://schemas.openxmlformats.org/officeDocument/2006/relationships/hyperlink" Target="mailto:tara.mitchell@dot.state.ma.us" TargetMode="External"/><Relationship Id="rId61" Type="http://schemas.openxmlformats.org/officeDocument/2006/relationships/hyperlink" Target="https://goo.gl/maps/Z33LxkN9wVx63zQSA" TargetMode="External"/><Relationship Id="rId19" Type="http://schemas.openxmlformats.org/officeDocument/2006/relationships/hyperlink" Target="mailto:tara.mitchell@dot.state.ma.us" TargetMode="External"/><Relationship Id="rId14" Type="http://schemas.openxmlformats.org/officeDocument/2006/relationships/hyperlink" Target="mailto:tara.mitchell@dot.state.ma.us" TargetMode="External"/><Relationship Id="rId22" Type="http://schemas.openxmlformats.org/officeDocument/2006/relationships/hyperlink" Target="mailto:tara.mitchell@dot.state.ma.us" TargetMode="External"/><Relationship Id="rId27" Type="http://schemas.openxmlformats.org/officeDocument/2006/relationships/hyperlink" Target="mailto:tara.mitchell@dot.state.ma.us" TargetMode="External"/><Relationship Id="rId30" Type="http://schemas.openxmlformats.org/officeDocument/2006/relationships/hyperlink" Target="mailto:esmall@facil.umass.edu" TargetMode="External"/><Relationship Id="rId35" Type="http://schemas.openxmlformats.org/officeDocument/2006/relationships/hyperlink" Target="mailto:szisk@qcc.mass.edu" TargetMode="External"/><Relationship Id="rId43" Type="http://schemas.openxmlformats.org/officeDocument/2006/relationships/hyperlink" Target="file:///\\env.govt.state.ma.us\enterprise\ENE-Saltonstall-WKGRP\LBE\Photos\Pollinator%20Photos\MassDOT\Sterling%20and%20Watertown%20Roundabouts%202019" TargetMode="External"/><Relationship Id="rId48" Type="http://schemas.openxmlformats.org/officeDocument/2006/relationships/hyperlink" Target="file:///\\env.govt.state.ma.us\enterprise\ENE-Saltonstall-WKGRP\LBE\Photos\Pollinator\MassDOT\No%20&amp;%20Low%20Mow%20Zones" TargetMode="External"/><Relationship Id="rId56" Type="http://schemas.openxmlformats.org/officeDocument/2006/relationships/hyperlink" Target="file:///\\env.govt.state.ma.us\enterprise\ENE-Saltonstall-WKGRP\LBE\Photos\Pollinator\Dept.%20of%20Correction" TargetMode="External"/><Relationship Id="rId64" Type="http://schemas.openxmlformats.org/officeDocument/2006/relationships/vmlDrawing" Target="../drawings/vmlDrawing5.vml"/><Relationship Id="rId8" Type="http://schemas.openxmlformats.org/officeDocument/2006/relationships/hyperlink" Target="mailto:tara.mitchell@dot.state.ma.us" TargetMode="External"/><Relationship Id="rId51" Type="http://schemas.openxmlformats.org/officeDocument/2006/relationships/hyperlink" Target="file:///\\env.govt.state.ma.us\enterprise\ENE-Saltonstall-WKGRP\LBE\Photos\Pollinator\DFW%20Headquarters" TargetMode="External"/><Relationship Id="rId3" Type="http://schemas.openxmlformats.org/officeDocument/2006/relationships/hyperlink" Target="mailto:jmoser@westfield.ma.edu" TargetMode="External"/><Relationship Id="rId12" Type="http://schemas.openxmlformats.org/officeDocument/2006/relationships/hyperlink" Target="mailto:lmichalopoul@umass.edu" TargetMode="External"/><Relationship Id="rId17" Type="http://schemas.openxmlformats.org/officeDocument/2006/relationships/hyperlink" Target="mailto:tara.mitchell@dot.state.ma.us" TargetMode="External"/><Relationship Id="rId25" Type="http://schemas.openxmlformats.org/officeDocument/2006/relationships/hyperlink" Target="mailto:tara.mitchell@dot.state.ma.us" TargetMode="External"/><Relationship Id="rId33" Type="http://schemas.openxmlformats.org/officeDocument/2006/relationships/hyperlink" Target="mailto:Denise.Breiteneicher@mwra.com" TargetMode="External"/><Relationship Id="rId38" Type="http://schemas.openxmlformats.org/officeDocument/2006/relationships/hyperlink" Target="mailto:jdelisle@massbay.edu" TargetMode="External"/><Relationship Id="rId46" Type="http://schemas.openxmlformats.org/officeDocument/2006/relationships/hyperlink" Target="file:///\\env.govt.state.ma.us\enterprise\ENE-Saltonstall-WKGRP\LBE\Photos\Pollinator%20Photos\UMass%20Amherst\Limited%20Mow%20Zone%202019" TargetMode="External"/><Relationship Id="rId59" Type="http://schemas.openxmlformats.org/officeDocument/2006/relationships/hyperlink" Target="file:///\\env.govt.state.ma.us\enterprise\ENE-Saltonstall-WKGRP\LBE\Photos\Pollinator%20Photos\Taunton%20State%20Hospital" TargetMode="External"/><Relationship Id="rId20" Type="http://schemas.openxmlformats.org/officeDocument/2006/relationships/hyperlink" Target="mailto:tara.mitchell@dot.state.ma.us" TargetMode="External"/><Relationship Id="rId41" Type="http://schemas.openxmlformats.org/officeDocument/2006/relationships/hyperlink" Target="file:///\\env.govt.state.ma.us\enterprise\ENE-Saltonstall-WKGRP\LBE\Photos\Pollinator%20Photos\Bristol%20CC" TargetMode="External"/><Relationship Id="rId54" Type="http://schemas.openxmlformats.org/officeDocument/2006/relationships/hyperlink" Target="file:///\\env.govt.state.ma.us\enterprise\ENE-Saltonstall-WKGRP\LBE\Photos\Pollinator%20Photos\Taunton%20State%20Hospital" TargetMode="External"/><Relationship Id="rId62" Type="http://schemas.openxmlformats.org/officeDocument/2006/relationships/hyperlink" Target="https://goo.gl/maps/sm6Ehwapfeio7K9d7" TargetMode="External"/><Relationship Id="rId1" Type="http://schemas.openxmlformats.org/officeDocument/2006/relationships/hyperlink" Target="https://www.mass.gov/info-details/leading-by-example-progress-overview" TargetMode="External"/><Relationship Id="rId6" Type="http://schemas.openxmlformats.org/officeDocument/2006/relationships/hyperlink" Target="mailto:tara.mitchell@dot.state.ma.us" TargetMode="External"/><Relationship Id="rId15" Type="http://schemas.openxmlformats.org/officeDocument/2006/relationships/hyperlink" Target="mailto:tara.mitchell@dot.state.ma.us" TargetMode="External"/><Relationship Id="rId23" Type="http://schemas.openxmlformats.org/officeDocument/2006/relationships/hyperlink" Target="mailto:tara.mitchell@dot.state.ma.us" TargetMode="External"/><Relationship Id="rId28" Type="http://schemas.openxmlformats.org/officeDocument/2006/relationships/hyperlink" Target="mailto:tara.mitchell@dot.state.ma.us" TargetMode="External"/><Relationship Id="rId36" Type="http://schemas.openxmlformats.org/officeDocument/2006/relationships/hyperlink" Target="http://www.mcla.edu/news1/2017-Nov/sophomore-spearheads-save-the-bees-campaignLBE%20requested%20information" TargetMode="External"/><Relationship Id="rId49" Type="http://schemas.openxmlformats.org/officeDocument/2006/relationships/hyperlink" Target="file:///\\env.govt.state.ma.us\enterprise\ENE-Saltonstall-WKGRP\LBE\Photos\Pollinator\Massasoit%20CC" TargetMode="External"/><Relationship Id="rId57" Type="http://schemas.openxmlformats.org/officeDocument/2006/relationships/hyperlink" Target="file:///\\env.govt.state.ma.us\enterprise\ENE-Saltonstall-WKGRP\LBE\Photos\Pollinator\UMass%20Amherst" TargetMode="External"/><Relationship Id="rId10" Type="http://schemas.openxmlformats.org/officeDocument/2006/relationships/hyperlink" Target="mailto:jwicks@northshore.edu" TargetMode="External"/><Relationship Id="rId31" Type="http://schemas.openxmlformats.org/officeDocument/2006/relationships/hyperlink" Target="mailto:david.paulson@mass.gov" TargetMode="External"/><Relationship Id="rId44" Type="http://schemas.openxmlformats.org/officeDocument/2006/relationships/hyperlink" Target="file:///\\env.govt.state.ma.us\enterprise\ENE-Saltonstall-WKGRP\LBE\Photos\Pollinator%20Photos\MassDOT\Sterling%20and%20Watertown%20Roundabouts%202019" TargetMode="External"/><Relationship Id="rId52" Type="http://schemas.openxmlformats.org/officeDocument/2006/relationships/hyperlink" Target="file:///\\env.govt.state.ma.us\enterprise\ENE-Saltonstall-WKGRP\LBE\Photos\Pollinator\State%20Police%20Academy%20(New%20Braintree)%20-%20No%20Mow%20Zones" TargetMode="External"/><Relationship Id="rId60" Type="http://schemas.openxmlformats.org/officeDocument/2006/relationships/hyperlink" Target="http://www.beecityusa.org/current-bee-campuses.html" TargetMode="External"/><Relationship Id="rId65" Type="http://schemas.openxmlformats.org/officeDocument/2006/relationships/comments" Target="../comments5.xml"/><Relationship Id="rId4" Type="http://schemas.openxmlformats.org/officeDocument/2006/relationships/hyperlink" Target="mailto:kmd@facil.umass.edu" TargetMode="External"/><Relationship Id="rId9" Type="http://schemas.openxmlformats.org/officeDocument/2006/relationships/hyperlink" Target="mailto:tara.mitchell@dot.state.ma.us" TargetMode="External"/><Relationship Id="rId13" Type="http://schemas.openxmlformats.org/officeDocument/2006/relationships/hyperlink" Target="mailto:aoguma@massasoit.mass.edu;%20mbankson@massasoit.mass.edu" TargetMode="External"/><Relationship Id="rId18" Type="http://schemas.openxmlformats.org/officeDocument/2006/relationships/hyperlink" Target="mailto:tara.mitchell@dot.state.ma.us" TargetMode="External"/><Relationship Id="rId39" Type="http://schemas.openxmlformats.org/officeDocument/2006/relationships/hyperlink" Target="file:///\\env.govt.state.ma.us\enterprise\ENE-Saltonstall-WKGRP\LBE\Photos\Pollinator%20Photos\UMass%20Lowell" TargetMode="Externa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xml.rels><?xml version="1.0" encoding="UTF-8" standalone="yes"?>
<Relationships xmlns="http://schemas.openxmlformats.org/package/2006/relationships"><Relationship Id="rId13" Type="http://schemas.openxmlformats.org/officeDocument/2006/relationships/hyperlink" Target="mailto:Frederic.Corazzini@mass.gov" TargetMode="External"/><Relationship Id="rId18" Type="http://schemas.openxmlformats.org/officeDocument/2006/relationships/hyperlink" Target="mailto:michael.lynch2@mass.gov" TargetMode="External"/><Relationship Id="rId26" Type="http://schemas.openxmlformats.org/officeDocument/2006/relationships/hyperlink" Target="mailto:scott.consaul2@mass.gov" TargetMode="External"/><Relationship Id="rId39" Type="http://schemas.openxmlformats.org/officeDocument/2006/relationships/hyperlink" Target="mailto:srobbins@westfield.ma.edu" TargetMode="External"/><Relationship Id="rId21" Type="http://schemas.openxmlformats.org/officeDocument/2006/relationships/hyperlink" Target="mailto:sgray2@salemstate.edu" TargetMode="External"/><Relationship Id="rId34" Type="http://schemas.openxmlformats.org/officeDocument/2006/relationships/hyperlink" Target="mailto:dmargolis@necc.mass.edu" TargetMode="External"/><Relationship Id="rId42" Type="http://schemas.openxmlformats.org/officeDocument/2006/relationships/hyperlink" Target="mailto:godonnell@massport.com" TargetMode="External"/><Relationship Id="rId7" Type="http://schemas.openxmlformats.org/officeDocument/2006/relationships/hyperlink" Target="mailto:jholbroo2@massasoit.mass.edu" TargetMode="External"/><Relationship Id="rId2" Type="http://schemas.openxmlformats.org/officeDocument/2006/relationships/hyperlink" Target="mailto:m1carmody@bridgew.edu" TargetMode="External"/><Relationship Id="rId16" Type="http://schemas.openxmlformats.org/officeDocument/2006/relationships/hyperlink" Target="mailto:michael.lazo2@mass.gov" TargetMode="External"/><Relationship Id="rId29" Type="http://schemas.openxmlformats.org/officeDocument/2006/relationships/hyperlink" Target="mailto:jeffrey.tatro@mcla.edu" TargetMode="External"/><Relationship Id="rId1" Type="http://schemas.openxmlformats.org/officeDocument/2006/relationships/hyperlink" Target="mailto:kjason@bridgew.edu" TargetMode="External"/><Relationship Id="rId6" Type="http://schemas.openxmlformats.org/officeDocument/2006/relationships/hyperlink" Target="mailto:jfk@massart.edu" TargetMode="External"/><Relationship Id="rId11" Type="http://schemas.openxmlformats.org/officeDocument/2006/relationships/hyperlink" Target="mailto:john.masters@mass.gov" TargetMode="External"/><Relationship Id="rId24" Type="http://schemas.openxmlformats.org/officeDocument/2006/relationships/hyperlink" Target="mailto:JoAnn.Bentley@bristolcc.edu" TargetMode="External"/><Relationship Id="rId32" Type="http://schemas.openxmlformats.org/officeDocument/2006/relationships/hyperlink" Target="mailto:gfox1@mwcc.mass.edu" TargetMode="External"/><Relationship Id="rId37" Type="http://schemas.openxmlformats.org/officeDocument/2006/relationships/hyperlink" Target="mailto:pm2301smith@stcc.edu" TargetMode="External"/><Relationship Id="rId40" Type="http://schemas.openxmlformats.org/officeDocument/2006/relationships/hyperlink" Target="mailto:FacilitiesManagement@gcc.mass.edu" TargetMode="External"/><Relationship Id="rId45" Type="http://schemas.openxmlformats.org/officeDocument/2006/relationships/hyperlink" Target="mailto:jparrett@worcester.edu" TargetMode="External"/><Relationship Id="rId5" Type="http://schemas.openxmlformats.org/officeDocument/2006/relationships/hyperlink" Target="mailto:szazzera@capecod.edu" TargetMode="External"/><Relationship Id="rId15" Type="http://schemas.openxmlformats.org/officeDocument/2006/relationships/hyperlink" Target="mailto:trina.moruzzi@mass.gov" TargetMode="External"/><Relationship Id="rId23" Type="http://schemas.openxmlformats.org/officeDocument/2006/relationships/hyperlink" Target="mailto:svbush2101@stcc.edu" TargetMode="External"/><Relationship Id="rId28" Type="http://schemas.openxmlformats.org/officeDocument/2006/relationships/hyperlink" Target="mailto:rperry@massart.edu" TargetMode="External"/><Relationship Id="rId36" Type="http://schemas.openxmlformats.org/officeDocument/2006/relationships/hyperlink" Target="mailto:khall@rcc.mass.edu" TargetMode="External"/><Relationship Id="rId10" Type="http://schemas.openxmlformats.org/officeDocument/2006/relationships/hyperlink" Target="mailto:ametcalfe@maritime.edu" TargetMode="External"/><Relationship Id="rId19" Type="http://schemas.openxmlformats.org/officeDocument/2006/relationships/hyperlink" Target="mailto:richard.polwrek@mass.gov" TargetMode="External"/><Relationship Id="rId31" Type="http://schemas.openxmlformats.org/officeDocument/2006/relationships/hyperlink" Target="mailto:cvolz1@massasoit.mass.edu" TargetMode="External"/><Relationship Id="rId44" Type="http://schemas.openxmlformats.org/officeDocument/2006/relationships/hyperlink" Target="mailto:Nicole_Kelly@uml.edu" TargetMode="External"/><Relationship Id="rId4" Type="http://schemas.openxmlformats.org/officeDocument/2006/relationships/hyperlink" Target="mailto:jjacquart@umassd.edu" TargetMode="External"/><Relationship Id="rId9" Type="http://schemas.openxmlformats.org/officeDocument/2006/relationships/hyperlink" Target="mailto:kbrasili@framingham.edu" TargetMode="External"/><Relationship Id="rId14" Type="http://schemas.openxmlformats.org/officeDocument/2006/relationships/hyperlink" Target="mailto:Meaghan.Hencir@mass.gov" TargetMode="External"/><Relationship Id="rId22" Type="http://schemas.openxmlformats.org/officeDocument/2006/relationships/hyperlink" Target="mailto:squaye1@mwcc.mass.edu" TargetMode="External"/><Relationship Id="rId27" Type="http://schemas.openxmlformats.org/officeDocument/2006/relationships/hyperlink" Target="mailto:Mbangra4@fitchburgstate.edu" TargetMode="External"/><Relationship Id="rId30" Type="http://schemas.openxmlformats.org/officeDocument/2006/relationships/hyperlink" Target="mailto:william.norcross@mcla.edu" TargetMode="External"/><Relationship Id="rId35" Type="http://schemas.openxmlformats.org/officeDocument/2006/relationships/hyperlink" Target="mailto:sqazi@rcc.mass.edu" TargetMode="External"/><Relationship Id="rId43" Type="http://schemas.openxmlformats.org/officeDocument/2006/relationships/hyperlink" Target="mailto:lmarcone@salemstate.edu" TargetMode="External"/><Relationship Id="rId8" Type="http://schemas.openxmlformats.org/officeDocument/2006/relationships/hyperlink" Target="mailto:Khall@rcc.mass.edu" TargetMode="External"/><Relationship Id="rId3" Type="http://schemas.openxmlformats.org/officeDocument/2006/relationships/hyperlink" Target="mailto:Barbara.Cadima@bristolcc.edu" TargetMode="External"/><Relationship Id="rId12" Type="http://schemas.openxmlformats.org/officeDocument/2006/relationships/hyperlink" Target="mailto:susan.f.hamilton@mass.gov" TargetMode="External"/><Relationship Id="rId17" Type="http://schemas.openxmlformats.org/officeDocument/2006/relationships/hyperlink" Target="mailto:glen.hevy@mass.gov" TargetMode="External"/><Relationship Id="rId25" Type="http://schemas.openxmlformats.org/officeDocument/2006/relationships/hyperlink" Target="mailto:robert.maniatis@mass.gov" TargetMode="External"/><Relationship Id="rId33" Type="http://schemas.openxmlformats.org/officeDocument/2006/relationships/hyperlink" Target="mailto:sbolden1@mwcc.mass.edu" TargetMode="External"/><Relationship Id="rId38" Type="http://schemas.openxmlformats.org/officeDocument/2006/relationships/hyperlink" Target="mailto:kparker8@umassd.edu" TargetMode="External"/><Relationship Id="rId46" Type="http://schemas.openxmlformats.org/officeDocument/2006/relationships/printerSettings" Target="../printerSettings/printerSettings2.bin"/><Relationship Id="rId20" Type="http://schemas.openxmlformats.org/officeDocument/2006/relationships/hyperlink" Target="mailto:jmacdonald2@salemstate.edu" TargetMode="External"/><Relationship Id="rId41" Type="http://schemas.openxmlformats.org/officeDocument/2006/relationships/hyperlink" Target="mailto:vvdeshpande@massart.edu"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sheetPr>
  <dimension ref="A1:T94"/>
  <sheetViews>
    <sheetView tabSelected="1" zoomScale="80" zoomScaleNormal="80" workbookViewId="0">
      <selection activeCell="C55" sqref="C55:P56"/>
    </sheetView>
  </sheetViews>
  <sheetFormatPr defaultColWidth="0" defaultRowHeight="15" zeroHeight="1"/>
  <cols>
    <col min="1" max="1" width="2.28515625" style="81" customWidth="1"/>
    <col min="2" max="2" width="19" style="42" customWidth="1"/>
    <col min="3" max="3" width="10.140625" style="42" customWidth="1"/>
    <col min="4" max="10" width="12.28515625" style="42" customWidth="1"/>
    <col min="11" max="15" width="10.140625" style="42" customWidth="1"/>
    <col min="16" max="16" width="15.42578125" style="42" customWidth="1"/>
    <col min="17" max="17" width="23.85546875" style="42" customWidth="1"/>
    <col min="18" max="16384" width="9.140625" style="42" hidden="1"/>
  </cols>
  <sheetData>
    <row r="1" spans="1:20"/>
    <row r="2" spans="1:20" ht="15.75">
      <c r="B2" s="916" t="s">
        <v>0</v>
      </c>
      <c r="C2" s="916"/>
      <c r="D2" s="916"/>
      <c r="E2" s="916"/>
      <c r="F2" s="916"/>
      <c r="G2" s="916"/>
      <c r="H2" s="916"/>
      <c r="I2" s="916"/>
      <c r="J2" s="916"/>
      <c r="K2" s="470"/>
      <c r="L2" s="470"/>
      <c r="M2" s="470"/>
      <c r="N2" s="470"/>
      <c r="O2" s="470"/>
      <c r="P2" s="470"/>
      <c r="Q2" s="470"/>
      <c r="R2" s="470"/>
      <c r="S2" s="470"/>
      <c r="T2" s="470"/>
    </row>
    <row r="3" spans="1:20" ht="15.75">
      <c r="B3" s="916" t="s">
        <v>1</v>
      </c>
      <c r="C3" s="916"/>
      <c r="D3" s="916"/>
      <c r="E3" s="916"/>
      <c r="F3" s="916"/>
      <c r="G3" s="916"/>
      <c r="H3" s="916"/>
      <c r="I3" s="916"/>
      <c r="J3" s="916"/>
      <c r="K3" s="470"/>
      <c r="L3" s="470"/>
      <c r="M3" s="470"/>
      <c r="N3" s="470"/>
      <c r="O3" s="470"/>
      <c r="P3" s="470"/>
      <c r="Q3" s="470"/>
      <c r="R3" s="470"/>
      <c r="S3" s="470"/>
      <c r="T3" s="470"/>
    </row>
    <row r="4" spans="1:20" ht="15.75">
      <c r="B4" s="917" t="s">
        <v>2</v>
      </c>
      <c r="C4" s="917"/>
      <c r="D4" s="917"/>
      <c r="E4" s="917"/>
      <c r="F4" s="917"/>
      <c r="G4" s="917"/>
      <c r="H4" s="917"/>
      <c r="I4" s="917"/>
      <c r="J4" s="917"/>
      <c r="K4" s="470"/>
      <c r="L4" s="470"/>
      <c r="M4" s="470"/>
      <c r="N4" s="470"/>
      <c r="O4" s="470"/>
      <c r="P4" s="470"/>
      <c r="Q4" s="470"/>
      <c r="R4" s="470"/>
      <c r="S4" s="470"/>
      <c r="T4" s="470"/>
    </row>
    <row r="5" spans="1:20" ht="15.75">
      <c r="B5" s="917" t="s">
        <v>2191</v>
      </c>
      <c r="C5" s="917"/>
      <c r="D5" s="917"/>
      <c r="E5" s="917"/>
      <c r="F5" s="917"/>
      <c r="G5" s="917"/>
      <c r="H5" s="917"/>
      <c r="I5" s="917"/>
      <c r="J5" s="917"/>
      <c r="K5" s="470"/>
      <c r="L5" s="470"/>
      <c r="M5" s="470"/>
      <c r="N5" s="470"/>
      <c r="O5" s="470"/>
      <c r="P5" s="470"/>
      <c r="Q5" s="470"/>
      <c r="R5" s="470"/>
      <c r="S5" s="470"/>
      <c r="T5" s="470"/>
    </row>
    <row r="6" spans="1:20" ht="15.75">
      <c r="B6" s="918" t="s">
        <v>2170</v>
      </c>
      <c r="C6" s="918"/>
      <c r="D6" s="918"/>
      <c r="E6" s="918"/>
      <c r="F6" s="918"/>
      <c r="G6" s="918"/>
      <c r="H6" s="918"/>
      <c r="I6" s="918"/>
      <c r="J6" s="918"/>
      <c r="K6" s="470"/>
      <c r="L6" s="470"/>
      <c r="M6" s="470"/>
      <c r="N6" s="470"/>
      <c r="O6" s="470"/>
      <c r="P6" s="470"/>
      <c r="Q6" s="470"/>
      <c r="R6" s="470"/>
      <c r="S6" s="470"/>
      <c r="T6" s="470"/>
    </row>
    <row r="7" spans="1:20" ht="15.75" thickBot="1"/>
    <row r="8" spans="1:20" customFormat="1" ht="24" thickBot="1">
      <c r="A8" s="81"/>
      <c r="B8" s="910" t="s">
        <v>2187</v>
      </c>
      <c r="C8" s="911"/>
      <c r="D8" s="911"/>
      <c r="E8" s="911"/>
      <c r="F8" s="911"/>
      <c r="G8" s="911"/>
      <c r="H8" s="911"/>
      <c r="I8" s="911"/>
      <c r="J8" s="911"/>
      <c r="K8" s="911"/>
      <c r="L8" s="911"/>
      <c r="M8" s="911"/>
      <c r="N8" s="911"/>
      <c r="O8" s="911"/>
      <c r="P8" s="912"/>
      <c r="Q8" s="454"/>
      <c r="R8" s="452"/>
      <c r="S8" s="452"/>
      <c r="T8" s="453"/>
    </row>
    <row r="9" spans="1:20" customFormat="1" ht="39" customHeight="1" thickBot="1">
      <c r="A9" s="81"/>
      <c r="B9" s="913" t="s">
        <v>2188</v>
      </c>
      <c r="C9" s="913"/>
      <c r="D9" s="913"/>
      <c r="E9" s="913"/>
      <c r="F9" s="913"/>
      <c r="G9" s="913"/>
      <c r="H9" s="913"/>
      <c r="I9" s="913"/>
      <c r="J9" s="913"/>
      <c r="K9" s="913"/>
      <c r="L9" s="913"/>
      <c r="M9" s="913"/>
      <c r="N9" s="913"/>
      <c r="O9" s="913"/>
      <c r="P9" s="913"/>
      <c r="Q9" s="42"/>
    </row>
    <row r="10" spans="1:20" customFormat="1" ht="39" customHeight="1" thickBot="1">
      <c r="A10" s="81"/>
      <c r="B10" s="913"/>
      <c r="C10" s="913"/>
      <c r="D10" s="913"/>
      <c r="E10" s="913"/>
      <c r="F10" s="913"/>
      <c r="G10" s="913"/>
      <c r="H10" s="913"/>
      <c r="I10" s="913"/>
      <c r="J10" s="913"/>
      <c r="K10" s="913"/>
      <c r="L10" s="913"/>
      <c r="M10" s="913"/>
      <c r="N10" s="913"/>
      <c r="O10" s="913"/>
      <c r="P10" s="913"/>
      <c r="Q10" s="42"/>
    </row>
    <row r="11" spans="1:20" customFormat="1" ht="60" customHeight="1" thickBot="1">
      <c r="A11" s="81"/>
      <c r="B11" s="913"/>
      <c r="C11" s="913"/>
      <c r="D11" s="913"/>
      <c r="E11" s="913"/>
      <c r="F11" s="913"/>
      <c r="G11" s="913"/>
      <c r="H11" s="913"/>
      <c r="I11" s="913"/>
      <c r="J11" s="913"/>
      <c r="K11" s="913"/>
      <c r="L11" s="913"/>
      <c r="M11" s="913"/>
      <c r="N11" s="913"/>
      <c r="O11" s="913"/>
      <c r="P11" s="913"/>
      <c r="Q11" s="42"/>
    </row>
    <row r="12" spans="1:20" s="81" customFormat="1" ht="9" customHeight="1"/>
    <row r="13" spans="1:20" customFormat="1" ht="15" customHeight="1">
      <c r="A13" s="81"/>
      <c r="B13" s="904" t="s">
        <v>2593</v>
      </c>
      <c r="C13" s="904"/>
      <c r="D13" s="904"/>
      <c r="E13" s="904"/>
      <c r="F13" s="904"/>
      <c r="G13" s="904"/>
      <c r="H13" s="904"/>
      <c r="I13" s="904"/>
      <c r="J13" s="904"/>
      <c r="K13" s="904"/>
      <c r="L13" s="904"/>
      <c r="M13" s="904"/>
      <c r="N13" s="904"/>
      <c r="O13" s="904"/>
      <c r="P13" s="904"/>
      <c r="Q13" s="42"/>
    </row>
    <row r="14" spans="1:20" customFormat="1" ht="15" customHeight="1">
      <c r="A14" s="81"/>
      <c r="B14" s="904"/>
      <c r="C14" s="904"/>
      <c r="D14" s="904"/>
      <c r="E14" s="904"/>
      <c r="F14" s="904"/>
      <c r="G14" s="904"/>
      <c r="H14" s="904"/>
      <c r="I14" s="904"/>
      <c r="J14" s="904"/>
      <c r="K14" s="904"/>
      <c r="L14" s="904"/>
      <c r="M14" s="904"/>
      <c r="N14" s="904"/>
      <c r="O14" s="904"/>
      <c r="P14" s="904"/>
      <c r="Q14" s="42"/>
    </row>
    <row r="15" spans="1:20" customFormat="1" ht="15" customHeight="1">
      <c r="A15" s="81"/>
      <c r="B15" s="904"/>
      <c r="C15" s="904"/>
      <c r="D15" s="904"/>
      <c r="E15" s="904"/>
      <c r="F15" s="904"/>
      <c r="G15" s="904"/>
      <c r="H15" s="904"/>
      <c r="I15" s="904"/>
      <c r="J15" s="904"/>
      <c r="K15" s="904"/>
      <c r="L15" s="904"/>
      <c r="M15" s="904"/>
      <c r="N15" s="904"/>
      <c r="O15" s="904"/>
      <c r="P15" s="904"/>
      <c r="Q15" s="42"/>
    </row>
    <row r="16" spans="1:20" customFormat="1" ht="15.75" customHeight="1">
      <c r="A16" s="81"/>
      <c r="B16" s="904"/>
      <c r="C16" s="904"/>
      <c r="D16" s="904"/>
      <c r="E16" s="904"/>
      <c r="F16" s="904"/>
      <c r="G16" s="904"/>
      <c r="H16" s="904"/>
      <c r="I16" s="904"/>
      <c r="J16" s="904"/>
      <c r="K16" s="904"/>
      <c r="L16" s="904"/>
      <c r="M16" s="904"/>
      <c r="N16" s="904"/>
      <c r="O16" s="904"/>
      <c r="P16" s="904"/>
      <c r="Q16" s="42"/>
    </row>
    <row r="17" spans="1:19" ht="11.1" customHeight="1">
      <c r="B17" s="455"/>
      <c r="C17" s="455"/>
      <c r="D17" s="455"/>
      <c r="E17" s="455"/>
      <c r="F17" s="455"/>
      <c r="G17" s="455"/>
      <c r="H17" s="455"/>
      <c r="I17" s="455"/>
      <c r="J17" s="455"/>
      <c r="K17" s="455"/>
      <c r="L17" s="455"/>
      <c r="M17" s="455"/>
      <c r="N17" s="455"/>
      <c r="O17" s="455"/>
      <c r="P17" s="455"/>
    </row>
    <row r="18" spans="1:19" ht="24" customHeight="1">
      <c r="B18" s="914" t="s">
        <v>2189</v>
      </c>
      <c r="C18" s="914"/>
      <c r="D18" s="914"/>
      <c r="E18" s="914"/>
      <c r="F18" s="914"/>
      <c r="G18" s="914"/>
      <c r="H18" s="914"/>
      <c r="I18" s="914"/>
      <c r="J18" s="914"/>
      <c r="K18" s="914"/>
      <c r="L18" s="914"/>
      <c r="M18" s="914"/>
      <c r="N18" s="914"/>
      <c r="O18" s="914"/>
      <c r="P18" s="914"/>
      <c r="Q18" s="448"/>
      <c r="R18" s="442"/>
      <c r="S18" s="442"/>
    </row>
    <row r="19" spans="1:19" s="44" customFormat="1" ht="15" customHeight="1">
      <c r="B19" s="914"/>
      <c r="C19" s="914"/>
      <c r="D19" s="914"/>
      <c r="E19" s="914"/>
      <c r="F19" s="914"/>
      <c r="G19" s="914"/>
      <c r="H19" s="914"/>
      <c r="I19" s="914"/>
      <c r="J19" s="914"/>
      <c r="K19" s="914"/>
      <c r="L19" s="914"/>
      <c r="M19" s="914"/>
      <c r="N19" s="914"/>
      <c r="O19" s="914"/>
      <c r="P19" s="914"/>
      <c r="Q19" s="449"/>
      <c r="R19" s="443"/>
      <c r="S19" s="443"/>
    </row>
    <row r="20" spans="1:19" s="44" customFormat="1" ht="15.95" customHeight="1" thickBot="1">
      <c r="A20" s="445"/>
      <c r="B20" s="915"/>
      <c r="C20" s="915"/>
      <c r="D20" s="915"/>
      <c r="E20" s="915"/>
      <c r="F20" s="915"/>
      <c r="G20" s="915"/>
      <c r="H20" s="915"/>
      <c r="I20" s="915"/>
      <c r="J20" s="915"/>
      <c r="K20" s="915"/>
      <c r="L20" s="915"/>
      <c r="M20" s="915"/>
      <c r="N20" s="915"/>
      <c r="O20" s="915"/>
      <c r="P20" s="915"/>
      <c r="Q20" s="445"/>
      <c r="R20" s="444"/>
      <c r="S20" s="444"/>
    </row>
    <row r="21" spans="1:19" s="44" customFormat="1" ht="24.95" customHeight="1">
      <c r="A21" s="61"/>
      <c r="B21" s="899" t="s">
        <v>3</v>
      </c>
      <c r="C21" s="899"/>
      <c r="D21" s="896" t="s">
        <v>4</v>
      </c>
      <c r="E21" s="896"/>
      <c r="F21" s="896"/>
      <c r="G21" s="896"/>
      <c r="H21" s="896"/>
      <c r="I21" s="896"/>
      <c r="J21" s="896"/>
      <c r="K21" s="896"/>
      <c r="L21" s="896"/>
      <c r="M21" s="896"/>
      <c r="N21" s="896"/>
      <c r="O21" s="896"/>
      <c r="P21" s="896"/>
      <c r="Q21" s="450"/>
      <c r="R21" s="446"/>
      <c r="S21" s="446"/>
    </row>
    <row r="22" spans="1:19" s="44" customFormat="1" ht="24.95" customHeight="1" thickBot="1">
      <c r="A22" s="61"/>
      <c r="B22" s="900"/>
      <c r="C22" s="900"/>
      <c r="D22" s="897"/>
      <c r="E22" s="897"/>
      <c r="F22" s="897"/>
      <c r="G22" s="897"/>
      <c r="H22" s="897"/>
      <c r="I22" s="897"/>
      <c r="J22" s="897"/>
      <c r="K22" s="897"/>
      <c r="L22" s="897"/>
      <c r="M22" s="897"/>
      <c r="N22" s="897"/>
      <c r="O22" s="897"/>
      <c r="P22" s="897"/>
      <c r="Q22" s="451"/>
      <c r="R22" s="447"/>
      <c r="S22" s="447"/>
    </row>
    <row r="23" spans="1:19" s="44" customFormat="1" ht="24.95" customHeight="1">
      <c r="A23" s="61"/>
      <c r="B23" s="899" t="s">
        <v>2107</v>
      </c>
      <c r="C23" s="899"/>
      <c r="D23" s="896" t="s">
        <v>2190</v>
      </c>
      <c r="E23" s="896"/>
      <c r="F23" s="896"/>
      <c r="G23" s="896"/>
      <c r="H23" s="896"/>
      <c r="I23" s="896"/>
      <c r="J23" s="896"/>
      <c r="K23" s="896"/>
      <c r="L23" s="896"/>
      <c r="M23" s="896"/>
      <c r="N23" s="896"/>
      <c r="O23" s="896"/>
      <c r="P23" s="896"/>
      <c r="Q23" s="809"/>
      <c r="R23" s="810"/>
      <c r="S23" s="810"/>
    </row>
    <row r="24" spans="1:19" s="44" customFormat="1" ht="24.95" customHeight="1">
      <c r="A24" s="61"/>
      <c r="B24" s="901"/>
      <c r="C24" s="901"/>
      <c r="D24" s="898"/>
      <c r="E24" s="898"/>
      <c r="F24" s="898"/>
      <c r="G24" s="898"/>
      <c r="H24" s="898"/>
      <c r="I24" s="898"/>
      <c r="J24" s="898"/>
      <c r="K24" s="898"/>
      <c r="L24" s="898"/>
      <c r="M24" s="898"/>
      <c r="N24" s="898"/>
      <c r="O24" s="898"/>
      <c r="P24" s="898"/>
      <c r="Q24" s="809"/>
      <c r="R24" s="810"/>
      <c r="S24" s="810"/>
    </row>
    <row r="25" spans="1:19" s="44" customFormat="1" ht="16.5" thickBot="1">
      <c r="A25" s="81"/>
      <c r="B25" s="82"/>
      <c r="C25" s="82"/>
      <c r="D25" s="82"/>
      <c r="E25" s="82"/>
      <c r="F25" s="82"/>
      <c r="G25" s="82"/>
      <c r="H25" s="82"/>
      <c r="I25" s="82"/>
      <c r="J25" s="82"/>
      <c r="K25" s="82"/>
      <c r="L25" s="82"/>
      <c r="M25" s="82"/>
      <c r="N25" s="82"/>
      <c r="O25" s="82"/>
      <c r="P25" s="82"/>
      <c r="Q25" s="42"/>
      <c r="R25" s="42"/>
      <c r="S25" s="42"/>
    </row>
    <row r="26" spans="1:19" s="44" customFormat="1" ht="19.5" thickBot="1">
      <c r="A26" s="196"/>
      <c r="B26" s="888" t="s">
        <v>6</v>
      </c>
      <c r="C26" s="889"/>
      <c r="D26" s="889"/>
      <c r="E26" s="889"/>
      <c r="F26" s="889"/>
      <c r="G26" s="889"/>
      <c r="H26" s="889"/>
      <c r="I26" s="889"/>
      <c r="J26" s="889"/>
      <c r="K26" s="889"/>
      <c r="L26" s="889"/>
      <c r="M26" s="889"/>
      <c r="N26" s="889"/>
      <c r="O26" s="889"/>
      <c r="P26" s="890"/>
      <c r="Q26" s="61"/>
    </row>
    <row r="27" spans="1:19" s="44" customFormat="1">
      <c r="A27" s="195"/>
      <c r="B27" s="891" t="s">
        <v>7</v>
      </c>
      <c r="C27" s="894" t="s">
        <v>8</v>
      </c>
      <c r="D27" s="894"/>
      <c r="E27" s="894"/>
      <c r="F27" s="894"/>
      <c r="G27" s="894"/>
      <c r="H27" s="894"/>
      <c r="I27" s="894"/>
      <c r="J27" s="894"/>
      <c r="K27" s="894"/>
      <c r="L27" s="894"/>
      <c r="M27" s="894"/>
      <c r="N27" s="894"/>
      <c r="O27" s="894"/>
      <c r="P27" s="894"/>
      <c r="Q27" s="61"/>
    </row>
    <row r="28" spans="1:19" s="44" customFormat="1" ht="15" customHeight="1">
      <c r="A28" s="195"/>
      <c r="B28" s="892"/>
      <c r="C28" s="895"/>
      <c r="D28" s="895"/>
      <c r="E28" s="895"/>
      <c r="F28" s="895"/>
      <c r="G28" s="895"/>
      <c r="H28" s="895"/>
      <c r="I28" s="895"/>
      <c r="J28" s="895"/>
      <c r="K28" s="895"/>
      <c r="L28" s="895"/>
      <c r="M28" s="895"/>
      <c r="N28" s="895"/>
      <c r="O28" s="895"/>
      <c r="P28" s="895"/>
      <c r="Q28" s="61"/>
    </row>
    <row r="29" spans="1:19" s="44" customFormat="1" ht="15" customHeight="1" thickBot="1">
      <c r="A29" s="195"/>
      <c r="B29" s="893"/>
      <c r="C29" s="895"/>
      <c r="D29" s="895"/>
      <c r="E29" s="895"/>
      <c r="F29" s="895"/>
      <c r="G29" s="895"/>
      <c r="H29" s="895"/>
      <c r="I29" s="895"/>
      <c r="J29" s="895"/>
      <c r="K29" s="895"/>
      <c r="L29" s="895"/>
      <c r="M29" s="895"/>
      <c r="N29" s="895"/>
      <c r="O29" s="895"/>
      <c r="P29" s="895"/>
      <c r="Q29" s="61"/>
    </row>
    <row r="30" spans="1:19" s="44" customFormat="1" ht="15.95" customHeight="1">
      <c r="A30" s="195"/>
      <c r="B30" s="891" t="s">
        <v>9</v>
      </c>
      <c r="C30" s="894" t="s">
        <v>2192</v>
      </c>
      <c r="D30" s="894"/>
      <c r="E30" s="894"/>
      <c r="F30" s="894"/>
      <c r="G30" s="894"/>
      <c r="H30" s="894"/>
      <c r="I30" s="894"/>
      <c r="J30" s="894"/>
      <c r="K30" s="894"/>
      <c r="L30" s="894"/>
      <c r="M30" s="894"/>
      <c r="N30" s="894"/>
      <c r="O30" s="894"/>
      <c r="P30" s="894"/>
      <c r="Q30" s="61"/>
    </row>
    <row r="31" spans="1:19" s="44" customFormat="1">
      <c r="A31" s="195"/>
      <c r="B31" s="892"/>
      <c r="C31" s="895"/>
      <c r="D31" s="895"/>
      <c r="E31" s="895"/>
      <c r="F31" s="895"/>
      <c r="G31" s="895"/>
      <c r="H31" s="895"/>
      <c r="I31" s="895"/>
      <c r="J31" s="895"/>
      <c r="K31" s="895"/>
      <c r="L31" s="895"/>
      <c r="M31" s="895"/>
      <c r="N31" s="895"/>
      <c r="O31" s="895"/>
      <c r="P31" s="895"/>
      <c r="Q31" s="61"/>
    </row>
    <row r="32" spans="1:19" s="44" customFormat="1" ht="15.75" thickBot="1">
      <c r="A32" s="195"/>
      <c r="B32" s="893"/>
      <c r="C32" s="895"/>
      <c r="D32" s="895"/>
      <c r="E32" s="895"/>
      <c r="F32" s="895"/>
      <c r="G32" s="895"/>
      <c r="H32" s="895"/>
      <c r="I32" s="895"/>
      <c r="J32" s="895"/>
      <c r="K32" s="895"/>
      <c r="L32" s="895"/>
      <c r="M32" s="895"/>
      <c r="N32" s="895"/>
      <c r="O32" s="895"/>
      <c r="P32" s="895"/>
      <c r="Q32" s="61"/>
    </row>
    <row r="33" spans="1:17" s="44" customFormat="1">
      <c r="A33" s="195"/>
      <c r="B33" s="891" t="s">
        <v>10</v>
      </c>
      <c r="C33" s="894" t="s">
        <v>11</v>
      </c>
      <c r="D33" s="894"/>
      <c r="E33" s="894"/>
      <c r="F33" s="894"/>
      <c r="G33" s="894"/>
      <c r="H33" s="894"/>
      <c r="I33" s="894"/>
      <c r="J33" s="894"/>
      <c r="K33" s="894"/>
      <c r="L33" s="894"/>
      <c r="M33" s="894"/>
      <c r="N33" s="894"/>
      <c r="O33" s="894"/>
      <c r="P33" s="894"/>
      <c r="Q33" s="61"/>
    </row>
    <row r="34" spans="1:17" s="44" customFormat="1">
      <c r="A34" s="195"/>
      <c r="B34" s="892"/>
      <c r="C34" s="895"/>
      <c r="D34" s="895"/>
      <c r="E34" s="895"/>
      <c r="F34" s="895"/>
      <c r="G34" s="895"/>
      <c r="H34" s="895"/>
      <c r="I34" s="895"/>
      <c r="J34" s="895"/>
      <c r="K34" s="895"/>
      <c r="L34" s="895"/>
      <c r="M34" s="895"/>
      <c r="N34" s="895"/>
      <c r="O34" s="895"/>
      <c r="P34" s="895"/>
      <c r="Q34" s="61"/>
    </row>
    <row r="35" spans="1:17" s="44" customFormat="1">
      <c r="A35" s="195"/>
      <c r="B35" s="892"/>
      <c r="C35" s="895"/>
      <c r="D35" s="895"/>
      <c r="E35" s="895"/>
      <c r="F35" s="895"/>
      <c r="G35" s="895"/>
      <c r="H35" s="895"/>
      <c r="I35" s="895"/>
      <c r="J35" s="895"/>
      <c r="K35" s="895"/>
      <c r="L35" s="895"/>
      <c r="M35" s="895"/>
      <c r="N35" s="895"/>
      <c r="O35" s="895"/>
      <c r="P35" s="895"/>
      <c r="Q35" s="61"/>
    </row>
    <row r="36" spans="1:17" s="44" customFormat="1" ht="9" customHeight="1" thickBot="1">
      <c r="A36" s="195"/>
      <c r="B36" s="893"/>
      <c r="C36" s="902"/>
      <c r="D36" s="902"/>
      <c r="E36" s="902"/>
      <c r="F36" s="902"/>
      <c r="G36" s="902"/>
      <c r="H36" s="902"/>
      <c r="I36" s="902"/>
      <c r="J36" s="902"/>
      <c r="K36" s="902"/>
      <c r="L36" s="902"/>
      <c r="M36" s="902"/>
      <c r="N36" s="902"/>
      <c r="O36" s="902"/>
      <c r="P36" s="902"/>
      <c r="Q36" s="61"/>
    </row>
    <row r="37" spans="1:17" s="44" customFormat="1">
      <c r="A37" s="195"/>
      <c r="B37" s="891" t="s">
        <v>12</v>
      </c>
      <c r="C37" s="894" t="s">
        <v>13</v>
      </c>
      <c r="D37" s="894"/>
      <c r="E37" s="894"/>
      <c r="F37" s="894"/>
      <c r="G37" s="894"/>
      <c r="H37" s="894"/>
      <c r="I37" s="894"/>
      <c r="J37" s="894"/>
      <c r="K37" s="894"/>
      <c r="L37" s="894"/>
      <c r="M37" s="894"/>
      <c r="N37" s="894"/>
      <c r="O37" s="894"/>
      <c r="P37" s="894"/>
      <c r="Q37" s="61"/>
    </row>
    <row r="38" spans="1:17" s="44" customFormat="1">
      <c r="A38" s="195"/>
      <c r="B38" s="892"/>
      <c r="C38" s="895"/>
      <c r="D38" s="895"/>
      <c r="E38" s="895"/>
      <c r="F38" s="895"/>
      <c r="G38" s="895"/>
      <c r="H38" s="895"/>
      <c r="I38" s="895"/>
      <c r="J38" s="895"/>
      <c r="K38" s="895"/>
      <c r="L38" s="895"/>
      <c r="M38" s="895"/>
      <c r="N38" s="895"/>
      <c r="O38" s="895"/>
      <c r="P38" s="895"/>
      <c r="Q38" s="61"/>
    </row>
    <row r="39" spans="1:17" s="44" customFormat="1" ht="15.75" thickBot="1">
      <c r="A39" s="195"/>
      <c r="B39" s="893"/>
      <c r="C39" s="902"/>
      <c r="D39" s="902"/>
      <c r="E39" s="902"/>
      <c r="F39" s="902"/>
      <c r="G39" s="902"/>
      <c r="H39" s="902"/>
      <c r="I39" s="902"/>
      <c r="J39" s="902"/>
      <c r="K39" s="902"/>
      <c r="L39" s="902"/>
      <c r="M39" s="902"/>
      <c r="N39" s="902"/>
      <c r="O39" s="902"/>
      <c r="P39" s="902"/>
      <c r="Q39" s="61"/>
    </row>
    <row r="40" spans="1:17" s="44" customFormat="1">
      <c r="A40" s="195"/>
      <c r="B40" s="891" t="s">
        <v>14</v>
      </c>
      <c r="C40" s="894" t="s">
        <v>15</v>
      </c>
      <c r="D40" s="894"/>
      <c r="E40" s="894"/>
      <c r="F40" s="894"/>
      <c r="G40" s="894"/>
      <c r="H40" s="894"/>
      <c r="I40" s="894"/>
      <c r="J40" s="894"/>
      <c r="K40" s="894"/>
      <c r="L40" s="894"/>
      <c r="M40" s="894"/>
      <c r="N40" s="894"/>
      <c r="O40" s="894"/>
      <c r="P40" s="894"/>
      <c r="Q40" s="61"/>
    </row>
    <row r="41" spans="1:17" s="44" customFormat="1">
      <c r="A41" s="195"/>
      <c r="B41" s="892"/>
      <c r="C41" s="895"/>
      <c r="D41" s="895"/>
      <c r="E41" s="895"/>
      <c r="F41" s="895"/>
      <c r="G41" s="895"/>
      <c r="H41" s="895"/>
      <c r="I41" s="895"/>
      <c r="J41" s="895"/>
      <c r="K41" s="895"/>
      <c r="L41" s="895"/>
      <c r="M41" s="895"/>
      <c r="N41" s="895"/>
      <c r="O41" s="895"/>
      <c r="P41" s="895"/>
      <c r="Q41" s="61"/>
    </row>
    <row r="42" spans="1:17" s="44" customFormat="1" ht="15.75" thickBot="1">
      <c r="A42" s="195"/>
      <c r="B42" s="893"/>
      <c r="C42" s="902"/>
      <c r="D42" s="902"/>
      <c r="E42" s="902"/>
      <c r="F42" s="902"/>
      <c r="G42" s="902"/>
      <c r="H42" s="902"/>
      <c r="I42" s="902"/>
      <c r="J42" s="902"/>
      <c r="K42" s="902"/>
      <c r="L42" s="902"/>
      <c r="M42" s="902"/>
      <c r="N42" s="902"/>
      <c r="O42" s="902"/>
      <c r="P42" s="902"/>
      <c r="Q42" s="61"/>
    </row>
    <row r="43" spans="1:17" s="44" customFormat="1">
      <c r="A43" s="195"/>
      <c r="B43" s="891" t="s">
        <v>16</v>
      </c>
      <c r="C43" s="894" t="s">
        <v>17</v>
      </c>
      <c r="D43" s="894"/>
      <c r="E43" s="894"/>
      <c r="F43" s="894"/>
      <c r="G43" s="894"/>
      <c r="H43" s="894"/>
      <c r="I43" s="894"/>
      <c r="J43" s="894"/>
      <c r="K43" s="894"/>
      <c r="L43" s="894"/>
      <c r="M43" s="894"/>
      <c r="N43" s="894"/>
      <c r="O43" s="894"/>
      <c r="P43" s="894"/>
      <c r="Q43" s="61"/>
    </row>
    <row r="44" spans="1:17" s="44" customFormat="1">
      <c r="A44" s="195"/>
      <c r="B44" s="892"/>
      <c r="C44" s="895"/>
      <c r="D44" s="895"/>
      <c r="E44" s="895"/>
      <c r="F44" s="895"/>
      <c r="G44" s="895"/>
      <c r="H44" s="895"/>
      <c r="I44" s="895"/>
      <c r="J44" s="895"/>
      <c r="K44" s="895"/>
      <c r="L44" s="895"/>
      <c r="M44" s="895"/>
      <c r="N44" s="895"/>
      <c r="O44" s="895"/>
      <c r="P44" s="895"/>
      <c r="Q44" s="61"/>
    </row>
    <row r="45" spans="1:17" s="44" customFormat="1" ht="15.75" thickBot="1">
      <c r="A45" s="195"/>
      <c r="B45" s="892"/>
      <c r="C45" s="895"/>
      <c r="D45" s="895"/>
      <c r="E45" s="895"/>
      <c r="F45" s="895"/>
      <c r="G45" s="895"/>
      <c r="H45" s="895"/>
      <c r="I45" s="895"/>
      <c r="J45" s="895"/>
      <c r="K45" s="895"/>
      <c r="L45" s="895"/>
      <c r="M45" s="895"/>
      <c r="N45" s="895"/>
      <c r="O45" s="895"/>
      <c r="P45" s="895"/>
      <c r="Q45" s="61"/>
    </row>
    <row r="46" spans="1:17" s="44" customFormat="1">
      <c r="A46" s="195"/>
      <c r="B46" s="891" t="s">
        <v>18</v>
      </c>
      <c r="C46" s="894" t="s">
        <v>2186</v>
      </c>
      <c r="D46" s="894"/>
      <c r="E46" s="894"/>
      <c r="F46" s="894"/>
      <c r="G46" s="894"/>
      <c r="H46" s="894"/>
      <c r="I46" s="894"/>
      <c r="J46" s="894"/>
      <c r="K46" s="894"/>
      <c r="L46" s="894"/>
      <c r="M46" s="894"/>
      <c r="N46" s="894"/>
      <c r="O46" s="894"/>
      <c r="P46" s="894"/>
      <c r="Q46" s="61"/>
    </row>
    <row r="47" spans="1:17" s="44" customFormat="1" ht="21" customHeight="1">
      <c r="A47" s="195"/>
      <c r="B47" s="892"/>
      <c r="C47" s="895"/>
      <c r="D47" s="895"/>
      <c r="E47" s="895"/>
      <c r="F47" s="895"/>
      <c r="G47" s="895"/>
      <c r="H47" s="895"/>
      <c r="I47" s="895"/>
      <c r="J47" s="895"/>
      <c r="K47" s="895"/>
      <c r="L47" s="895"/>
      <c r="M47" s="895"/>
      <c r="N47" s="895"/>
      <c r="O47" s="895"/>
      <c r="P47" s="895"/>
      <c r="Q47" s="61"/>
    </row>
    <row r="48" spans="1:17" s="44" customFormat="1" ht="26.1" customHeight="1" thickBot="1">
      <c r="A48" s="195"/>
      <c r="B48" s="892"/>
      <c r="C48" s="895"/>
      <c r="D48" s="895"/>
      <c r="E48" s="895"/>
      <c r="F48" s="895"/>
      <c r="G48" s="895"/>
      <c r="H48" s="895"/>
      <c r="I48" s="895"/>
      <c r="J48" s="895"/>
      <c r="K48" s="895"/>
      <c r="L48" s="895"/>
      <c r="M48" s="895"/>
      <c r="N48" s="895"/>
      <c r="O48" s="895"/>
      <c r="P48" s="895"/>
      <c r="Q48" s="61"/>
    </row>
    <row r="49" spans="1:19" customFormat="1" ht="17.100000000000001" customHeight="1">
      <c r="A49" s="195"/>
      <c r="B49" s="891" t="s">
        <v>19</v>
      </c>
      <c r="C49" s="894" t="s">
        <v>20</v>
      </c>
      <c r="D49" s="894"/>
      <c r="E49" s="894"/>
      <c r="F49" s="894"/>
      <c r="G49" s="894"/>
      <c r="H49" s="894"/>
      <c r="I49" s="894"/>
      <c r="J49" s="894"/>
      <c r="K49" s="894"/>
      <c r="L49" s="894"/>
      <c r="M49" s="894"/>
      <c r="N49" s="894"/>
      <c r="O49" s="894"/>
      <c r="P49" s="894"/>
      <c r="Q49" s="61"/>
      <c r="R49" s="44"/>
      <c r="S49" s="44"/>
    </row>
    <row r="50" spans="1:19" customFormat="1" ht="17.100000000000001" customHeight="1" thickBot="1">
      <c r="A50" s="195"/>
      <c r="B50" s="893"/>
      <c r="C50" s="902"/>
      <c r="D50" s="902"/>
      <c r="E50" s="902"/>
      <c r="F50" s="902"/>
      <c r="G50" s="902"/>
      <c r="H50" s="902"/>
      <c r="I50" s="902"/>
      <c r="J50" s="902"/>
      <c r="K50" s="902"/>
      <c r="L50" s="902"/>
      <c r="M50" s="902"/>
      <c r="N50" s="902"/>
      <c r="O50" s="902"/>
      <c r="P50" s="902"/>
      <c r="Q50" s="61"/>
      <c r="R50" s="44"/>
      <c r="S50" s="44"/>
    </row>
    <row r="51" spans="1:19" customFormat="1" ht="17.100000000000001" customHeight="1">
      <c r="A51" s="195"/>
      <c r="B51" s="891" t="s">
        <v>2594</v>
      </c>
      <c r="C51" s="895" t="s">
        <v>2595</v>
      </c>
      <c r="D51" s="895"/>
      <c r="E51" s="895"/>
      <c r="F51" s="895"/>
      <c r="G51" s="895"/>
      <c r="H51" s="895"/>
      <c r="I51" s="895"/>
      <c r="J51" s="895"/>
      <c r="K51" s="895"/>
      <c r="L51" s="895"/>
      <c r="M51" s="895"/>
      <c r="N51" s="895"/>
      <c r="O51" s="895"/>
      <c r="P51" s="895"/>
      <c r="Q51" s="61"/>
      <c r="R51" s="44"/>
      <c r="S51" s="44"/>
    </row>
    <row r="52" spans="1:19" customFormat="1" ht="17.100000000000001" customHeight="1">
      <c r="A52" s="195"/>
      <c r="B52" s="892"/>
      <c r="C52" s="895"/>
      <c r="D52" s="895"/>
      <c r="E52" s="895"/>
      <c r="F52" s="895"/>
      <c r="G52" s="895"/>
      <c r="H52" s="895"/>
      <c r="I52" s="895"/>
      <c r="J52" s="895"/>
      <c r="K52" s="895"/>
      <c r="L52" s="895"/>
      <c r="M52" s="895"/>
      <c r="N52" s="895"/>
      <c r="O52" s="895"/>
      <c r="P52" s="895"/>
      <c r="Q52" s="61"/>
      <c r="R52" s="44"/>
      <c r="S52" s="44"/>
    </row>
    <row r="53" spans="1:19" customFormat="1" ht="17.100000000000001" customHeight="1">
      <c r="A53" s="195"/>
      <c r="B53" s="908" t="s">
        <v>2570</v>
      </c>
      <c r="C53" s="909" t="s">
        <v>2596</v>
      </c>
      <c r="D53" s="909"/>
      <c r="E53" s="909"/>
      <c r="F53" s="909"/>
      <c r="G53" s="909"/>
      <c r="H53" s="909"/>
      <c r="I53" s="909"/>
      <c r="J53" s="909"/>
      <c r="K53" s="909"/>
      <c r="L53" s="909"/>
      <c r="M53" s="909"/>
      <c r="N53" s="909"/>
      <c r="O53" s="909"/>
      <c r="P53" s="909"/>
      <c r="Q53" s="61"/>
      <c r="R53" s="44"/>
      <c r="S53" s="44"/>
    </row>
    <row r="54" spans="1:19" customFormat="1" ht="17.100000000000001" customHeight="1">
      <c r="A54" s="195"/>
      <c r="B54" s="908"/>
      <c r="C54" s="909"/>
      <c r="D54" s="909"/>
      <c r="E54" s="909"/>
      <c r="F54" s="909"/>
      <c r="G54" s="909"/>
      <c r="H54" s="909"/>
      <c r="I54" s="909"/>
      <c r="J54" s="909"/>
      <c r="K54" s="909"/>
      <c r="L54" s="909"/>
      <c r="M54" s="909"/>
      <c r="N54" s="909"/>
      <c r="O54" s="909"/>
      <c r="P54" s="909"/>
      <c r="Q54" s="61"/>
      <c r="R54" s="44"/>
      <c r="S54" s="44"/>
    </row>
    <row r="55" spans="1:19" customFormat="1" ht="17.100000000000001" customHeight="1">
      <c r="A55" s="195"/>
      <c r="B55" s="906" t="s">
        <v>5</v>
      </c>
      <c r="C55" s="895" t="s">
        <v>21</v>
      </c>
      <c r="D55" s="895"/>
      <c r="E55" s="895"/>
      <c r="F55" s="895"/>
      <c r="G55" s="895"/>
      <c r="H55" s="895"/>
      <c r="I55" s="895"/>
      <c r="J55" s="895"/>
      <c r="K55" s="895"/>
      <c r="L55" s="895"/>
      <c r="M55" s="895"/>
      <c r="N55" s="895"/>
      <c r="O55" s="895"/>
      <c r="P55" s="895"/>
      <c r="Q55" s="61"/>
      <c r="R55" s="44"/>
      <c r="S55" s="44"/>
    </row>
    <row r="56" spans="1:19" customFormat="1" ht="17.100000000000001" customHeight="1" thickBot="1">
      <c r="A56" s="195"/>
      <c r="B56" s="907"/>
      <c r="C56" s="902"/>
      <c r="D56" s="902"/>
      <c r="E56" s="902"/>
      <c r="F56" s="902"/>
      <c r="G56" s="902"/>
      <c r="H56" s="902"/>
      <c r="I56" s="902"/>
      <c r="J56" s="902"/>
      <c r="K56" s="902"/>
      <c r="L56" s="902"/>
      <c r="M56" s="902"/>
      <c r="N56" s="902"/>
      <c r="O56" s="902"/>
      <c r="P56" s="902"/>
      <c r="Q56" s="61"/>
      <c r="R56" s="44"/>
      <c r="S56" s="44"/>
    </row>
    <row r="57" spans="1:19" ht="15.75" thickBot="1">
      <c r="B57" s="197"/>
      <c r="C57" s="197"/>
      <c r="D57" s="197"/>
      <c r="E57" s="197"/>
      <c r="F57" s="197"/>
      <c r="G57" s="197"/>
      <c r="H57" s="197"/>
      <c r="I57" s="197"/>
      <c r="J57" s="197"/>
      <c r="K57" s="197"/>
      <c r="L57" s="197"/>
      <c r="M57" s="197"/>
      <c r="N57" s="197"/>
      <c r="O57" s="197"/>
      <c r="P57" s="197"/>
    </row>
    <row r="58" spans="1:19" ht="15.75" thickBot="1">
      <c r="B58" s="905" t="s">
        <v>2181</v>
      </c>
      <c r="C58" s="905"/>
      <c r="D58" s="905"/>
      <c r="E58" s="905"/>
      <c r="F58" s="905"/>
      <c r="G58" s="905"/>
      <c r="H58" s="905"/>
      <c r="I58" s="905"/>
      <c r="J58" s="905"/>
      <c r="K58" s="905"/>
      <c r="L58" s="905"/>
      <c r="M58" s="905"/>
      <c r="N58" s="905"/>
      <c r="O58" s="905"/>
      <c r="P58" s="905"/>
      <c r="R58"/>
      <c r="S58"/>
    </row>
    <row r="59" spans="1:19">
      <c r="B59" s="903" t="s">
        <v>2593</v>
      </c>
      <c r="C59" s="903"/>
      <c r="D59" s="903"/>
      <c r="E59" s="903"/>
      <c r="F59" s="903"/>
      <c r="G59" s="903"/>
      <c r="H59" s="903"/>
      <c r="I59" s="903"/>
      <c r="J59" s="903"/>
      <c r="K59" s="903"/>
      <c r="L59" s="903"/>
      <c r="M59" s="903"/>
      <c r="N59" s="903"/>
      <c r="O59" s="903"/>
      <c r="P59" s="903"/>
      <c r="R59"/>
      <c r="S59"/>
    </row>
    <row r="60" spans="1:19">
      <c r="B60" s="904"/>
      <c r="C60" s="904"/>
      <c r="D60" s="904"/>
      <c r="E60" s="904"/>
      <c r="F60" s="904"/>
      <c r="G60" s="904"/>
      <c r="H60" s="904"/>
      <c r="I60" s="904"/>
      <c r="J60" s="904"/>
      <c r="K60" s="904"/>
      <c r="L60" s="904"/>
      <c r="M60" s="904"/>
      <c r="N60" s="904"/>
      <c r="O60" s="904"/>
      <c r="P60" s="904"/>
      <c r="R60"/>
      <c r="S60"/>
    </row>
    <row r="61" spans="1:19" hidden="1">
      <c r="B61" s="904"/>
      <c r="C61" s="904"/>
      <c r="D61" s="904"/>
      <c r="E61" s="904"/>
      <c r="F61" s="904"/>
      <c r="G61" s="904"/>
      <c r="H61" s="904"/>
      <c r="I61" s="904"/>
      <c r="J61" s="904"/>
      <c r="K61" s="904"/>
      <c r="L61" s="904"/>
      <c r="M61" s="904"/>
      <c r="N61" s="904"/>
      <c r="O61" s="904"/>
      <c r="P61" s="904"/>
      <c r="R61"/>
      <c r="S61"/>
    </row>
    <row r="62" spans="1:19">
      <c r="B62" s="904"/>
      <c r="C62" s="904"/>
      <c r="D62" s="904"/>
      <c r="E62" s="904"/>
      <c r="F62" s="904"/>
      <c r="G62" s="904"/>
      <c r="H62" s="904"/>
      <c r="I62" s="904"/>
      <c r="J62" s="904"/>
      <c r="K62" s="904"/>
      <c r="L62" s="904"/>
      <c r="M62" s="904"/>
      <c r="N62" s="904"/>
      <c r="O62" s="904"/>
      <c r="P62" s="904"/>
      <c r="R62"/>
      <c r="S62"/>
    </row>
    <row r="63" spans="1:19" hidden="1">
      <c r="B63" s="904"/>
      <c r="C63" s="904"/>
      <c r="D63" s="904"/>
      <c r="E63" s="904"/>
      <c r="F63" s="904"/>
      <c r="G63" s="904"/>
      <c r="H63" s="904"/>
      <c r="I63" s="904"/>
      <c r="J63" s="904"/>
      <c r="K63" s="904"/>
      <c r="L63" s="904"/>
      <c r="M63" s="904"/>
      <c r="N63" s="904"/>
      <c r="O63" s="904"/>
      <c r="P63" s="904"/>
      <c r="R63"/>
      <c r="S63"/>
    </row>
    <row r="64" spans="1:19" hidden="1">
      <c r="A64"/>
      <c r="B64" s="904"/>
      <c r="C64" s="904"/>
      <c r="D64" s="904"/>
      <c r="E64" s="904"/>
      <c r="F64" s="904"/>
      <c r="G64" s="904"/>
      <c r="H64" s="904"/>
      <c r="I64" s="904"/>
      <c r="J64" s="904"/>
      <c r="K64" s="904"/>
      <c r="L64" s="904"/>
      <c r="M64" s="904"/>
      <c r="N64" s="904"/>
      <c r="O64" s="904"/>
      <c r="P64" s="904"/>
      <c r="R64"/>
      <c r="S64"/>
    </row>
    <row r="65" spans="2:16">
      <c r="B65" s="904"/>
      <c r="C65" s="904"/>
      <c r="D65" s="904"/>
      <c r="E65" s="904"/>
      <c r="F65" s="904"/>
      <c r="G65" s="904"/>
      <c r="H65" s="904"/>
      <c r="I65" s="904"/>
      <c r="J65" s="904"/>
      <c r="K65" s="904"/>
      <c r="L65" s="904"/>
      <c r="M65" s="904"/>
      <c r="N65" s="904"/>
      <c r="O65" s="904"/>
      <c r="P65" s="904"/>
    </row>
    <row r="66" spans="2:16"/>
    <row r="67" spans="2:16"/>
    <row r="68" spans="2:16"/>
    <row r="69" spans="2:16"/>
    <row r="70" spans="2:16"/>
    <row r="71" spans="2:16"/>
    <row r="72" spans="2:16"/>
    <row r="73" spans="2:16"/>
    <row r="74" spans="2:16"/>
    <row r="75" spans="2:16"/>
    <row r="76" spans="2:16"/>
    <row r="77" spans="2:16"/>
    <row r="78" spans="2:16"/>
    <row r="79" spans="2:16"/>
    <row r="80" spans="2:16"/>
    <row r="81"/>
    <row r="82"/>
    <row r="83"/>
    <row r="84"/>
    <row r="85"/>
    <row r="86"/>
    <row r="87"/>
    <row r="88"/>
    <row r="89"/>
    <row r="90"/>
    <row r="91"/>
    <row r="92"/>
    <row r="93"/>
    <row r="94"/>
  </sheetData>
  <sheetProtection selectLockedCells="1"/>
  <mergeCells count="38">
    <mergeCell ref="B8:P8"/>
    <mergeCell ref="B9:P11"/>
    <mergeCell ref="B13:P16"/>
    <mergeCell ref="B18:P20"/>
    <mergeCell ref="B2:J2"/>
    <mergeCell ref="B3:J3"/>
    <mergeCell ref="B4:J4"/>
    <mergeCell ref="B5:J5"/>
    <mergeCell ref="B6:J6"/>
    <mergeCell ref="B59:P65"/>
    <mergeCell ref="B58:P58"/>
    <mergeCell ref="B49:B50"/>
    <mergeCell ref="C49:P50"/>
    <mergeCell ref="B55:B56"/>
    <mergeCell ref="C55:P56"/>
    <mergeCell ref="B51:B52"/>
    <mergeCell ref="C51:P52"/>
    <mergeCell ref="B53:B54"/>
    <mergeCell ref="C53:P54"/>
    <mergeCell ref="B40:B42"/>
    <mergeCell ref="C40:P42"/>
    <mergeCell ref="B43:B45"/>
    <mergeCell ref="C43:P45"/>
    <mergeCell ref="B46:B48"/>
    <mergeCell ref="C46:P48"/>
    <mergeCell ref="B30:B32"/>
    <mergeCell ref="C30:P32"/>
    <mergeCell ref="B33:B36"/>
    <mergeCell ref="C33:P36"/>
    <mergeCell ref="B37:B39"/>
    <mergeCell ref="C37:P39"/>
    <mergeCell ref="B26:P26"/>
    <mergeCell ref="B27:B29"/>
    <mergeCell ref="C27:P29"/>
    <mergeCell ref="D21:P22"/>
    <mergeCell ref="D23:P24"/>
    <mergeCell ref="B21:C22"/>
    <mergeCell ref="B23:C24"/>
  </mergeCells>
  <hyperlinks>
    <hyperlink ref="B27:B29" location="'Contact Information'!A1" display="Contact Info" xr:uid="{00000000-0004-0000-0200-000000000000}"/>
    <hyperlink ref="B30:B32" location="'Square Footage'!A1" display="Square Footage" xr:uid="{00000000-0004-0000-0200-000001000000}"/>
    <hyperlink ref="B33:B36" location="'Electricity Consumption'!A1" display="Electricity Consumption" xr:uid="{00000000-0004-0000-0200-000002000000}"/>
    <hyperlink ref="B40:B42" location="'Vehicle&amp;Other Fuel Consumption'!A1" display="Vehicle &amp; Other Fuel Consumption" xr:uid="{00000000-0004-0000-0200-000004000000}"/>
    <hyperlink ref="B43:B45" location="'Installed Clean Power'!A1" display="Installed Clean Power" xr:uid="{00000000-0004-0000-0200-000006000000}"/>
    <hyperlink ref="B49:B50" location="'EV Charging Stations'!A1" display="EV Charging Stations" xr:uid="{00000000-0004-0000-0200-000007000000}"/>
    <hyperlink ref="B46:B48" location="'Vehicle Fleet'!A1" display="Vehicle Fleet" xr:uid="{00000000-0004-0000-0200-00000C000000}"/>
    <hyperlink ref="B37:B39" location="'Building Fuel Consumption'!A1" display="Building Fuel Consumption" xr:uid="{00000000-0004-0000-0200-000003000000}"/>
    <hyperlink ref="B55" location="Recycling!A1" display="Recycling" xr:uid="{00000000-0004-0000-0200-000008000000}"/>
    <hyperlink ref="B55:B56" location="Sustainability!A1" display="Sustainability" xr:uid="{F18C06E5-DCF5-5F45-B4BF-B23070F3FC6A}"/>
    <hyperlink ref="B53:B54" location="'Embodied Carbon'!A1" display="Embodied Carbon" xr:uid="{7C098A71-F995-4EE4-8D9D-0802BD298139}"/>
    <hyperlink ref="B51:B52" location="'EE-Decarb Projects'!A1" display="EE-Decarb Projects" xr:uid="{A47425D3-A4CF-44C9-9980-CCFFE8B7189B}"/>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filterMode="1"/>
  <dimension ref="A1:AA193"/>
  <sheetViews>
    <sheetView zoomScale="90" zoomScaleNormal="90" workbookViewId="0">
      <selection activeCell="AA70" sqref="AA70"/>
    </sheetView>
  </sheetViews>
  <sheetFormatPr defaultColWidth="8.85546875" defaultRowHeight="15"/>
  <cols>
    <col min="1" max="1" width="42.42578125" customWidth="1"/>
    <col min="2" max="2" width="18.28515625" bestFit="1" customWidth="1"/>
    <col min="3" max="3" width="27.42578125" customWidth="1"/>
    <col min="4" max="4" width="18.28515625" hidden="1" customWidth="1"/>
    <col min="5" max="5" width="61.28515625" bestFit="1" customWidth="1"/>
    <col min="6" max="6" width="11.42578125" style="13" customWidth="1"/>
    <col min="7" max="7" width="16.28515625" hidden="1" customWidth="1"/>
    <col min="8" max="8" width="12.42578125" hidden="1" customWidth="1"/>
    <col min="9" max="9" width="5.42578125" hidden="1" customWidth="1"/>
    <col min="10" max="10" width="6" hidden="1" customWidth="1"/>
    <col min="11" max="11" width="10.7109375" hidden="1" customWidth="1"/>
    <col min="12" max="12" width="10.7109375" style="14" hidden="1" customWidth="1"/>
    <col min="13" max="13" width="13" style="13" hidden="1" customWidth="1"/>
    <col min="14" max="14" width="11" hidden="1" customWidth="1"/>
    <col min="15" max="15" width="20.42578125" hidden="1" customWidth="1"/>
    <col min="16" max="17" width="9.140625" hidden="1" customWidth="1"/>
    <col min="18" max="18" width="10.42578125" hidden="1" customWidth="1"/>
    <col min="19" max="19" width="13.85546875" hidden="1" customWidth="1"/>
    <col min="20" max="20" width="16.7109375" hidden="1" customWidth="1"/>
    <col min="21" max="21" width="9.140625" style="169" hidden="1" customWidth="1"/>
    <col min="22" max="22" width="11.42578125" hidden="1" customWidth="1"/>
    <col min="23" max="23" width="19.28515625" hidden="1" customWidth="1"/>
    <col min="24" max="24" width="12.28515625" hidden="1" customWidth="1"/>
    <col min="25" max="25" width="49.140625" bestFit="1" customWidth="1"/>
  </cols>
  <sheetData>
    <row r="1" spans="1:27" ht="60">
      <c r="A1" s="253" t="str">
        <f t="shared" ref="A1" si="0">Y1&amp;Z1</f>
        <v>Agency#</v>
      </c>
      <c r="B1" s="253" t="s">
        <v>286</v>
      </c>
      <c r="C1" s="253" t="s">
        <v>410</v>
      </c>
      <c r="D1" s="10" t="s">
        <v>411</v>
      </c>
      <c r="E1" s="10" t="s">
        <v>412</v>
      </c>
      <c r="F1" s="11" t="s">
        <v>413</v>
      </c>
      <c r="G1" s="10" t="s">
        <v>414</v>
      </c>
      <c r="H1" s="10" t="s">
        <v>415</v>
      </c>
      <c r="I1" s="10" t="s">
        <v>416</v>
      </c>
      <c r="J1" s="10" t="s">
        <v>417</v>
      </c>
      <c r="K1" s="10" t="s">
        <v>418</v>
      </c>
      <c r="L1" s="12" t="s">
        <v>419</v>
      </c>
      <c r="M1" s="11" t="s">
        <v>413</v>
      </c>
      <c r="N1" s="253" t="s">
        <v>420</v>
      </c>
      <c r="O1" s="253" t="s">
        <v>421</v>
      </c>
      <c r="P1" s="253" t="s">
        <v>422</v>
      </c>
      <c r="Q1" s="254" t="s">
        <v>423</v>
      </c>
      <c r="R1" s="254" t="s">
        <v>424</v>
      </c>
      <c r="S1" s="254" t="s">
        <v>425</v>
      </c>
      <c r="T1" s="253" t="s">
        <v>426</v>
      </c>
      <c r="U1" s="168" t="s">
        <v>427</v>
      </c>
      <c r="V1" s="253" t="s">
        <v>428</v>
      </c>
      <c r="W1" s="253" t="s">
        <v>429</v>
      </c>
      <c r="X1" s="253" t="s">
        <v>430</v>
      </c>
      <c r="Y1" s="253" t="s">
        <v>399</v>
      </c>
      <c r="Z1" s="253" t="s">
        <v>400</v>
      </c>
    </row>
    <row r="2" spans="1:27" hidden="1">
      <c r="A2" s="17" t="str">
        <f t="shared" ref="A2:A35" si="1">Y2&amp;Z2</f>
        <v>Berkshire Comm. College1</v>
      </c>
      <c r="B2" s="255" t="s">
        <v>431</v>
      </c>
      <c r="C2" s="17" t="s">
        <v>260</v>
      </c>
      <c r="D2" s="20" t="s">
        <v>433</v>
      </c>
      <c r="E2" s="21" t="s">
        <v>434</v>
      </c>
      <c r="F2" s="565">
        <v>110.88</v>
      </c>
      <c r="G2" s="22" t="s">
        <v>435</v>
      </c>
      <c r="H2" s="22" t="s">
        <v>436</v>
      </c>
      <c r="I2" s="23" t="s">
        <v>437</v>
      </c>
      <c r="J2" s="24">
        <v>1201</v>
      </c>
      <c r="K2" s="25">
        <v>40751</v>
      </c>
      <c r="L2" s="27">
        <v>2011</v>
      </c>
      <c r="M2" s="566">
        <v>110.88</v>
      </c>
      <c r="N2" s="26" t="s">
        <v>438</v>
      </c>
      <c r="O2" s="17" t="s">
        <v>1076</v>
      </c>
      <c r="P2" s="17" t="s">
        <v>710</v>
      </c>
      <c r="Q2" s="17"/>
      <c r="R2" s="17"/>
      <c r="S2" s="17"/>
      <c r="T2" s="17" t="s">
        <v>439</v>
      </c>
      <c r="U2" s="573">
        <v>0.13350000000000001</v>
      </c>
      <c r="V2" s="570">
        <v>129669.7248</v>
      </c>
      <c r="W2" s="17"/>
      <c r="X2" s="17"/>
      <c r="Y2" s="21" t="s">
        <v>51</v>
      </c>
      <c r="Z2" s="17">
        <v>1</v>
      </c>
      <c r="AA2" t="str">
        <f>VLOOKUP(Y2,Source!F:F,1,FALSE)</f>
        <v>Berkshire Comm. College</v>
      </c>
    </row>
    <row r="3" spans="1:27" hidden="1">
      <c r="A3" s="17" t="str">
        <f t="shared" si="1"/>
        <v>Berkshire Comm. College2</v>
      </c>
      <c r="B3" s="255" t="s">
        <v>431</v>
      </c>
      <c r="C3" s="17" t="s">
        <v>260</v>
      </c>
      <c r="D3" s="20" t="s">
        <v>440</v>
      </c>
      <c r="E3" s="21" t="s">
        <v>441</v>
      </c>
      <c r="F3" s="565">
        <v>73.92</v>
      </c>
      <c r="G3" s="22" t="s">
        <v>435</v>
      </c>
      <c r="H3" s="22" t="s">
        <v>436</v>
      </c>
      <c r="I3" s="23" t="s">
        <v>437</v>
      </c>
      <c r="J3" s="24">
        <v>1201</v>
      </c>
      <c r="K3" s="25">
        <v>40751</v>
      </c>
      <c r="L3" s="27">
        <v>2011</v>
      </c>
      <c r="M3" s="566">
        <v>73.92</v>
      </c>
      <c r="N3" s="26" t="s">
        <v>438</v>
      </c>
      <c r="O3" s="17" t="s">
        <v>1076</v>
      </c>
      <c r="P3" s="17" t="s">
        <v>710</v>
      </c>
      <c r="Q3" s="17"/>
      <c r="R3" s="17"/>
      <c r="S3" s="17"/>
      <c r="T3" s="17" t="s">
        <v>439</v>
      </c>
      <c r="U3" s="573">
        <v>0.13350000000000001</v>
      </c>
      <c r="V3" s="570">
        <v>86446.483200000017</v>
      </c>
      <c r="W3" s="17"/>
      <c r="X3" s="17"/>
      <c r="Y3" s="21" t="s">
        <v>51</v>
      </c>
      <c r="Z3" s="17">
        <v>2</v>
      </c>
      <c r="AA3" t="str">
        <f>VLOOKUP(Y3,Source!F:F,1,FALSE)</f>
        <v>Berkshire Comm. College</v>
      </c>
    </row>
    <row r="4" spans="1:27" hidden="1">
      <c r="A4" s="17" t="str">
        <f t="shared" si="1"/>
        <v>Berkshire Comm. College3</v>
      </c>
      <c r="B4" s="255" t="s">
        <v>431</v>
      </c>
      <c r="C4" s="17" t="s">
        <v>260</v>
      </c>
      <c r="D4" s="20" t="s">
        <v>442</v>
      </c>
      <c r="E4" s="21" t="s">
        <v>443</v>
      </c>
      <c r="F4" s="565">
        <v>69.3</v>
      </c>
      <c r="G4" s="22" t="s">
        <v>435</v>
      </c>
      <c r="H4" s="22" t="s">
        <v>436</v>
      </c>
      <c r="I4" s="23" t="s">
        <v>437</v>
      </c>
      <c r="J4" s="24">
        <v>1201</v>
      </c>
      <c r="K4" s="25">
        <v>40751</v>
      </c>
      <c r="L4" s="27">
        <v>2011</v>
      </c>
      <c r="M4" s="566">
        <v>69.3</v>
      </c>
      <c r="N4" s="26" t="s">
        <v>438</v>
      </c>
      <c r="O4" s="17" t="s">
        <v>1076</v>
      </c>
      <c r="P4" s="17" t="s">
        <v>710</v>
      </c>
      <c r="Q4" s="17"/>
      <c r="R4" s="17"/>
      <c r="S4" s="17"/>
      <c r="T4" s="17" t="s">
        <v>439</v>
      </c>
      <c r="U4" s="573">
        <v>0.13350000000000001</v>
      </c>
      <c r="V4" s="570">
        <v>81043.578000000009</v>
      </c>
      <c r="W4" s="17"/>
      <c r="X4" s="17"/>
      <c r="Y4" s="21" t="s">
        <v>51</v>
      </c>
      <c r="Z4" s="17">
        <v>3</v>
      </c>
      <c r="AA4" t="str">
        <f>VLOOKUP(Y4,Source!F:F,1,FALSE)</f>
        <v>Berkshire Comm. College</v>
      </c>
    </row>
    <row r="5" spans="1:27" hidden="1">
      <c r="A5" s="17" t="str">
        <f t="shared" si="1"/>
        <v>Berkshire Comm. College4</v>
      </c>
      <c r="B5" s="255" t="s">
        <v>431</v>
      </c>
      <c r="C5" s="17" t="s">
        <v>260</v>
      </c>
      <c r="D5" s="20" t="s">
        <v>444</v>
      </c>
      <c r="E5" s="21" t="s">
        <v>445</v>
      </c>
      <c r="F5" s="565">
        <v>17.64</v>
      </c>
      <c r="G5" s="22" t="s">
        <v>435</v>
      </c>
      <c r="H5" s="22" t="s">
        <v>436</v>
      </c>
      <c r="I5" s="23" t="s">
        <v>437</v>
      </c>
      <c r="J5" s="24">
        <v>1201</v>
      </c>
      <c r="K5" s="25">
        <v>40751</v>
      </c>
      <c r="L5" s="27">
        <v>2011</v>
      </c>
      <c r="M5" s="566">
        <v>17.64</v>
      </c>
      <c r="N5" s="26" t="s">
        <v>438</v>
      </c>
      <c r="O5" s="17" t="s">
        <v>1076</v>
      </c>
      <c r="P5" s="17" t="s">
        <v>710</v>
      </c>
      <c r="Q5" s="17"/>
      <c r="R5" s="17"/>
      <c r="S5" s="17"/>
      <c r="T5" s="17" t="s">
        <v>439</v>
      </c>
      <c r="U5" s="573">
        <v>0.13350000000000001</v>
      </c>
      <c r="V5" s="570">
        <v>20629.274400000002</v>
      </c>
      <c r="W5" s="17"/>
      <c r="X5" s="17"/>
      <c r="Y5" s="21" t="s">
        <v>51</v>
      </c>
      <c r="Z5" s="17">
        <v>4</v>
      </c>
      <c r="AA5" t="str">
        <f>VLOOKUP(Y5,Source!F:F,1,FALSE)</f>
        <v>Berkshire Comm. College</v>
      </c>
    </row>
    <row r="6" spans="1:27" hidden="1">
      <c r="A6" s="17" t="str">
        <f t="shared" si="1"/>
        <v>Berkshire Comm. College5</v>
      </c>
      <c r="B6" s="255" t="s">
        <v>431</v>
      </c>
      <c r="C6" s="17" t="s">
        <v>260</v>
      </c>
      <c r="D6" s="20" t="s">
        <v>446</v>
      </c>
      <c r="E6" s="21" t="s">
        <v>447</v>
      </c>
      <c r="F6" s="565">
        <v>92.4</v>
      </c>
      <c r="G6" s="22" t="s">
        <v>435</v>
      </c>
      <c r="H6" s="22" t="s">
        <v>436</v>
      </c>
      <c r="I6" s="23" t="s">
        <v>437</v>
      </c>
      <c r="J6" s="24">
        <v>1201</v>
      </c>
      <c r="K6" s="25">
        <v>40751</v>
      </c>
      <c r="L6" s="27">
        <v>2011</v>
      </c>
      <c r="M6" s="566">
        <v>92.4</v>
      </c>
      <c r="N6" s="26" t="s">
        <v>438</v>
      </c>
      <c r="O6" s="17" t="s">
        <v>1076</v>
      </c>
      <c r="P6" s="17" t="s">
        <v>710</v>
      </c>
      <c r="Q6" s="17"/>
      <c r="R6" s="17"/>
      <c r="S6" s="17"/>
      <c r="T6" s="17" t="s">
        <v>439</v>
      </c>
      <c r="U6" s="573">
        <v>0.13350000000000001</v>
      </c>
      <c r="V6" s="570">
        <v>108058.10400000001</v>
      </c>
      <c r="W6" s="17"/>
      <c r="X6" s="17"/>
      <c r="Y6" s="21" t="s">
        <v>51</v>
      </c>
      <c r="Z6" s="17">
        <v>5</v>
      </c>
      <c r="AA6" t="str">
        <f>VLOOKUP(Y6,Source!F:F,1,FALSE)</f>
        <v>Berkshire Comm. College</v>
      </c>
    </row>
    <row r="7" spans="1:27" s="275" customFormat="1" hidden="1">
      <c r="A7" s="17" t="str">
        <f t="shared" si="1"/>
        <v>Berkshire Sheriff1</v>
      </c>
      <c r="B7" s="255" t="s">
        <v>431</v>
      </c>
      <c r="C7" s="17" t="s">
        <v>260</v>
      </c>
      <c r="D7" s="20" t="s">
        <v>1619</v>
      </c>
      <c r="E7" s="21" t="s">
        <v>1492</v>
      </c>
      <c r="F7" s="565">
        <v>303</v>
      </c>
      <c r="G7" s="22" t="s">
        <v>1566</v>
      </c>
      <c r="H7" s="22" t="s">
        <v>436</v>
      </c>
      <c r="I7" s="23" t="s">
        <v>437</v>
      </c>
      <c r="J7" s="24">
        <v>1201</v>
      </c>
      <c r="K7" s="25">
        <v>42325</v>
      </c>
      <c r="L7" s="27">
        <v>2016</v>
      </c>
      <c r="M7" s="566">
        <v>303</v>
      </c>
      <c r="N7" s="26" t="s">
        <v>492</v>
      </c>
      <c r="O7" s="17" t="s">
        <v>1076</v>
      </c>
      <c r="P7" s="17" t="s">
        <v>1635</v>
      </c>
      <c r="Q7" s="269"/>
      <c r="R7" s="269"/>
      <c r="S7" s="269"/>
      <c r="T7" s="17" t="s">
        <v>439</v>
      </c>
      <c r="U7" s="573">
        <v>0.13350000000000001</v>
      </c>
      <c r="V7" s="570">
        <v>354346.38</v>
      </c>
      <c r="W7" s="269"/>
      <c r="X7" s="269"/>
      <c r="Y7" s="271" t="s">
        <v>1636</v>
      </c>
      <c r="Z7" s="269">
        <v>1</v>
      </c>
      <c r="AA7" t="e">
        <f>VLOOKUP(Y7,Source!F:F,1,FALSE)</f>
        <v>#N/A</v>
      </c>
    </row>
    <row r="8" spans="1:27" s="275" customFormat="1" hidden="1">
      <c r="A8" s="17" t="str">
        <f t="shared" si="1"/>
        <v>Bridgewater State University1</v>
      </c>
      <c r="B8" s="255" t="s">
        <v>452</v>
      </c>
      <c r="C8" s="26" t="s">
        <v>453</v>
      </c>
      <c r="D8" s="20"/>
      <c r="E8" s="26" t="s">
        <v>58</v>
      </c>
      <c r="F8" s="565">
        <v>1300</v>
      </c>
      <c r="G8" s="20" t="s">
        <v>449</v>
      </c>
      <c r="H8" s="26" t="s">
        <v>450</v>
      </c>
      <c r="I8" s="23" t="s">
        <v>437</v>
      </c>
      <c r="J8" s="24">
        <v>2325</v>
      </c>
      <c r="K8" s="25"/>
      <c r="L8" s="27">
        <v>2005</v>
      </c>
      <c r="M8" s="565">
        <v>1300</v>
      </c>
      <c r="N8" s="26" t="s">
        <v>438</v>
      </c>
      <c r="O8" s="672"/>
      <c r="P8" s="672"/>
      <c r="Q8" s="276"/>
      <c r="R8" s="269"/>
      <c r="S8" s="269"/>
      <c r="T8" s="17" t="s">
        <v>439</v>
      </c>
      <c r="U8" s="17"/>
      <c r="V8" s="17"/>
      <c r="W8" s="274"/>
      <c r="X8" s="269"/>
      <c r="Y8" s="271" t="s">
        <v>58</v>
      </c>
      <c r="Z8" s="269">
        <v>1</v>
      </c>
      <c r="AA8" t="str">
        <f>VLOOKUP(Y8,Source!F:F,1,FALSE)</f>
        <v>Bridgewater State University</v>
      </c>
    </row>
    <row r="9" spans="1:27" s="275" customFormat="1" hidden="1">
      <c r="A9" s="17" t="str">
        <f t="shared" si="1"/>
        <v>Bridgewater State University2</v>
      </c>
      <c r="B9" s="255" t="s">
        <v>431</v>
      </c>
      <c r="C9" s="17" t="s">
        <v>260</v>
      </c>
      <c r="D9" s="20" t="s">
        <v>448</v>
      </c>
      <c r="E9" s="21" t="s">
        <v>1493</v>
      </c>
      <c r="F9" s="565">
        <v>103.488</v>
      </c>
      <c r="G9" s="20" t="s">
        <v>449</v>
      </c>
      <c r="H9" s="22" t="s">
        <v>450</v>
      </c>
      <c r="I9" s="23" t="s">
        <v>437</v>
      </c>
      <c r="J9" s="24">
        <v>2325</v>
      </c>
      <c r="K9" s="25">
        <v>40682</v>
      </c>
      <c r="L9" s="27">
        <v>2011</v>
      </c>
      <c r="M9" s="566">
        <v>103.488</v>
      </c>
      <c r="N9" s="26" t="s">
        <v>438</v>
      </c>
      <c r="O9" s="17" t="s">
        <v>451</v>
      </c>
      <c r="P9" s="17" t="s">
        <v>710</v>
      </c>
      <c r="Q9" s="269"/>
      <c r="R9" s="269"/>
      <c r="S9" s="269"/>
      <c r="T9" s="17" t="s">
        <v>439</v>
      </c>
      <c r="U9" s="573">
        <v>0.13350000000000001</v>
      </c>
      <c r="V9" s="570">
        <v>121025.07648</v>
      </c>
      <c r="W9" s="270"/>
      <c r="X9" s="270"/>
      <c r="Y9" s="271" t="s">
        <v>58</v>
      </c>
      <c r="Z9" s="269">
        <v>2</v>
      </c>
      <c r="AA9" t="str">
        <f>VLOOKUP(Y9,Source!F:F,1,FALSE)</f>
        <v>Bridgewater State University</v>
      </c>
    </row>
    <row r="10" spans="1:27" s="275" customFormat="1" hidden="1">
      <c r="A10" s="17" t="str">
        <f t="shared" si="1"/>
        <v>Bristol Comm. College1</v>
      </c>
      <c r="B10" s="255" t="s">
        <v>431</v>
      </c>
      <c r="C10" s="26" t="s">
        <v>260</v>
      </c>
      <c r="D10" s="20" t="s">
        <v>454</v>
      </c>
      <c r="E10" s="21" t="s">
        <v>983</v>
      </c>
      <c r="F10" s="565">
        <v>86</v>
      </c>
      <c r="G10" s="17" t="s">
        <v>455</v>
      </c>
      <c r="H10" s="26" t="s">
        <v>456</v>
      </c>
      <c r="I10" s="23" t="s">
        <v>437</v>
      </c>
      <c r="J10" s="24">
        <v>2720</v>
      </c>
      <c r="K10" s="25">
        <v>40544</v>
      </c>
      <c r="L10" s="27">
        <v>2009</v>
      </c>
      <c r="M10" s="566">
        <v>86</v>
      </c>
      <c r="N10" s="26" t="s">
        <v>438</v>
      </c>
      <c r="O10" s="17" t="s">
        <v>1076</v>
      </c>
      <c r="P10" s="17" t="s">
        <v>710</v>
      </c>
      <c r="Q10" s="269"/>
      <c r="R10" s="269"/>
      <c r="S10" s="269"/>
      <c r="T10" s="17" t="s">
        <v>439</v>
      </c>
      <c r="U10" s="573">
        <v>0.13350000000000001</v>
      </c>
      <c r="V10" s="570">
        <v>100573.56000000001</v>
      </c>
      <c r="W10" s="269"/>
      <c r="X10" s="269"/>
      <c r="Y10" s="271" t="s">
        <v>27</v>
      </c>
      <c r="Z10" s="269">
        <v>1</v>
      </c>
      <c r="AA10" t="str">
        <f>VLOOKUP(Y10,Source!F:F,1,FALSE)</f>
        <v>Bristol Comm. College</v>
      </c>
    </row>
    <row r="11" spans="1:27" s="275" customFormat="1" hidden="1">
      <c r="A11" s="17" t="str">
        <f t="shared" si="1"/>
        <v>Bristol Comm. College2</v>
      </c>
      <c r="B11" s="255" t="s">
        <v>431</v>
      </c>
      <c r="C11" s="26" t="s">
        <v>260</v>
      </c>
      <c r="D11" s="20"/>
      <c r="E11" s="21" t="s">
        <v>983</v>
      </c>
      <c r="F11" s="565">
        <v>3187.14</v>
      </c>
      <c r="G11" s="17" t="s">
        <v>455</v>
      </c>
      <c r="H11" s="26" t="s">
        <v>456</v>
      </c>
      <c r="I11" s="17" t="s">
        <v>437</v>
      </c>
      <c r="J11" s="24">
        <v>2720</v>
      </c>
      <c r="K11" s="25"/>
      <c r="L11" s="28">
        <v>2015</v>
      </c>
      <c r="M11" s="661">
        <v>3187.14</v>
      </c>
      <c r="N11" s="26" t="s">
        <v>438</v>
      </c>
      <c r="O11" s="17" t="s">
        <v>451</v>
      </c>
      <c r="P11" s="17" t="s">
        <v>708</v>
      </c>
      <c r="Q11" s="269"/>
      <c r="R11" s="269"/>
      <c r="S11" s="270"/>
      <c r="T11" s="17" t="s">
        <v>439</v>
      </c>
      <c r="U11" s="573">
        <v>0.13350000000000001</v>
      </c>
      <c r="V11" s="570">
        <v>3727232.7444000002</v>
      </c>
      <c r="W11" s="274"/>
      <c r="X11" s="269"/>
      <c r="Y11" s="271" t="s">
        <v>27</v>
      </c>
      <c r="Z11" s="269">
        <v>2</v>
      </c>
      <c r="AA11" t="str">
        <f>VLOOKUP(Y11,Source!F:F,1,FALSE)</f>
        <v>Bristol Comm. College</v>
      </c>
    </row>
    <row r="12" spans="1:27" s="275" customFormat="1" hidden="1">
      <c r="A12" s="17" t="str">
        <f t="shared" si="1"/>
        <v>Bristol Comm. College3</v>
      </c>
      <c r="B12" s="255" t="s">
        <v>431</v>
      </c>
      <c r="C12" s="26" t="s">
        <v>260</v>
      </c>
      <c r="D12" s="20"/>
      <c r="E12" s="21" t="s">
        <v>983</v>
      </c>
      <c r="F12" s="565">
        <v>50</v>
      </c>
      <c r="G12" s="17" t="s">
        <v>455</v>
      </c>
      <c r="H12" s="26" t="s">
        <v>456</v>
      </c>
      <c r="I12" s="17" t="s">
        <v>437</v>
      </c>
      <c r="J12" s="24">
        <v>2720</v>
      </c>
      <c r="K12" s="25"/>
      <c r="L12" s="28">
        <v>2015</v>
      </c>
      <c r="M12" s="566">
        <v>50</v>
      </c>
      <c r="N12" s="26" t="s">
        <v>438</v>
      </c>
      <c r="O12" s="17" t="s">
        <v>1076</v>
      </c>
      <c r="P12" s="17" t="s">
        <v>710</v>
      </c>
      <c r="Q12" s="269"/>
      <c r="R12" s="269"/>
      <c r="S12" s="269"/>
      <c r="T12" s="17" t="s">
        <v>439</v>
      </c>
      <c r="U12" s="573">
        <v>0.13350000000000001</v>
      </c>
      <c r="V12" s="570">
        <v>58473</v>
      </c>
      <c r="W12" s="269"/>
      <c r="X12" s="269"/>
      <c r="Y12" s="271" t="s">
        <v>27</v>
      </c>
      <c r="Z12" s="269">
        <v>3</v>
      </c>
      <c r="AA12" t="str">
        <f>VLOOKUP(Y12,Source!F:F,1,FALSE)</f>
        <v>Bristol Comm. College</v>
      </c>
    </row>
    <row r="13" spans="1:27" ht="15.75" hidden="1">
      <c r="A13" s="17" t="str">
        <f t="shared" si="1"/>
        <v>Bristol Comm. College4</v>
      </c>
      <c r="B13" s="255" t="s">
        <v>431</v>
      </c>
      <c r="C13" s="26" t="s">
        <v>263</v>
      </c>
      <c r="D13" s="20"/>
      <c r="E13" s="459" t="s">
        <v>1494</v>
      </c>
      <c r="F13" s="565">
        <v>6</v>
      </c>
      <c r="G13" s="17" t="s">
        <v>455</v>
      </c>
      <c r="H13" s="26" t="s">
        <v>456</v>
      </c>
      <c r="I13" s="17" t="s">
        <v>437</v>
      </c>
      <c r="J13" s="24">
        <v>2720</v>
      </c>
      <c r="K13" s="25"/>
      <c r="L13" s="27">
        <v>2009</v>
      </c>
      <c r="M13" s="566">
        <v>6</v>
      </c>
      <c r="N13" s="26" t="s">
        <v>438</v>
      </c>
      <c r="O13" s="17"/>
      <c r="P13" s="17"/>
      <c r="Q13" s="17"/>
      <c r="R13" s="17"/>
      <c r="S13" s="17"/>
      <c r="T13" s="17" t="s">
        <v>439</v>
      </c>
      <c r="U13" s="672">
        <v>0.26</v>
      </c>
      <c r="V13" s="570">
        <v>13665.6</v>
      </c>
      <c r="W13" s="17"/>
      <c r="X13" s="17"/>
      <c r="Y13" s="271" t="s">
        <v>27</v>
      </c>
      <c r="Z13" s="269">
        <v>4</v>
      </c>
      <c r="AA13" t="str">
        <f>VLOOKUP(Y13,Source!F:F,1,FALSE)</f>
        <v>Bristol Comm. College</v>
      </c>
    </row>
    <row r="14" spans="1:27" hidden="1">
      <c r="A14" s="17" t="str">
        <f t="shared" si="1"/>
        <v>Bristol Comm. College5</v>
      </c>
      <c r="B14" s="255" t="s">
        <v>431</v>
      </c>
      <c r="C14" s="26" t="s">
        <v>260</v>
      </c>
      <c r="D14" s="20"/>
      <c r="E14" s="21" t="s">
        <v>1494</v>
      </c>
      <c r="F14" s="565">
        <v>10</v>
      </c>
      <c r="G14" s="17" t="s">
        <v>455</v>
      </c>
      <c r="H14" s="26" t="s">
        <v>456</v>
      </c>
      <c r="I14" s="17" t="s">
        <v>437</v>
      </c>
      <c r="J14" s="24">
        <v>2720</v>
      </c>
      <c r="K14" s="25"/>
      <c r="L14" s="27">
        <v>2009</v>
      </c>
      <c r="M14" s="566">
        <v>10</v>
      </c>
      <c r="N14" s="26" t="s">
        <v>438</v>
      </c>
      <c r="O14" s="17" t="s">
        <v>1076</v>
      </c>
      <c r="P14" s="17" t="s">
        <v>710</v>
      </c>
      <c r="Q14" s="17"/>
      <c r="R14" s="17"/>
      <c r="S14" s="17"/>
      <c r="T14" s="17" t="s">
        <v>439</v>
      </c>
      <c r="U14" s="573">
        <v>0.13350000000000001</v>
      </c>
      <c r="V14" s="570">
        <v>11694.6</v>
      </c>
      <c r="W14" s="17"/>
      <c r="X14" s="17"/>
      <c r="Y14" s="271" t="s">
        <v>27</v>
      </c>
      <c r="Z14" s="269">
        <v>5</v>
      </c>
      <c r="AA14" t="str">
        <f>VLOOKUP(Y14,Source!F:F,1,FALSE)</f>
        <v>Bristol Comm. College</v>
      </c>
    </row>
    <row r="15" spans="1:27" hidden="1">
      <c r="A15" s="17" t="str">
        <f t="shared" si="1"/>
        <v>Bunker Hill Comm. College1</v>
      </c>
      <c r="B15" s="612" t="s">
        <v>431</v>
      </c>
      <c r="C15" s="670" t="s">
        <v>260</v>
      </c>
      <c r="D15" s="632"/>
      <c r="E15" s="616" t="s">
        <v>1495</v>
      </c>
      <c r="F15" s="620">
        <v>12</v>
      </c>
      <c r="G15" s="632"/>
      <c r="H15" s="637"/>
      <c r="I15" s="632"/>
      <c r="J15" s="639"/>
      <c r="K15" s="647">
        <v>41197</v>
      </c>
      <c r="L15" s="654">
        <v>2013</v>
      </c>
      <c r="M15" s="662">
        <v>12</v>
      </c>
      <c r="N15" s="637" t="s">
        <v>438</v>
      </c>
      <c r="O15" s="632" t="s">
        <v>1076</v>
      </c>
      <c r="P15" s="632" t="s">
        <v>710</v>
      </c>
      <c r="Q15" s="17"/>
      <c r="R15" s="17"/>
      <c r="S15" s="17"/>
      <c r="T15" s="632" t="s">
        <v>439</v>
      </c>
      <c r="U15" s="573">
        <v>0.13350000000000001</v>
      </c>
      <c r="V15" s="674">
        <v>14033.52</v>
      </c>
      <c r="W15" s="17"/>
      <c r="X15" s="17"/>
      <c r="Y15" s="21" t="s">
        <v>73</v>
      </c>
      <c r="Z15" s="17">
        <v>1</v>
      </c>
      <c r="AA15" t="str">
        <f>VLOOKUP(Y15,Source!F:F,1,FALSE)</f>
        <v>Bunker Hill Comm. College</v>
      </c>
    </row>
    <row r="16" spans="1:27" hidden="1">
      <c r="A16" s="17" t="str">
        <f t="shared" si="1"/>
        <v>Bunker Hill Comm. College2</v>
      </c>
      <c r="B16" s="255" t="s">
        <v>452</v>
      </c>
      <c r="C16" s="26" t="s">
        <v>453</v>
      </c>
      <c r="D16" s="20" t="s">
        <v>458</v>
      </c>
      <c r="E16" s="21" t="s">
        <v>459</v>
      </c>
      <c r="F16" s="565">
        <v>75</v>
      </c>
      <c r="G16" s="17"/>
      <c r="H16" s="26" t="s">
        <v>460</v>
      </c>
      <c r="I16" s="17" t="s">
        <v>437</v>
      </c>
      <c r="J16" s="17"/>
      <c r="K16" s="25">
        <v>41612</v>
      </c>
      <c r="L16" s="28">
        <v>2014</v>
      </c>
      <c r="M16" s="565">
        <v>75</v>
      </c>
      <c r="N16" s="26" t="s">
        <v>438</v>
      </c>
      <c r="O16" s="17"/>
      <c r="P16" s="17"/>
      <c r="Q16" s="17"/>
      <c r="R16" s="17"/>
      <c r="S16" s="17"/>
      <c r="T16" s="17" t="s">
        <v>439</v>
      </c>
      <c r="U16" s="17"/>
      <c r="V16" s="17"/>
      <c r="W16" s="17"/>
      <c r="X16" s="17"/>
      <c r="Y16" s="21" t="s">
        <v>73</v>
      </c>
      <c r="Z16" s="17">
        <v>2</v>
      </c>
      <c r="AA16" t="str">
        <f>VLOOKUP(Y16,Source!F:F,1,FALSE)</f>
        <v>Bunker Hill Comm. College</v>
      </c>
    </row>
    <row r="17" spans="1:27" hidden="1">
      <c r="A17" s="17" t="str">
        <f t="shared" si="1"/>
        <v>Bureau of the State House1</v>
      </c>
      <c r="B17" s="255" t="s">
        <v>431</v>
      </c>
      <c r="C17" s="26" t="s">
        <v>260</v>
      </c>
      <c r="D17" s="20"/>
      <c r="E17" s="26" t="s">
        <v>461</v>
      </c>
      <c r="F17" s="565">
        <v>15</v>
      </c>
      <c r="G17" s="17" t="s">
        <v>462</v>
      </c>
      <c r="H17" s="17" t="s">
        <v>460</v>
      </c>
      <c r="I17" s="17" t="s">
        <v>437</v>
      </c>
      <c r="J17" s="24">
        <v>1233</v>
      </c>
      <c r="K17" s="25"/>
      <c r="L17" s="28">
        <v>2010</v>
      </c>
      <c r="M17" s="17">
        <v>15</v>
      </c>
      <c r="N17" s="17" t="s">
        <v>463</v>
      </c>
      <c r="O17" s="17" t="s">
        <v>1076</v>
      </c>
      <c r="P17" s="17" t="s">
        <v>710</v>
      </c>
      <c r="Q17" s="17"/>
      <c r="R17" s="17"/>
      <c r="S17" s="17"/>
      <c r="T17" s="17" t="s">
        <v>439</v>
      </c>
      <c r="U17" s="573">
        <v>0.13350000000000001</v>
      </c>
      <c r="V17" s="570">
        <v>17541.900000000001</v>
      </c>
      <c r="W17" s="17"/>
      <c r="X17" s="17"/>
      <c r="Y17" s="21" t="s">
        <v>78</v>
      </c>
      <c r="Z17" s="17">
        <v>1</v>
      </c>
      <c r="AA17" t="str">
        <f>VLOOKUP(Y17,Source!F:F,1,FALSE)</f>
        <v>Bureau of the State House</v>
      </c>
    </row>
    <row r="18" spans="1:27" hidden="1">
      <c r="A18" s="17" t="str">
        <f t="shared" si="1"/>
        <v>Cape Cod Comm. College1</v>
      </c>
      <c r="B18" s="255" t="s">
        <v>431</v>
      </c>
      <c r="C18" s="17" t="s">
        <v>260</v>
      </c>
      <c r="D18" s="20" t="s">
        <v>464</v>
      </c>
      <c r="E18" s="21" t="s">
        <v>465</v>
      </c>
      <c r="F18" s="565">
        <v>1.7549999999999999</v>
      </c>
      <c r="G18" s="20" t="s">
        <v>466</v>
      </c>
      <c r="H18" s="22" t="s">
        <v>467</v>
      </c>
      <c r="I18" s="23" t="s">
        <v>437</v>
      </c>
      <c r="J18" s="24">
        <v>2668</v>
      </c>
      <c r="K18" s="25">
        <v>39686</v>
      </c>
      <c r="L18" s="27">
        <v>2013</v>
      </c>
      <c r="M18" s="566">
        <v>1.7549999999999999</v>
      </c>
      <c r="N18" s="26" t="s">
        <v>438</v>
      </c>
      <c r="O18" s="17" t="s">
        <v>1076</v>
      </c>
      <c r="P18" s="17" t="s">
        <v>710</v>
      </c>
      <c r="Q18" s="17"/>
      <c r="R18" s="17"/>
      <c r="S18" s="17"/>
      <c r="T18" s="17" t="s">
        <v>439</v>
      </c>
      <c r="U18" s="573">
        <v>0.13350000000000001</v>
      </c>
      <c r="V18" s="570">
        <v>2052.4023000000002</v>
      </c>
      <c r="W18" s="17"/>
      <c r="X18" s="17"/>
      <c r="Y18" s="21" t="s">
        <v>79</v>
      </c>
      <c r="Z18" s="17">
        <v>1</v>
      </c>
      <c r="AA18" t="str">
        <f>VLOOKUP(Y18,Source!F:F,1,FALSE)</f>
        <v>Cape Cod Comm. College</v>
      </c>
    </row>
    <row r="19" spans="1:27" hidden="1">
      <c r="A19" s="17" t="str">
        <f t="shared" si="1"/>
        <v>Cape Cod Comm. College2</v>
      </c>
      <c r="B19" s="255" t="s">
        <v>431</v>
      </c>
      <c r="C19" s="17" t="s">
        <v>260</v>
      </c>
      <c r="D19" s="20" t="s">
        <v>469</v>
      </c>
      <c r="E19" s="21" t="s">
        <v>465</v>
      </c>
      <c r="F19" s="565">
        <v>661.5</v>
      </c>
      <c r="G19" s="20" t="s">
        <v>466</v>
      </c>
      <c r="H19" s="22" t="s">
        <v>467</v>
      </c>
      <c r="I19" s="23" t="s">
        <v>437</v>
      </c>
      <c r="J19" s="24">
        <v>2668</v>
      </c>
      <c r="K19" s="25">
        <v>41233</v>
      </c>
      <c r="L19" s="27">
        <v>2013</v>
      </c>
      <c r="M19" s="566">
        <v>661.5</v>
      </c>
      <c r="N19" s="26" t="s">
        <v>438</v>
      </c>
      <c r="O19" s="17" t="s">
        <v>1076</v>
      </c>
      <c r="P19" s="17" t="s">
        <v>1635</v>
      </c>
      <c r="Q19" s="17"/>
      <c r="R19" s="17"/>
      <c r="S19" s="17"/>
      <c r="T19" s="17" t="s">
        <v>439</v>
      </c>
      <c r="U19" s="573">
        <v>0.13350000000000001</v>
      </c>
      <c r="V19" s="570">
        <v>773597.79</v>
      </c>
      <c r="W19" s="17"/>
      <c r="X19" s="17"/>
      <c r="Y19" s="21" t="s">
        <v>79</v>
      </c>
      <c r="Z19" s="17">
        <v>2</v>
      </c>
      <c r="AA19" t="str">
        <f>VLOOKUP(Y19,Source!F:F,1,FALSE)</f>
        <v>Cape Cod Comm. College</v>
      </c>
    </row>
    <row r="20" spans="1:27" hidden="1">
      <c r="A20" s="17" t="str">
        <f t="shared" si="1"/>
        <v>Cape Cod Comm. College3</v>
      </c>
      <c r="B20" s="255" t="s">
        <v>431</v>
      </c>
      <c r="C20" s="17" t="s">
        <v>260</v>
      </c>
      <c r="D20" s="20" t="s">
        <v>474</v>
      </c>
      <c r="E20" s="21" t="s">
        <v>1496</v>
      </c>
      <c r="F20" s="565">
        <v>25.73</v>
      </c>
      <c r="G20" s="20" t="s">
        <v>466</v>
      </c>
      <c r="H20" s="22" t="s">
        <v>467</v>
      </c>
      <c r="I20" s="23" t="s">
        <v>437</v>
      </c>
      <c r="J20" s="24">
        <v>2668</v>
      </c>
      <c r="K20" s="25">
        <v>38718</v>
      </c>
      <c r="L20" s="27">
        <v>2006</v>
      </c>
      <c r="M20" s="566">
        <v>25.73</v>
      </c>
      <c r="N20" s="26" t="s">
        <v>438</v>
      </c>
      <c r="O20" s="17" t="s">
        <v>1076</v>
      </c>
      <c r="P20" s="17" t="s">
        <v>710</v>
      </c>
      <c r="Q20" s="17"/>
      <c r="R20" s="17"/>
      <c r="S20" s="17"/>
      <c r="T20" s="17" t="s">
        <v>439</v>
      </c>
      <c r="U20" s="573">
        <v>0.13350000000000001</v>
      </c>
      <c r="V20" s="570">
        <v>30090.205800000003</v>
      </c>
      <c r="W20" s="255"/>
      <c r="X20" s="255"/>
      <c r="Y20" s="21" t="s">
        <v>79</v>
      </c>
      <c r="Z20" s="17">
        <v>3</v>
      </c>
      <c r="AA20" t="str">
        <f>VLOOKUP(Y20,Source!F:F,1,FALSE)</f>
        <v>Cape Cod Comm. College</v>
      </c>
    </row>
    <row r="21" spans="1:27" hidden="1">
      <c r="A21" s="17" t="str">
        <f t="shared" si="1"/>
        <v>Cape Cod Comm. College4</v>
      </c>
      <c r="B21" s="255" t="s">
        <v>431</v>
      </c>
      <c r="C21" s="17" t="s">
        <v>260</v>
      </c>
      <c r="D21" s="20" t="s">
        <v>470</v>
      </c>
      <c r="E21" s="21" t="s">
        <v>471</v>
      </c>
      <c r="F21" s="565">
        <v>2.5</v>
      </c>
      <c r="G21" s="20" t="s">
        <v>466</v>
      </c>
      <c r="H21" s="22" t="s">
        <v>467</v>
      </c>
      <c r="I21" s="23" t="s">
        <v>437</v>
      </c>
      <c r="J21" s="24">
        <v>2668</v>
      </c>
      <c r="K21" s="25">
        <v>38572</v>
      </c>
      <c r="L21" s="27">
        <v>2013</v>
      </c>
      <c r="M21" s="566">
        <v>2.5</v>
      </c>
      <c r="N21" s="26" t="s">
        <v>438</v>
      </c>
      <c r="O21" s="17" t="s">
        <v>1076</v>
      </c>
      <c r="P21" s="17" t="s">
        <v>710</v>
      </c>
      <c r="Q21" s="17"/>
      <c r="R21" s="17"/>
      <c r="S21" s="17"/>
      <c r="T21" s="17" t="s">
        <v>439</v>
      </c>
      <c r="U21" s="573">
        <v>0.13350000000000001</v>
      </c>
      <c r="V21" s="570">
        <v>2923.65</v>
      </c>
      <c r="W21" s="17"/>
      <c r="X21" s="17"/>
      <c r="Y21" s="21" t="s">
        <v>79</v>
      </c>
      <c r="Z21" s="17">
        <v>4</v>
      </c>
      <c r="AA21" t="str">
        <f>VLOOKUP(Y21,Source!F:F,1,FALSE)</f>
        <v>Cape Cod Comm. College</v>
      </c>
    </row>
    <row r="22" spans="1:27" hidden="1">
      <c r="A22" s="17" t="str">
        <f t="shared" si="1"/>
        <v>Cape Cod Comm. College5</v>
      </c>
      <c r="B22" s="255" t="s">
        <v>431</v>
      </c>
      <c r="C22" s="17" t="s">
        <v>260</v>
      </c>
      <c r="D22" s="20" t="s">
        <v>472</v>
      </c>
      <c r="E22" s="21" t="s">
        <v>473</v>
      </c>
      <c r="F22" s="565">
        <v>2.52</v>
      </c>
      <c r="G22" s="20" t="s">
        <v>466</v>
      </c>
      <c r="H22" s="22" t="s">
        <v>467</v>
      </c>
      <c r="I22" s="23" t="s">
        <v>437</v>
      </c>
      <c r="J22" s="24">
        <v>2668</v>
      </c>
      <c r="K22" s="25">
        <v>39251</v>
      </c>
      <c r="L22" s="27">
        <v>2013</v>
      </c>
      <c r="M22" s="566">
        <v>2.52</v>
      </c>
      <c r="N22" s="26" t="s">
        <v>438</v>
      </c>
      <c r="O22" s="17" t="s">
        <v>1076</v>
      </c>
      <c r="P22" s="17" t="s">
        <v>710</v>
      </c>
      <c r="Q22" s="17"/>
      <c r="R22" s="17"/>
      <c r="S22" s="17"/>
      <c r="T22" s="17" t="s">
        <v>439</v>
      </c>
      <c r="U22" s="573">
        <v>0.13350000000000001</v>
      </c>
      <c r="V22" s="570">
        <v>2947.0392000000002</v>
      </c>
      <c r="W22" s="17"/>
      <c r="X22" s="17"/>
      <c r="Y22" s="21" t="s">
        <v>79</v>
      </c>
      <c r="Z22" s="17">
        <v>5</v>
      </c>
      <c r="AA22" t="str">
        <f>VLOOKUP(Y22,Source!F:F,1,FALSE)</f>
        <v>Cape Cod Comm. College</v>
      </c>
    </row>
    <row r="23" spans="1:27" hidden="1">
      <c r="A23" s="17" t="str">
        <f t="shared" si="1"/>
        <v>Cape Cod Comm. College6</v>
      </c>
      <c r="B23" s="255" t="s">
        <v>431</v>
      </c>
      <c r="C23" s="17" t="s">
        <v>260</v>
      </c>
      <c r="D23" s="20"/>
      <c r="E23" s="21" t="s">
        <v>465</v>
      </c>
      <c r="F23" s="565">
        <v>260</v>
      </c>
      <c r="G23" s="20" t="s">
        <v>466</v>
      </c>
      <c r="H23" s="22" t="s">
        <v>467</v>
      </c>
      <c r="I23" s="23" t="s">
        <v>437</v>
      </c>
      <c r="J23" s="24">
        <v>2668</v>
      </c>
      <c r="K23" s="25">
        <v>45078</v>
      </c>
      <c r="L23" s="27">
        <v>2023</v>
      </c>
      <c r="M23" s="566">
        <v>260</v>
      </c>
      <c r="N23" s="26" t="s">
        <v>438</v>
      </c>
      <c r="O23" s="17"/>
      <c r="P23" s="17" t="s">
        <v>710</v>
      </c>
      <c r="Q23" s="17"/>
      <c r="R23" s="17"/>
      <c r="S23" s="17"/>
      <c r="T23" s="17" t="s">
        <v>439</v>
      </c>
      <c r="U23" s="573">
        <v>0.13350000000000001</v>
      </c>
      <c r="V23" s="570">
        <f>M23*U23*8760</f>
        <v>304059.60000000003</v>
      </c>
      <c r="W23" s="17"/>
      <c r="X23" s="17"/>
      <c r="Y23" s="21" t="s">
        <v>79</v>
      </c>
      <c r="Z23" s="17">
        <v>6</v>
      </c>
      <c r="AA23" t="str">
        <f>VLOOKUP(Y23,Source!F:F,1,FALSE)</f>
        <v>Cape Cod Comm. College</v>
      </c>
    </row>
    <row r="24" spans="1:27" hidden="1">
      <c r="A24" s="17" t="str">
        <f t="shared" si="1"/>
        <v>Cape Cod Comm. College7</v>
      </c>
      <c r="B24" s="255" t="s">
        <v>431</v>
      </c>
      <c r="C24" s="17" t="s">
        <v>260</v>
      </c>
      <c r="D24" s="20"/>
      <c r="E24" s="21" t="s">
        <v>465</v>
      </c>
      <c r="F24" s="565">
        <v>635</v>
      </c>
      <c r="G24" s="20" t="s">
        <v>466</v>
      </c>
      <c r="H24" s="22" t="s">
        <v>467</v>
      </c>
      <c r="I24" s="23" t="s">
        <v>437</v>
      </c>
      <c r="J24" s="24">
        <v>2668</v>
      </c>
      <c r="K24" s="25">
        <v>45078</v>
      </c>
      <c r="L24" s="27">
        <v>2023</v>
      </c>
      <c r="M24" s="566">
        <v>635</v>
      </c>
      <c r="N24" s="26" t="s">
        <v>438</v>
      </c>
      <c r="O24" s="17"/>
      <c r="P24" s="17" t="s">
        <v>708</v>
      </c>
      <c r="Q24" s="17"/>
      <c r="R24" s="17"/>
      <c r="S24" s="17"/>
      <c r="T24" s="17" t="s">
        <v>439</v>
      </c>
      <c r="U24" s="573">
        <v>0.13350000000000001</v>
      </c>
      <c r="V24" s="570">
        <f>M24*U24*8760</f>
        <v>742607.10000000009</v>
      </c>
      <c r="W24" s="17"/>
      <c r="X24" s="17"/>
      <c r="Y24" s="21" t="s">
        <v>79</v>
      </c>
      <c r="Z24" s="17">
        <v>7</v>
      </c>
      <c r="AA24" t="str">
        <f>VLOOKUP(Y24,Source!F:F,1,FALSE)</f>
        <v>Cape Cod Comm. College</v>
      </c>
    </row>
    <row r="25" spans="1:27" hidden="1">
      <c r="A25" s="17" t="str">
        <f t="shared" si="1"/>
        <v>Cape Cod Regional Transit Authority1</v>
      </c>
      <c r="B25" s="255" t="s">
        <v>431</v>
      </c>
      <c r="C25" s="26" t="s">
        <v>260</v>
      </c>
      <c r="D25" s="20"/>
      <c r="E25" s="26" t="s">
        <v>1497</v>
      </c>
      <c r="F25" s="565">
        <v>360</v>
      </c>
      <c r="G25" s="633" t="s">
        <v>1567</v>
      </c>
      <c r="H25" s="26" t="s">
        <v>1182</v>
      </c>
      <c r="I25" s="17" t="s">
        <v>437</v>
      </c>
      <c r="J25" s="24"/>
      <c r="K25" s="25">
        <v>43709</v>
      </c>
      <c r="L25" s="27">
        <v>2020</v>
      </c>
      <c r="M25" s="661">
        <v>360</v>
      </c>
      <c r="N25" s="17" t="s">
        <v>572</v>
      </c>
      <c r="O25" s="17" t="s">
        <v>451</v>
      </c>
      <c r="P25" s="17" t="s">
        <v>708</v>
      </c>
      <c r="Q25" s="17"/>
      <c r="R25" s="17"/>
      <c r="S25" s="17"/>
      <c r="T25" s="17" t="s">
        <v>439</v>
      </c>
      <c r="U25" s="573">
        <v>0.13350000000000001</v>
      </c>
      <c r="V25" s="570">
        <v>421005.60000000003</v>
      </c>
      <c r="W25" s="17"/>
      <c r="X25" s="17"/>
      <c r="Y25" s="683" t="s">
        <v>1179</v>
      </c>
      <c r="Z25" s="17">
        <v>1</v>
      </c>
      <c r="AA25" t="e">
        <f>VLOOKUP(Y25,Source!F:F,1,FALSE)</f>
        <v>#N/A</v>
      </c>
    </row>
    <row r="26" spans="1:27" hidden="1">
      <c r="A26" s="17" t="str">
        <f t="shared" si="1"/>
        <v>Chelsea Soldiers' Home1</v>
      </c>
      <c r="B26" s="255" t="s">
        <v>431</v>
      </c>
      <c r="C26" s="26" t="s">
        <v>260</v>
      </c>
      <c r="D26" s="20" t="s">
        <v>475</v>
      </c>
      <c r="E26" s="26" t="s">
        <v>476</v>
      </c>
      <c r="F26" s="565">
        <v>58.5</v>
      </c>
      <c r="G26" s="20" t="s">
        <v>477</v>
      </c>
      <c r="H26" s="26" t="s">
        <v>478</v>
      </c>
      <c r="I26" s="17" t="s">
        <v>437</v>
      </c>
      <c r="J26" s="24">
        <v>2150</v>
      </c>
      <c r="K26" s="25">
        <v>40544</v>
      </c>
      <c r="L26" s="27">
        <v>2008</v>
      </c>
      <c r="M26" s="566">
        <v>58.5</v>
      </c>
      <c r="N26" s="17" t="s">
        <v>479</v>
      </c>
      <c r="O26" s="17" t="s">
        <v>1076</v>
      </c>
      <c r="P26" s="17" t="s">
        <v>710</v>
      </c>
      <c r="Q26" s="17"/>
      <c r="R26" s="17"/>
      <c r="S26" s="17"/>
      <c r="T26" s="17" t="s">
        <v>439</v>
      </c>
      <c r="U26" s="573">
        <v>0.13350000000000001</v>
      </c>
      <c r="V26" s="570">
        <v>68413.41</v>
      </c>
      <c r="W26" s="17"/>
      <c r="X26" s="17"/>
      <c r="Y26" s="360" t="s">
        <v>1637</v>
      </c>
      <c r="Z26" s="17">
        <v>1</v>
      </c>
      <c r="AA26" t="str">
        <f>VLOOKUP(Y26,Source!F:F,1,FALSE)</f>
        <v>Chelsea Soldiers' Home</v>
      </c>
    </row>
    <row r="27" spans="1:27" hidden="1">
      <c r="A27" s="17" t="str">
        <f t="shared" si="1"/>
        <v>Chelsea Soldiers' Home2</v>
      </c>
      <c r="B27" s="255" t="s">
        <v>431</v>
      </c>
      <c r="C27" s="17" t="s">
        <v>260</v>
      </c>
      <c r="D27" s="17"/>
      <c r="E27" s="21" t="s">
        <v>1562</v>
      </c>
      <c r="F27" s="571">
        <v>495.8</v>
      </c>
      <c r="G27" s="20" t="s">
        <v>1594</v>
      </c>
      <c r="H27" s="26" t="s">
        <v>478</v>
      </c>
      <c r="I27" s="23" t="s">
        <v>437</v>
      </c>
      <c r="J27" s="24">
        <v>2150</v>
      </c>
      <c r="K27" s="191">
        <v>45323</v>
      </c>
      <c r="L27" s="28">
        <v>2024</v>
      </c>
      <c r="M27" s="571">
        <v>495.8</v>
      </c>
      <c r="N27" s="17" t="s">
        <v>1338</v>
      </c>
      <c r="O27" s="17"/>
      <c r="P27" s="17" t="s">
        <v>710</v>
      </c>
      <c r="Q27" s="17"/>
      <c r="R27" s="17"/>
      <c r="S27" s="17"/>
      <c r="T27" s="17" t="s">
        <v>439</v>
      </c>
      <c r="U27" s="573">
        <v>0.13350000000000001</v>
      </c>
      <c r="V27" s="570">
        <v>579818.26800000004</v>
      </c>
      <c r="W27" s="17"/>
      <c r="X27" s="17"/>
      <c r="Y27" s="496" t="s">
        <v>1637</v>
      </c>
      <c r="Z27" s="17">
        <v>2</v>
      </c>
      <c r="AA27" t="str">
        <f>VLOOKUP(Y27,Source!F:F,1,FALSE)</f>
        <v>Chelsea Soldiers' Home</v>
      </c>
    </row>
    <row r="28" spans="1:27" s="275" customFormat="1" hidden="1">
      <c r="A28" s="17" t="str">
        <f t="shared" si="1"/>
        <v>Dept. of Conservation and Recreation1</v>
      </c>
      <c r="B28" s="255" t="s">
        <v>431</v>
      </c>
      <c r="C28" s="17" t="s">
        <v>260</v>
      </c>
      <c r="D28" s="20" t="s">
        <v>484</v>
      </c>
      <c r="E28" s="21" t="s">
        <v>485</v>
      </c>
      <c r="F28" s="565">
        <v>47.8</v>
      </c>
      <c r="G28" s="22" t="s">
        <v>486</v>
      </c>
      <c r="H28" s="22" t="s">
        <v>487</v>
      </c>
      <c r="I28" s="23" t="s">
        <v>437</v>
      </c>
      <c r="J28" s="24">
        <v>2186</v>
      </c>
      <c r="K28" s="25">
        <v>40681</v>
      </c>
      <c r="L28" s="27">
        <v>2011</v>
      </c>
      <c r="M28" s="565">
        <v>47.8</v>
      </c>
      <c r="N28" s="26" t="s">
        <v>481</v>
      </c>
      <c r="O28" s="17" t="s">
        <v>1076</v>
      </c>
      <c r="P28" s="17" t="s">
        <v>1635</v>
      </c>
      <c r="Q28" s="17"/>
      <c r="R28" s="17"/>
      <c r="S28" s="17"/>
      <c r="T28" s="17" t="s">
        <v>439</v>
      </c>
      <c r="U28" s="573">
        <v>0.13350000000000001</v>
      </c>
      <c r="V28" s="570">
        <f>M28*U28*8760</f>
        <v>55900.188000000002</v>
      </c>
      <c r="W28" s="17"/>
      <c r="X28" s="17"/>
      <c r="Y28" s="39" t="s">
        <v>92</v>
      </c>
      <c r="Z28" s="17">
        <v>1</v>
      </c>
      <c r="AA28" t="str">
        <f>VLOOKUP(Y28,Source!F:F,1,FALSE)</f>
        <v>Dept. of Conservation and Recreation</v>
      </c>
    </row>
    <row r="29" spans="1:27" s="275" customFormat="1" hidden="1">
      <c r="A29" s="17" t="str">
        <f t="shared" si="1"/>
        <v>Dept. of Conservation and Recreation2</v>
      </c>
      <c r="B29" s="613" t="s">
        <v>431</v>
      </c>
      <c r="C29" s="496" t="s">
        <v>260</v>
      </c>
      <c r="D29" s="497" t="s">
        <v>1620</v>
      </c>
      <c r="E29" s="21" t="s">
        <v>2245</v>
      </c>
      <c r="F29" s="565"/>
      <c r="G29" s="22"/>
      <c r="H29" s="22"/>
      <c r="I29" s="634" t="s">
        <v>437</v>
      </c>
      <c r="J29" s="24"/>
      <c r="K29" s="25"/>
      <c r="L29" s="27"/>
      <c r="M29" s="565"/>
      <c r="N29" s="668" t="s">
        <v>481</v>
      </c>
      <c r="O29" s="668" t="s">
        <v>1076</v>
      </c>
      <c r="P29" s="668" t="s">
        <v>710</v>
      </c>
      <c r="Q29" s="270"/>
      <c r="R29" s="270"/>
      <c r="S29" s="270"/>
      <c r="T29" s="668" t="s">
        <v>439</v>
      </c>
      <c r="U29" s="573">
        <v>0.13350000000000001</v>
      </c>
      <c r="V29" s="570">
        <f t="shared" ref="V29:V42" si="2">M29*U29*8760</f>
        <v>0</v>
      </c>
      <c r="W29" s="274"/>
      <c r="X29" s="270"/>
      <c r="Y29" s="39" t="s">
        <v>92</v>
      </c>
      <c r="Z29" s="269">
        <v>2</v>
      </c>
      <c r="AA29" t="str">
        <f>VLOOKUP(Y29,Source!F:F,1,FALSE)</f>
        <v>Dept. of Conservation and Recreation</v>
      </c>
    </row>
    <row r="30" spans="1:27" s="275" customFormat="1" hidden="1">
      <c r="A30" s="17" t="str">
        <f t="shared" si="1"/>
        <v>Dept. of Conservation and Recreation3</v>
      </c>
      <c r="B30" s="255" t="s">
        <v>431</v>
      </c>
      <c r="C30" s="26" t="s">
        <v>260</v>
      </c>
      <c r="D30" s="20" t="s">
        <v>1620</v>
      </c>
      <c r="E30" s="617" t="s">
        <v>2238</v>
      </c>
      <c r="F30" s="565">
        <v>17.100000000000001</v>
      </c>
      <c r="G30" s="634" t="s">
        <v>1568</v>
      </c>
      <c r="H30" s="634" t="s">
        <v>1599</v>
      </c>
      <c r="I30" s="634" t="s">
        <v>437</v>
      </c>
      <c r="J30" s="640">
        <v>2453</v>
      </c>
      <c r="K30" s="648"/>
      <c r="L30" s="655">
        <v>2012</v>
      </c>
      <c r="M30" s="565">
        <v>17.100000000000001</v>
      </c>
      <c r="N30" s="26" t="s">
        <v>481</v>
      </c>
      <c r="O30" s="17" t="s">
        <v>1076</v>
      </c>
      <c r="P30" s="668" t="s">
        <v>710</v>
      </c>
      <c r="Q30" s="270"/>
      <c r="R30" s="270"/>
      <c r="S30" s="270"/>
      <c r="T30" s="17" t="s">
        <v>439</v>
      </c>
      <c r="U30" s="573">
        <v>0.13350000000000001</v>
      </c>
      <c r="V30" s="570">
        <f t="shared" si="2"/>
        <v>19997.766000000003</v>
      </c>
      <c r="W30" s="274"/>
      <c r="X30" s="270"/>
      <c r="Y30" s="39" t="s">
        <v>92</v>
      </c>
      <c r="Z30" s="17">
        <v>3</v>
      </c>
      <c r="AA30" t="str">
        <f>VLOOKUP(Y30,Source!F:F,1,FALSE)</f>
        <v>Dept. of Conservation and Recreation</v>
      </c>
    </row>
    <row r="31" spans="1:27" s="275" customFormat="1" hidden="1">
      <c r="A31" s="17" t="str">
        <f t="shared" si="1"/>
        <v>Dept. of Conservation and Recreation4</v>
      </c>
      <c r="B31" s="255" t="s">
        <v>431</v>
      </c>
      <c r="C31" s="26" t="s">
        <v>260</v>
      </c>
      <c r="D31" s="20"/>
      <c r="E31" s="617" t="s">
        <v>2239</v>
      </c>
      <c r="F31" s="621">
        <v>17.100000000000001</v>
      </c>
      <c r="G31" s="634" t="s">
        <v>1568</v>
      </c>
      <c r="H31" s="634" t="s">
        <v>1599</v>
      </c>
      <c r="I31" s="634" t="s">
        <v>437</v>
      </c>
      <c r="J31" s="640">
        <v>2453</v>
      </c>
      <c r="K31" s="648"/>
      <c r="L31" s="655">
        <v>2012</v>
      </c>
      <c r="M31" s="621">
        <v>17.100000000000001</v>
      </c>
      <c r="N31" s="26" t="s">
        <v>481</v>
      </c>
      <c r="O31" s="17" t="s">
        <v>1076</v>
      </c>
      <c r="P31" s="668" t="s">
        <v>710</v>
      </c>
      <c r="Q31" s="269"/>
      <c r="R31" s="269"/>
      <c r="S31" s="269"/>
      <c r="T31" s="17" t="s">
        <v>439</v>
      </c>
      <c r="U31" s="573">
        <v>0.13350000000000001</v>
      </c>
      <c r="V31" s="570">
        <f t="shared" si="2"/>
        <v>19997.766000000003</v>
      </c>
      <c r="W31" s="269"/>
      <c r="X31" s="269"/>
      <c r="Y31" s="39" t="s">
        <v>92</v>
      </c>
      <c r="Z31" s="269">
        <v>4</v>
      </c>
      <c r="AA31" t="str">
        <f>VLOOKUP(Y31,Source!F:F,1,FALSE)</f>
        <v>Dept. of Conservation and Recreation</v>
      </c>
    </row>
    <row r="32" spans="1:27" s="275" customFormat="1" hidden="1">
      <c r="A32" s="17" t="str">
        <f t="shared" si="1"/>
        <v>Dept. of Conservation and Recreation5</v>
      </c>
      <c r="B32" s="255" t="s">
        <v>431</v>
      </c>
      <c r="C32" s="26" t="s">
        <v>260</v>
      </c>
      <c r="D32" s="20" t="s">
        <v>1620</v>
      </c>
      <c r="E32" s="26" t="s">
        <v>2240</v>
      </c>
      <c r="F32" s="565">
        <v>32.200000000000003</v>
      </c>
      <c r="G32" s="17" t="s">
        <v>480</v>
      </c>
      <c r="H32" s="26" t="s">
        <v>460</v>
      </c>
      <c r="I32" s="17" t="s">
        <v>437</v>
      </c>
      <c r="J32" s="24"/>
      <c r="K32" s="25"/>
      <c r="L32" s="27">
        <v>2012</v>
      </c>
      <c r="M32" s="565">
        <v>32.200000000000003</v>
      </c>
      <c r="N32" s="26" t="s">
        <v>481</v>
      </c>
      <c r="O32" s="17" t="s">
        <v>1076</v>
      </c>
      <c r="P32" s="17" t="s">
        <v>710</v>
      </c>
      <c r="Q32" s="269"/>
      <c r="R32" s="269"/>
      <c r="S32" s="269"/>
      <c r="T32" s="17" t="s">
        <v>439</v>
      </c>
      <c r="U32" s="573">
        <v>0.13350000000000001</v>
      </c>
      <c r="V32" s="570">
        <f t="shared" si="2"/>
        <v>37656.612000000001</v>
      </c>
      <c r="W32" s="269"/>
      <c r="X32" s="269"/>
      <c r="Y32" s="39" t="s">
        <v>92</v>
      </c>
      <c r="Z32" s="17">
        <v>5</v>
      </c>
      <c r="AA32" t="str">
        <f>VLOOKUP(Y32,Source!F:F,1,FALSE)</f>
        <v>Dept. of Conservation and Recreation</v>
      </c>
    </row>
    <row r="33" spans="1:27" s="275" customFormat="1" hidden="1">
      <c r="A33" s="17" t="str">
        <f t="shared" si="1"/>
        <v>Dept. of Conservation and Recreation6</v>
      </c>
      <c r="B33" s="255" t="s">
        <v>431</v>
      </c>
      <c r="C33" s="26" t="s">
        <v>260</v>
      </c>
      <c r="D33" s="17"/>
      <c r="E33" s="26" t="s">
        <v>1498</v>
      </c>
      <c r="F33" s="574">
        <v>2.7</v>
      </c>
      <c r="G33" s="17"/>
      <c r="H33" s="26"/>
      <c r="I33" s="17"/>
      <c r="J33" s="24"/>
      <c r="K33" s="25"/>
      <c r="L33" s="27">
        <v>2019</v>
      </c>
      <c r="M33" s="574">
        <v>2.7</v>
      </c>
      <c r="N33" s="26" t="s">
        <v>481</v>
      </c>
      <c r="O33" s="17" t="s">
        <v>1076</v>
      </c>
      <c r="P33" s="17" t="s">
        <v>710</v>
      </c>
      <c r="Q33" s="270"/>
      <c r="R33" s="270"/>
      <c r="S33" s="270"/>
      <c r="T33" s="17" t="s">
        <v>439</v>
      </c>
      <c r="U33" s="573">
        <v>0.13350000000000001</v>
      </c>
      <c r="V33" s="570">
        <f t="shared" si="2"/>
        <v>3157.5420000000004</v>
      </c>
      <c r="W33" s="274"/>
      <c r="X33" s="270"/>
      <c r="Y33" s="39" t="s">
        <v>92</v>
      </c>
      <c r="Z33" s="269">
        <v>6</v>
      </c>
      <c r="AA33" t="str">
        <f>VLOOKUP(Y33,Source!F:F,1,FALSE)</f>
        <v>Dept. of Conservation and Recreation</v>
      </c>
    </row>
    <row r="34" spans="1:27" s="275" customFormat="1" hidden="1">
      <c r="A34" s="17" t="str">
        <f t="shared" si="1"/>
        <v>Dept. of Conservation and Recreation7</v>
      </c>
      <c r="B34" s="255" t="s">
        <v>431</v>
      </c>
      <c r="C34" s="26" t="s">
        <v>260</v>
      </c>
      <c r="D34" s="17"/>
      <c r="E34" s="17" t="s">
        <v>1499</v>
      </c>
      <c r="F34" s="571">
        <v>105.8</v>
      </c>
      <c r="G34" s="556" t="s">
        <v>1569</v>
      </c>
      <c r="H34" s="26" t="s">
        <v>489</v>
      </c>
      <c r="I34" s="23" t="s">
        <v>437</v>
      </c>
      <c r="J34" s="17"/>
      <c r="K34" s="17"/>
      <c r="L34" s="28">
        <v>2016</v>
      </c>
      <c r="M34" s="571">
        <v>105.8</v>
      </c>
      <c r="N34" s="26" t="s">
        <v>481</v>
      </c>
      <c r="O34" s="17" t="s">
        <v>1076</v>
      </c>
      <c r="P34" s="17" t="s">
        <v>708</v>
      </c>
      <c r="Q34" s="276"/>
      <c r="R34" s="269"/>
      <c r="S34" s="269"/>
      <c r="T34" s="17" t="s">
        <v>439</v>
      </c>
      <c r="U34" s="182">
        <v>0.13350000000000001</v>
      </c>
      <c r="V34" s="570">
        <f t="shared" si="2"/>
        <v>123728.868</v>
      </c>
      <c r="W34" s="274"/>
      <c r="X34" s="269"/>
      <c r="Y34" s="39" t="s">
        <v>92</v>
      </c>
      <c r="Z34" s="17">
        <v>7</v>
      </c>
      <c r="AA34" t="str">
        <f>VLOOKUP(Y34,Source!F:F,1,FALSE)</f>
        <v>Dept. of Conservation and Recreation</v>
      </c>
    </row>
    <row r="35" spans="1:27" s="275" customFormat="1" hidden="1">
      <c r="A35" s="17" t="str">
        <f t="shared" si="1"/>
        <v>Dept. of Conservation and Recreation8</v>
      </c>
      <c r="B35" s="255" t="s">
        <v>431</v>
      </c>
      <c r="C35" s="26" t="s">
        <v>260</v>
      </c>
      <c r="D35" s="17"/>
      <c r="E35" s="17" t="s">
        <v>1500</v>
      </c>
      <c r="F35" s="622">
        <v>112.5</v>
      </c>
      <c r="G35" s="17" t="s">
        <v>1570</v>
      </c>
      <c r="H35" s="26" t="s">
        <v>460</v>
      </c>
      <c r="I35" s="23" t="s">
        <v>437</v>
      </c>
      <c r="J35" s="17"/>
      <c r="K35" s="17"/>
      <c r="L35" s="16">
        <v>2023</v>
      </c>
      <c r="M35" s="622">
        <v>112.5</v>
      </c>
      <c r="N35" s="26" t="s">
        <v>481</v>
      </c>
      <c r="O35" s="17" t="s">
        <v>1076</v>
      </c>
      <c r="P35" s="17" t="s">
        <v>710</v>
      </c>
      <c r="Q35" s="269"/>
      <c r="R35" s="269"/>
      <c r="S35" s="269"/>
      <c r="T35" s="17" t="s">
        <v>439</v>
      </c>
      <c r="U35" s="182">
        <v>0.13350000000000001</v>
      </c>
      <c r="V35" s="570">
        <f t="shared" si="2"/>
        <v>131564.25</v>
      </c>
      <c r="W35" s="269"/>
      <c r="X35" s="269"/>
      <c r="Y35" s="39" t="s">
        <v>92</v>
      </c>
      <c r="Z35" s="269">
        <v>8</v>
      </c>
      <c r="AA35" t="str">
        <f>VLOOKUP(Y35,Source!F:F,1,FALSE)</f>
        <v>Dept. of Conservation and Recreation</v>
      </c>
    </row>
    <row r="36" spans="1:27" s="275" customFormat="1" hidden="1">
      <c r="A36" s="17" t="str">
        <f t="shared" ref="A36:A71" si="3">Y36&amp;Z36</f>
        <v>Dept. of Conservation and Recreation9</v>
      </c>
      <c r="B36" s="255" t="s">
        <v>431</v>
      </c>
      <c r="C36" s="26" t="s">
        <v>260</v>
      </c>
      <c r="D36" s="20"/>
      <c r="E36" s="17" t="s">
        <v>1501</v>
      </c>
      <c r="F36" s="622">
        <v>134.6</v>
      </c>
      <c r="G36" s="17" t="s">
        <v>1571</v>
      </c>
      <c r="H36" s="26" t="s">
        <v>460</v>
      </c>
      <c r="I36" s="23" t="s">
        <v>437</v>
      </c>
      <c r="J36" s="17"/>
      <c r="K36" s="17"/>
      <c r="L36" s="16">
        <v>2023</v>
      </c>
      <c r="M36" s="622">
        <v>134.6</v>
      </c>
      <c r="N36" s="26" t="s">
        <v>481</v>
      </c>
      <c r="O36" s="17" t="s">
        <v>1076</v>
      </c>
      <c r="P36" s="17" t="s">
        <v>710</v>
      </c>
      <c r="Q36" s="270"/>
      <c r="R36" s="270"/>
      <c r="S36" s="270"/>
      <c r="T36" s="17" t="s">
        <v>439</v>
      </c>
      <c r="U36" s="573">
        <v>0.13350000000000001</v>
      </c>
      <c r="V36" s="570">
        <f t="shared" si="2"/>
        <v>157409.31600000002</v>
      </c>
      <c r="W36" s="274"/>
      <c r="X36" s="270"/>
      <c r="Y36" s="39" t="s">
        <v>92</v>
      </c>
      <c r="Z36" s="17">
        <v>9</v>
      </c>
      <c r="AA36" t="str">
        <f>VLOOKUP(Y36,Source!F:F,1,FALSE)</f>
        <v>Dept. of Conservation and Recreation</v>
      </c>
    </row>
    <row r="37" spans="1:27" s="275" customFormat="1" hidden="1">
      <c r="A37" s="17" t="str">
        <f t="shared" si="3"/>
        <v>Dept. of Conservation and Recreation10</v>
      </c>
      <c r="B37" s="255" t="s">
        <v>431</v>
      </c>
      <c r="C37" s="17" t="s">
        <v>260</v>
      </c>
      <c r="D37" s="17"/>
      <c r="E37" s="21" t="s">
        <v>2241</v>
      </c>
      <c r="F37" s="571"/>
      <c r="G37" s="17" t="s">
        <v>2246</v>
      </c>
      <c r="H37" s="22" t="s">
        <v>1606</v>
      </c>
      <c r="I37" s="17" t="s">
        <v>437</v>
      </c>
      <c r="J37" s="24">
        <v>1007</v>
      </c>
      <c r="K37" s="17"/>
      <c r="L37" s="28"/>
      <c r="M37" s="571"/>
      <c r="N37" s="17" t="s">
        <v>481</v>
      </c>
      <c r="O37" s="17" t="s">
        <v>1076</v>
      </c>
      <c r="P37" s="17"/>
      <c r="Q37" s="17"/>
      <c r="R37" s="17"/>
      <c r="S37" s="17"/>
      <c r="T37" s="17" t="s">
        <v>439</v>
      </c>
      <c r="U37" s="573">
        <v>0.13350000000000001</v>
      </c>
      <c r="V37" s="570">
        <f t="shared" si="2"/>
        <v>0</v>
      </c>
      <c r="W37" s="17"/>
      <c r="X37" s="17"/>
      <c r="Y37" s="496" t="s">
        <v>92</v>
      </c>
      <c r="Z37" s="269">
        <v>10</v>
      </c>
      <c r="AA37" t="str">
        <f>VLOOKUP(Y37,Source!F:F,1,FALSE)</f>
        <v>Dept. of Conservation and Recreation</v>
      </c>
    </row>
    <row r="38" spans="1:27" s="275" customFormat="1" hidden="1">
      <c r="A38" s="17" t="str">
        <f t="shared" si="3"/>
        <v>Dept. of Conservation and Recreation11</v>
      </c>
      <c r="B38" s="255" t="s">
        <v>431</v>
      </c>
      <c r="C38" s="17" t="s">
        <v>260</v>
      </c>
      <c r="D38" s="17"/>
      <c r="E38" s="21" t="s">
        <v>2242</v>
      </c>
      <c r="F38" s="571"/>
      <c r="G38" s="17" t="s">
        <v>2247</v>
      </c>
      <c r="H38" s="22" t="s">
        <v>2248</v>
      </c>
      <c r="I38" s="17" t="s">
        <v>437</v>
      </c>
      <c r="J38" s="24">
        <v>1355</v>
      </c>
      <c r="K38" s="17"/>
      <c r="L38" s="28"/>
      <c r="M38" s="571"/>
      <c r="N38" s="17" t="s">
        <v>481</v>
      </c>
      <c r="O38" s="17" t="s">
        <v>1076</v>
      </c>
      <c r="P38" s="17"/>
      <c r="Q38" s="17"/>
      <c r="R38" s="17"/>
      <c r="S38" s="17"/>
      <c r="T38" s="17" t="s">
        <v>439</v>
      </c>
      <c r="U38" s="573">
        <v>0.13350000000000001</v>
      </c>
      <c r="V38" s="570">
        <f t="shared" si="2"/>
        <v>0</v>
      </c>
      <c r="W38" s="17"/>
      <c r="X38" s="17"/>
      <c r="Y38" s="496" t="s">
        <v>92</v>
      </c>
      <c r="Z38" s="17">
        <v>11</v>
      </c>
      <c r="AA38" t="str">
        <f>VLOOKUP(Y38,Source!F:F,1,FALSE)</f>
        <v>Dept. of Conservation and Recreation</v>
      </c>
    </row>
    <row r="39" spans="1:27" s="275" customFormat="1" hidden="1">
      <c r="A39" s="17" t="str">
        <f t="shared" si="3"/>
        <v>Dept. of Conservation and Recreation12</v>
      </c>
      <c r="B39" s="255" t="s">
        <v>431</v>
      </c>
      <c r="C39" s="17" t="s">
        <v>260</v>
      </c>
      <c r="D39" s="17"/>
      <c r="E39" s="21" t="s">
        <v>2243</v>
      </c>
      <c r="F39" s="571"/>
      <c r="G39" s="17" t="s">
        <v>2249</v>
      </c>
      <c r="H39" s="22" t="s">
        <v>2250</v>
      </c>
      <c r="I39" s="17" t="s">
        <v>437</v>
      </c>
      <c r="J39" s="24">
        <v>1366</v>
      </c>
      <c r="K39" s="17"/>
      <c r="L39" s="28"/>
      <c r="M39" s="571"/>
      <c r="N39" s="17" t="s">
        <v>481</v>
      </c>
      <c r="O39" s="17" t="s">
        <v>1076</v>
      </c>
      <c r="P39" s="17"/>
      <c r="Q39" s="17"/>
      <c r="R39" s="17"/>
      <c r="S39" s="17"/>
      <c r="T39" s="17" t="s">
        <v>439</v>
      </c>
      <c r="U39" s="573">
        <v>0.13350000000000001</v>
      </c>
      <c r="V39" s="570">
        <f t="shared" si="2"/>
        <v>0</v>
      </c>
      <c r="W39" s="17"/>
      <c r="X39" s="17"/>
      <c r="Y39" s="496" t="s">
        <v>92</v>
      </c>
      <c r="Z39" s="269">
        <v>12</v>
      </c>
      <c r="AA39" t="str">
        <f>VLOOKUP(Y39,Source!F:F,1,FALSE)</f>
        <v>Dept. of Conservation and Recreation</v>
      </c>
    </row>
    <row r="40" spans="1:27" s="275" customFormat="1" hidden="1">
      <c r="A40" s="17" t="str">
        <f t="shared" si="3"/>
        <v>Dept. of Conservation and Recreation13</v>
      </c>
      <c r="B40" s="255" t="s">
        <v>431</v>
      </c>
      <c r="C40" s="17" t="s">
        <v>260</v>
      </c>
      <c r="D40" s="17"/>
      <c r="E40" s="21" t="s">
        <v>2244</v>
      </c>
      <c r="F40" s="571">
        <v>9.4</v>
      </c>
      <c r="G40" s="17" t="s">
        <v>1987</v>
      </c>
      <c r="H40" s="22" t="s">
        <v>483</v>
      </c>
      <c r="I40" s="17" t="s">
        <v>437</v>
      </c>
      <c r="J40" s="24">
        <v>2536</v>
      </c>
      <c r="K40" s="17"/>
      <c r="L40" s="28">
        <v>2021</v>
      </c>
      <c r="M40" s="571">
        <v>9.4</v>
      </c>
      <c r="N40" s="17" t="s">
        <v>481</v>
      </c>
      <c r="O40" s="17" t="s">
        <v>1076</v>
      </c>
      <c r="P40" s="17" t="s">
        <v>710</v>
      </c>
      <c r="Q40" s="17"/>
      <c r="R40" s="17"/>
      <c r="S40" s="17"/>
      <c r="T40" s="17" t="s">
        <v>439</v>
      </c>
      <c r="U40" s="573">
        <v>0.13350000000000001</v>
      </c>
      <c r="V40" s="570">
        <f t="shared" si="2"/>
        <v>10992.924000000001</v>
      </c>
      <c r="W40" s="17"/>
      <c r="X40" s="17"/>
      <c r="Y40" s="496" t="s">
        <v>92</v>
      </c>
      <c r="Z40" s="17">
        <v>13</v>
      </c>
      <c r="AA40" t="str">
        <f>VLOOKUP(Y40,Source!F:F,1,FALSE)</f>
        <v>Dept. of Conservation and Recreation</v>
      </c>
    </row>
    <row r="41" spans="1:27" s="275" customFormat="1" hidden="1">
      <c r="A41" s="17" t="str">
        <f t="shared" si="3"/>
        <v>Dept. of Conservation and Recreation14</v>
      </c>
      <c r="B41" s="255" t="s">
        <v>431</v>
      </c>
      <c r="C41" s="17" t="s">
        <v>260</v>
      </c>
      <c r="D41" s="17"/>
      <c r="E41" s="21" t="s">
        <v>2244</v>
      </c>
      <c r="F41" s="571">
        <v>9.4</v>
      </c>
      <c r="G41" s="17" t="s">
        <v>1987</v>
      </c>
      <c r="H41" s="22" t="s">
        <v>483</v>
      </c>
      <c r="I41" s="17" t="s">
        <v>437</v>
      </c>
      <c r="J41" s="24">
        <v>2536</v>
      </c>
      <c r="K41" s="17"/>
      <c r="L41" s="28">
        <v>2021</v>
      </c>
      <c r="M41" s="571">
        <v>9.4</v>
      </c>
      <c r="N41" s="17" t="s">
        <v>481</v>
      </c>
      <c r="O41" s="17" t="s">
        <v>1076</v>
      </c>
      <c r="P41" s="17" t="s">
        <v>1635</v>
      </c>
      <c r="Q41" s="17"/>
      <c r="R41" s="17"/>
      <c r="S41" s="17"/>
      <c r="T41" s="17" t="s">
        <v>439</v>
      </c>
      <c r="U41" s="573">
        <v>0.13350000000000001</v>
      </c>
      <c r="V41" s="570">
        <f t="shared" si="2"/>
        <v>10992.924000000001</v>
      </c>
      <c r="W41" s="17"/>
      <c r="X41" s="17"/>
      <c r="Y41" s="496" t="s">
        <v>92</v>
      </c>
      <c r="Z41" s="269">
        <v>14</v>
      </c>
      <c r="AA41" t="str">
        <f>VLOOKUP(Y41,Source!F:F,1,FALSE)</f>
        <v>Dept. of Conservation and Recreation</v>
      </c>
    </row>
    <row r="42" spans="1:27" s="275" customFormat="1" hidden="1">
      <c r="A42" s="17" t="str">
        <f t="shared" si="3"/>
        <v>Dept. of Conservation and Recreation15</v>
      </c>
      <c r="B42" s="255" t="s">
        <v>431</v>
      </c>
      <c r="C42" s="17" t="s">
        <v>260</v>
      </c>
      <c r="D42" s="17"/>
      <c r="E42" s="21" t="s">
        <v>1561</v>
      </c>
      <c r="F42" s="571">
        <v>68</v>
      </c>
      <c r="G42" s="20" t="s">
        <v>1593</v>
      </c>
      <c r="H42" s="26" t="s">
        <v>534</v>
      </c>
      <c r="I42" s="23" t="s">
        <v>437</v>
      </c>
      <c r="J42" s="24">
        <v>1607</v>
      </c>
      <c r="K42" s="191">
        <v>45170</v>
      </c>
      <c r="L42" s="28">
        <v>2024</v>
      </c>
      <c r="M42" s="571">
        <v>68</v>
      </c>
      <c r="N42" s="17" t="s">
        <v>481</v>
      </c>
      <c r="O42" s="17" t="s">
        <v>1076</v>
      </c>
      <c r="P42" s="17" t="s">
        <v>710</v>
      </c>
      <c r="Q42" s="17"/>
      <c r="R42" s="17"/>
      <c r="S42" s="17"/>
      <c r="T42" s="17" t="s">
        <v>439</v>
      </c>
      <c r="U42" s="573">
        <v>0.13350000000000001</v>
      </c>
      <c r="V42" s="570">
        <f t="shared" si="2"/>
        <v>79523.280000000013</v>
      </c>
      <c r="W42" s="17"/>
      <c r="X42" s="17"/>
      <c r="Y42" s="496" t="s">
        <v>92</v>
      </c>
      <c r="Z42" s="17">
        <v>15</v>
      </c>
      <c r="AA42" t="str">
        <f>VLOOKUP(Y42,Source!F:F,1,FALSE)</f>
        <v>Dept. of Conservation and Recreation</v>
      </c>
    </row>
    <row r="43" spans="1:27" s="275" customFormat="1" hidden="1">
      <c r="A43" s="17" t="str">
        <f t="shared" si="3"/>
        <v>Dept. of Correction1</v>
      </c>
      <c r="B43" s="255" t="s">
        <v>452</v>
      </c>
      <c r="C43" s="26" t="s">
        <v>453</v>
      </c>
      <c r="D43" s="20"/>
      <c r="E43" s="496" t="s">
        <v>1502</v>
      </c>
      <c r="F43" s="565">
        <v>1400</v>
      </c>
      <c r="G43" s="255" t="s">
        <v>491</v>
      </c>
      <c r="H43" s="26" t="s">
        <v>450</v>
      </c>
      <c r="I43" s="17" t="s">
        <v>437</v>
      </c>
      <c r="J43" s="24">
        <v>2324</v>
      </c>
      <c r="K43" s="25"/>
      <c r="L43" s="27">
        <v>2010</v>
      </c>
      <c r="M43" s="565">
        <v>1400</v>
      </c>
      <c r="N43" s="29" t="s">
        <v>492</v>
      </c>
      <c r="O43" s="672"/>
      <c r="P43" s="672"/>
      <c r="Q43" s="270"/>
      <c r="R43" s="270"/>
      <c r="S43" s="270"/>
      <c r="T43" s="17" t="s">
        <v>439</v>
      </c>
      <c r="U43" s="17"/>
      <c r="V43" s="17"/>
      <c r="W43" s="274"/>
      <c r="X43" s="270"/>
      <c r="Y43" s="274" t="s">
        <v>93</v>
      </c>
      <c r="Z43" s="269">
        <v>1</v>
      </c>
      <c r="AA43" t="str">
        <f>VLOOKUP(Y43,Source!F:F,1,FALSE)</f>
        <v>Dept. of Correction</v>
      </c>
    </row>
    <row r="44" spans="1:27" s="275" customFormat="1" hidden="1">
      <c r="A44" s="17" t="str">
        <f t="shared" si="3"/>
        <v>Dept. of Correction2</v>
      </c>
      <c r="B44" s="255" t="s">
        <v>431</v>
      </c>
      <c r="C44" s="26" t="s">
        <v>260</v>
      </c>
      <c r="D44" s="20"/>
      <c r="E44" s="496" t="s">
        <v>507</v>
      </c>
      <c r="F44" s="565">
        <v>4</v>
      </c>
      <c r="G44" s="255" t="s">
        <v>508</v>
      </c>
      <c r="H44" s="26" t="s">
        <v>509</v>
      </c>
      <c r="I44" s="17" t="s">
        <v>437</v>
      </c>
      <c r="J44" s="641">
        <v>1702</v>
      </c>
      <c r="K44" s="25"/>
      <c r="L44" s="27">
        <v>2008</v>
      </c>
      <c r="M44" s="17">
        <v>4</v>
      </c>
      <c r="N44" s="26" t="s">
        <v>492</v>
      </c>
      <c r="O44" s="17" t="s">
        <v>1076</v>
      </c>
      <c r="P44" s="17" t="s">
        <v>1635</v>
      </c>
      <c r="Q44" s="270"/>
      <c r="R44" s="270"/>
      <c r="S44" s="270"/>
      <c r="T44" s="17" t="s">
        <v>439</v>
      </c>
      <c r="U44" s="573">
        <v>0.13350000000000001</v>
      </c>
      <c r="V44" s="570">
        <v>4677.84</v>
      </c>
      <c r="W44" s="274"/>
      <c r="X44" s="270"/>
      <c r="Y44" s="274" t="s">
        <v>93</v>
      </c>
      <c r="Z44" s="269">
        <v>2</v>
      </c>
      <c r="AA44" t="str">
        <f>VLOOKUP(Y44,Source!F:F,1,FALSE)</f>
        <v>Dept. of Correction</v>
      </c>
    </row>
    <row r="45" spans="1:27" s="275" customFormat="1" hidden="1">
      <c r="A45" s="17" t="str">
        <f t="shared" si="3"/>
        <v>Dept. of Correction3</v>
      </c>
      <c r="B45" s="255" t="s">
        <v>431</v>
      </c>
      <c r="C45" s="26" t="s">
        <v>260</v>
      </c>
      <c r="D45" s="20"/>
      <c r="E45" s="26" t="s">
        <v>1503</v>
      </c>
      <c r="F45" s="565">
        <v>56.4</v>
      </c>
      <c r="G45" s="255" t="s">
        <v>510</v>
      </c>
      <c r="H45" s="26" t="s">
        <v>509</v>
      </c>
      <c r="I45" s="17" t="s">
        <v>437</v>
      </c>
      <c r="J45" s="641">
        <v>1702</v>
      </c>
      <c r="K45" s="25"/>
      <c r="L45" s="27">
        <v>2008</v>
      </c>
      <c r="M45" s="17">
        <v>72</v>
      </c>
      <c r="N45" s="26" t="s">
        <v>492</v>
      </c>
      <c r="O45" s="17" t="s">
        <v>1076</v>
      </c>
      <c r="P45" s="17" t="s">
        <v>1635</v>
      </c>
      <c r="Q45" s="269"/>
      <c r="R45" s="269"/>
      <c r="S45" s="270"/>
      <c r="T45" s="17" t="s">
        <v>439</v>
      </c>
      <c r="U45" s="573">
        <v>0.13350000000000001</v>
      </c>
      <c r="V45" s="570">
        <v>84201.12000000001</v>
      </c>
      <c r="W45" s="274"/>
      <c r="X45" s="269"/>
      <c r="Y45" s="274" t="s">
        <v>93</v>
      </c>
      <c r="Z45" s="269">
        <v>3</v>
      </c>
      <c r="AA45" t="str">
        <f>VLOOKUP(Y45,Source!F:F,1,FALSE)</f>
        <v>Dept. of Correction</v>
      </c>
    </row>
    <row r="46" spans="1:27" hidden="1">
      <c r="A46" s="17" t="str">
        <f t="shared" si="3"/>
        <v>Dept. of Correction4</v>
      </c>
      <c r="B46" s="255" t="s">
        <v>431</v>
      </c>
      <c r="C46" s="26" t="s">
        <v>263</v>
      </c>
      <c r="D46" s="20" t="s">
        <v>511</v>
      </c>
      <c r="E46" s="26" t="s">
        <v>512</v>
      </c>
      <c r="F46" s="565">
        <v>3300</v>
      </c>
      <c r="G46" s="17" t="s">
        <v>513</v>
      </c>
      <c r="H46" s="26" t="s">
        <v>514</v>
      </c>
      <c r="I46" s="32" t="s">
        <v>437</v>
      </c>
      <c r="J46" s="24">
        <v>1440</v>
      </c>
      <c r="K46" s="25">
        <v>41306</v>
      </c>
      <c r="L46" s="27">
        <v>2012</v>
      </c>
      <c r="M46" s="17">
        <v>72</v>
      </c>
      <c r="N46" s="26" t="s">
        <v>492</v>
      </c>
      <c r="O46" s="17"/>
      <c r="P46" s="17"/>
      <c r="Q46" s="269"/>
      <c r="R46" s="269"/>
      <c r="S46" s="269"/>
      <c r="T46" s="17" t="s">
        <v>439</v>
      </c>
      <c r="U46" s="672">
        <v>0.26</v>
      </c>
      <c r="V46" s="570">
        <v>163987.20000000001</v>
      </c>
      <c r="W46" s="269"/>
      <c r="X46" s="269"/>
      <c r="Y46" s="274" t="s">
        <v>93</v>
      </c>
      <c r="Z46" s="269">
        <v>4</v>
      </c>
      <c r="AA46" t="str">
        <f>VLOOKUP(Y46,Source!F:F,1,FALSE)</f>
        <v>Dept. of Correction</v>
      </c>
    </row>
    <row r="47" spans="1:27" hidden="1">
      <c r="A47" s="17" t="str">
        <f t="shared" si="3"/>
        <v>Dept. of Correction5</v>
      </c>
      <c r="B47" s="255" t="s">
        <v>431</v>
      </c>
      <c r="C47" s="17" t="s">
        <v>260</v>
      </c>
      <c r="D47" s="20" t="s">
        <v>515</v>
      </c>
      <c r="E47" s="698" t="s">
        <v>516</v>
      </c>
      <c r="F47" s="565">
        <v>80.5</v>
      </c>
      <c r="G47" s="31" t="s">
        <v>517</v>
      </c>
      <c r="H47" s="31" t="s">
        <v>495</v>
      </c>
      <c r="I47" s="23" t="s">
        <v>437</v>
      </c>
      <c r="J47" s="641">
        <v>2056</v>
      </c>
      <c r="K47" s="25">
        <v>40589</v>
      </c>
      <c r="L47" s="27">
        <v>2011</v>
      </c>
      <c r="M47" s="566">
        <v>80.5</v>
      </c>
      <c r="N47" s="26" t="s">
        <v>492</v>
      </c>
      <c r="O47" s="17" t="s">
        <v>1076</v>
      </c>
      <c r="P47" s="17" t="s">
        <v>1635</v>
      </c>
      <c r="Q47" s="17"/>
      <c r="R47" s="17"/>
      <c r="S47" s="17"/>
      <c r="T47" s="17" t="s">
        <v>439</v>
      </c>
      <c r="U47" s="573">
        <v>0.13350000000000001</v>
      </c>
      <c r="V47" s="570">
        <v>94141.53</v>
      </c>
      <c r="W47" s="17"/>
      <c r="X47" s="17"/>
      <c r="Y47" s="26" t="s">
        <v>93</v>
      </c>
      <c r="Z47" s="269">
        <v>5</v>
      </c>
      <c r="AA47" t="str">
        <f>VLOOKUP(Y47,Source!F:F,1,FALSE)</f>
        <v>Dept. of Correction</v>
      </c>
    </row>
    <row r="48" spans="1:27" hidden="1">
      <c r="A48" s="17" t="str">
        <f t="shared" si="3"/>
        <v>Dept. of Correction6</v>
      </c>
      <c r="B48" s="255" t="s">
        <v>431</v>
      </c>
      <c r="C48" s="17" t="s">
        <v>260</v>
      </c>
      <c r="D48" s="20" t="s">
        <v>499</v>
      </c>
      <c r="E48" s="698" t="s">
        <v>500</v>
      </c>
      <c r="F48" s="565">
        <v>103.04</v>
      </c>
      <c r="G48" s="31" t="s">
        <v>501</v>
      </c>
      <c r="H48" s="31" t="s">
        <v>502</v>
      </c>
      <c r="I48" s="23" t="s">
        <v>437</v>
      </c>
      <c r="J48" s="641">
        <v>2071</v>
      </c>
      <c r="K48" s="25">
        <v>40736</v>
      </c>
      <c r="L48" s="27">
        <v>2011</v>
      </c>
      <c r="M48" s="566">
        <v>103.04</v>
      </c>
      <c r="N48" s="26" t="s">
        <v>492</v>
      </c>
      <c r="O48" s="17" t="s">
        <v>1076</v>
      </c>
      <c r="P48" s="17" t="s">
        <v>710</v>
      </c>
      <c r="Q48" s="17"/>
      <c r="R48" s="17"/>
      <c r="S48" s="17"/>
      <c r="T48" s="17" t="s">
        <v>439</v>
      </c>
      <c r="U48" s="573">
        <v>0.13350000000000001</v>
      </c>
      <c r="V48" s="570">
        <v>120501.15840000001</v>
      </c>
      <c r="W48" s="17"/>
      <c r="X48" s="17"/>
      <c r="Y48" s="26" t="s">
        <v>93</v>
      </c>
      <c r="Z48" s="269">
        <v>6</v>
      </c>
      <c r="AA48" t="str">
        <f>VLOOKUP(Y48,Source!F:F,1,FALSE)</f>
        <v>Dept. of Correction</v>
      </c>
    </row>
    <row r="49" spans="1:27" hidden="1">
      <c r="A49" s="17" t="str">
        <f t="shared" si="3"/>
        <v>Dept. of Correction7</v>
      </c>
      <c r="B49" s="255" t="s">
        <v>431</v>
      </c>
      <c r="C49" s="17" t="s">
        <v>260</v>
      </c>
      <c r="D49" s="20" t="s">
        <v>518</v>
      </c>
      <c r="E49" s="698" t="s">
        <v>519</v>
      </c>
      <c r="F49" s="565">
        <v>154.6</v>
      </c>
      <c r="G49" s="31" t="s">
        <v>494</v>
      </c>
      <c r="H49" s="31" t="s">
        <v>495</v>
      </c>
      <c r="I49" s="23" t="s">
        <v>437</v>
      </c>
      <c r="J49" s="641">
        <v>2056</v>
      </c>
      <c r="K49" s="25">
        <v>40623</v>
      </c>
      <c r="L49" s="27">
        <v>2011</v>
      </c>
      <c r="M49" s="566">
        <v>154.6</v>
      </c>
      <c r="N49" s="26" t="s">
        <v>492</v>
      </c>
      <c r="O49" s="17" t="s">
        <v>1076</v>
      </c>
      <c r="P49" s="17" t="s">
        <v>1635</v>
      </c>
      <c r="Q49" s="17"/>
      <c r="R49" s="17"/>
      <c r="S49" s="17"/>
      <c r="T49" s="17" t="s">
        <v>439</v>
      </c>
      <c r="U49" s="573">
        <v>0.13350000000000001</v>
      </c>
      <c r="V49" s="570">
        <v>180798.516</v>
      </c>
      <c r="W49" s="17"/>
      <c r="X49" s="17"/>
      <c r="Y49" s="26" t="s">
        <v>93</v>
      </c>
      <c r="Z49" s="269">
        <v>7</v>
      </c>
      <c r="AA49" t="str">
        <f>VLOOKUP(Y49,Source!F:F,1,FALSE)</f>
        <v>Dept. of Correction</v>
      </c>
    </row>
    <row r="50" spans="1:27" hidden="1">
      <c r="A50" s="17" t="str">
        <f t="shared" si="3"/>
        <v>Dept. of Correction8</v>
      </c>
      <c r="B50" s="255" t="s">
        <v>431</v>
      </c>
      <c r="C50" s="17" t="s">
        <v>260</v>
      </c>
      <c r="D50" s="20" t="s">
        <v>504</v>
      </c>
      <c r="E50" s="698" t="s">
        <v>505</v>
      </c>
      <c r="F50" s="565">
        <v>103.03</v>
      </c>
      <c r="G50" s="31" t="s">
        <v>506</v>
      </c>
      <c r="H50" s="31" t="s">
        <v>489</v>
      </c>
      <c r="I50" s="23" t="s">
        <v>437</v>
      </c>
      <c r="J50" s="24">
        <v>1742</v>
      </c>
      <c r="K50" s="25">
        <v>40515</v>
      </c>
      <c r="L50" s="27">
        <v>2011</v>
      </c>
      <c r="M50" s="566">
        <v>103.03</v>
      </c>
      <c r="N50" s="26" t="s">
        <v>492</v>
      </c>
      <c r="O50" s="17" t="s">
        <v>1076</v>
      </c>
      <c r="P50" s="17" t="s">
        <v>1635</v>
      </c>
      <c r="Q50" s="17"/>
      <c r="R50" s="17"/>
      <c r="S50" s="17"/>
      <c r="T50" s="17" t="s">
        <v>439</v>
      </c>
      <c r="U50" s="573">
        <v>0.13350000000000001</v>
      </c>
      <c r="V50" s="570">
        <v>120489.46380000001</v>
      </c>
      <c r="W50" s="17"/>
      <c r="X50" s="17"/>
      <c r="Y50" s="26" t="s">
        <v>93</v>
      </c>
      <c r="Z50" s="269">
        <v>8</v>
      </c>
      <c r="AA50" t="str">
        <f>VLOOKUP(Y50,Source!F:F,1,FALSE)</f>
        <v>Dept. of Correction</v>
      </c>
    </row>
    <row r="51" spans="1:27" hidden="1">
      <c r="A51" s="17" t="str">
        <f t="shared" si="3"/>
        <v>Dept. of Correction9</v>
      </c>
      <c r="B51" s="255" t="s">
        <v>431</v>
      </c>
      <c r="C51" s="17" t="s">
        <v>260</v>
      </c>
      <c r="D51" s="20" t="s">
        <v>496</v>
      </c>
      <c r="E51" s="698" t="s">
        <v>1646</v>
      </c>
      <c r="F51" s="565">
        <v>206</v>
      </c>
      <c r="G51" s="31" t="s">
        <v>497</v>
      </c>
      <c r="H51" s="31" t="s">
        <v>498</v>
      </c>
      <c r="I51" s="23" t="s">
        <v>437</v>
      </c>
      <c r="J51" s="24">
        <v>1464</v>
      </c>
      <c r="K51" s="25">
        <v>40688</v>
      </c>
      <c r="L51" s="27">
        <v>2011</v>
      </c>
      <c r="M51" s="566">
        <v>206</v>
      </c>
      <c r="N51" s="26" t="s">
        <v>492</v>
      </c>
      <c r="O51" s="17" t="s">
        <v>1076</v>
      </c>
      <c r="P51" s="17" t="s">
        <v>1635</v>
      </c>
      <c r="Q51" s="17"/>
      <c r="R51" s="17"/>
      <c r="S51" s="17"/>
      <c r="T51" s="17" t="s">
        <v>439</v>
      </c>
      <c r="U51" s="573">
        <v>0.13350000000000001</v>
      </c>
      <c r="V51" s="570">
        <v>240908.76</v>
      </c>
      <c r="W51" s="17"/>
      <c r="X51" s="17"/>
      <c r="Y51" s="26" t="s">
        <v>93</v>
      </c>
      <c r="Z51" s="269">
        <v>9</v>
      </c>
      <c r="AA51" t="str">
        <f>VLOOKUP(Y51,Source!F:F,1,FALSE)</f>
        <v>Dept. of Correction</v>
      </c>
    </row>
    <row r="52" spans="1:27" hidden="1">
      <c r="A52" s="17" t="str">
        <f t="shared" si="3"/>
        <v>Dept. of Correction10</v>
      </c>
      <c r="B52" s="255" t="s">
        <v>431</v>
      </c>
      <c r="C52" s="26" t="s">
        <v>260</v>
      </c>
      <c r="D52" s="20"/>
      <c r="E52" s="496" t="s">
        <v>490</v>
      </c>
      <c r="F52" s="623">
        <v>112</v>
      </c>
      <c r="G52" s="255" t="s">
        <v>491</v>
      </c>
      <c r="H52" s="26" t="s">
        <v>450</v>
      </c>
      <c r="I52" s="17" t="s">
        <v>437</v>
      </c>
      <c r="J52" s="24">
        <v>2324</v>
      </c>
      <c r="K52" s="25"/>
      <c r="L52" s="27">
        <v>2008</v>
      </c>
      <c r="M52" s="17">
        <v>112</v>
      </c>
      <c r="N52" s="26" t="s">
        <v>492</v>
      </c>
      <c r="O52" s="17" t="s">
        <v>1076</v>
      </c>
      <c r="P52" s="17" t="s">
        <v>1635</v>
      </c>
      <c r="Q52" s="17"/>
      <c r="R52" s="17"/>
      <c r="S52" s="17"/>
      <c r="T52" s="17" t="s">
        <v>439</v>
      </c>
      <c r="U52" s="573">
        <v>0.13350000000000001</v>
      </c>
      <c r="V52" s="570">
        <v>130979.52</v>
      </c>
      <c r="W52" s="17"/>
      <c r="X52" s="17"/>
      <c r="Y52" s="26" t="s">
        <v>93</v>
      </c>
      <c r="Z52" s="269">
        <v>10</v>
      </c>
      <c r="AA52" t="str">
        <f>VLOOKUP(Y52,Source!F:F,1,FALSE)</f>
        <v>Dept. of Correction</v>
      </c>
    </row>
    <row r="53" spans="1:27" s="275" customFormat="1" hidden="1">
      <c r="A53" s="17" t="str">
        <f t="shared" si="3"/>
        <v>Dept. of Correction11</v>
      </c>
      <c r="B53" s="255" t="s">
        <v>431</v>
      </c>
      <c r="C53" s="26" t="s">
        <v>260</v>
      </c>
      <c r="D53" s="20"/>
      <c r="E53" s="496" t="s">
        <v>1647</v>
      </c>
      <c r="F53" s="565">
        <v>61</v>
      </c>
      <c r="G53" s="255" t="s">
        <v>503</v>
      </c>
      <c r="H53" s="26" t="s">
        <v>502</v>
      </c>
      <c r="I53" s="17" t="s">
        <v>437</v>
      </c>
      <c r="J53" s="24">
        <v>2081</v>
      </c>
      <c r="K53" s="25"/>
      <c r="L53" s="27">
        <v>2008</v>
      </c>
      <c r="M53" s="17">
        <v>61</v>
      </c>
      <c r="N53" s="26" t="s">
        <v>492</v>
      </c>
      <c r="O53" s="17" t="s">
        <v>1076</v>
      </c>
      <c r="P53" s="17" t="s">
        <v>710</v>
      </c>
      <c r="Q53" s="17"/>
      <c r="R53" s="17"/>
      <c r="S53" s="17"/>
      <c r="T53" s="17" t="s">
        <v>439</v>
      </c>
      <c r="U53" s="573">
        <v>0.13350000000000001</v>
      </c>
      <c r="V53" s="570">
        <v>71337.06</v>
      </c>
      <c r="W53" s="17"/>
      <c r="X53" s="17"/>
      <c r="Y53" s="26" t="s">
        <v>93</v>
      </c>
      <c r="Z53" s="269">
        <v>11</v>
      </c>
      <c r="AA53" t="str">
        <f>VLOOKUP(Y53,Source!F:F,1,FALSE)</f>
        <v>Dept. of Correction</v>
      </c>
    </row>
    <row r="54" spans="1:27" s="275" customFormat="1" hidden="1">
      <c r="A54" s="17" t="str">
        <f t="shared" si="3"/>
        <v>Dept. of Correction12</v>
      </c>
      <c r="B54" s="255" t="s">
        <v>431</v>
      </c>
      <c r="C54" s="26" t="s">
        <v>260</v>
      </c>
      <c r="D54" s="20"/>
      <c r="E54" s="496" t="s">
        <v>493</v>
      </c>
      <c r="F54" s="565">
        <v>103</v>
      </c>
      <c r="G54" s="255" t="s">
        <v>1645</v>
      </c>
      <c r="H54" s="26" t="s">
        <v>495</v>
      </c>
      <c r="I54" s="17" t="s">
        <v>437</v>
      </c>
      <c r="J54" s="641">
        <v>2056</v>
      </c>
      <c r="K54" s="25"/>
      <c r="L54" s="27">
        <v>2008</v>
      </c>
      <c r="M54" s="17">
        <v>106</v>
      </c>
      <c r="N54" s="26" t="s">
        <v>492</v>
      </c>
      <c r="O54" s="17" t="s">
        <v>1076</v>
      </c>
      <c r="P54" s="17" t="s">
        <v>1635</v>
      </c>
      <c r="Q54" s="17"/>
      <c r="R54" s="17"/>
      <c r="S54" s="17"/>
      <c r="T54" s="17" t="s">
        <v>439</v>
      </c>
      <c r="U54" s="573">
        <v>0.13350000000000001</v>
      </c>
      <c r="V54" s="570">
        <v>123962.76000000001</v>
      </c>
      <c r="W54" s="17"/>
      <c r="X54" s="17"/>
      <c r="Y54" s="26" t="s">
        <v>93</v>
      </c>
      <c r="Z54" s="269">
        <v>12</v>
      </c>
      <c r="AA54" t="str">
        <f>VLOOKUP(Y54,Source!F:F,1,FALSE)</f>
        <v>Dept. of Correction</v>
      </c>
    </row>
    <row r="55" spans="1:27" s="275" customFormat="1" hidden="1">
      <c r="A55" s="17" t="str">
        <f t="shared" si="3"/>
        <v>Dept. of Developmental Services1</v>
      </c>
      <c r="B55" s="255" t="s">
        <v>431</v>
      </c>
      <c r="C55" s="26" t="s">
        <v>260</v>
      </c>
      <c r="D55" s="20" t="s">
        <v>524</v>
      </c>
      <c r="E55" s="26" t="s">
        <v>521</v>
      </c>
      <c r="F55" s="565">
        <v>501.6</v>
      </c>
      <c r="G55" s="17" t="s">
        <v>522</v>
      </c>
      <c r="H55" s="26" t="s">
        <v>523</v>
      </c>
      <c r="I55" s="17" t="s">
        <v>437</v>
      </c>
      <c r="J55" s="24">
        <v>2093</v>
      </c>
      <c r="K55" s="25">
        <v>41338</v>
      </c>
      <c r="L55" s="27">
        <v>2013</v>
      </c>
      <c r="M55" s="566">
        <v>501.6</v>
      </c>
      <c r="N55" s="17" t="s">
        <v>479</v>
      </c>
      <c r="O55" s="17" t="s">
        <v>1076</v>
      </c>
      <c r="P55" s="17" t="s">
        <v>1635</v>
      </c>
      <c r="Q55" s="269"/>
      <c r="R55" s="269"/>
      <c r="S55" s="269"/>
      <c r="T55" s="17" t="s">
        <v>439</v>
      </c>
      <c r="U55" s="573">
        <v>0.13350000000000001</v>
      </c>
      <c r="V55" s="570">
        <v>586601.13600000006</v>
      </c>
      <c r="W55" s="269"/>
      <c r="X55" s="269"/>
      <c r="Y55" s="21" t="s">
        <v>98</v>
      </c>
      <c r="Z55" s="269">
        <v>1</v>
      </c>
      <c r="AA55" t="str">
        <f>VLOOKUP(Y55,Source!F:F,1,FALSE)</f>
        <v>Dept. of Developmental Services</v>
      </c>
    </row>
    <row r="56" spans="1:27" s="275" customFormat="1" hidden="1">
      <c r="A56" s="17" t="str">
        <f t="shared" si="3"/>
        <v>Dept. of Developmental Services2</v>
      </c>
      <c r="B56" s="255" t="s">
        <v>452</v>
      </c>
      <c r="C56" s="26" t="s">
        <v>453</v>
      </c>
      <c r="D56" s="20" t="s">
        <v>520</v>
      </c>
      <c r="E56" s="26" t="s">
        <v>521</v>
      </c>
      <c r="F56" s="565">
        <v>625</v>
      </c>
      <c r="G56" s="17" t="s">
        <v>522</v>
      </c>
      <c r="H56" s="255" t="s">
        <v>523</v>
      </c>
      <c r="I56" s="17" t="s">
        <v>437</v>
      </c>
      <c r="J56" s="24">
        <v>2093</v>
      </c>
      <c r="K56" s="25">
        <v>41244</v>
      </c>
      <c r="L56" s="27">
        <v>2012</v>
      </c>
      <c r="M56" s="565">
        <v>625</v>
      </c>
      <c r="N56" s="29" t="s">
        <v>479</v>
      </c>
      <c r="O56" s="672"/>
      <c r="P56" s="672"/>
      <c r="Q56" s="36"/>
      <c r="R56" s="17"/>
      <c r="S56" s="17"/>
      <c r="T56" s="17" t="s">
        <v>439</v>
      </c>
      <c r="U56" s="17"/>
      <c r="V56" s="17"/>
      <c r="W56" s="26"/>
      <c r="X56" s="17"/>
      <c r="Y56" s="21" t="s">
        <v>98</v>
      </c>
      <c r="Z56" s="17">
        <v>2</v>
      </c>
      <c r="AA56" t="str">
        <f>VLOOKUP(Y56,Source!F:F,1,FALSE)</f>
        <v>Dept. of Developmental Services</v>
      </c>
    </row>
    <row r="57" spans="1:27" s="564" customFormat="1" hidden="1">
      <c r="A57" s="17" t="str">
        <f t="shared" si="3"/>
        <v>Dept. of Fire Services1</v>
      </c>
      <c r="B57" s="255" t="s">
        <v>431</v>
      </c>
      <c r="C57" s="26" t="s">
        <v>260</v>
      </c>
      <c r="D57" s="20"/>
      <c r="E57" s="26" t="s">
        <v>525</v>
      </c>
      <c r="F57" s="565">
        <v>72</v>
      </c>
      <c r="G57" s="255" t="s">
        <v>526</v>
      </c>
      <c r="H57" s="26" t="s">
        <v>527</v>
      </c>
      <c r="I57" s="17" t="s">
        <v>437</v>
      </c>
      <c r="J57" s="24">
        <v>1775</v>
      </c>
      <c r="K57" s="25"/>
      <c r="L57" s="27">
        <v>2010</v>
      </c>
      <c r="M57" s="566">
        <v>72</v>
      </c>
      <c r="N57" s="26" t="s">
        <v>481</v>
      </c>
      <c r="O57" s="17" t="s">
        <v>1076</v>
      </c>
      <c r="P57" s="255" t="s">
        <v>710</v>
      </c>
      <c r="Q57" s="17"/>
      <c r="R57" s="17"/>
      <c r="S57" s="17"/>
      <c r="T57" s="17" t="s">
        <v>439</v>
      </c>
      <c r="U57" s="573">
        <v>0.13350000000000001</v>
      </c>
      <c r="V57" s="570">
        <v>84201.12000000001</v>
      </c>
      <c r="W57" s="17"/>
      <c r="X57" s="17"/>
      <c r="Y57" s="274" t="s">
        <v>99</v>
      </c>
      <c r="Z57" s="17">
        <v>1</v>
      </c>
      <c r="AA57" t="str">
        <f>VLOOKUP(Y57,Source!F:F,1,FALSE)</f>
        <v>Dept. of Fire Services</v>
      </c>
    </row>
    <row r="58" spans="1:27" s="275" customFormat="1" hidden="1">
      <c r="A58" s="17" t="str">
        <f t="shared" si="3"/>
        <v>Dept. of Fish &amp; Game1</v>
      </c>
      <c r="B58" s="255" t="s">
        <v>431</v>
      </c>
      <c r="C58" s="26" t="s">
        <v>260</v>
      </c>
      <c r="D58" s="17"/>
      <c r="E58" s="17" t="s">
        <v>528</v>
      </c>
      <c r="F58" s="571">
        <v>294</v>
      </c>
      <c r="G58" s="17" t="s">
        <v>529</v>
      </c>
      <c r="H58" s="17" t="s">
        <v>530</v>
      </c>
      <c r="I58" s="17" t="s">
        <v>437</v>
      </c>
      <c r="J58" s="17"/>
      <c r="K58" s="17"/>
      <c r="L58" s="28">
        <v>2015</v>
      </c>
      <c r="M58" s="570">
        <v>294</v>
      </c>
      <c r="N58" s="29" t="s">
        <v>1612</v>
      </c>
      <c r="O58" s="17" t="s">
        <v>1076</v>
      </c>
      <c r="P58" s="17" t="s">
        <v>710</v>
      </c>
      <c r="Q58" s="17"/>
      <c r="R58" s="17"/>
      <c r="S58" s="255"/>
      <c r="T58" s="17" t="s">
        <v>439</v>
      </c>
      <c r="U58" s="573">
        <v>0.13350000000000001</v>
      </c>
      <c r="V58" s="570">
        <v>343821.24</v>
      </c>
      <c r="W58" s="26"/>
      <c r="X58" s="255"/>
      <c r="Y58" s="274" t="s">
        <v>1638</v>
      </c>
      <c r="Z58" s="17">
        <v>1</v>
      </c>
      <c r="AA58" t="e">
        <f>VLOOKUP(Y58,Source!F:F,1,FALSE)</f>
        <v>#N/A</v>
      </c>
    </row>
    <row r="59" spans="1:27" hidden="1">
      <c r="A59" s="17" t="str">
        <f t="shared" si="3"/>
        <v>Dept. of Mental Health1</v>
      </c>
      <c r="B59" s="255" t="s">
        <v>452</v>
      </c>
      <c r="C59" s="26" t="s">
        <v>453</v>
      </c>
      <c r="D59" s="20" t="s">
        <v>531</v>
      </c>
      <c r="E59" s="33" t="s">
        <v>532</v>
      </c>
      <c r="F59" s="565">
        <v>250</v>
      </c>
      <c r="G59" s="20" t="s">
        <v>533</v>
      </c>
      <c r="H59" s="26" t="s">
        <v>534</v>
      </c>
      <c r="I59" s="17" t="s">
        <v>437</v>
      </c>
      <c r="J59" s="24">
        <v>1602</v>
      </c>
      <c r="K59" s="25">
        <v>41183</v>
      </c>
      <c r="L59" s="27">
        <v>2013</v>
      </c>
      <c r="M59" s="571">
        <v>250</v>
      </c>
      <c r="N59" s="17" t="s">
        <v>479</v>
      </c>
      <c r="O59" s="17"/>
      <c r="P59" s="17"/>
      <c r="Q59" s="17"/>
      <c r="R59" s="17"/>
      <c r="S59" s="255"/>
      <c r="T59" s="17" t="s">
        <v>439</v>
      </c>
      <c r="U59" s="17"/>
      <c r="V59" s="17"/>
      <c r="W59" s="26"/>
      <c r="X59" s="255"/>
      <c r="Y59" s="707" t="s">
        <v>101</v>
      </c>
      <c r="Z59" s="255">
        <v>1</v>
      </c>
      <c r="AA59" t="str">
        <f>VLOOKUP(Y59,Source!F:F,1,FALSE)</f>
        <v>Dept. of Mental Health</v>
      </c>
    </row>
    <row r="60" spans="1:27" hidden="1">
      <c r="A60" s="17" t="str">
        <f t="shared" si="3"/>
        <v>Dept. of Youth Services1</v>
      </c>
      <c r="B60" s="255" t="s">
        <v>431</v>
      </c>
      <c r="C60" s="17" t="s">
        <v>260</v>
      </c>
      <c r="D60" s="20"/>
      <c r="E60" s="33" t="s">
        <v>1504</v>
      </c>
      <c r="F60" s="565">
        <v>100</v>
      </c>
      <c r="G60" s="20" t="s">
        <v>1572</v>
      </c>
      <c r="H60" s="26" t="s">
        <v>1600</v>
      </c>
      <c r="I60" s="17" t="s">
        <v>437</v>
      </c>
      <c r="J60" s="24">
        <v>1949</v>
      </c>
      <c r="K60" s="25"/>
      <c r="L60" s="27">
        <v>2021</v>
      </c>
      <c r="M60" s="571">
        <v>100</v>
      </c>
      <c r="N60" s="17" t="s">
        <v>1613</v>
      </c>
      <c r="O60" s="17" t="s">
        <v>1076</v>
      </c>
      <c r="P60" s="17" t="s">
        <v>710</v>
      </c>
      <c r="Q60" s="17"/>
      <c r="R60" s="17"/>
      <c r="S60" s="17"/>
      <c r="T60" s="17" t="s">
        <v>439</v>
      </c>
      <c r="U60" s="573">
        <v>0.13350000000000001</v>
      </c>
      <c r="V60" s="675">
        <v>116946</v>
      </c>
      <c r="W60" s="17"/>
      <c r="X60" s="17"/>
      <c r="Y60" s="38" t="s">
        <v>104</v>
      </c>
      <c r="Z60" s="17">
        <v>1</v>
      </c>
      <c r="AA60" t="str">
        <f>VLOOKUP(Y60,Source!F:F,1,FALSE)</f>
        <v>Dept. of Youth Services</v>
      </c>
    </row>
    <row r="61" spans="1:27" hidden="1">
      <c r="A61" s="17" t="str">
        <f t="shared" si="3"/>
        <v>Div. of Capital Asset Management1</v>
      </c>
      <c r="B61" s="255" t="s">
        <v>431</v>
      </c>
      <c r="C61" s="17" t="s">
        <v>260</v>
      </c>
      <c r="D61" s="20" t="s">
        <v>539</v>
      </c>
      <c r="E61" s="34" t="s">
        <v>540</v>
      </c>
      <c r="F61" s="565">
        <v>29.4</v>
      </c>
      <c r="G61" s="32" t="s">
        <v>1573</v>
      </c>
      <c r="H61" s="32" t="s">
        <v>541</v>
      </c>
      <c r="I61" s="32" t="s">
        <v>437</v>
      </c>
      <c r="J61" s="24">
        <v>1523</v>
      </c>
      <c r="K61" s="25">
        <v>41023</v>
      </c>
      <c r="L61" s="27">
        <v>2012</v>
      </c>
      <c r="M61" s="566">
        <v>29.4</v>
      </c>
      <c r="N61" s="17" t="s">
        <v>463</v>
      </c>
      <c r="O61" s="17" t="s">
        <v>1076</v>
      </c>
      <c r="P61" s="17" t="s">
        <v>1635</v>
      </c>
      <c r="Q61" s="17"/>
      <c r="R61" s="17"/>
      <c r="S61" s="17"/>
      <c r="T61" s="17" t="s">
        <v>439</v>
      </c>
      <c r="U61" s="573">
        <v>0.13350000000000001</v>
      </c>
      <c r="V61" s="570">
        <v>34382.124000000003</v>
      </c>
      <c r="W61" s="17"/>
      <c r="X61" s="17"/>
      <c r="Y61" s="38" t="s">
        <v>105</v>
      </c>
      <c r="Z61" s="17">
        <v>1</v>
      </c>
      <c r="AA61" t="str">
        <f>VLOOKUP(Y61,Source!F:F,1,FALSE)</f>
        <v>Div. of Capital Asset Management</v>
      </c>
    </row>
    <row r="62" spans="1:27" hidden="1">
      <c r="A62" s="17" t="str">
        <f t="shared" si="3"/>
        <v>Div. of Capital Asset Management2</v>
      </c>
      <c r="B62" s="255" t="s">
        <v>431</v>
      </c>
      <c r="C62" s="17" t="s">
        <v>260</v>
      </c>
      <c r="D62" s="17"/>
      <c r="E62" s="21" t="s">
        <v>1563</v>
      </c>
      <c r="F62" s="571">
        <v>43.5</v>
      </c>
      <c r="G62" s="20" t="s">
        <v>1595</v>
      </c>
      <c r="H62" s="26" t="s">
        <v>1609</v>
      </c>
      <c r="I62" s="23" t="s">
        <v>437</v>
      </c>
      <c r="J62" s="24">
        <v>1581</v>
      </c>
      <c r="K62" s="191">
        <v>45323</v>
      </c>
      <c r="L62" s="28">
        <v>2024</v>
      </c>
      <c r="M62" s="571">
        <v>43.5</v>
      </c>
      <c r="N62" s="17" t="s">
        <v>1614</v>
      </c>
      <c r="O62" s="17"/>
      <c r="P62" s="17" t="s">
        <v>710</v>
      </c>
      <c r="Q62" s="17"/>
      <c r="R62" s="17"/>
      <c r="S62" s="17"/>
      <c r="T62" s="17" t="s">
        <v>439</v>
      </c>
      <c r="U62" s="573">
        <v>0.13350000000000001</v>
      </c>
      <c r="V62" s="570">
        <v>50871.51</v>
      </c>
      <c r="W62" s="17"/>
      <c r="X62" s="17"/>
      <c r="Y62" s="706" t="s">
        <v>105</v>
      </c>
      <c r="Z62" s="17">
        <v>2</v>
      </c>
      <c r="AA62" t="str">
        <f>VLOOKUP(Y62,Source!F:F,1,FALSE)</f>
        <v>Div. of Capital Asset Management</v>
      </c>
    </row>
    <row r="63" spans="1:27" hidden="1">
      <c r="A63" s="17" t="str">
        <f t="shared" si="3"/>
        <v>Essex Sheriff1</v>
      </c>
      <c r="B63" s="255" t="s">
        <v>431</v>
      </c>
      <c r="C63" s="17" t="s">
        <v>260</v>
      </c>
      <c r="D63" s="17"/>
      <c r="E63" s="21" t="s">
        <v>609</v>
      </c>
      <c r="F63" s="571">
        <v>45</v>
      </c>
      <c r="G63" s="20" t="s">
        <v>1596</v>
      </c>
      <c r="H63" s="26" t="s">
        <v>609</v>
      </c>
      <c r="I63" s="23" t="s">
        <v>437</v>
      </c>
      <c r="J63" s="24">
        <v>1841</v>
      </c>
      <c r="K63" s="191">
        <v>42873</v>
      </c>
      <c r="L63" s="28">
        <v>2017</v>
      </c>
      <c r="M63" s="571">
        <v>45</v>
      </c>
      <c r="N63" s="17" t="s">
        <v>1615</v>
      </c>
      <c r="O63" s="17"/>
      <c r="P63" s="17" t="s">
        <v>710</v>
      </c>
      <c r="Q63" s="17"/>
      <c r="R63" s="17"/>
      <c r="S63" s="17"/>
      <c r="T63" s="17" t="s">
        <v>439</v>
      </c>
      <c r="U63" s="573">
        <v>0.13350000000000001</v>
      </c>
      <c r="V63" s="570">
        <v>52625.700000000004</v>
      </c>
      <c r="W63" s="17"/>
      <c r="X63" s="17"/>
      <c r="Y63" s="706" t="s">
        <v>1644</v>
      </c>
      <c r="Z63" s="17">
        <v>1</v>
      </c>
      <c r="AA63" t="e">
        <f>VLOOKUP(Y63,Source!F:F,1,FALSE)</f>
        <v>#N/A</v>
      </c>
    </row>
    <row r="64" spans="1:27" hidden="1">
      <c r="A64" s="17" t="str">
        <f t="shared" si="3"/>
        <v>Fitchburg State University1</v>
      </c>
      <c r="B64" s="255" t="s">
        <v>431</v>
      </c>
      <c r="C64" s="17" t="s">
        <v>260</v>
      </c>
      <c r="D64" s="20" t="s">
        <v>542</v>
      </c>
      <c r="E64" s="21" t="s">
        <v>543</v>
      </c>
      <c r="F64" s="565">
        <v>26.88</v>
      </c>
      <c r="G64" s="22" t="s">
        <v>544</v>
      </c>
      <c r="H64" s="22" t="s">
        <v>545</v>
      </c>
      <c r="I64" s="23" t="s">
        <v>437</v>
      </c>
      <c r="J64" s="24">
        <v>1420</v>
      </c>
      <c r="K64" s="25">
        <v>40679</v>
      </c>
      <c r="L64" s="27">
        <v>2011</v>
      </c>
      <c r="M64" s="566">
        <v>26.88</v>
      </c>
      <c r="N64" s="26" t="s">
        <v>438</v>
      </c>
      <c r="O64" s="17" t="s">
        <v>1076</v>
      </c>
      <c r="P64" s="17" t="s">
        <v>710</v>
      </c>
      <c r="Q64" s="269"/>
      <c r="R64" s="269"/>
      <c r="S64" s="269"/>
      <c r="T64" s="17" t="s">
        <v>439</v>
      </c>
      <c r="U64" s="573">
        <v>0.13350000000000001</v>
      </c>
      <c r="V64" s="570">
        <v>31435.084800000001</v>
      </c>
      <c r="W64" s="269"/>
      <c r="X64" s="269"/>
      <c r="Y64" s="361" t="s">
        <v>107</v>
      </c>
      <c r="Z64" s="269">
        <v>1</v>
      </c>
      <c r="AA64" t="str">
        <f>VLOOKUP(Y64,Source!F:F,1,FALSE)</f>
        <v>Fitchburg State University</v>
      </c>
    </row>
    <row r="65" spans="1:27" s="3" customFormat="1" hidden="1">
      <c r="A65" s="17" t="str">
        <f t="shared" si="3"/>
        <v>Fitchburg State University2</v>
      </c>
      <c r="B65" s="255" t="s">
        <v>431</v>
      </c>
      <c r="C65" s="17" t="s">
        <v>260</v>
      </c>
      <c r="D65" s="20" t="s">
        <v>546</v>
      </c>
      <c r="E65" s="21" t="s">
        <v>547</v>
      </c>
      <c r="F65" s="565">
        <v>61.74</v>
      </c>
      <c r="G65" s="22" t="s">
        <v>544</v>
      </c>
      <c r="H65" s="22" t="s">
        <v>545</v>
      </c>
      <c r="I65" s="23" t="s">
        <v>437</v>
      </c>
      <c r="J65" s="24">
        <v>1420</v>
      </c>
      <c r="K65" s="25">
        <v>40679</v>
      </c>
      <c r="L65" s="27">
        <v>2011</v>
      </c>
      <c r="M65" s="566">
        <v>61.74</v>
      </c>
      <c r="N65" s="26" t="s">
        <v>438</v>
      </c>
      <c r="O65" s="17" t="s">
        <v>1076</v>
      </c>
      <c r="P65" s="17" t="s">
        <v>710</v>
      </c>
      <c r="Q65" s="269"/>
      <c r="R65" s="269"/>
      <c r="S65" s="269"/>
      <c r="T65" s="17" t="s">
        <v>439</v>
      </c>
      <c r="U65" s="573">
        <v>0.13350000000000001</v>
      </c>
      <c r="V65" s="570">
        <v>72202.460400000011</v>
      </c>
      <c r="W65" s="269"/>
      <c r="X65" s="269"/>
      <c r="Y65" s="361" t="s">
        <v>107</v>
      </c>
      <c r="Z65" s="269">
        <v>2</v>
      </c>
      <c r="AA65" t="str">
        <f>VLOOKUP(Y65,Source!F:F,1,FALSE)</f>
        <v>Fitchburg State University</v>
      </c>
    </row>
    <row r="66" spans="1:27" hidden="1">
      <c r="A66" s="17" t="str">
        <f t="shared" si="3"/>
        <v>Fitchburg State University3</v>
      </c>
      <c r="B66" s="255" t="s">
        <v>452</v>
      </c>
      <c r="C66" s="26" t="s">
        <v>453</v>
      </c>
      <c r="D66" s="20"/>
      <c r="E66" s="21" t="s">
        <v>107</v>
      </c>
      <c r="F66" s="571"/>
      <c r="G66" s="22" t="s">
        <v>544</v>
      </c>
      <c r="H66" s="22" t="s">
        <v>545</v>
      </c>
      <c r="I66" s="23" t="s">
        <v>437</v>
      </c>
      <c r="J66" s="24">
        <v>1420</v>
      </c>
      <c r="K66" s="25"/>
      <c r="L66" s="27">
        <v>2011</v>
      </c>
      <c r="M66" s="565"/>
      <c r="N66" s="26" t="s">
        <v>438</v>
      </c>
      <c r="O66" s="17"/>
      <c r="P66" s="17"/>
      <c r="Q66" s="269"/>
      <c r="R66" s="269"/>
      <c r="S66" s="269"/>
      <c r="T66" s="17" t="s">
        <v>439</v>
      </c>
      <c r="U66" s="676"/>
      <c r="V66" s="570"/>
      <c r="W66" s="272"/>
      <c r="X66" s="269"/>
      <c r="Y66" s="361" t="s">
        <v>107</v>
      </c>
      <c r="Z66" s="269">
        <v>3</v>
      </c>
      <c r="AA66" t="str">
        <f>VLOOKUP(Y66,Source!F:F,1,FALSE)</f>
        <v>Fitchburg State University</v>
      </c>
    </row>
    <row r="67" spans="1:27" hidden="1">
      <c r="A67" s="17" t="str">
        <f t="shared" si="3"/>
        <v>Framingham State University1</v>
      </c>
      <c r="B67" s="255" t="s">
        <v>431</v>
      </c>
      <c r="C67" s="17" t="s">
        <v>260</v>
      </c>
      <c r="D67" s="20" t="s">
        <v>548</v>
      </c>
      <c r="E67" s="21" t="s">
        <v>549</v>
      </c>
      <c r="F67" s="565">
        <v>69.3</v>
      </c>
      <c r="G67" s="22" t="s">
        <v>550</v>
      </c>
      <c r="H67" s="22" t="s">
        <v>509</v>
      </c>
      <c r="I67" s="23" t="s">
        <v>437</v>
      </c>
      <c r="J67" s="24">
        <v>1701</v>
      </c>
      <c r="K67" s="25">
        <v>40688</v>
      </c>
      <c r="L67" s="27">
        <v>2011</v>
      </c>
      <c r="M67" s="566">
        <v>69.3</v>
      </c>
      <c r="N67" s="26" t="s">
        <v>438</v>
      </c>
      <c r="O67" s="17" t="s">
        <v>1076</v>
      </c>
      <c r="P67" s="17" t="s">
        <v>710</v>
      </c>
      <c r="Q67" s="269"/>
      <c r="R67" s="269"/>
      <c r="S67" s="269"/>
      <c r="T67" s="17" t="s">
        <v>439</v>
      </c>
      <c r="U67" s="573">
        <v>0.13350000000000001</v>
      </c>
      <c r="V67" s="570">
        <v>81043.578000000009</v>
      </c>
      <c r="W67" s="269"/>
      <c r="X67" s="269"/>
      <c r="Y67" s="361" t="s">
        <v>35</v>
      </c>
      <c r="Z67" s="269">
        <v>1</v>
      </c>
      <c r="AA67" t="str">
        <f>VLOOKUP(Y67,Source!F:F,1,FALSE)</f>
        <v>Framingham State University</v>
      </c>
    </row>
    <row r="68" spans="1:27" s="3" customFormat="1" hidden="1">
      <c r="A68" s="17" t="str">
        <f t="shared" si="3"/>
        <v>Framingham State University2</v>
      </c>
      <c r="B68" s="257" t="s">
        <v>431</v>
      </c>
      <c r="C68" s="23" t="s">
        <v>260</v>
      </c>
      <c r="D68" s="568"/>
      <c r="E68" s="21" t="s">
        <v>1330</v>
      </c>
      <c r="F68" s="565">
        <v>84</v>
      </c>
      <c r="G68" s="22" t="s">
        <v>1331</v>
      </c>
      <c r="H68" s="22" t="s">
        <v>509</v>
      </c>
      <c r="I68" s="23" t="s">
        <v>437</v>
      </c>
      <c r="J68" s="24">
        <v>1701</v>
      </c>
      <c r="K68" s="25"/>
      <c r="L68" s="567">
        <v>2022</v>
      </c>
      <c r="M68" s="566">
        <v>84</v>
      </c>
      <c r="N68" s="258" t="s">
        <v>438</v>
      </c>
      <c r="O68" s="23" t="s">
        <v>1076</v>
      </c>
      <c r="P68" s="23" t="s">
        <v>710</v>
      </c>
      <c r="Q68" s="269"/>
      <c r="R68" s="269"/>
      <c r="S68" s="269"/>
      <c r="T68" s="23" t="s">
        <v>439</v>
      </c>
      <c r="U68" s="569">
        <v>0.13350000000000001</v>
      </c>
      <c r="V68" s="570">
        <v>98234.64</v>
      </c>
      <c r="W68" s="269"/>
      <c r="X68" s="269"/>
      <c r="Y68" s="361" t="s">
        <v>35</v>
      </c>
      <c r="Z68" s="269">
        <v>2</v>
      </c>
      <c r="AA68" t="str">
        <f>VLOOKUP(Y68,Source!F:F,1,FALSE)</f>
        <v>Framingham State University</v>
      </c>
    </row>
    <row r="69" spans="1:27" hidden="1">
      <c r="A69" s="17" t="str">
        <f t="shared" si="3"/>
        <v>Framingham State University3</v>
      </c>
      <c r="B69" s="255" t="s">
        <v>431</v>
      </c>
      <c r="C69" s="17" t="s">
        <v>260</v>
      </c>
      <c r="D69" s="20" t="s">
        <v>551</v>
      </c>
      <c r="E69" s="21" t="s">
        <v>552</v>
      </c>
      <c r="F69" s="565">
        <v>29.4</v>
      </c>
      <c r="G69" s="22" t="s">
        <v>550</v>
      </c>
      <c r="H69" s="22" t="s">
        <v>509</v>
      </c>
      <c r="I69" s="23" t="s">
        <v>437</v>
      </c>
      <c r="J69" s="24">
        <v>1701</v>
      </c>
      <c r="K69" s="25">
        <v>40693</v>
      </c>
      <c r="L69" s="27">
        <v>2011</v>
      </c>
      <c r="M69" s="566">
        <v>29.4</v>
      </c>
      <c r="N69" s="26" t="s">
        <v>438</v>
      </c>
      <c r="O69" s="17" t="s">
        <v>1076</v>
      </c>
      <c r="P69" s="17" t="s">
        <v>710</v>
      </c>
      <c r="Q69" s="568"/>
      <c r="R69" s="568"/>
      <c r="S69" s="568"/>
      <c r="T69" s="17" t="s">
        <v>439</v>
      </c>
      <c r="U69" s="573">
        <v>0.13350000000000001</v>
      </c>
      <c r="V69" s="570">
        <v>34382.124000000003</v>
      </c>
      <c r="W69" s="568"/>
      <c r="X69" s="568"/>
      <c r="Y69" s="361" t="s">
        <v>35</v>
      </c>
      <c r="Z69" s="269">
        <v>3</v>
      </c>
      <c r="AA69" t="str">
        <f>VLOOKUP(Y69,Source!F:F,1,FALSE)</f>
        <v>Framingham State University</v>
      </c>
    </row>
    <row r="70" spans="1:27" hidden="1">
      <c r="A70" s="17" t="str">
        <f t="shared" si="3"/>
        <v>Franklin Sheriff1</v>
      </c>
      <c r="B70" s="255" t="s">
        <v>431</v>
      </c>
      <c r="C70" s="17" t="s">
        <v>260</v>
      </c>
      <c r="D70" s="20"/>
      <c r="E70" s="21" t="s">
        <v>1197</v>
      </c>
      <c r="F70" s="565">
        <v>436</v>
      </c>
      <c r="G70" s="22" t="s">
        <v>1574</v>
      </c>
      <c r="H70" s="22" t="s">
        <v>556</v>
      </c>
      <c r="I70" s="23" t="s">
        <v>437</v>
      </c>
      <c r="J70" s="24">
        <v>1301</v>
      </c>
      <c r="K70" s="25"/>
      <c r="L70" s="27">
        <v>2018</v>
      </c>
      <c r="M70" s="661">
        <v>436</v>
      </c>
      <c r="N70" s="26" t="s">
        <v>492</v>
      </c>
      <c r="O70" s="17" t="s">
        <v>1076</v>
      </c>
      <c r="P70" s="17" t="s">
        <v>708</v>
      </c>
      <c r="Q70" s="269"/>
      <c r="R70" s="269"/>
      <c r="S70" s="269"/>
      <c r="T70" s="17" t="s">
        <v>439</v>
      </c>
      <c r="U70" s="573">
        <v>0.13350000000000001</v>
      </c>
      <c r="V70" s="570">
        <v>439000</v>
      </c>
      <c r="W70" s="269"/>
      <c r="X70" s="269"/>
      <c r="Y70" s="286" t="s">
        <v>1640</v>
      </c>
      <c r="Z70" s="269">
        <v>1</v>
      </c>
      <c r="AA70" t="e">
        <f>VLOOKUP(Y70,Source!F:F,1,FALSE)</f>
        <v>#N/A</v>
      </c>
    </row>
    <row r="71" spans="1:27" ht="15.75" hidden="1">
      <c r="A71" s="17" t="str">
        <f t="shared" si="3"/>
        <v>Greenfield Comm. College1</v>
      </c>
      <c r="B71" s="255" t="s">
        <v>431</v>
      </c>
      <c r="C71" s="17" t="s">
        <v>260</v>
      </c>
      <c r="D71" s="20" t="s">
        <v>553</v>
      </c>
      <c r="E71" s="34" t="s">
        <v>554</v>
      </c>
      <c r="F71" s="565">
        <v>78.540000000000006</v>
      </c>
      <c r="G71" s="32" t="s">
        <v>555</v>
      </c>
      <c r="H71" s="32" t="s">
        <v>556</v>
      </c>
      <c r="I71" s="32" t="s">
        <v>437</v>
      </c>
      <c r="J71" s="24">
        <v>1301</v>
      </c>
      <c r="K71" s="25">
        <v>40945</v>
      </c>
      <c r="L71" s="27">
        <v>2012</v>
      </c>
      <c r="M71" s="566">
        <v>78.540000000000006</v>
      </c>
      <c r="N71" s="26" t="s">
        <v>438</v>
      </c>
      <c r="O71" s="17" t="s">
        <v>1076</v>
      </c>
      <c r="P71" s="17" t="s">
        <v>1635</v>
      </c>
      <c r="Q71" s="17"/>
      <c r="R71" s="26"/>
      <c r="S71" s="255"/>
      <c r="T71" s="17" t="s">
        <v>439</v>
      </c>
      <c r="U71" s="573">
        <v>0.13350000000000001</v>
      </c>
      <c r="V71" s="570">
        <v>91849.388400000011</v>
      </c>
      <c r="W71" s="459"/>
      <c r="X71" s="255"/>
      <c r="Y71" s="271" t="s">
        <v>116</v>
      </c>
      <c r="Z71" s="17">
        <v>1</v>
      </c>
      <c r="AA71" t="str">
        <f>VLOOKUP(Y71,Source!F:F,1,FALSE)</f>
        <v>Greenfield Comm. College</v>
      </c>
    </row>
    <row r="72" spans="1:27" hidden="1">
      <c r="A72" s="17" t="str">
        <f t="shared" ref="A72:A103" si="4">Y72&amp;Z72</f>
        <v>Housing and Livable Communities1</v>
      </c>
      <c r="B72" s="255" t="s">
        <v>431</v>
      </c>
      <c r="C72" s="17" t="s">
        <v>260</v>
      </c>
      <c r="D72" s="20" t="s">
        <v>535</v>
      </c>
      <c r="E72" s="21" t="s">
        <v>536</v>
      </c>
      <c r="F72" s="565">
        <v>51.07</v>
      </c>
      <c r="G72" s="20" t="s">
        <v>537</v>
      </c>
      <c r="H72" s="22" t="s">
        <v>538</v>
      </c>
      <c r="I72" s="23" t="s">
        <v>437</v>
      </c>
      <c r="J72" s="24">
        <v>2021</v>
      </c>
      <c r="K72" s="25">
        <v>40905</v>
      </c>
      <c r="L72" s="27">
        <v>2012</v>
      </c>
      <c r="M72" s="566">
        <v>51.07</v>
      </c>
      <c r="N72" s="17" t="s">
        <v>479</v>
      </c>
      <c r="O72" s="17" t="s">
        <v>1076</v>
      </c>
      <c r="P72" s="17" t="s">
        <v>710</v>
      </c>
      <c r="Q72" s="17"/>
      <c r="R72" s="17"/>
      <c r="S72" s="17"/>
      <c r="T72" s="17" t="s">
        <v>439</v>
      </c>
      <c r="U72" s="573">
        <v>0.13350000000000001</v>
      </c>
      <c r="V72" s="570">
        <v>59724.322200000002</v>
      </c>
      <c r="W72" s="17"/>
      <c r="X72" s="17"/>
      <c r="Y72" s="21" t="s">
        <v>1639</v>
      </c>
      <c r="Z72" s="17">
        <v>1</v>
      </c>
      <c r="AA72" t="e">
        <f>VLOOKUP(Y72,Source!F:F,1,FALSE)</f>
        <v>#N/A</v>
      </c>
    </row>
    <row r="73" spans="1:27" s="3" customFormat="1">
      <c r="A73" s="17" t="str">
        <f t="shared" si="4"/>
        <v>Mass. Bay Transportation Authority1</v>
      </c>
      <c r="B73" s="255" t="s">
        <v>431</v>
      </c>
      <c r="C73" s="26" t="s">
        <v>260</v>
      </c>
      <c r="D73" s="20"/>
      <c r="E73" s="618" t="s">
        <v>1521</v>
      </c>
      <c r="F73" s="565">
        <v>100</v>
      </c>
      <c r="G73" s="20" t="s">
        <v>1577</v>
      </c>
      <c r="H73" s="26" t="s">
        <v>629</v>
      </c>
      <c r="I73" s="17" t="s">
        <v>437</v>
      </c>
      <c r="J73" s="24">
        <v>2128</v>
      </c>
      <c r="K73" s="25"/>
      <c r="L73" s="27">
        <v>2017</v>
      </c>
      <c r="M73" s="17">
        <v>100</v>
      </c>
      <c r="N73" s="29" t="s">
        <v>572</v>
      </c>
      <c r="O73" s="17" t="s">
        <v>1076</v>
      </c>
      <c r="P73" s="17" t="s">
        <v>710</v>
      </c>
      <c r="Q73" s="17"/>
      <c r="R73" s="17"/>
      <c r="S73" s="17"/>
      <c r="T73" s="17" t="s">
        <v>439</v>
      </c>
      <c r="U73" s="573">
        <v>0.13350000000000001</v>
      </c>
      <c r="V73" s="570">
        <v>116946</v>
      </c>
      <c r="W73" s="17"/>
      <c r="X73" s="17"/>
      <c r="Y73" s="39" t="s">
        <v>1004</v>
      </c>
      <c r="Z73" s="255">
        <v>1</v>
      </c>
      <c r="AA73" t="str">
        <f>VLOOKUP(Y73,Source!F:F,1,FALSE)</f>
        <v>Mass. Bay Transportation Authority</v>
      </c>
    </row>
    <row r="74" spans="1:27" s="3" customFormat="1" ht="15.75">
      <c r="A74" s="17" t="str">
        <f t="shared" si="4"/>
        <v>Mass. Bay Transportation Authority2</v>
      </c>
      <c r="B74" s="257" t="s">
        <v>431</v>
      </c>
      <c r="C74" s="681" t="s">
        <v>263</v>
      </c>
      <c r="D74" s="23" t="s">
        <v>1622</v>
      </c>
      <c r="E74" s="258" t="s">
        <v>1522</v>
      </c>
      <c r="F74" s="565">
        <v>750</v>
      </c>
      <c r="G74" s="23" t="s">
        <v>1578</v>
      </c>
      <c r="H74" s="258" t="s">
        <v>450</v>
      </c>
      <c r="I74" s="23" t="s">
        <v>437</v>
      </c>
      <c r="J74" s="24">
        <v>2324</v>
      </c>
      <c r="K74" s="25"/>
      <c r="L74" s="567">
        <v>2019</v>
      </c>
      <c r="M74" s="23">
        <v>750</v>
      </c>
      <c r="N74" s="669" t="s">
        <v>572</v>
      </c>
      <c r="O74" s="23" t="s">
        <v>1076</v>
      </c>
      <c r="P74" s="23"/>
      <c r="Q74" s="255"/>
      <c r="R74" s="255"/>
      <c r="S74" s="255"/>
      <c r="T74" s="23" t="s">
        <v>439</v>
      </c>
      <c r="U74" s="672">
        <v>0.26</v>
      </c>
      <c r="V74" s="570">
        <v>1708200</v>
      </c>
      <c r="W74" s="26"/>
      <c r="X74" s="255"/>
      <c r="Y74" s="39" t="s">
        <v>1004</v>
      </c>
      <c r="Z74" s="255">
        <v>2</v>
      </c>
      <c r="AA74" t="str">
        <f>VLOOKUP(Y74,Source!F:F,1,FALSE)</f>
        <v>Mass. Bay Transportation Authority</v>
      </c>
    </row>
    <row r="75" spans="1:27" s="3" customFormat="1">
      <c r="A75" s="17" t="str">
        <f t="shared" si="4"/>
        <v>Mass. Bay Transportation Authority3</v>
      </c>
      <c r="B75" s="257" t="s">
        <v>431</v>
      </c>
      <c r="C75" s="26" t="s">
        <v>263</v>
      </c>
      <c r="D75" s="20" t="s">
        <v>1623</v>
      </c>
      <c r="E75" s="618" t="s">
        <v>1523</v>
      </c>
      <c r="F75" s="565">
        <v>100</v>
      </c>
      <c r="G75" s="257" t="s">
        <v>1579</v>
      </c>
      <c r="H75" s="258" t="s">
        <v>1601</v>
      </c>
      <c r="I75" s="23" t="s">
        <v>437</v>
      </c>
      <c r="J75" s="24">
        <v>2364</v>
      </c>
      <c r="K75" s="25"/>
      <c r="L75" s="567">
        <v>2017</v>
      </c>
      <c r="M75" s="23">
        <v>150</v>
      </c>
      <c r="N75" s="669" t="s">
        <v>572</v>
      </c>
      <c r="O75" s="23" t="s">
        <v>1076</v>
      </c>
      <c r="P75" s="23"/>
      <c r="Q75" s="255"/>
      <c r="R75" s="255"/>
      <c r="S75" s="255"/>
      <c r="T75" s="23" t="s">
        <v>439</v>
      </c>
      <c r="U75" s="672">
        <v>0.26</v>
      </c>
      <c r="V75" s="570">
        <v>341640</v>
      </c>
      <c r="W75" s="26"/>
      <c r="X75" s="255"/>
      <c r="Y75" s="39" t="s">
        <v>1004</v>
      </c>
      <c r="Z75" s="255">
        <v>3</v>
      </c>
      <c r="AA75" t="str">
        <f>VLOOKUP(Y75,Source!F:F,1,FALSE)</f>
        <v>Mass. Bay Transportation Authority</v>
      </c>
    </row>
    <row r="76" spans="1:27" s="3" customFormat="1" ht="15.75">
      <c r="A76" s="17" t="str">
        <f t="shared" si="4"/>
        <v>Mass. Bay Transportation Authority4</v>
      </c>
      <c r="B76" s="257" t="s">
        <v>431</v>
      </c>
      <c r="C76" s="681" t="s">
        <v>260</v>
      </c>
      <c r="D76" s="23"/>
      <c r="E76" s="619" t="s">
        <v>1524</v>
      </c>
      <c r="F76" s="687">
        <v>423.52941176470591</v>
      </c>
      <c r="G76" s="262" t="s">
        <v>1580</v>
      </c>
      <c r="H76" s="260" t="s">
        <v>1602</v>
      </c>
      <c r="I76" s="17" t="s">
        <v>437</v>
      </c>
      <c r="J76" s="24"/>
      <c r="K76" s="25"/>
      <c r="L76" s="567">
        <v>2019</v>
      </c>
      <c r="M76" s="661">
        <v>423.529</v>
      </c>
      <c r="N76" s="669" t="s">
        <v>572</v>
      </c>
      <c r="O76" s="23" t="s">
        <v>1617</v>
      </c>
      <c r="P76" s="23" t="s">
        <v>708</v>
      </c>
      <c r="Q76" s="255"/>
      <c r="R76" s="255"/>
      <c r="S76" s="255"/>
      <c r="T76" s="23" t="s">
        <v>1335</v>
      </c>
      <c r="U76" s="573">
        <v>0.13350000000000001</v>
      </c>
      <c r="V76" s="570">
        <v>495300.22434000002</v>
      </c>
      <c r="W76" s="26"/>
      <c r="X76" s="255"/>
      <c r="Y76" s="361" t="s">
        <v>1004</v>
      </c>
      <c r="Z76" s="255">
        <v>4</v>
      </c>
      <c r="AA76" t="str">
        <f>VLOOKUP(Y76,Source!F:F,1,FALSE)</f>
        <v>Mass. Bay Transportation Authority</v>
      </c>
    </row>
    <row r="77" spans="1:27" s="3" customFormat="1" ht="15.75">
      <c r="A77" s="17" t="str">
        <f t="shared" si="4"/>
        <v>Mass. Bay Transportation Authority5</v>
      </c>
      <c r="B77" s="257" t="s">
        <v>431</v>
      </c>
      <c r="C77" s="681" t="s">
        <v>260</v>
      </c>
      <c r="D77" s="23"/>
      <c r="E77" s="619" t="s">
        <v>1525</v>
      </c>
      <c r="F77" s="565">
        <v>771.8</v>
      </c>
      <c r="G77" s="262" t="s">
        <v>1581</v>
      </c>
      <c r="H77" s="260" t="s">
        <v>1603</v>
      </c>
      <c r="I77" s="17" t="s">
        <v>437</v>
      </c>
      <c r="J77" s="24"/>
      <c r="K77" s="25"/>
      <c r="L77" s="567">
        <v>2019</v>
      </c>
      <c r="M77" s="661">
        <v>771.8</v>
      </c>
      <c r="N77" s="669" t="s">
        <v>572</v>
      </c>
      <c r="O77" s="23" t="s">
        <v>1617</v>
      </c>
      <c r="P77" s="23" t="s">
        <v>708</v>
      </c>
      <c r="Q77" s="255"/>
      <c r="R77" s="255"/>
      <c r="S77" s="255"/>
      <c r="T77" s="23" t="s">
        <v>1335</v>
      </c>
      <c r="U77" s="573">
        <v>0.13350000000000001</v>
      </c>
      <c r="V77" s="570">
        <v>902589.228</v>
      </c>
      <c r="W77" s="459"/>
      <c r="X77" s="255"/>
      <c r="Y77" s="361" t="s">
        <v>1004</v>
      </c>
      <c r="Z77" s="255">
        <v>5</v>
      </c>
      <c r="AA77" t="str">
        <f>VLOOKUP(Y77,Source!F:F,1,FALSE)</f>
        <v>Mass. Bay Transportation Authority</v>
      </c>
    </row>
    <row r="78" spans="1:27" s="3" customFormat="1" ht="15.75">
      <c r="A78" s="17" t="str">
        <f t="shared" si="4"/>
        <v>Mass. Bay Transportation Authority6</v>
      </c>
      <c r="B78" s="257" t="s">
        <v>431</v>
      </c>
      <c r="C78" s="681" t="s">
        <v>260</v>
      </c>
      <c r="D78" s="23"/>
      <c r="E78" s="619" t="s">
        <v>1526</v>
      </c>
      <c r="F78" s="565">
        <v>868.3</v>
      </c>
      <c r="G78" s="262" t="s">
        <v>1582</v>
      </c>
      <c r="H78" s="260" t="s">
        <v>1602</v>
      </c>
      <c r="I78" s="17" t="s">
        <v>437</v>
      </c>
      <c r="J78" s="24"/>
      <c r="K78" s="25"/>
      <c r="L78" s="567">
        <v>2019</v>
      </c>
      <c r="M78" s="661">
        <v>868.3</v>
      </c>
      <c r="N78" s="669" t="s">
        <v>572</v>
      </c>
      <c r="O78" s="23" t="s">
        <v>1617</v>
      </c>
      <c r="P78" s="23" t="s">
        <v>708</v>
      </c>
      <c r="Q78" s="17"/>
      <c r="R78" s="17"/>
      <c r="S78" s="255"/>
      <c r="T78" s="23" t="s">
        <v>1335</v>
      </c>
      <c r="U78" s="573">
        <v>0.13350000000000001</v>
      </c>
      <c r="V78" s="570">
        <v>1015442.118</v>
      </c>
      <c r="W78" s="255"/>
      <c r="X78" s="17"/>
      <c r="Y78" s="361" t="s">
        <v>1004</v>
      </c>
      <c r="Z78" s="255">
        <v>6</v>
      </c>
      <c r="AA78" t="str">
        <f>VLOOKUP(Y78,Source!F:F,1,FALSE)</f>
        <v>Mass. Bay Transportation Authority</v>
      </c>
    </row>
    <row r="79" spans="1:27" s="3" customFormat="1">
      <c r="A79" s="17" t="str">
        <f t="shared" si="4"/>
        <v>Mass. College of Liberal Arts1</v>
      </c>
      <c r="B79" s="255" t="s">
        <v>452</v>
      </c>
      <c r="C79" s="26" t="s">
        <v>453</v>
      </c>
      <c r="D79" s="20"/>
      <c r="E79" s="20" t="s">
        <v>1505</v>
      </c>
      <c r="F79" s="20" t="s">
        <v>1505</v>
      </c>
      <c r="G79" s="20" t="s">
        <v>1505</v>
      </c>
      <c r="H79" s="20" t="s">
        <v>1505</v>
      </c>
      <c r="I79" s="20" t="s">
        <v>1505</v>
      </c>
      <c r="J79" s="20" t="s">
        <v>1505</v>
      </c>
      <c r="K79" s="20" t="s">
        <v>1505</v>
      </c>
      <c r="L79" s="20" t="s">
        <v>1505</v>
      </c>
      <c r="M79" s="20" t="s">
        <v>1505</v>
      </c>
      <c r="N79" s="20" t="s">
        <v>1505</v>
      </c>
      <c r="O79" s="20" t="s">
        <v>1505</v>
      </c>
      <c r="P79" s="20" t="s">
        <v>1505</v>
      </c>
      <c r="Q79" s="20" t="s">
        <v>1505</v>
      </c>
      <c r="R79" s="20" t="s">
        <v>1505</v>
      </c>
      <c r="S79" s="20" t="s">
        <v>1505</v>
      </c>
      <c r="T79" s="20" t="s">
        <v>1505</v>
      </c>
      <c r="U79" s="20" t="s">
        <v>1505</v>
      </c>
      <c r="V79" s="20" t="s">
        <v>1505</v>
      </c>
      <c r="W79" s="20" t="s">
        <v>1505</v>
      </c>
      <c r="X79" s="20" t="s">
        <v>1505</v>
      </c>
      <c r="Y79" s="361" t="s">
        <v>134</v>
      </c>
      <c r="Z79" s="17">
        <v>1</v>
      </c>
      <c r="AA79" t="str">
        <f>VLOOKUP(Y79,Source!F:F,1,FALSE)</f>
        <v>Mass. College of Liberal Arts</v>
      </c>
    </row>
    <row r="80" spans="1:27" s="3" customFormat="1">
      <c r="A80" s="17" t="str">
        <f t="shared" si="4"/>
        <v>Mass. College of Liberal Arts2</v>
      </c>
      <c r="B80" s="255" t="s">
        <v>431</v>
      </c>
      <c r="C80" s="26" t="s">
        <v>263</v>
      </c>
      <c r="D80" s="20"/>
      <c r="E80" s="26" t="s">
        <v>560</v>
      </c>
      <c r="F80" s="565">
        <v>1</v>
      </c>
      <c r="G80" s="20" t="s">
        <v>557</v>
      </c>
      <c r="H80" s="26" t="s">
        <v>558</v>
      </c>
      <c r="I80" s="17" t="s">
        <v>437</v>
      </c>
      <c r="J80" s="24">
        <v>1247</v>
      </c>
      <c r="K80" s="25"/>
      <c r="L80" s="27">
        <v>2014</v>
      </c>
      <c r="M80" s="566">
        <v>1</v>
      </c>
      <c r="N80" s="26" t="s">
        <v>438</v>
      </c>
      <c r="O80" s="17"/>
      <c r="P80" s="17"/>
      <c r="Q80" s="17"/>
      <c r="R80" s="17"/>
      <c r="S80" s="255"/>
      <c r="T80" s="17" t="s">
        <v>439</v>
      </c>
      <c r="U80" s="672">
        <v>0.26</v>
      </c>
      <c r="V80" s="570">
        <v>2277.6</v>
      </c>
      <c r="W80" s="26"/>
      <c r="X80" s="17"/>
      <c r="Y80" s="361" t="s">
        <v>134</v>
      </c>
      <c r="Z80" s="17">
        <v>2</v>
      </c>
      <c r="AA80" t="str">
        <f>VLOOKUP(Y80,Source!F:F,1,FALSE)</f>
        <v>Mass. College of Liberal Arts</v>
      </c>
    </row>
    <row r="81" spans="1:27" s="279" customFormat="1" ht="15.75">
      <c r="A81" s="17" t="str">
        <f t="shared" si="4"/>
        <v>Mass. College of Liberal Arts3</v>
      </c>
      <c r="B81" s="255" t="s">
        <v>431</v>
      </c>
      <c r="C81" s="17" t="s">
        <v>260</v>
      </c>
      <c r="D81" s="20" t="s">
        <v>559</v>
      </c>
      <c r="E81" s="20" t="s">
        <v>1506</v>
      </c>
      <c r="F81" s="565">
        <v>9</v>
      </c>
      <c r="G81" s="20" t="s">
        <v>557</v>
      </c>
      <c r="H81" s="22" t="s">
        <v>558</v>
      </c>
      <c r="I81" s="23" t="s">
        <v>437</v>
      </c>
      <c r="J81" s="24">
        <v>1247</v>
      </c>
      <c r="K81" s="25">
        <v>38640</v>
      </c>
      <c r="L81" s="27">
        <v>2014</v>
      </c>
      <c r="M81" s="566">
        <v>9</v>
      </c>
      <c r="N81" s="26" t="s">
        <v>438</v>
      </c>
      <c r="O81" s="17" t="s">
        <v>1076</v>
      </c>
      <c r="P81" s="17" t="s">
        <v>710</v>
      </c>
      <c r="Q81" s="36"/>
      <c r="R81" s="17"/>
      <c r="S81" s="17"/>
      <c r="T81" s="17" t="s">
        <v>439</v>
      </c>
      <c r="U81" s="573">
        <v>0.13350000000000001</v>
      </c>
      <c r="V81" s="570">
        <v>10525.140000000001</v>
      </c>
      <c r="W81" s="459"/>
      <c r="X81" s="17"/>
      <c r="Y81" s="361" t="s">
        <v>134</v>
      </c>
      <c r="Z81" s="17">
        <v>3</v>
      </c>
      <c r="AA81" t="str">
        <f>VLOOKUP(Y81,Source!F:F,1,FALSE)</f>
        <v>Mass. College of Liberal Arts</v>
      </c>
    </row>
    <row r="82" spans="1:27" s="279" customFormat="1" ht="15.75">
      <c r="A82" s="17" t="str">
        <f t="shared" si="4"/>
        <v>Mass. College of Liberal Arts4</v>
      </c>
      <c r="B82" s="255" t="s">
        <v>431</v>
      </c>
      <c r="C82" s="17" t="s">
        <v>260</v>
      </c>
      <c r="D82" s="20"/>
      <c r="E82" s="20" t="s">
        <v>1507</v>
      </c>
      <c r="F82" s="565">
        <v>13</v>
      </c>
      <c r="G82" s="20" t="s">
        <v>557</v>
      </c>
      <c r="H82" s="22" t="s">
        <v>558</v>
      </c>
      <c r="I82" s="23" t="s">
        <v>437</v>
      </c>
      <c r="J82" s="24">
        <v>1247</v>
      </c>
      <c r="K82" s="25"/>
      <c r="L82" s="27">
        <v>2014</v>
      </c>
      <c r="M82" s="566">
        <v>13</v>
      </c>
      <c r="N82" s="26" t="s">
        <v>438</v>
      </c>
      <c r="O82" s="17" t="s">
        <v>1076</v>
      </c>
      <c r="P82" s="17" t="s">
        <v>710</v>
      </c>
      <c r="Q82" s="36"/>
      <c r="R82" s="17"/>
      <c r="S82" s="17"/>
      <c r="T82" s="17" t="s">
        <v>439</v>
      </c>
      <c r="U82" s="573">
        <v>0.13350000000000001</v>
      </c>
      <c r="V82" s="570">
        <v>15202.980000000001</v>
      </c>
      <c r="W82" s="459"/>
      <c r="X82" s="17"/>
      <c r="Y82" s="361" t="s">
        <v>134</v>
      </c>
      <c r="Z82" s="17">
        <v>4</v>
      </c>
      <c r="AA82" t="str">
        <f>VLOOKUP(Y82,Source!F:F,1,FALSE)</f>
        <v>Mass. College of Liberal Arts</v>
      </c>
    </row>
    <row r="83" spans="1:27" s="279" customFormat="1">
      <c r="A83" s="17" t="str">
        <f t="shared" si="4"/>
        <v>Mass. College of Liberal Arts5</v>
      </c>
      <c r="B83" s="255" t="s">
        <v>452</v>
      </c>
      <c r="C83" s="17" t="s">
        <v>453</v>
      </c>
      <c r="D83" s="17"/>
      <c r="E83" s="20" t="s">
        <v>1505</v>
      </c>
      <c r="F83" s="571">
        <v>197</v>
      </c>
      <c r="G83" s="20" t="s">
        <v>557</v>
      </c>
      <c r="H83" s="22" t="s">
        <v>558</v>
      </c>
      <c r="I83" s="23" t="s">
        <v>437</v>
      </c>
      <c r="J83" s="24">
        <v>1247</v>
      </c>
      <c r="K83" s="649">
        <v>43070</v>
      </c>
      <c r="L83" s="28">
        <v>2018</v>
      </c>
      <c r="M83" s="571">
        <v>197</v>
      </c>
      <c r="N83" s="26" t="s">
        <v>438</v>
      </c>
      <c r="O83" s="17"/>
      <c r="P83" s="17"/>
      <c r="Q83" s="17"/>
      <c r="R83" s="26"/>
      <c r="S83" s="255"/>
      <c r="T83" s="632" t="s">
        <v>439</v>
      </c>
      <c r="U83" s="17"/>
      <c r="V83" s="17"/>
      <c r="W83" s="26"/>
      <c r="X83" s="255"/>
      <c r="Y83" s="361" t="s">
        <v>134</v>
      </c>
      <c r="Z83" s="17">
        <v>5</v>
      </c>
      <c r="AA83" t="str">
        <f>VLOOKUP(Y83,Source!F:F,1,FALSE)</f>
        <v>Mass. College of Liberal Arts</v>
      </c>
    </row>
    <row r="84" spans="1:27" s="279" customFormat="1">
      <c r="A84" s="17" t="str">
        <f t="shared" si="4"/>
        <v>Mass. Emergency Management Agency1</v>
      </c>
      <c r="B84" s="257" t="s">
        <v>431</v>
      </c>
      <c r="C84" s="23" t="s">
        <v>260</v>
      </c>
      <c r="D84" s="23"/>
      <c r="E84" s="23" t="s">
        <v>1511</v>
      </c>
      <c r="F84" s="624">
        <v>275</v>
      </c>
      <c r="G84" s="23" t="s">
        <v>1575</v>
      </c>
      <c r="H84" s="22" t="s">
        <v>509</v>
      </c>
      <c r="I84" s="23" t="s">
        <v>437</v>
      </c>
      <c r="J84" s="24">
        <v>1702</v>
      </c>
      <c r="K84" s="650"/>
      <c r="L84" s="656">
        <v>2020</v>
      </c>
      <c r="M84" s="663">
        <v>275</v>
      </c>
      <c r="N84" s="258" t="s">
        <v>492</v>
      </c>
      <c r="O84" s="23" t="s">
        <v>1076</v>
      </c>
      <c r="P84" s="23" t="s">
        <v>708</v>
      </c>
      <c r="Q84" s="36"/>
      <c r="R84" s="17"/>
      <c r="S84" s="17"/>
      <c r="T84" s="23" t="s">
        <v>439</v>
      </c>
      <c r="U84" s="573">
        <v>0.13350000000000001</v>
      </c>
      <c r="V84" s="677">
        <v>321601.5</v>
      </c>
      <c r="W84" s="26"/>
      <c r="X84" s="17"/>
      <c r="Y84" s="361" t="s">
        <v>1641</v>
      </c>
      <c r="Z84" s="255">
        <v>1</v>
      </c>
      <c r="AA84" t="e">
        <f>VLOOKUP(Y84,Source!F:F,1,FALSE)</f>
        <v>#N/A</v>
      </c>
    </row>
    <row r="85" spans="1:27" s="279" customFormat="1">
      <c r="A85" s="17" t="str">
        <f t="shared" si="4"/>
        <v>Mass. Maritime Academy1</v>
      </c>
      <c r="B85" s="255" t="s">
        <v>452</v>
      </c>
      <c r="C85" s="26" t="s">
        <v>453</v>
      </c>
      <c r="D85" s="20" t="s">
        <v>567</v>
      </c>
      <c r="E85" s="26" t="s">
        <v>562</v>
      </c>
      <c r="F85" s="565">
        <v>195</v>
      </c>
      <c r="G85" s="20" t="s">
        <v>563</v>
      </c>
      <c r="H85" s="26" t="s">
        <v>564</v>
      </c>
      <c r="I85" s="17" t="s">
        <v>437</v>
      </c>
      <c r="J85" s="24">
        <v>2532</v>
      </c>
      <c r="K85" s="25">
        <v>39805</v>
      </c>
      <c r="L85" s="27">
        <v>2008</v>
      </c>
      <c r="M85" s="565">
        <v>195</v>
      </c>
      <c r="N85" s="26" t="s">
        <v>438</v>
      </c>
      <c r="O85" s="672"/>
      <c r="P85" s="672"/>
      <c r="Q85" s="17"/>
      <c r="R85" s="26"/>
      <c r="S85" s="255"/>
      <c r="T85" s="17" t="s">
        <v>439</v>
      </c>
      <c r="U85" s="17"/>
      <c r="V85" s="17"/>
      <c r="W85" s="26"/>
      <c r="X85" s="255"/>
      <c r="Y85" s="361" t="s">
        <v>137</v>
      </c>
      <c r="Z85" s="17">
        <v>1</v>
      </c>
      <c r="AA85" t="str">
        <f>VLOOKUP(Y85,Source!F:F,1,FALSE)</f>
        <v>Mass. Maritime Academy</v>
      </c>
    </row>
    <row r="86" spans="1:27" s="3" customFormat="1">
      <c r="A86" s="17" t="str">
        <f t="shared" si="4"/>
        <v>Mass. Maritime Academy2</v>
      </c>
      <c r="B86" s="255" t="s">
        <v>431</v>
      </c>
      <c r="C86" s="26" t="s">
        <v>263</v>
      </c>
      <c r="D86" s="20" t="s">
        <v>565</v>
      </c>
      <c r="E86" s="26" t="s">
        <v>566</v>
      </c>
      <c r="F86" s="565">
        <v>660</v>
      </c>
      <c r="G86" s="20" t="s">
        <v>563</v>
      </c>
      <c r="H86" s="26" t="s">
        <v>564</v>
      </c>
      <c r="I86" s="17" t="s">
        <v>437</v>
      </c>
      <c r="J86" s="24">
        <v>2532</v>
      </c>
      <c r="K86" s="25">
        <v>38882</v>
      </c>
      <c r="L86" s="27">
        <v>2006</v>
      </c>
      <c r="M86" s="566">
        <v>660</v>
      </c>
      <c r="N86" s="26" t="s">
        <v>438</v>
      </c>
      <c r="O86" s="17"/>
      <c r="P86" s="17"/>
      <c r="Q86" s="17"/>
      <c r="R86" s="26"/>
      <c r="S86" s="255"/>
      <c r="T86" s="17" t="s">
        <v>439</v>
      </c>
      <c r="U86" s="672">
        <v>0.26</v>
      </c>
      <c r="V86" s="570">
        <v>1503216</v>
      </c>
      <c r="W86" s="26"/>
      <c r="X86" s="255"/>
      <c r="Y86" s="361" t="s">
        <v>137</v>
      </c>
      <c r="Z86" s="17">
        <v>2</v>
      </c>
      <c r="AA86" t="str">
        <f>VLOOKUP(Y86,Source!F:F,1,FALSE)</f>
        <v>Mass. Maritime Academy</v>
      </c>
    </row>
    <row r="87" spans="1:27" s="3" customFormat="1">
      <c r="A87" s="17" t="str">
        <f t="shared" si="4"/>
        <v>Mass. Maritime Academy3</v>
      </c>
      <c r="B87" s="255" t="s">
        <v>431</v>
      </c>
      <c r="C87" s="26" t="s">
        <v>260</v>
      </c>
      <c r="D87" s="20" t="s">
        <v>561</v>
      </c>
      <c r="E87" s="26" t="s">
        <v>1508</v>
      </c>
      <c r="F87" s="565">
        <v>81</v>
      </c>
      <c r="G87" s="20" t="s">
        <v>563</v>
      </c>
      <c r="H87" s="26" t="s">
        <v>564</v>
      </c>
      <c r="I87" s="17" t="s">
        <v>437</v>
      </c>
      <c r="J87" s="24">
        <v>2532</v>
      </c>
      <c r="K87" s="25">
        <v>39402</v>
      </c>
      <c r="L87" s="27">
        <v>2007</v>
      </c>
      <c r="M87" s="566">
        <v>81</v>
      </c>
      <c r="N87" s="26" t="s">
        <v>438</v>
      </c>
      <c r="O87" s="17" t="s">
        <v>1076</v>
      </c>
      <c r="P87" s="17" t="s">
        <v>710</v>
      </c>
      <c r="Q87" s="17"/>
      <c r="R87" s="17"/>
      <c r="S87" s="255"/>
      <c r="T87" s="17" t="s">
        <v>439</v>
      </c>
      <c r="U87" s="573">
        <v>0.13350000000000001</v>
      </c>
      <c r="V87" s="570">
        <v>94726.260000000009</v>
      </c>
      <c r="W87" s="26"/>
      <c r="X87" s="17"/>
      <c r="Y87" s="361" t="s">
        <v>137</v>
      </c>
      <c r="Z87" s="17">
        <v>3</v>
      </c>
      <c r="AA87" t="str">
        <f>VLOOKUP(Y87,Source!F:F,1,FALSE)</f>
        <v>Mass. Maritime Academy</v>
      </c>
    </row>
    <row r="88" spans="1:27" s="3" customFormat="1">
      <c r="A88" s="17" t="str">
        <f t="shared" si="4"/>
        <v>Mass. Maritime Academy4</v>
      </c>
      <c r="B88" s="255" t="s">
        <v>431</v>
      </c>
      <c r="C88" s="26" t="s">
        <v>260</v>
      </c>
      <c r="D88" s="20"/>
      <c r="E88" s="26" t="s">
        <v>1509</v>
      </c>
      <c r="F88" s="565">
        <v>103</v>
      </c>
      <c r="G88" s="20" t="s">
        <v>563</v>
      </c>
      <c r="H88" s="26" t="s">
        <v>564</v>
      </c>
      <c r="I88" s="17" t="s">
        <v>437</v>
      </c>
      <c r="J88" s="24">
        <v>2532</v>
      </c>
      <c r="K88" s="25"/>
      <c r="L88" s="27">
        <v>2014</v>
      </c>
      <c r="M88" s="566">
        <v>103</v>
      </c>
      <c r="N88" s="26" t="s">
        <v>438</v>
      </c>
      <c r="O88" s="17" t="s">
        <v>1076</v>
      </c>
      <c r="P88" s="17" t="s">
        <v>710</v>
      </c>
      <c r="Q88" s="36"/>
      <c r="R88" s="17"/>
      <c r="S88" s="17"/>
      <c r="T88" s="17" t="s">
        <v>439</v>
      </c>
      <c r="U88" s="573">
        <v>0.13350000000000001</v>
      </c>
      <c r="V88" s="570">
        <v>120454.38</v>
      </c>
      <c r="W88" s="26"/>
      <c r="X88" s="17"/>
      <c r="Y88" s="361" t="s">
        <v>137</v>
      </c>
      <c r="Z88" s="17">
        <v>4</v>
      </c>
      <c r="AA88" t="str">
        <f>VLOOKUP(Y88,Source!F:F,1,FALSE)</f>
        <v>Mass. Maritime Academy</v>
      </c>
    </row>
    <row r="89" spans="1:27" s="3" customFormat="1">
      <c r="A89" s="17" t="str">
        <f t="shared" si="4"/>
        <v>Mass. Maritime Academy5</v>
      </c>
      <c r="B89" s="255" t="s">
        <v>431</v>
      </c>
      <c r="C89" s="26" t="s">
        <v>260</v>
      </c>
      <c r="D89" s="20"/>
      <c r="E89" s="26" t="s">
        <v>1510</v>
      </c>
      <c r="F89" s="565">
        <v>58</v>
      </c>
      <c r="G89" s="20" t="s">
        <v>563</v>
      </c>
      <c r="H89" s="26" t="s">
        <v>564</v>
      </c>
      <c r="I89" s="17" t="s">
        <v>437</v>
      </c>
      <c r="J89" s="24">
        <v>2532</v>
      </c>
      <c r="K89" s="25"/>
      <c r="L89" s="27">
        <v>2014</v>
      </c>
      <c r="M89" s="566">
        <v>58</v>
      </c>
      <c r="N89" s="26" t="s">
        <v>438</v>
      </c>
      <c r="O89" s="17" t="s">
        <v>1076</v>
      </c>
      <c r="P89" s="17" t="s">
        <v>710</v>
      </c>
      <c r="Q89" s="36"/>
      <c r="R89" s="17"/>
      <c r="S89" s="17"/>
      <c r="T89" s="17" t="s">
        <v>439</v>
      </c>
      <c r="U89" s="573">
        <v>0.13350000000000001</v>
      </c>
      <c r="V89" s="570">
        <v>67828.680000000008</v>
      </c>
      <c r="W89" s="26"/>
      <c r="X89" s="17"/>
      <c r="Y89" s="361" t="s">
        <v>137</v>
      </c>
      <c r="Z89" s="17">
        <v>5</v>
      </c>
      <c r="AA89" t="str">
        <f>VLOOKUP(Y89,Source!F:F,1,FALSE)</f>
        <v>Mass. Maritime Academy</v>
      </c>
    </row>
    <row r="90" spans="1:27" s="3" customFormat="1">
      <c r="A90" s="17" t="str">
        <f t="shared" si="4"/>
        <v>Mass. Water Resources Authority1</v>
      </c>
      <c r="B90" s="255" t="s">
        <v>431</v>
      </c>
      <c r="C90" s="17" t="s">
        <v>260</v>
      </c>
      <c r="D90" s="20" t="s">
        <v>584</v>
      </c>
      <c r="E90" s="17" t="s">
        <v>1529</v>
      </c>
      <c r="F90" s="574">
        <v>222</v>
      </c>
      <c r="G90" s="31" t="s">
        <v>570</v>
      </c>
      <c r="H90" s="31" t="s">
        <v>571</v>
      </c>
      <c r="I90" s="23" t="s">
        <v>437</v>
      </c>
      <c r="J90" s="24">
        <v>2152</v>
      </c>
      <c r="K90" s="25">
        <v>40667</v>
      </c>
      <c r="L90" s="27">
        <v>2011</v>
      </c>
      <c r="M90" s="17">
        <v>222</v>
      </c>
      <c r="N90" s="29" t="s">
        <v>572</v>
      </c>
      <c r="O90" s="17" t="s">
        <v>451</v>
      </c>
      <c r="P90" s="17" t="s">
        <v>710</v>
      </c>
      <c r="Q90" s="17"/>
      <c r="R90" s="17"/>
      <c r="S90" s="17"/>
      <c r="T90" s="17" t="s">
        <v>439</v>
      </c>
      <c r="U90" s="573">
        <v>0.13350000000000001</v>
      </c>
      <c r="V90" s="570">
        <v>259620.12000000002</v>
      </c>
      <c r="W90" s="17"/>
      <c r="X90" s="17"/>
      <c r="Y90" s="361" t="s">
        <v>145</v>
      </c>
      <c r="Z90" s="255">
        <v>1</v>
      </c>
      <c r="AA90" t="str">
        <f>VLOOKUP(Y90,Source!F:F,1,FALSE)</f>
        <v>Mass. Water Resources Authority</v>
      </c>
    </row>
    <row r="91" spans="1:27" s="3" customFormat="1">
      <c r="A91" s="17" t="str">
        <f t="shared" si="4"/>
        <v>Mass. Water Resources Authority2</v>
      </c>
      <c r="B91" s="255" t="s">
        <v>431</v>
      </c>
      <c r="C91" s="17" t="s">
        <v>260</v>
      </c>
      <c r="D91" s="20" t="s">
        <v>584</v>
      </c>
      <c r="E91" s="17" t="s">
        <v>1530</v>
      </c>
      <c r="F91" s="574">
        <v>234</v>
      </c>
      <c r="G91" s="31" t="s">
        <v>570</v>
      </c>
      <c r="H91" s="31" t="s">
        <v>571</v>
      </c>
      <c r="I91" s="23" t="s">
        <v>437</v>
      </c>
      <c r="J91" s="24">
        <v>2152</v>
      </c>
      <c r="K91" s="25">
        <v>40667</v>
      </c>
      <c r="L91" s="27">
        <v>2011</v>
      </c>
      <c r="M91" s="17">
        <v>234</v>
      </c>
      <c r="N91" s="29" t="s">
        <v>572</v>
      </c>
      <c r="O91" s="17" t="s">
        <v>451</v>
      </c>
      <c r="P91" s="17" t="s">
        <v>1635</v>
      </c>
      <c r="Q91" s="17"/>
      <c r="R91" s="17"/>
      <c r="S91" s="17"/>
      <c r="T91" s="17" t="s">
        <v>439</v>
      </c>
      <c r="U91" s="573">
        <v>0.13350000000000001</v>
      </c>
      <c r="V91" s="570">
        <v>273653.64</v>
      </c>
      <c r="W91" s="17"/>
      <c r="X91" s="17"/>
      <c r="Y91" s="361" t="s">
        <v>145</v>
      </c>
      <c r="Z91" s="255">
        <v>2</v>
      </c>
      <c r="AA91" t="str">
        <f>VLOOKUP(Y91,Source!F:F,1,FALSE)</f>
        <v>Mass. Water Resources Authority</v>
      </c>
    </row>
    <row r="92" spans="1:27" s="3" customFormat="1">
      <c r="A92" s="17" t="str">
        <f t="shared" si="4"/>
        <v>Mass. Water Resources Authority3</v>
      </c>
      <c r="B92" s="255" t="s">
        <v>431</v>
      </c>
      <c r="C92" s="17" t="s">
        <v>260</v>
      </c>
      <c r="D92" s="20" t="s">
        <v>585</v>
      </c>
      <c r="E92" s="30" t="s">
        <v>1531</v>
      </c>
      <c r="F92" s="574">
        <v>99.8</v>
      </c>
      <c r="G92" s="31" t="s">
        <v>570</v>
      </c>
      <c r="H92" s="31" t="s">
        <v>571</v>
      </c>
      <c r="I92" s="23" t="s">
        <v>437</v>
      </c>
      <c r="J92" s="24">
        <v>2152</v>
      </c>
      <c r="K92" s="25">
        <v>39569</v>
      </c>
      <c r="L92" s="27">
        <v>2011</v>
      </c>
      <c r="M92" s="17">
        <v>99.8</v>
      </c>
      <c r="N92" s="29" t="s">
        <v>572</v>
      </c>
      <c r="O92" s="17" t="s">
        <v>1076</v>
      </c>
      <c r="P92" s="17" t="s">
        <v>710</v>
      </c>
      <c r="Q92" s="17"/>
      <c r="R92" s="17"/>
      <c r="S92" s="17"/>
      <c r="T92" s="17" t="s">
        <v>439</v>
      </c>
      <c r="U92" s="573">
        <v>0.13350000000000001</v>
      </c>
      <c r="V92" s="570">
        <v>116712.10800000001</v>
      </c>
      <c r="W92" s="17"/>
      <c r="X92" s="17"/>
      <c r="Y92" s="361" t="s">
        <v>145</v>
      </c>
      <c r="Z92" s="255">
        <v>3</v>
      </c>
      <c r="AA92" t="str">
        <f>VLOOKUP(Y92,Source!F:F,1,FALSE)</f>
        <v>Mass. Water Resources Authority</v>
      </c>
    </row>
    <row r="93" spans="1:27" s="3" customFormat="1">
      <c r="A93" s="17" t="str">
        <f t="shared" si="4"/>
        <v>Mass. Water Resources Authority4</v>
      </c>
      <c r="B93" s="255" t="s">
        <v>431</v>
      </c>
      <c r="C93" s="17" t="s">
        <v>260</v>
      </c>
      <c r="D93" s="20" t="s">
        <v>583</v>
      </c>
      <c r="E93" s="30" t="s">
        <v>1532</v>
      </c>
      <c r="F93" s="574">
        <v>180.6</v>
      </c>
      <c r="G93" s="31" t="s">
        <v>570</v>
      </c>
      <c r="H93" s="31" t="s">
        <v>571</v>
      </c>
      <c r="I93" s="23" t="s">
        <v>437</v>
      </c>
      <c r="J93" s="24">
        <v>2152</v>
      </c>
      <c r="K93" s="25">
        <v>40238</v>
      </c>
      <c r="L93" s="27">
        <v>2011</v>
      </c>
      <c r="M93" s="17">
        <v>180.6</v>
      </c>
      <c r="N93" s="29" t="s">
        <v>572</v>
      </c>
      <c r="O93" s="17" t="s">
        <v>1076</v>
      </c>
      <c r="P93" s="17" t="s">
        <v>710</v>
      </c>
      <c r="Q93" s="17"/>
      <c r="R93" s="17"/>
      <c r="S93" s="17"/>
      <c r="T93" s="17" t="s">
        <v>439</v>
      </c>
      <c r="U93" s="573">
        <v>0.13350000000000001</v>
      </c>
      <c r="V93" s="570">
        <v>211204.47600000002</v>
      </c>
      <c r="W93" s="17"/>
      <c r="X93" s="17"/>
      <c r="Y93" s="361" t="s">
        <v>145</v>
      </c>
      <c r="Z93" s="255">
        <v>4</v>
      </c>
      <c r="AA93" t="str">
        <f>VLOOKUP(Y93,Source!F:F,1,FALSE)</f>
        <v>Mass. Water Resources Authority</v>
      </c>
    </row>
    <row r="94" spans="1:27" s="3" customFormat="1">
      <c r="A94" s="17" t="str">
        <f t="shared" si="4"/>
        <v>Mass. Water Resources Authority5</v>
      </c>
      <c r="B94" s="255" t="s">
        <v>431</v>
      </c>
      <c r="C94" s="26" t="s">
        <v>260</v>
      </c>
      <c r="D94" s="20" t="s">
        <v>586</v>
      </c>
      <c r="E94" s="26" t="s">
        <v>587</v>
      </c>
      <c r="F94" s="574">
        <v>496</v>
      </c>
      <c r="G94" s="17" t="s">
        <v>588</v>
      </c>
      <c r="H94" s="26" t="s">
        <v>589</v>
      </c>
      <c r="I94" s="17" t="s">
        <v>437</v>
      </c>
      <c r="J94" s="24">
        <v>1752</v>
      </c>
      <c r="K94" s="25">
        <v>40544</v>
      </c>
      <c r="L94" s="27">
        <v>2011</v>
      </c>
      <c r="M94" s="17">
        <v>496</v>
      </c>
      <c r="N94" s="29" t="s">
        <v>572</v>
      </c>
      <c r="O94" s="17" t="s">
        <v>1076</v>
      </c>
      <c r="P94" s="17" t="s">
        <v>1635</v>
      </c>
      <c r="Q94" s="23"/>
      <c r="R94" s="23"/>
      <c r="S94" s="23"/>
      <c r="T94" s="17" t="s">
        <v>439</v>
      </c>
      <c r="U94" s="573">
        <v>0.13350000000000001</v>
      </c>
      <c r="V94" s="570">
        <v>580052.16</v>
      </c>
      <c r="W94"/>
      <c r="X94"/>
      <c r="Y94" s="361" t="s">
        <v>145</v>
      </c>
      <c r="Z94" s="255">
        <v>5</v>
      </c>
      <c r="AA94" t="str">
        <f>VLOOKUP(Y94,Source!F:F,1,FALSE)</f>
        <v>Mass. Water Resources Authority</v>
      </c>
    </row>
    <row r="95" spans="1:27" s="3" customFormat="1">
      <c r="A95" s="17" t="str">
        <f t="shared" si="4"/>
        <v>Mass. Water Resources Authority6</v>
      </c>
      <c r="B95" s="255" t="s">
        <v>431</v>
      </c>
      <c r="C95" s="26" t="s">
        <v>263</v>
      </c>
      <c r="D95" s="20" t="s">
        <v>590</v>
      </c>
      <c r="E95" s="26" t="s">
        <v>591</v>
      </c>
      <c r="F95" s="565">
        <v>1500</v>
      </c>
      <c r="G95" s="17" t="s">
        <v>592</v>
      </c>
      <c r="H95" s="26" t="s">
        <v>460</v>
      </c>
      <c r="I95" s="23" t="s">
        <v>437</v>
      </c>
      <c r="J95" s="24">
        <v>2129</v>
      </c>
      <c r="K95" s="25">
        <v>40830</v>
      </c>
      <c r="L95" s="27">
        <v>2011</v>
      </c>
      <c r="M95" s="17">
        <v>1500</v>
      </c>
      <c r="N95" s="29" t="s">
        <v>572</v>
      </c>
      <c r="O95" s="17"/>
      <c r="P95" s="17"/>
      <c r="Q95" s="17"/>
      <c r="R95" s="17"/>
      <c r="S95" s="17"/>
      <c r="T95" s="17" t="s">
        <v>439</v>
      </c>
      <c r="U95" s="672">
        <v>0.26</v>
      </c>
      <c r="V95" s="570">
        <v>3416400</v>
      </c>
      <c r="W95"/>
      <c r="X95"/>
      <c r="Y95" s="361" t="s">
        <v>145</v>
      </c>
      <c r="Z95" s="255">
        <v>6</v>
      </c>
      <c r="AA95" t="str">
        <f>VLOOKUP(Y95,Source!F:F,1,FALSE)</f>
        <v>Mass. Water Resources Authority</v>
      </c>
    </row>
    <row r="96" spans="1:27" s="3" customFormat="1">
      <c r="A96" s="17" t="str">
        <f t="shared" si="4"/>
        <v>Mass. Water Resources Authority7</v>
      </c>
      <c r="B96" s="255" t="s">
        <v>431</v>
      </c>
      <c r="C96" s="26" t="s">
        <v>264</v>
      </c>
      <c r="D96" s="20"/>
      <c r="E96" s="26" t="s">
        <v>1533</v>
      </c>
      <c r="F96" s="565">
        <v>59</v>
      </c>
      <c r="G96" s="17"/>
      <c r="H96" s="26" t="s">
        <v>1605</v>
      </c>
      <c r="I96" s="26"/>
      <c r="J96" s="17"/>
      <c r="K96" s="25"/>
      <c r="L96" s="27">
        <v>2013</v>
      </c>
      <c r="M96" s="17">
        <v>59</v>
      </c>
      <c r="N96" s="29" t="s">
        <v>572</v>
      </c>
      <c r="O96" s="672"/>
      <c r="P96" s="672"/>
      <c r="Q96" s="36"/>
      <c r="R96" s="17"/>
      <c r="S96" s="17"/>
      <c r="T96" s="17" t="s">
        <v>439</v>
      </c>
      <c r="U96" s="17"/>
      <c r="V96" s="17"/>
      <c r="W96" s="26"/>
      <c r="X96" s="17"/>
      <c r="Y96" s="361" t="s">
        <v>145</v>
      </c>
      <c r="Z96" s="255">
        <v>7</v>
      </c>
      <c r="AA96" t="str">
        <f>VLOOKUP(Y96,Source!F:F,1,FALSE)</f>
        <v>Mass. Water Resources Authority</v>
      </c>
    </row>
    <row r="97" spans="1:27" s="3" customFormat="1">
      <c r="A97" s="17" t="str">
        <f t="shared" si="4"/>
        <v>Mass. Water Resources Authority8</v>
      </c>
      <c r="B97" s="257" t="s">
        <v>431</v>
      </c>
      <c r="C97" s="258" t="s">
        <v>568</v>
      </c>
      <c r="D97" s="23" t="s">
        <v>1624</v>
      </c>
      <c r="E97" s="258" t="s">
        <v>569</v>
      </c>
      <c r="F97" s="625">
        <v>18000</v>
      </c>
      <c r="G97" s="31" t="s">
        <v>570</v>
      </c>
      <c r="H97" s="258" t="s">
        <v>571</v>
      </c>
      <c r="I97" s="23" t="s">
        <v>437</v>
      </c>
      <c r="J97" s="24">
        <v>2152</v>
      </c>
      <c r="K97" s="25">
        <v>41000</v>
      </c>
      <c r="L97" s="567">
        <v>1999</v>
      </c>
      <c r="M97" s="23">
        <v>18000</v>
      </c>
      <c r="N97" s="669" t="s">
        <v>572</v>
      </c>
      <c r="O97" s="673"/>
      <c r="P97" s="673"/>
      <c r="Q97" s="17"/>
      <c r="R97" s="17"/>
      <c r="S97" s="255"/>
      <c r="T97" s="23" t="s">
        <v>439</v>
      </c>
      <c r="U97" s="23"/>
      <c r="V97" s="23"/>
      <c r="W97" s="26"/>
      <c r="X97" s="255" t="s">
        <v>664</v>
      </c>
      <c r="Y97" s="361" t="s">
        <v>145</v>
      </c>
      <c r="Z97" s="255">
        <v>8</v>
      </c>
      <c r="AA97" t="str">
        <f>VLOOKUP(Y97,Source!F:F,1,FALSE)</f>
        <v>Mass. Water Resources Authority</v>
      </c>
    </row>
    <row r="98" spans="1:27" s="3" customFormat="1">
      <c r="A98" s="17" t="str">
        <f t="shared" si="4"/>
        <v>Mass. Water Resources Authority9</v>
      </c>
      <c r="B98" s="255" t="s">
        <v>431</v>
      </c>
      <c r="C98" s="26" t="s">
        <v>264</v>
      </c>
      <c r="D98" s="20" t="s">
        <v>573</v>
      </c>
      <c r="E98" s="26" t="s">
        <v>569</v>
      </c>
      <c r="F98" s="625">
        <v>1000</v>
      </c>
      <c r="G98" s="699" t="s">
        <v>570</v>
      </c>
      <c r="H98" s="26" t="s">
        <v>571</v>
      </c>
      <c r="I98" s="23" t="s">
        <v>437</v>
      </c>
      <c r="J98" s="24">
        <v>2152</v>
      </c>
      <c r="K98" s="25">
        <v>40179</v>
      </c>
      <c r="L98" s="27">
        <v>2003</v>
      </c>
      <c r="M98" s="17">
        <v>1000</v>
      </c>
      <c r="N98" s="29" t="s">
        <v>572</v>
      </c>
      <c r="O98" s="672"/>
      <c r="P98" s="672"/>
      <c r="Q98" s="17"/>
      <c r="R98" s="17"/>
      <c r="S98" s="255"/>
      <c r="T98" s="17" t="s">
        <v>439</v>
      </c>
      <c r="U98" s="17">
        <v>0.32</v>
      </c>
      <c r="V98" s="17"/>
      <c r="W98" s="26"/>
      <c r="X98" s="255"/>
      <c r="Y98" s="361" t="s">
        <v>145</v>
      </c>
      <c r="Z98" s="255">
        <v>9</v>
      </c>
      <c r="AA98" t="str">
        <f>VLOOKUP(Y98,Source!F:F,1,FALSE)</f>
        <v>Mass. Water Resources Authority</v>
      </c>
    </row>
    <row r="99" spans="1:27">
      <c r="A99" s="17" t="str">
        <f t="shared" si="4"/>
        <v>Mass. Water Resources Authority10</v>
      </c>
      <c r="B99" s="255" t="s">
        <v>431</v>
      </c>
      <c r="C99" s="26" t="s">
        <v>263</v>
      </c>
      <c r="D99" s="20" t="s">
        <v>593</v>
      </c>
      <c r="E99" s="26" t="s">
        <v>569</v>
      </c>
      <c r="F99" s="625">
        <v>1200</v>
      </c>
      <c r="G99" s="31" t="s">
        <v>570</v>
      </c>
      <c r="H99" s="26" t="s">
        <v>571</v>
      </c>
      <c r="I99" s="23" t="s">
        <v>437</v>
      </c>
      <c r="J99" s="24">
        <v>2152</v>
      </c>
      <c r="K99" s="25">
        <v>40179</v>
      </c>
      <c r="L99" s="27">
        <v>2010</v>
      </c>
      <c r="M99" s="702">
        <v>1200</v>
      </c>
      <c r="N99" s="29" t="s">
        <v>572</v>
      </c>
      <c r="O99" s="17"/>
      <c r="P99" s="17"/>
      <c r="Q99" s="17"/>
      <c r="R99" s="17"/>
      <c r="S99" s="17"/>
      <c r="T99" s="17" t="s">
        <v>439</v>
      </c>
      <c r="U99" s="672">
        <v>0.26</v>
      </c>
      <c r="V99" s="570">
        <v>2733120</v>
      </c>
      <c r="W99" s="17"/>
      <c r="X99" s="17"/>
      <c r="Y99" s="361" t="s">
        <v>145</v>
      </c>
      <c r="Z99" s="255">
        <v>10</v>
      </c>
      <c r="AA99" t="str">
        <f>VLOOKUP(Y99,Source!F:F,1,FALSE)</f>
        <v>Mass. Water Resources Authority</v>
      </c>
    </row>
    <row r="100" spans="1:27">
      <c r="A100" s="17" t="str">
        <f t="shared" si="4"/>
        <v>Mass. Water Resources Authority11</v>
      </c>
      <c r="B100" s="257" t="s">
        <v>431</v>
      </c>
      <c r="C100" s="258" t="s">
        <v>568</v>
      </c>
      <c r="D100" s="23" t="s">
        <v>1625</v>
      </c>
      <c r="E100" s="258" t="s">
        <v>1534</v>
      </c>
      <c r="F100" s="625">
        <v>1100</v>
      </c>
      <c r="G100" s="31" t="s">
        <v>570</v>
      </c>
      <c r="H100" s="258" t="s">
        <v>571</v>
      </c>
      <c r="I100" s="23" t="s">
        <v>437</v>
      </c>
      <c r="J100" s="24">
        <v>2152</v>
      </c>
      <c r="K100" s="25">
        <v>41000</v>
      </c>
      <c r="L100" s="567">
        <v>2011</v>
      </c>
      <c r="M100" s="665">
        <v>1100</v>
      </c>
      <c r="N100" s="669" t="s">
        <v>572</v>
      </c>
      <c r="O100" s="673"/>
      <c r="P100" s="673"/>
      <c r="Q100" s="17"/>
      <c r="R100" s="17"/>
      <c r="S100" s="17"/>
      <c r="T100" s="23" t="s">
        <v>439</v>
      </c>
      <c r="U100" s="23"/>
      <c r="V100" s="23"/>
      <c r="W100" s="17"/>
      <c r="X100" s="17"/>
      <c r="Y100" s="361" t="s">
        <v>145</v>
      </c>
      <c r="Z100" s="255">
        <v>11</v>
      </c>
      <c r="AA100" t="str">
        <f>VLOOKUP(Y100,Source!F:F,1,FALSE)</f>
        <v>Mass. Water Resources Authority</v>
      </c>
    </row>
    <row r="101" spans="1:27">
      <c r="A101" s="17" t="str">
        <f t="shared" si="4"/>
        <v>Mass. Water Resources Authority12</v>
      </c>
      <c r="B101" s="255" t="s">
        <v>431</v>
      </c>
      <c r="C101" s="26" t="s">
        <v>263</v>
      </c>
      <c r="D101" s="20" t="s">
        <v>1626</v>
      </c>
      <c r="E101" s="26" t="s">
        <v>1535</v>
      </c>
      <c r="F101" s="625">
        <v>100</v>
      </c>
      <c r="G101" s="31" t="s">
        <v>570</v>
      </c>
      <c r="H101" s="26" t="s">
        <v>571</v>
      </c>
      <c r="I101" s="23" t="s">
        <v>437</v>
      </c>
      <c r="J101" s="24">
        <v>2152</v>
      </c>
      <c r="K101" s="25">
        <v>40664</v>
      </c>
      <c r="L101" s="27">
        <v>2009</v>
      </c>
      <c r="M101" s="702">
        <v>100</v>
      </c>
      <c r="N101" s="29" t="s">
        <v>572</v>
      </c>
      <c r="O101" s="17"/>
      <c r="P101" s="17"/>
      <c r="Q101" s="17"/>
      <c r="R101" s="17"/>
      <c r="S101" s="17"/>
      <c r="T101" s="17" t="s">
        <v>439</v>
      </c>
      <c r="U101" s="672">
        <v>0.26</v>
      </c>
      <c r="V101" s="570">
        <v>227760</v>
      </c>
      <c r="W101" s="17"/>
      <c r="X101" s="17"/>
      <c r="Y101" s="361" t="s">
        <v>145</v>
      </c>
      <c r="Z101" s="255">
        <v>12</v>
      </c>
      <c r="AA101" t="str">
        <f>VLOOKUP(Y101,Source!F:F,1,FALSE)</f>
        <v>Mass. Water Resources Authority</v>
      </c>
    </row>
    <row r="102" spans="1:27">
      <c r="A102" s="17" t="str">
        <f t="shared" si="4"/>
        <v>Mass. Water Resources Authority13</v>
      </c>
      <c r="B102" s="255" t="s">
        <v>431</v>
      </c>
      <c r="C102" s="26" t="s">
        <v>264</v>
      </c>
      <c r="D102" s="17"/>
      <c r="E102" s="26" t="s">
        <v>1536</v>
      </c>
      <c r="F102" s="626">
        <v>62</v>
      </c>
      <c r="G102" s="17"/>
      <c r="H102" s="26" t="s">
        <v>1606</v>
      </c>
      <c r="I102" s="17" t="s">
        <v>437</v>
      </c>
      <c r="J102" s="17"/>
      <c r="K102" s="17"/>
      <c r="L102" s="28">
        <v>2017</v>
      </c>
      <c r="M102" s="702">
        <v>62</v>
      </c>
      <c r="N102" s="29" t="s">
        <v>572</v>
      </c>
      <c r="O102" s="17"/>
      <c r="P102" s="17"/>
      <c r="Q102" s="17"/>
      <c r="R102" s="17"/>
      <c r="S102" s="17"/>
      <c r="T102" s="17" t="s">
        <v>439</v>
      </c>
      <c r="U102" s="17"/>
      <c r="V102" s="17"/>
      <c r="W102" s="17"/>
      <c r="X102" s="17"/>
      <c r="Y102" s="361" t="s">
        <v>145</v>
      </c>
      <c r="Z102" s="255">
        <v>13</v>
      </c>
      <c r="AA102" t="str">
        <f>VLOOKUP(Y102,Source!F:F,1,FALSE)</f>
        <v>Mass. Water Resources Authority</v>
      </c>
    </row>
    <row r="103" spans="1:27">
      <c r="A103" s="17" t="str">
        <f t="shared" si="4"/>
        <v>Mass. Water Resources Authority14</v>
      </c>
      <c r="B103" s="255" t="s">
        <v>431</v>
      </c>
      <c r="C103" s="26" t="s">
        <v>264</v>
      </c>
      <c r="D103" s="20" t="s">
        <v>580</v>
      </c>
      <c r="E103" s="26" t="s">
        <v>581</v>
      </c>
      <c r="F103" s="565">
        <v>200</v>
      </c>
      <c r="G103" s="17"/>
      <c r="H103" s="26" t="s">
        <v>582</v>
      </c>
      <c r="I103" s="26"/>
      <c r="J103" s="17"/>
      <c r="K103" s="25">
        <v>40603</v>
      </c>
      <c r="L103" s="27">
        <v>2011</v>
      </c>
      <c r="M103" s="17">
        <v>200</v>
      </c>
      <c r="N103" s="29" t="s">
        <v>572</v>
      </c>
      <c r="O103" s="672"/>
      <c r="P103" s="672"/>
      <c r="Q103" s="17"/>
      <c r="R103" s="17"/>
      <c r="S103" s="17"/>
      <c r="T103" s="17" t="s">
        <v>439</v>
      </c>
      <c r="U103" s="17">
        <v>0.56000000000000005</v>
      </c>
      <c r="V103" s="17"/>
      <c r="W103" s="17"/>
      <c r="X103" s="17"/>
      <c r="Y103" s="361" t="s">
        <v>145</v>
      </c>
      <c r="Z103" s="255">
        <v>14</v>
      </c>
      <c r="AA103" t="str">
        <f>VLOOKUP(Y103,Source!F:F,1,FALSE)</f>
        <v>Mass. Water Resources Authority</v>
      </c>
    </row>
    <row r="104" spans="1:27">
      <c r="A104" s="17" t="str">
        <f t="shared" ref="A104:A135" si="5">Y104&amp;Z104</f>
        <v>Mass. Water Resources Authority15</v>
      </c>
      <c r="B104" s="255" t="s">
        <v>431</v>
      </c>
      <c r="C104" s="26" t="s">
        <v>264</v>
      </c>
      <c r="D104" s="20" t="s">
        <v>574</v>
      </c>
      <c r="E104" s="26" t="s">
        <v>575</v>
      </c>
      <c r="F104" s="625">
        <v>3400</v>
      </c>
      <c r="G104" s="17"/>
      <c r="H104" s="26" t="s">
        <v>576</v>
      </c>
      <c r="I104" s="26"/>
      <c r="J104" s="17"/>
      <c r="K104" s="25">
        <v>40360</v>
      </c>
      <c r="L104" s="27">
        <v>1960</v>
      </c>
      <c r="M104" s="702">
        <v>3400</v>
      </c>
      <c r="N104" s="29" t="s">
        <v>572</v>
      </c>
      <c r="O104" s="672"/>
      <c r="P104" s="672"/>
      <c r="Q104" s="17"/>
      <c r="R104" s="17"/>
      <c r="S104" s="17"/>
      <c r="T104" s="17" t="s">
        <v>439</v>
      </c>
      <c r="U104" s="17">
        <v>0.16</v>
      </c>
      <c r="V104" s="17"/>
      <c r="W104" s="17"/>
      <c r="X104" s="17"/>
      <c r="Y104" s="361" t="s">
        <v>145</v>
      </c>
      <c r="Z104" s="255">
        <v>15</v>
      </c>
      <c r="AA104" t="str">
        <f>VLOOKUP(Y104,Source!F:F,1,FALSE)</f>
        <v>Mass. Water Resources Authority</v>
      </c>
    </row>
    <row r="105" spans="1:27">
      <c r="A105" s="17" t="str">
        <f t="shared" si="5"/>
        <v>Mass. Water Resources Authority16</v>
      </c>
      <c r="B105" s="255" t="s">
        <v>431</v>
      </c>
      <c r="C105" s="26" t="s">
        <v>264</v>
      </c>
      <c r="D105" s="20" t="s">
        <v>577</v>
      </c>
      <c r="E105" s="26" t="s">
        <v>578</v>
      </c>
      <c r="F105" s="625">
        <v>3500</v>
      </c>
      <c r="G105" s="17"/>
      <c r="H105" s="26" t="s">
        <v>579</v>
      </c>
      <c r="I105" s="26"/>
      <c r="J105" s="17"/>
      <c r="K105" s="25">
        <v>40360</v>
      </c>
      <c r="L105" s="27">
        <v>1950</v>
      </c>
      <c r="M105" s="702">
        <v>3500</v>
      </c>
      <c r="N105" s="29" t="s">
        <v>572</v>
      </c>
      <c r="O105" s="672"/>
      <c r="P105" s="672"/>
      <c r="Q105" s="17"/>
      <c r="R105" s="17"/>
      <c r="S105" s="17"/>
      <c r="T105" s="17" t="s">
        <v>439</v>
      </c>
      <c r="U105" s="17">
        <v>0.34</v>
      </c>
      <c r="V105" s="17"/>
      <c r="W105" s="17"/>
      <c r="X105" s="17"/>
      <c r="Y105" s="361" t="s">
        <v>145</v>
      </c>
      <c r="Z105" s="255">
        <v>16</v>
      </c>
      <c r="AA105" t="str">
        <f>VLOOKUP(Y105,Source!F:F,1,FALSE)</f>
        <v>Mass. Water Resources Authority</v>
      </c>
    </row>
    <row r="106" spans="1:27">
      <c r="A106" s="17" t="str">
        <f t="shared" si="5"/>
        <v>Mass. Water Resources Authority17</v>
      </c>
      <c r="B106" s="255" t="s">
        <v>431</v>
      </c>
      <c r="C106" s="26" t="s">
        <v>264</v>
      </c>
      <c r="D106" s="17"/>
      <c r="E106" s="26" t="s">
        <v>1537</v>
      </c>
      <c r="F106" s="571">
        <v>60</v>
      </c>
      <c r="G106" s="17"/>
      <c r="H106" s="17" t="s">
        <v>1605</v>
      </c>
      <c r="I106" s="17"/>
      <c r="J106" s="17"/>
      <c r="K106" s="17"/>
      <c r="L106" s="28">
        <v>2014</v>
      </c>
      <c r="M106" s="17">
        <v>60</v>
      </c>
      <c r="N106" s="29" t="s">
        <v>572</v>
      </c>
      <c r="O106" s="17"/>
      <c r="P106" s="17"/>
      <c r="Q106" s="17"/>
      <c r="R106" s="17"/>
      <c r="S106" s="17"/>
      <c r="T106" s="17" t="s">
        <v>439</v>
      </c>
      <c r="U106" s="17"/>
      <c r="V106" s="17"/>
      <c r="W106" s="17"/>
      <c r="X106" s="17"/>
      <c r="Y106" s="361" t="s">
        <v>145</v>
      </c>
      <c r="Z106" s="255">
        <v>17</v>
      </c>
      <c r="AA106" t="str">
        <f>VLOOKUP(Y106,Source!F:F,1,FALSE)</f>
        <v>Mass. Water Resources Authority</v>
      </c>
    </row>
    <row r="107" spans="1:27">
      <c r="A107" s="17" t="str">
        <f t="shared" si="5"/>
        <v>Mass. Water Resources Authority18</v>
      </c>
      <c r="B107" s="255" t="s">
        <v>431</v>
      </c>
      <c r="C107" s="17" t="s">
        <v>260</v>
      </c>
      <c r="D107" s="17"/>
      <c r="E107" s="17" t="s">
        <v>1538</v>
      </c>
      <c r="F107" s="686">
        <v>38</v>
      </c>
      <c r="G107" s="17"/>
      <c r="H107" s="31" t="s">
        <v>589</v>
      </c>
      <c r="I107" s="23" t="s">
        <v>437</v>
      </c>
      <c r="J107" s="24">
        <v>1752</v>
      </c>
      <c r="K107" s="17"/>
      <c r="L107" s="28">
        <v>2020</v>
      </c>
      <c r="M107" s="571">
        <v>36</v>
      </c>
      <c r="N107" s="29" t="s">
        <v>572</v>
      </c>
      <c r="O107" s="17" t="s">
        <v>1076</v>
      </c>
      <c r="P107" s="17" t="s">
        <v>710</v>
      </c>
      <c r="Q107" s="17"/>
      <c r="R107" s="17"/>
      <c r="S107" s="17"/>
      <c r="T107" s="17" t="s">
        <v>439</v>
      </c>
      <c r="U107" s="573">
        <v>0.13350000000000001</v>
      </c>
      <c r="V107" s="37">
        <v>42100.560000000005</v>
      </c>
      <c r="W107" s="17"/>
      <c r="X107" s="17"/>
      <c r="Y107" s="361" t="s">
        <v>145</v>
      </c>
      <c r="Z107" s="255">
        <v>18</v>
      </c>
      <c r="AA107" t="str">
        <f>VLOOKUP(Y107,Source!F:F,1,FALSE)</f>
        <v>Mass. Water Resources Authority</v>
      </c>
    </row>
    <row r="108" spans="1:27">
      <c r="A108" s="17" t="str">
        <f t="shared" si="5"/>
        <v>Mass. Water Resources Authority19</v>
      </c>
      <c r="B108" s="255" t="s">
        <v>431</v>
      </c>
      <c r="C108" s="17" t="s">
        <v>260</v>
      </c>
      <c r="D108" s="17"/>
      <c r="E108" s="17" t="s">
        <v>1539</v>
      </c>
      <c r="F108" s="627">
        <v>38</v>
      </c>
      <c r="G108" s="17"/>
      <c r="H108" s="31" t="s">
        <v>589</v>
      </c>
      <c r="I108" s="23" t="s">
        <v>437</v>
      </c>
      <c r="J108" s="24">
        <v>1752</v>
      </c>
      <c r="K108" s="17"/>
      <c r="L108" s="28">
        <v>2020</v>
      </c>
      <c r="M108" s="571">
        <v>36</v>
      </c>
      <c r="N108" s="29" t="s">
        <v>572</v>
      </c>
      <c r="O108" s="17" t="s">
        <v>1076</v>
      </c>
      <c r="P108" s="17" t="s">
        <v>1635</v>
      </c>
      <c r="Q108" s="36"/>
      <c r="R108" s="17"/>
      <c r="S108" s="17"/>
      <c r="T108" s="17" t="s">
        <v>439</v>
      </c>
      <c r="U108" s="573">
        <v>0.13350000000000001</v>
      </c>
      <c r="V108" s="37">
        <v>42100.560000000005</v>
      </c>
      <c r="W108" s="26"/>
      <c r="X108" s="17"/>
      <c r="Y108" s="361" t="s">
        <v>145</v>
      </c>
      <c r="Z108" s="255">
        <v>19</v>
      </c>
      <c r="AA108" t="str">
        <f>VLOOKUP(Y108,Source!F:F,1,FALSE)</f>
        <v>Mass. Water Resources Authority</v>
      </c>
    </row>
    <row r="109" spans="1:27">
      <c r="A109" s="17" t="str">
        <f t="shared" si="5"/>
        <v>Massasoit Comm. College1</v>
      </c>
      <c r="B109" s="255" t="s">
        <v>431</v>
      </c>
      <c r="C109" s="17" t="s">
        <v>260</v>
      </c>
      <c r="D109" s="20" t="s">
        <v>594</v>
      </c>
      <c r="E109" s="21" t="s">
        <v>595</v>
      </c>
      <c r="F109" s="565">
        <v>87.78</v>
      </c>
      <c r="G109" s="22" t="s">
        <v>596</v>
      </c>
      <c r="H109" s="22" t="s">
        <v>597</v>
      </c>
      <c r="I109" s="23" t="s">
        <v>437</v>
      </c>
      <c r="J109" s="24">
        <v>2302</v>
      </c>
      <c r="K109" s="25">
        <v>40725</v>
      </c>
      <c r="L109" s="27">
        <v>2011</v>
      </c>
      <c r="M109" s="566">
        <v>87.78</v>
      </c>
      <c r="N109" s="26" t="s">
        <v>438</v>
      </c>
      <c r="O109" s="17" t="s">
        <v>1076</v>
      </c>
      <c r="P109" s="17" t="s">
        <v>710</v>
      </c>
      <c r="Q109" s="36"/>
      <c r="R109" s="17"/>
      <c r="S109" s="17"/>
      <c r="T109" s="17" t="s">
        <v>439</v>
      </c>
      <c r="U109" s="573">
        <v>0.13350000000000001</v>
      </c>
      <c r="V109" s="570">
        <v>102655.19880000001</v>
      </c>
      <c r="W109" s="26"/>
      <c r="X109" s="17"/>
      <c r="Y109" s="361" t="s">
        <v>154</v>
      </c>
      <c r="Z109" s="255">
        <v>1</v>
      </c>
      <c r="AA109" t="str">
        <f>VLOOKUP(Y109,Source!F:F,1,FALSE)</f>
        <v>Massasoit Comm. College</v>
      </c>
    </row>
    <row r="110" spans="1:27">
      <c r="A110" s="17" t="str">
        <f t="shared" si="5"/>
        <v>Massasoit Comm. College2</v>
      </c>
      <c r="B110" s="255" t="s">
        <v>431</v>
      </c>
      <c r="C110" s="17" t="s">
        <v>260</v>
      </c>
      <c r="D110" s="20" t="s">
        <v>598</v>
      </c>
      <c r="E110" s="21" t="s">
        <v>599</v>
      </c>
      <c r="F110" s="565">
        <v>69.3</v>
      </c>
      <c r="G110" s="22" t="s">
        <v>596</v>
      </c>
      <c r="H110" s="22" t="s">
        <v>597</v>
      </c>
      <c r="I110" s="23" t="s">
        <v>437</v>
      </c>
      <c r="J110" s="24">
        <v>2302</v>
      </c>
      <c r="K110" s="25">
        <v>40725</v>
      </c>
      <c r="L110" s="27">
        <v>2011</v>
      </c>
      <c r="M110" s="566">
        <v>69.3</v>
      </c>
      <c r="N110" s="26" t="s">
        <v>438</v>
      </c>
      <c r="O110" s="17" t="s">
        <v>1076</v>
      </c>
      <c r="P110" s="17" t="s">
        <v>710</v>
      </c>
      <c r="Q110" s="36"/>
      <c r="R110" s="17"/>
      <c r="S110" s="17"/>
      <c r="T110" s="17" t="s">
        <v>439</v>
      </c>
      <c r="U110" s="573">
        <v>0.13350000000000001</v>
      </c>
      <c r="V110" s="570">
        <v>81043.578000000009</v>
      </c>
      <c r="W110" s="26"/>
      <c r="X110" s="17"/>
      <c r="Y110" s="39" t="s">
        <v>154</v>
      </c>
      <c r="Z110" s="255">
        <v>2</v>
      </c>
      <c r="AA110" t="str">
        <f>VLOOKUP(Y110,Source!F:F,1,FALSE)</f>
        <v>Massasoit Comm. College</v>
      </c>
    </row>
    <row r="111" spans="1:27">
      <c r="A111" s="17" t="str">
        <f t="shared" si="5"/>
        <v>Massasoit Comm. College3</v>
      </c>
      <c r="B111" s="255" t="s">
        <v>431</v>
      </c>
      <c r="C111" s="17" t="s">
        <v>260</v>
      </c>
      <c r="D111" s="20" t="s">
        <v>600</v>
      </c>
      <c r="E111" s="21" t="s">
        <v>601</v>
      </c>
      <c r="F111" s="565">
        <v>50.8</v>
      </c>
      <c r="G111" s="22" t="s">
        <v>596</v>
      </c>
      <c r="H111" s="22" t="s">
        <v>597</v>
      </c>
      <c r="I111" s="23" t="s">
        <v>437</v>
      </c>
      <c r="J111" s="24">
        <v>2302</v>
      </c>
      <c r="K111" s="25">
        <v>40725</v>
      </c>
      <c r="L111" s="27">
        <v>2011</v>
      </c>
      <c r="M111" s="566">
        <v>50.8</v>
      </c>
      <c r="N111" s="26" t="s">
        <v>438</v>
      </c>
      <c r="O111" s="17" t="s">
        <v>1076</v>
      </c>
      <c r="P111" s="17" t="s">
        <v>710</v>
      </c>
      <c r="Q111" s="36"/>
      <c r="R111" s="17"/>
      <c r="S111" s="17"/>
      <c r="T111" s="17" t="s">
        <v>439</v>
      </c>
      <c r="U111" s="573">
        <v>0.13350000000000001</v>
      </c>
      <c r="V111" s="570">
        <v>59408.568000000007</v>
      </c>
      <c r="W111" s="26"/>
      <c r="X111" s="17"/>
      <c r="Y111" s="39" t="s">
        <v>154</v>
      </c>
      <c r="Z111" s="255">
        <v>3</v>
      </c>
      <c r="AA111" t="str">
        <f>VLOOKUP(Y111,Source!F:F,1,FALSE)</f>
        <v>Massasoit Comm. College</v>
      </c>
    </row>
    <row r="112" spans="1:27">
      <c r="A112" s="17" t="str">
        <f t="shared" si="5"/>
        <v>Massasoit Comm. College4</v>
      </c>
      <c r="B112" s="255" t="s">
        <v>431</v>
      </c>
      <c r="C112" s="17" t="s">
        <v>260</v>
      </c>
      <c r="D112" s="20" t="s">
        <v>602</v>
      </c>
      <c r="E112" s="21" t="s">
        <v>603</v>
      </c>
      <c r="F112" s="565">
        <v>110.88</v>
      </c>
      <c r="G112" s="22" t="s">
        <v>596</v>
      </c>
      <c r="H112" s="22" t="s">
        <v>597</v>
      </c>
      <c r="I112" s="23" t="s">
        <v>437</v>
      </c>
      <c r="J112" s="24">
        <v>2302</v>
      </c>
      <c r="K112" s="25">
        <v>40725</v>
      </c>
      <c r="L112" s="27">
        <v>2011</v>
      </c>
      <c r="M112" s="566">
        <v>110.88</v>
      </c>
      <c r="N112" s="26" t="s">
        <v>438</v>
      </c>
      <c r="O112" s="17" t="s">
        <v>1076</v>
      </c>
      <c r="P112" s="17" t="s">
        <v>710</v>
      </c>
      <c r="Q112" s="17"/>
      <c r="R112" s="17"/>
      <c r="S112" s="17"/>
      <c r="T112" s="17" t="s">
        <v>439</v>
      </c>
      <c r="U112" s="573">
        <v>0.13350000000000001</v>
      </c>
      <c r="V112" s="570">
        <v>129669.7248</v>
      </c>
      <c r="W112" s="17"/>
      <c r="X112" s="17"/>
      <c r="Y112" s="39" t="s">
        <v>154</v>
      </c>
      <c r="Z112" s="255">
        <v>4</v>
      </c>
      <c r="AA112" t="str">
        <f>VLOOKUP(Y112,Source!F:F,1,FALSE)</f>
        <v>Massasoit Comm. College</v>
      </c>
    </row>
    <row r="113" spans="1:27">
      <c r="A113" s="17" t="str">
        <f t="shared" si="5"/>
        <v>Massasoit Comm. College5</v>
      </c>
      <c r="B113" s="255" t="s">
        <v>431</v>
      </c>
      <c r="C113" s="17" t="s">
        <v>260</v>
      </c>
      <c r="D113" s="20" t="s">
        <v>604</v>
      </c>
      <c r="E113" s="21" t="s">
        <v>605</v>
      </c>
      <c r="F113" s="565">
        <v>50.82</v>
      </c>
      <c r="G113" s="22" t="s">
        <v>596</v>
      </c>
      <c r="H113" s="22" t="s">
        <v>597</v>
      </c>
      <c r="I113" s="23" t="s">
        <v>437</v>
      </c>
      <c r="J113" s="24">
        <v>2302</v>
      </c>
      <c r="K113" s="25">
        <v>40725</v>
      </c>
      <c r="L113" s="27">
        <v>2011</v>
      </c>
      <c r="M113" s="566">
        <v>50.82</v>
      </c>
      <c r="N113" s="26" t="s">
        <v>438</v>
      </c>
      <c r="O113" s="17" t="s">
        <v>1076</v>
      </c>
      <c r="P113" s="17" t="s">
        <v>710</v>
      </c>
      <c r="Q113" s="17"/>
      <c r="R113" s="17"/>
      <c r="S113" s="17"/>
      <c r="T113" s="17" t="s">
        <v>439</v>
      </c>
      <c r="U113" s="573">
        <v>0.13350000000000001</v>
      </c>
      <c r="V113" s="570">
        <v>59431.957200000004</v>
      </c>
      <c r="W113" s="17"/>
      <c r="X113" s="17"/>
      <c r="Y113" s="39" t="s">
        <v>154</v>
      </c>
      <c r="Z113" s="255">
        <v>5</v>
      </c>
      <c r="AA113" t="str">
        <f>VLOOKUP(Y113,Source!F:F,1,FALSE)</f>
        <v>Massasoit Comm. College</v>
      </c>
    </row>
    <row r="114" spans="1:27">
      <c r="A114" s="17" t="str">
        <f t="shared" si="5"/>
        <v>MassDEP - owned1</v>
      </c>
      <c r="B114" s="255" t="s">
        <v>431</v>
      </c>
      <c r="C114" s="26" t="s">
        <v>260</v>
      </c>
      <c r="D114" s="20" t="s">
        <v>606</v>
      </c>
      <c r="E114" s="26" t="s">
        <v>607</v>
      </c>
      <c r="F114" s="565">
        <v>52.5</v>
      </c>
      <c r="G114" s="255" t="s">
        <v>608</v>
      </c>
      <c r="H114" s="26" t="s">
        <v>609</v>
      </c>
      <c r="I114" s="17" t="s">
        <v>437</v>
      </c>
      <c r="J114" s="24">
        <v>1843</v>
      </c>
      <c r="K114" s="25">
        <v>40981</v>
      </c>
      <c r="L114" s="27">
        <v>2012</v>
      </c>
      <c r="M114" s="566">
        <v>52.5</v>
      </c>
      <c r="N114" s="26" t="s">
        <v>481</v>
      </c>
      <c r="O114" s="17" t="s">
        <v>1076</v>
      </c>
      <c r="P114" s="255" t="s">
        <v>710</v>
      </c>
      <c r="Q114" s="17"/>
      <c r="R114" s="17"/>
      <c r="S114" s="17"/>
      <c r="T114" s="17" t="s">
        <v>439</v>
      </c>
      <c r="U114" s="573">
        <v>0.13350000000000001</v>
      </c>
      <c r="V114" s="570">
        <v>61396.65</v>
      </c>
      <c r="Y114" s="39" t="s">
        <v>165</v>
      </c>
      <c r="Z114" s="255">
        <v>1</v>
      </c>
      <c r="AA114" t="str">
        <f>VLOOKUP(Y114,Source!F:F,1,FALSE)</f>
        <v>MassDEP - owned</v>
      </c>
    </row>
    <row r="115" spans="1:27">
      <c r="A115" s="17" t="str">
        <f t="shared" si="5"/>
        <v>MassDEP - owned2</v>
      </c>
      <c r="B115" s="255" t="s">
        <v>431</v>
      </c>
      <c r="C115" s="17" t="s">
        <v>260</v>
      </c>
      <c r="D115" s="20" t="s">
        <v>610</v>
      </c>
      <c r="E115" s="34" t="s">
        <v>611</v>
      </c>
      <c r="F115" s="565">
        <v>129.36000000000001</v>
      </c>
      <c r="G115" s="32" t="s">
        <v>612</v>
      </c>
      <c r="H115" s="32" t="s">
        <v>613</v>
      </c>
      <c r="I115" s="32" t="s">
        <v>437</v>
      </c>
      <c r="J115" s="24">
        <v>1107</v>
      </c>
      <c r="K115" s="25">
        <v>40980</v>
      </c>
      <c r="L115" s="27">
        <v>2012</v>
      </c>
      <c r="M115" s="17">
        <v>129.36000000000001</v>
      </c>
      <c r="N115" s="26" t="s">
        <v>481</v>
      </c>
      <c r="O115" s="17" t="s">
        <v>1076</v>
      </c>
      <c r="P115" s="17" t="s">
        <v>710</v>
      </c>
      <c r="Q115" s="17"/>
      <c r="R115" s="26"/>
      <c r="S115" s="255"/>
      <c r="T115" s="17" t="s">
        <v>439</v>
      </c>
      <c r="U115" s="573">
        <v>0.13350000000000001</v>
      </c>
      <c r="V115" s="570">
        <v>151281.34560000003</v>
      </c>
      <c r="W115" s="26"/>
      <c r="X115" s="255"/>
      <c r="Y115" s="39" t="s">
        <v>165</v>
      </c>
      <c r="Z115" s="255">
        <v>2</v>
      </c>
      <c r="AA115" t="str">
        <f>VLOOKUP(Y115,Source!F:F,1,FALSE)</f>
        <v>MassDEP - owned</v>
      </c>
    </row>
    <row r="116" spans="1:27">
      <c r="A116" s="17" t="str">
        <f t="shared" si="5"/>
        <v>MassDOT - Highway &amp; Turnpike Divisions1</v>
      </c>
      <c r="B116" s="255" t="s">
        <v>431</v>
      </c>
      <c r="C116" s="26" t="s">
        <v>260</v>
      </c>
      <c r="D116" s="20"/>
      <c r="E116" s="35" t="s">
        <v>614</v>
      </c>
      <c r="F116" s="565">
        <v>70</v>
      </c>
      <c r="G116" s="20" t="s">
        <v>615</v>
      </c>
      <c r="H116" s="26" t="s">
        <v>616</v>
      </c>
      <c r="I116" s="17" t="s">
        <v>437</v>
      </c>
      <c r="J116" s="24">
        <v>1060</v>
      </c>
      <c r="K116" s="25"/>
      <c r="L116" s="27">
        <v>2013</v>
      </c>
      <c r="M116" s="664">
        <v>79.63</v>
      </c>
      <c r="N116" s="29" t="s">
        <v>617</v>
      </c>
      <c r="O116" s="255" t="s">
        <v>1076</v>
      </c>
      <c r="P116" s="255" t="s">
        <v>1635</v>
      </c>
      <c r="Q116" s="17"/>
      <c r="R116" s="17"/>
      <c r="S116" s="255"/>
      <c r="T116" s="17" t="s">
        <v>439</v>
      </c>
      <c r="U116" s="573">
        <v>0.13350000000000001</v>
      </c>
      <c r="V116" s="570">
        <v>93124.099799999996</v>
      </c>
      <c r="W116" s="26"/>
      <c r="X116" s="17"/>
      <c r="Y116" s="39" t="s">
        <v>166</v>
      </c>
      <c r="Z116" s="255">
        <v>1</v>
      </c>
      <c r="AA116" t="str">
        <f>VLOOKUP(Y116,Source!F:F,1,FALSE)</f>
        <v>MassDOT - Highway &amp; Turnpike Divisions</v>
      </c>
    </row>
    <row r="117" spans="1:27">
      <c r="A117" s="17" t="str">
        <f t="shared" si="5"/>
        <v>MassDOT - Highway &amp; Turnpike Divisions2</v>
      </c>
      <c r="B117" s="255" t="s">
        <v>431</v>
      </c>
      <c r="C117" s="26" t="s">
        <v>260</v>
      </c>
      <c r="D117" s="17"/>
      <c r="E117" s="17" t="s">
        <v>706</v>
      </c>
      <c r="F117" s="571">
        <v>490</v>
      </c>
      <c r="G117" s="556" t="s">
        <v>1576</v>
      </c>
      <c r="H117" s="17" t="s">
        <v>707</v>
      </c>
      <c r="I117" s="17" t="s">
        <v>437</v>
      </c>
      <c r="J117" s="17"/>
      <c r="K117" s="191">
        <v>42795</v>
      </c>
      <c r="L117" s="28">
        <v>2017</v>
      </c>
      <c r="M117" s="17">
        <v>490</v>
      </c>
      <c r="N117" s="29" t="s">
        <v>617</v>
      </c>
      <c r="O117" s="17" t="s">
        <v>1616</v>
      </c>
      <c r="P117" s="17" t="s">
        <v>708</v>
      </c>
      <c r="Q117" s="175"/>
      <c r="R117" s="175"/>
      <c r="S117" s="176"/>
      <c r="T117" s="17" t="s">
        <v>439</v>
      </c>
      <c r="U117" s="573">
        <v>0.13350000000000001</v>
      </c>
      <c r="V117" s="570">
        <v>573035.4</v>
      </c>
      <c r="W117" s="178"/>
      <c r="X117" s="175"/>
      <c r="Y117" s="39" t="s">
        <v>166</v>
      </c>
      <c r="Z117" s="255">
        <v>2</v>
      </c>
      <c r="AA117" t="str">
        <f>VLOOKUP(Y117,Source!F:F,1,FALSE)</f>
        <v>MassDOT - Highway &amp; Turnpike Divisions</v>
      </c>
    </row>
    <row r="118" spans="1:27">
      <c r="A118" s="17" t="str">
        <f t="shared" si="5"/>
        <v>MassDOT - Highway &amp; Turnpike Divisions3</v>
      </c>
      <c r="B118" s="255" t="s">
        <v>431</v>
      </c>
      <c r="C118" s="26" t="s">
        <v>260</v>
      </c>
      <c r="D118" s="17"/>
      <c r="E118" s="17" t="s">
        <v>709</v>
      </c>
      <c r="F118" s="571">
        <v>51</v>
      </c>
      <c r="G118" s="17"/>
      <c r="H118" s="17" t="s">
        <v>707</v>
      </c>
      <c r="I118" s="17" t="s">
        <v>437</v>
      </c>
      <c r="J118" s="17"/>
      <c r="K118" s="191">
        <v>42795</v>
      </c>
      <c r="L118" s="28">
        <v>2017</v>
      </c>
      <c r="M118" s="17">
        <v>50</v>
      </c>
      <c r="N118" s="29" t="s">
        <v>617</v>
      </c>
      <c r="O118" s="17" t="s">
        <v>1616</v>
      </c>
      <c r="P118" s="17" t="s">
        <v>710</v>
      </c>
      <c r="Q118" s="17"/>
      <c r="R118" s="17"/>
      <c r="S118" s="255"/>
      <c r="T118" s="17" t="s">
        <v>439</v>
      </c>
      <c r="U118" s="573">
        <v>0.13350000000000001</v>
      </c>
      <c r="V118" s="570">
        <v>58473</v>
      </c>
      <c r="W118" s="26"/>
      <c r="X118" s="17"/>
      <c r="Y118" s="39" t="s">
        <v>166</v>
      </c>
      <c r="Z118" s="255">
        <v>3</v>
      </c>
      <c r="AA118" t="str">
        <f>VLOOKUP(Y118,Source!F:F,1,FALSE)</f>
        <v>MassDOT - Highway &amp; Turnpike Divisions</v>
      </c>
    </row>
    <row r="119" spans="1:27">
      <c r="A119" s="17" t="str">
        <f t="shared" si="5"/>
        <v>MassDOT - Highway &amp; Turnpike Divisions4</v>
      </c>
      <c r="B119" s="255" t="s">
        <v>431</v>
      </c>
      <c r="C119" s="26" t="s">
        <v>260</v>
      </c>
      <c r="D119" s="20"/>
      <c r="E119" s="17" t="s">
        <v>1512</v>
      </c>
      <c r="F119" s="571">
        <v>649</v>
      </c>
      <c r="G119" s="20"/>
      <c r="H119" s="17" t="s">
        <v>509</v>
      </c>
      <c r="I119" s="17" t="s">
        <v>437</v>
      </c>
      <c r="J119" s="24"/>
      <c r="K119" s="25">
        <v>41961</v>
      </c>
      <c r="L119" s="28">
        <v>2015</v>
      </c>
      <c r="M119" s="17">
        <v>649</v>
      </c>
      <c r="N119" s="29" t="s">
        <v>617</v>
      </c>
      <c r="O119" s="255" t="s">
        <v>451</v>
      </c>
      <c r="P119" s="17" t="s">
        <v>618</v>
      </c>
      <c r="Q119" s="269"/>
      <c r="R119" s="269"/>
      <c r="S119" s="269"/>
      <c r="T119" s="17" t="s">
        <v>439</v>
      </c>
      <c r="U119" s="573">
        <v>0.13350000000000001</v>
      </c>
      <c r="V119" s="570">
        <v>758979.54</v>
      </c>
      <c r="W119" s="275"/>
      <c r="X119" s="275"/>
      <c r="Y119" s="39" t="s">
        <v>166</v>
      </c>
      <c r="Z119" s="176">
        <v>4</v>
      </c>
      <c r="AA119" t="str">
        <f>VLOOKUP(Y119,Source!F:F,1,FALSE)</f>
        <v>MassDOT - Highway &amp; Turnpike Divisions</v>
      </c>
    </row>
    <row r="120" spans="1:27">
      <c r="A120" s="17" t="str">
        <f t="shared" si="5"/>
        <v>MassDOT - Highway &amp; Turnpike Divisions5</v>
      </c>
      <c r="B120" s="255" t="s">
        <v>431</v>
      </c>
      <c r="C120" s="26" t="s">
        <v>260</v>
      </c>
      <c r="D120" s="17"/>
      <c r="E120" s="17" t="s">
        <v>1513</v>
      </c>
      <c r="F120" s="571">
        <v>649</v>
      </c>
      <c r="G120" s="17"/>
      <c r="H120" s="17" t="s">
        <v>509</v>
      </c>
      <c r="I120" s="17" t="s">
        <v>437</v>
      </c>
      <c r="J120" s="17"/>
      <c r="K120" s="25">
        <v>41961</v>
      </c>
      <c r="L120" s="28">
        <v>2015</v>
      </c>
      <c r="M120" s="17">
        <v>649</v>
      </c>
      <c r="N120" s="29" t="s">
        <v>617</v>
      </c>
      <c r="O120" s="255" t="s">
        <v>451</v>
      </c>
      <c r="P120" s="17" t="s">
        <v>618</v>
      </c>
      <c r="Q120" s="269"/>
      <c r="R120" s="269"/>
      <c r="S120" s="269"/>
      <c r="T120" s="17" t="s">
        <v>439</v>
      </c>
      <c r="U120" s="573">
        <v>0.13350000000000001</v>
      </c>
      <c r="V120" s="570">
        <v>758979.54</v>
      </c>
      <c r="W120" s="275"/>
      <c r="X120" s="275"/>
      <c r="Y120" s="39" t="s">
        <v>166</v>
      </c>
      <c r="Z120" s="255">
        <v>5</v>
      </c>
      <c r="AA120" t="str">
        <f>VLOOKUP(Y120,Source!F:F,1,FALSE)</f>
        <v>MassDOT - Highway &amp; Turnpike Divisions</v>
      </c>
    </row>
    <row r="121" spans="1:27">
      <c r="A121" s="17" t="str">
        <f t="shared" si="5"/>
        <v>MassDOT - Highway &amp; Turnpike Divisions6</v>
      </c>
      <c r="B121" s="255" t="s">
        <v>431</v>
      </c>
      <c r="C121" s="26" t="s">
        <v>260</v>
      </c>
      <c r="D121" s="17"/>
      <c r="E121" s="17" t="s">
        <v>1514</v>
      </c>
      <c r="F121" s="571">
        <v>318</v>
      </c>
      <c r="G121" s="17"/>
      <c r="H121" s="17" t="s">
        <v>509</v>
      </c>
      <c r="I121" s="17" t="s">
        <v>437</v>
      </c>
      <c r="J121" s="17"/>
      <c r="K121" s="25">
        <v>41961</v>
      </c>
      <c r="L121" s="28">
        <v>2015</v>
      </c>
      <c r="M121" s="17">
        <v>318</v>
      </c>
      <c r="N121" s="29" t="s">
        <v>617</v>
      </c>
      <c r="O121" s="255" t="s">
        <v>451</v>
      </c>
      <c r="P121" s="17" t="s">
        <v>618</v>
      </c>
      <c r="Q121" s="703"/>
      <c r="R121" s="703"/>
      <c r="S121" s="703"/>
      <c r="T121" s="17" t="s">
        <v>439</v>
      </c>
      <c r="U121" s="573">
        <v>0.13350000000000001</v>
      </c>
      <c r="V121" s="570">
        <v>371888.28</v>
      </c>
      <c r="W121" s="703"/>
      <c r="X121" s="703"/>
      <c r="Y121" s="39" t="s">
        <v>166</v>
      </c>
      <c r="Z121" s="176">
        <v>6</v>
      </c>
      <c r="AA121" t="str">
        <f>VLOOKUP(Y121,Source!F:F,1,FALSE)</f>
        <v>MassDOT - Highway &amp; Turnpike Divisions</v>
      </c>
    </row>
    <row r="122" spans="1:27">
      <c r="A122" s="17" t="str">
        <f t="shared" si="5"/>
        <v>MassDOT - Highway &amp; Turnpike Divisions7</v>
      </c>
      <c r="B122" s="255" t="s">
        <v>431</v>
      </c>
      <c r="C122" s="26" t="s">
        <v>260</v>
      </c>
      <c r="D122" s="17"/>
      <c r="E122" s="17" t="s">
        <v>1515</v>
      </c>
      <c r="F122" s="571">
        <v>272</v>
      </c>
      <c r="G122" s="17"/>
      <c r="H122" s="17" t="s">
        <v>619</v>
      </c>
      <c r="I122" s="17" t="s">
        <v>437</v>
      </c>
      <c r="J122" s="17"/>
      <c r="K122" s="25">
        <v>41961</v>
      </c>
      <c r="L122" s="28">
        <v>2015</v>
      </c>
      <c r="M122" s="17">
        <v>272</v>
      </c>
      <c r="N122" s="29" t="s">
        <v>617</v>
      </c>
      <c r="O122" s="255" t="s">
        <v>451</v>
      </c>
      <c r="P122" s="17" t="s">
        <v>618</v>
      </c>
      <c r="Q122" s="703"/>
      <c r="R122" s="703"/>
      <c r="S122" s="703"/>
      <c r="T122" s="17" t="s">
        <v>439</v>
      </c>
      <c r="U122" s="573">
        <v>0.13350000000000001</v>
      </c>
      <c r="V122" s="570">
        <v>318093.12</v>
      </c>
      <c r="W122" s="703"/>
      <c r="X122" s="703"/>
      <c r="Y122" s="39" t="s">
        <v>166</v>
      </c>
      <c r="Z122" s="255">
        <v>7</v>
      </c>
      <c r="AA122" t="str">
        <f>VLOOKUP(Y122,Source!F:F,1,FALSE)</f>
        <v>MassDOT - Highway &amp; Turnpike Divisions</v>
      </c>
    </row>
    <row r="123" spans="1:27">
      <c r="A123" s="17" t="str">
        <f t="shared" si="5"/>
        <v>MassDOT - Highway &amp; Turnpike Divisions8</v>
      </c>
      <c r="B123" s="255" t="s">
        <v>431</v>
      </c>
      <c r="C123" s="26" t="s">
        <v>260</v>
      </c>
      <c r="D123" s="17"/>
      <c r="E123" s="17" t="s">
        <v>1516</v>
      </c>
      <c r="F123" s="571">
        <v>562</v>
      </c>
      <c r="G123" s="17"/>
      <c r="H123" s="17" t="s">
        <v>620</v>
      </c>
      <c r="I123" s="17" t="s">
        <v>437</v>
      </c>
      <c r="J123" s="17"/>
      <c r="K123" s="191">
        <v>42165</v>
      </c>
      <c r="L123" s="28">
        <v>2015</v>
      </c>
      <c r="M123" s="17">
        <v>567</v>
      </c>
      <c r="N123" s="29" t="s">
        <v>617</v>
      </c>
      <c r="O123" s="17" t="s">
        <v>451</v>
      </c>
      <c r="P123" s="17" t="s">
        <v>618</v>
      </c>
      <c r="Q123" s="269"/>
      <c r="R123" s="269"/>
      <c r="S123" s="269"/>
      <c r="T123" s="17" t="s">
        <v>439</v>
      </c>
      <c r="U123" s="573">
        <v>0.13350000000000001</v>
      </c>
      <c r="V123" s="570">
        <v>663083.82000000007</v>
      </c>
      <c r="W123" s="269"/>
      <c r="X123" s="269"/>
      <c r="Y123" s="39" t="s">
        <v>166</v>
      </c>
      <c r="Z123" s="176">
        <v>8</v>
      </c>
      <c r="AA123" t="str">
        <f>VLOOKUP(Y123,Source!F:F,1,FALSE)</f>
        <v>MassDOT - Highway &amp; Turnpike Divisions</v>
      </c>
    </row>
    <row r="124" spans="1:27">
      <c r="A124" s="17" t="str">
        <f t="shared" si="5"/>
        <v>MassDOT - Highway &amp; Turnpike Divisions9</v>
      </c>
      <c r="B124" s="255" t="s">
        <v>431</v>
      </c>
      <c r="C124" s="26" t="s">
        <v>260</v>
      </c>
      <c r="D124" s="17"/>
      <c r="E124" s="17" t="s">
        <v>1517</v>
      </c>
      <c r="F124" s="571">
        <v>649</v>
      </c>
      <c r="G124" s="17" t="s">
        <v>704</v>
      </c>
      <c r="H124" s="17" t="s">
        <v>705</v>
      </c>
      <c r="I124" s="17" t="s">
        <v>437</v>
      </c>
      <c r="J124" s="17"/>
      <c r="K124" s="191">
        <v>42668</v>
      </c>
      <c r="L124" s="28">
        <v>2017</v>
      </c>
      <c r="M124" s="17">
        <v>649</v>
      </c>
      <c r="N124" s="29" t="s">
        <v>617</v>
      </c>
      <c r="O124" s="17" t="s">
        <v>451</v>
      </c>
      <c r="P124" s="17" t="s">
        <v>618</v>
      </c>
      <c r="Q124" s="17"/>
      <c r="R124" s="17"/>
      <c r="S124" s="255"/>
      <c r="T124" s="17" t="s">
        <v>439</v>
      </c>
      <c r="U124" s="573">
        <v>0.13350000000000001</v>
      </c>
      <c r="V124" s="570">
        <v>758979.54</v>
      </c>
      <c r="W124" s="26"/>
      <c r="X124" s="255"/>
      <c r="Y124" s="39" t="s">
        <v>166</v>
      </c>
      <c r="Z124" s="255">
        <v>9</v>
      </c>
      <c r="AA124" t="str">
        <f>VLOOKUP(Y124,Source!F:F,1,FALSE)</f>
        <v>MassDOT - Highway &amp; Turnpike Divisions</v>
      </c>
    </row>
    <row r="125" spans="1:27">
      <c r="A125" s="17" t="str">
        <f t="shared" si="5"/>
        <v>MassDOT - Highway &amp; Turnpike Divisions10</v>
      </c>
      <c r="B125" s="255" t="s">
        <v>431</v>
      </c>
      <c r="C125" s="26" t="s">
        <v>260</v>
      </c>
      <c r="D125" s="17"/>
      <c r="E125" s="17" t="s">
        <v>702</v>
      </c>
      <c r="F125" s="571">
        <v>649</v>
      </c>
      <c r="G125" s="17"/>
      <c r="H125" s="17" t="s">
        <v>703</v>
      </c>
      <c r="I125" s="17" t="s">
        <v>437</v>
      </c>
      <c r="J125" s="572" t="s">
        <v>1610</v>
      </c>
      <c r="K125" s="191">
        <v>42650</v>
      </c>
      <c r="L125" s="28">
        <v>2017</v>
      </c>
      <c r="M125" s="17">
        <v>649</v>
      </c>
      <c r="N125" s="17" t="s">
        <v>617</v>
      </c>
      <c r="O125" s="17" t="s">
        <v>451</v>
      </c>
      <c r="P125" s="17" t="s">
        <v>618</v>
      </c>
      <c r="Q125" s="17"/>
      <c r="R125" s="17"/>
      <c r="S125" s="17"/>
      <c r="T125" s="17" t="s">
        <v>439</v>
      </c>
      <c r="U125" s="573">
        <v>0.13350000000000001</v>
      </c>
      <c r="V125" s="570">
        <v>758979.54</v>
      </c>
      <c r="W125" s="17"/>
      <c r="X125" s="17"/>
      <c r="Y125" s="39" t="s">
        <v>166</v>
      </c>
      <c r="Z125" s="176">
        <v>10</v>
      </c>
      <c r="AA125" t="str">
        <f>VLOOKUP(Y125,Source!F:F,1,FALSE)</f>
        <v>MassDOT - Highway &amp; Turnpike Divisions</v>
      </c>
    </row>
    <row r="126" spans="1:27">
      <c r="A126" s="17" t="str">
        <f t="shared" si="5"/>
        <v>MassDOT - Highway &amp; Turnpike Divisions11</v>
      </c>
      <c r="B126" s="255" t="s">
        <v>431</v>
      </c>
      <c r="C126" s="26" t="s">
        <v>260</v>
      </c>
      <c r="D126" s="17"/>
      <c r="E126" s="17" t="s">
        <v>1332</v>
      </c>
      <c r="F126" s="571">
        <v>163.30000000000001</v>
      </c>
      <c r="G126" s="17" t="s">
        <v>1333</v>
      </c>
      <c r="H126" s="17" t="s">
        <v>534</v>
      </c>
      <c r="I126" s="17" t="s">
        <v>437</v>
      </c>
      <c r="J126" s="572" t="s">
        <v>872</v>
      </c>
      <c r="K126" s="191"/>
      <c r="L126" s="28">
        <v>2022</v>
      </c>
      <c r="M126" s="17">
        <v>163</v>
      </c>
      <c r="N126" s="17" t="s">
        <v>617</v>
      </c>
      <c r="O126" s="17" t="s">
        <v>1076</v>
      </c>
      <c r="P126" s="17" t="s">
        <v>710</v>
      </c>
      <c r="Q126" s="255"/>
      <c r="R126" s="255"/>
      <c r="S126" s="255"/>
      <c r="T126" s="17" t="s">
        <v>439</v>
      </c>
      <c r="U126" s="573">
        <v>0.13350000000000001</v>
      </c>
      <c r="V126" s="570">
        <v>190621.98</v>
      </c>
      <c r="W126" s="26"/>
      <c r="X126" s="255"/>
      <c r="Y126" s="39" t="s">
        <v>166</v>
      </c>
      <c r="Z126" s="255">
        <v>11</v>
      </c>
      <c r="AA126" t="str">
        <f>VLOOKUP(Y126,Source!F:F,1,FALSE)</f>
        <v>MassDOT - Highway &amp; Turnpike Divisions</v>
      </c>
    </row>
    <row r="127" spans="1:27">
      <c r="A127" s="17" t="str">
        <f t="shared" si="5"/>
        <v>MassDOT - Highway &amp; Turnpike Divisions12</v>
      </c>
      <c r="B127" s="255" t="s">
        <v>431</v>
      </c>
      <c r="C127" s="26" t="s">
        <v>260</v>
      </c>
      <c r="D127" s="17"/>
      <c r="E127" s="17" t="s">
        <v>1332</v>
      </c>
      <c r="F127" s="571">
        <v>773</v>
      </c>
      <c r="G127" s="17" t="s">
        <v>1333</v>
      </c>
      <c r="H127" s="17" t="s">
        <v>534</v>
      </c>
      <c r="I127" s="17" t="s">
        <v>437</v>
      </c>
      <c r="J127" s="572" t="s">
        <v>1334</v>
      </c>
      <c r="K127" s="17"/>
      <c r="L127" s="28">
        <v>2022</v>
      </c>
      <c r="M127" s="570">
        <v>773</v>
      </c>
      <c r="N127" s="29" t="s">
        <v>617</v>
      </c>
      <c r="O127" s="17" t="s">
        <v>1076</v>
      </c>
      <c r="P127" s="17" t="s">
        <v>708</v>
      </c>
      <c r="Q127" s="255"/>
      <c r="R127" s="255"/>
      <c r="S127" s="255"/>
      <c r="T127" s="17" t="s">
        <v>1335</v>
      </c>
      <c r="U127" s="573">
        <v>0.13350000000000001</v>
      </c>
      <c r="V127" s="570">
        <v>903992.58000000007</v>
      </c>
      <c r="W127" s="26"/>
      <c r="X127" s="255"/>
      <c r="Y127" s="39" t="s">
        <v>166</v>
      </c>
      <c r="Z127" s="255">
        <v>12</v>
      </c>
      <c r="AA127" t="str">
        <f>VLOOKUP(Y127,Source!F:F,1,FALSE)</f>
        <v>MassDOT - Highway &amp; Turnpike Divisions</v>
      </c>
    </row>
    <row r="128" spans="1:27">
      <c r="A128" s="17" t="str">
        <f t="shared" si="5"/>
        <v>MassPort Authority1</v>
      </c>
      <c r="B128" s="255" t="s">
        <v>431</v>
      </c>
      <c r="C128" s="26" t="s">
        <v>260</v>
      </c>
      <c r="D128" s="20"/>
      <c r="E128" s="26" t="s">
        <v>628</v>
      </c>
      <c r="F128" s="565">
        <v>50</v>
      </c>
      <c r="G128" s="20" t="s">
        <v>625</v>
      </c>
      <c r="H128" s="26" t="s">
        <v>623</v>
      </c>
      <c r="I128" s="17" t="s">
        <v>437</v>
      </c>
      <c r="J128" s="24">
        <v>2128</v>
      </c>
      <c r="K128" s="25"/>
      <c r="L128" s="657">
        <v>2013</v>
      </c>
      <c r="M128" s="17">
        <v>50</v>
      </c>
      <c r="N128" s="29" t="s">
        <v>572</v>
      </c>
      <c r="O128" s="255" t="s">
        <v>1076</v>
      </c>
      <c r="P128" s="17" t="s">
        <v>1635</v>
      </c>
      <c r="Q128" s="255"/>
      <c r="R128" s="255"/>
      <c r="S128" s="255"/>
      <c r="T128" s="17" t="s">
        <v>439</v>
      </c>
      <c r="U128" s="573">
        <v>0.13350000000000001</v>
      </c>
      <c r="V128" s="570">
        <v>58473</v>
      </c>
      <c r="W128" s="26"/>
      <c r="X128" s="255"/>
      <c r="Y128" s="39" t="s">
        <v>167</v>
      </c>
      <c r="Z128" s="255">
        <v>1</v>
      </c>
      <c r="AA128" t="str">
        <f>VLOOKUP(Y128,Source!F:F,1,FALSE)</f>
        <v>MassPort Authority</v>
      </c>
    </row>
    <row r="129" spans="1:27">
      <c r="A129" s="17" t="str">
        <f t="shared" si="5"/>
        <v>MassPort Authority2</v>
      </c>
      <c r="B129" s="255" t="s">
        <v>431</v>
      </c>
      <c r="C129" s="26" t="s">
        <v>260</v>
      </c>
      <c r="D129" s="20"/>
      <c r="E129" s="26" t="s">
        <v>621</v>
      </c>
      <c r="F129" s="565">
        <v>51</v>
      </c>
      <c r="G129" s="20" t="s">
        <v>622</v>
      </c>
      <c r="H129" s="22" t="s">
        <v>460</v>
      </c>
      <c r="I129" s="17" t="s">
        <v>437</v>
      </c>
      <c r="J129" s="24">
        <v>1730</v>
      </c>
      <c r="K129" s="25"/>
      <c r="L129" s="27">
        <v>2014</v>
      </c>
      <c r="M129" s="17">
        <v>51</v>
      </c>
      <c r="N129" s="29" t="s">
        <v>572</v>
      </c>
      <c r="O129" s="255" t="s">
        <v>1076</v>
      </c>
      <c r="P129" s="17" t="s">
        <v>1635</v>
      </c>
      <c r="Q129" s="255"/>
      <c r="R129" s="255"/>
      <c r="S129" s="255"/>
      <c r="T129" s="17" t="s">
        <v>439</v>
      </c>
      <c r="U129" s="573">
        <v>0.13350000000000001</v>
      </c>
      <c r="V129" s="570">
        <v>59642.460000000006</v>
      </c>
      <c r="W129" s="26"/>
      <c r="X129" s="255"/>
      <c r="Y129" s="39" t="s">
        <v>167</v>
      </c>
      <c r="Z129" s="255">
        <v>2</v>
      </c>
      <c r="AA129" t="str">
        <f>VLOOKUP(Y129,Source!F:F,1,FALSE)</f>
        <v>MassPort Authority</v>
      </c>
    </row>
    <row r="130" spans="1:27">
      <c r="A130" s="17" t="str">
        <f t="shared" si="5"/>
        <v>MassPort Authority3</v>
      </c>
      <c r="B130" s="255" t="s">
        <v>431</v>
      </c>
      <c r="C130" s="17" t="s">
        <v>260</v>
      </c>
      <c r="D130" s="20" t="s">
        <v>624</v>
      </c>
      <c r="E130" s="21" t="s">
        <v>1518</v>
      </c>
      <c r="F130" s="565">
        <v>276.64</v>
      </c>
      <c r="G130" s="20" t="s">
        <v>625</v>
      </c>
      <c r="H130" s="22" t="s">
        <v>460</v>
      </c>
      <c r="I130" s="23" t="s">
        <v>437</v>
      </c>
      <c r="J130" s="24">
        <v>2128</v>
      </c>
      <c r="K130" s="25">
        <v>40905</v>
      </c>
      <c r="L130" s="27">
        <v>2012</v>
      </c>
      <c r="M130" s="17">
        <v>276.64</v>
      </c>
      <c r="N130" s="29" t="s">
        <v>572</v>
      </c>
      <c r="O130" s="17" t="s">
        <v>451</v>
      </c>
      <c r="P130" s="17" t="s">
        <v>710</v>
      </c>
      <c r="Q130" s="255"/>
      <c r="R130" s="255"/>
      <c r="S130" s="255"/>
      <c r="T130" s="17" t="s">
        <v>439</v>
      </c>
      <c r="U130" s="573">
        <v>0.13350000000000001</v>
      </c>
      <c r="V130" s="570">
        <v>323519.41440000001</v>
      </c>
      <c r="W130" s="26"/>
      <c r="X130" s="255"/>
      <c r="Y130" s="39" t="s">
        <v>167</v>
      </c>
      <c r="Z130" s="255">
        <v>3</v>
      </c>
      <c r="AA130" t="str">
        <f>VLOOKUP(Y130,Source!F:F,1,FALSE)</f>
        <v>MassPort Authority</v>
      </c>
    </row>
    <row r="131" spans="1:27">
      <c r="A131" s="17" t="str">
        <f t="shared" si="5"/>
        <v>MassPort Authority4</v>
      </c>
      <c r="B131" s="255" t="s">
        <v>431</v>
      </c>
      <c r="C131" s="17" t="s">
        <v>260</v>
      </c>
      <c r="D131" s="20" t="s">
        <v>626</v>
      </c>
      <c r="E131" s="21" t="s">
        <v>1519</v>
      </c>
      <c r="F131" s="565">
        <v>93.18</v>
      </c>
      <c r="G131" s="20" t="s">
        <v>625</v>
      </c>
      <c r="H131" s="26" t="s">
        <v>460</v>
      </c>
      <c r="I131" s="23" t="s">
        <v>437</v>
      </c>
      <c r="J131" s="24">
        <v>2128</v>
      </c>
      <c r="K131" s="25">
        <v>40905</v>
      </c>
      <c r="L131" s="27">
        <v>2012</v>
      </c>
      <c r="M131" s="17">
        <v>93.18</v>
      </c>
      <c r="N131" s="29" t="s">
        <v>572</v>
      </c>
      <c r="O131" s="17" t="s">
        <v>451</v>
      </c>
      <c r="P131" s="17" t="s">
        <v>710</v>
      </c>
      <c r="Q131" s="255"/>
      <c r="R131" s="255"/>
      <c r="S131" s="255"/>
      <c r="T131" s="17" t="s">
        <v>439</v>
      </c>
      <c r="U131" s="573">
        <v>0.13350000000000001</v>
      </c>
      <c r="V131" s="570">
        <v>108970.28280000002</v>
      </c>
      <c r="W131" s="26"/>
      <c r="X131" s="255"/>
      <c r="Y131" s="39" t="s">
        <v>167</v>
      </c>
      <c r="Z131" s="255">
        <v>4</v>
      </c>
      <c r="AA131" t="str">
        <f>VLOOKUP(Y131,Source!F:F,1,FALSE)</f>
        <v>MassPort Authority</v>
      </c>
    </row>
    <row r="132" spans="1:27">
      <c r="A132" s="17" t="str">
        <f t="shared" si="5"/>
        <v>MassPort Authority5</v>
      </c>
      <c r="B132" s="255" t="s">
        <v>431</v>
      </c>
      <c r="C132" s="26" t="s">
        <v>260</v>
      </c>
      <c r="D132" s="20" t="s">
        <v>1621</v>
      </c>
      <c r="E132" s="26" t="s">
        <v>627</v>
      </c>
      <c r="F132" s="565">
        <v>200</v>
      </c>
      <c r="G132" s="20" t="s">
        <v>625</v>
      </c>
      <c r="H132" s="26" t="s">
        <v>460</v>
      </c>
      <c r="I132" s="17" t="s">
        <v>437</v>
      </c>
      <c r="J132" s="24">
        <v>2128</v>
      </c>
      <c r="K132" s="25"/>
      <c r="L132" s="27">
        <v>2012</v>
      </c>
      <c r="M132" s="17">
        <v>200</v>
      </c>
      <c r="N132" s="29" t="s">
        <v>572</v>
      </c>
      <c r="O132" s="17" t="s">
        <v>1076</v>
      </c>
      <c r="P132" s="17" t="s">
        <v>710</v>
      </c>
      <c r="Q132" s="17"/>
      <c r="R132" s="17"/>
      <c r="S132" s="17"/>
      <c r="T132" s="17" t="s">
        <v>439</v>
      </c>
      <c r="U132" s="573">
        <v>0.13350000000000001</v>
      </c>
      <c r="V132" s="570">
        <v>233892</v>
      </c>
      <c r="W132" s="255"/>
      <c r="X132" s="255"/>
      <c r="Y132" s="39" t="s">
        <v>167</v>
      </c>
      <c r="Z132" s="255">
        <v>5</v>
      </c>
      <c r="AA132" t="str">
        <f>VLOOKUP(Y132,Source!F:F,1,FALSE)</f>
        <v>MassPort Authority</v>
      </c>
    </row>
    <row r="133" spans="1:27">
      <c r="A133" s="17" t="str">
        <f t="shared" si="5"/>
        <v>MassPort Authority6</v>
      </c>
      <c r="B133" s="255" t="s">
        <v>431</v>
      </c>
      <c r="C133" s="26" t="s">
        <v>260</v>
      </c>
      <c r="D133" s="20"/>
      <c r="E133" s="26" t="s">
        <v>1520</v>
      </c>
      <c r="F133" s="565">
        <v>81</v>
      </c>
      <c r="G133" s="20" t="s">
        <v>631</v>
      </c>
      <c r="H133" s="26" t="s">
        <v>629</v>
      </c>
      <c r="I133" s="17" t="s">
        <v>437</v>
      </c>
      <c r="J133" s="24">
        <v>2128</v>
      </c>
      <c r="K133" s="25"/>
      <c r="L133" s="657">
        <v>2013</v>
      </c>
      <c r="M133" s="17">
        <v>81</v>
      </c>
      <c r="N133" s="29" t="s">
        <v>572</v>
      </c>
      <c r="O133" s="17" t="s">
        <v>1076</v>
      </c>
      <c r="P133" s="17" t="s">
        <v>710</v>
      </c>
      <c r="Q133" s="17"/>
      <c r="R133" s="17"/>
      <c r="S133" s="17"/>
      <c r="T133" s="17" t="s">
        <v>439</v>
      </c>
      <c r="U133" s="573">
        <v>0.13350000000000001</v>
      </c>
      <c r="V133" s="570">
        <v>94726.260000000009</v>
      </c>
      <c r="W133" s="255"/>
      <c r="X133" s="255"/>
      <c r="Y133" s="39" t="s">
        <v>167</v>
      </c>
      <c r="Z133" s="255">
        <v>6</v>
      </c>
      <c r="AA133" t="str">
        <f>VLOOKUP(Y133,Source!F:F,1,FALSE)</f>
        <v>MassPort Authority</v>
      </c>
    </row>
    <row r="134" spans="1:27" ht="15.75">
      <c r="A134" s="17" t="str">
        <f t="shared" si="5"/>
        <v>MassPort Authority7</v>
      </c>
      <c r="B134" s="255" t="s">
        <v>431</v>
      </c>
      <c r="C134" s="26" t="s">
        <v>260</v>
      </c>
      <c r="D134" s="20" t="s">
        <v>1621</v>
      </c>
      <c r="E134" s="26" t="s">
        <v>632</v>
      </c>
      <c r="F134" s="565">
        <v>121</v>
      </c>
      <c r="G134" s="20" t="s">
        <v>625</v>
      </c>
      <c r="H134" s="26" t="s">
        <v>629</v>
      </c>
      <c r="I134" s="17" t="s">
        <v>437</v>
      </c>
      <c r="J134" s="24">
        <v>2128</v>
      </c>
      <c r="K134" s="25"/>
      <c r="L134" s="27">
        <v>2014</v>
      </c>
      <c r="M134" s="17">
        <v>121</v>
      </c>
      <c r="N134" s="29" t="s">
        <v>572</v>
      </c>
      <c r="O134" s="17" t="s">
        <v>1076</v>
      </c>
      <c r="P134" s="17" t="s">
        <v>710</v>
      </c>
      <c r="Q134" s="255"/>
      <c r="R134" s="255"/>
      <c r="S134" s="255"/>
      <c r="T134" s="17" t="s">
        <v>439</v>
      </c>
      <c r="U134" s="573">
        <v>0.13350000000000001</v>
      </c>
      <c r="V134" s="570">
        <v>141504.66</v>
      </c>
      <c r="W134" s="459"/>
      <c r="X134" s="255"/>
      <c r="Y134" s="39" t="s">
        <v>167</v>
      </c>
      <c r="Z134" s="255">
        <v>7</v>
      </c>
      <c r="AA134" t="str">
        <f>VLOOKUP(Y134,Source!F:F,1,FALSE)</f>
        <v>MassPort Authority</v>
      </c>
    </row>
    <row r="135" spans="1:27">
      <c r="A135" s="17" t="str">
        <f t="shared" si="5"/>
        <v>MassPort Authority8</v>
      </c>
      <c r="B135" s="255" t="s">
        <v>431</v>
      </c>
      <c r="C135" s="26" t="s">
        <v>263</v>
      </c>
      <c r="D135" s="20"/>
      <c r="E135" s="26" t="s">
        <v>630</v>
      </c>
      <c r="F135" s="565">
        <v>20</v>
      </c>
      <c r="G135" s="20" t="s">
        <v>631</v>
      </c>
      <c r="H135" s="26" t="s">
        <v>629</v>
      </c>
      <c r="I135" s="17" t="s">
        <v>437</v>
      </c>
      <c r="J135" s="24">
        <v>2128</v>
      </c>
      <c r="K135" s="25"/>
      <c r="L135" s="27">
        <v>2014</v>
      </c>
      <c r="M135" s="17">
        <v>20</v>
      </c>
      <c r="N135" s="29" t="s">
        <v>572</v>
      </c>
      <c r="O135" s="17" t="s">
        <v>1076</v>
      </c>
      <c r="P135" s="17"/>
      <c r="Q135" s="17"/>
      <c r="R135" s="17"/>
      <c r="S135" s="17"/>
      <c r="T135" s="17" t="s">
        <v>439</v>
      </c>
      <c r="U135" s="672">
        <v>0.26</v>
      </c>
      <c r="V135" s="570">
        <v>45552</v>
      </c>
      <c r="W135" s="17"/>
      <c r="X135" s="17"/>
      <c r="Y135" s="39" t="s">
        <v>167</v>
      </c>
      <c r="Z135" s="255">
        <v>8</v>
      </c>
      <c r="AA135" t="str">
        <f>VLOOKUP(Y135,Source!F:F,1,FALSE)</f>
        <v>MassPort Authority</v>
      </c>
    </row>
    <row r="136" spans="1:27" hidden="1">
      <c r="A136" s="17" t="str">
        <f t="shared" ref="A136:A167" si="6">Y136&amp;Z136</f>
        <v>MetroWest Regional Transit Authority1</v>
      </c>
      <c r="B136" s="612" t="s">
        <v>431</v>
      </c>
      <c r="C136" s="17" t="s">
        <v>260</v>
      </c>
      <c r="D136" s="17"/>
      <c r="E136" s="17" t="s">
        <v>1240</v>
      </c>
      <c r="F136" s="571">
        <v>198</v>
      </c>
      <c r="G136" s="17" t="s">
        <v>1241</v>
      </c>
      <c r="H136" s="638" t="s">
        <v>509</v>
      </c>
      <c r="I136" s="17" t="s">
        <v>437</v>
      </c>
      <c r="J136" s="642">
        <v>1702</v>
      </c>
      <c r="K136" s="649" t="s">
        <v>1611</v>
      </c>
      <c r="L136" s="28">
        <v>2019</v>
      </c>
      <c r="M136" s="690">
        <v>198</v>
      </c>
      <c r="N136" s="670" t="s">
        <v>572</v>
      </c>
      <c r="O136" s="17" t="s">
        <v>1076</v>
      </c>
      <c r="P136" s="17" t="s">
        <v>708</v>
      </c>
      <c r="Q136" s="17"/>
      <c r="R136" s="17"/>
      <c r="S136" s="255"/>
      <c r="T136" s="17" t="s">
        <v>439</v>
      </c>
      <c r="U136" s="573">
        <v>0.13350000000000001</v>
      </c>
      <c r="V136" s="570">
        <v>231553.08000000002</v>
      </c>
      <c r="W136" s="255"/>
      <c r="X136" s="17"/>
      <c r="Y136" s="696" t="s">
        <v>1239</v>
      </c>
      <c r="Z136" s="255">
        <v>1</v>
      </c>
      <c r="AA136" t="e">
        <f>VLOOKUP(Y136,Source!F:F,1,FALSE)</f>
        <v>#N/A</v>
      </c>
    </row>
    <row r="137" spans="1:27" hidden="1">
      <c r="A137" s="17" t="str">
        <f t="shared" si="6"/>
        <v>Middlesex Sheriff1</v>
      </c>
      <c r="B137" s="612" t="s">
        <v>431</v>
      </c>
      <c r="C137" s="17" t="s">
        <v>260</v>
      </c>
      <c r="D137" s="17"/>
      <c r="E137" s="17" t="s">
        <v>1527</v>
      </c>
      <c r="F137" s="571">
        <v>200</v>
      </c>
      <c r="G137" s="17"/>
      <c r="H137" s="638" t="s">
        <v>1604</v>
      </c>
      <c r="I137" s="17" t="s">
        <v>437</v>
      </c>
      <c r="J137" s="642"/>
      <c r="K137" s="25">
        <v>43111</v>
      </c>
      <c r="L137" s="28">
        <v>2018</v>
      </c>
      <c r="M137" s="690">
        <v>200</v>
      </c>
      <c r="N137" s="670" t="s">
        <v>492</v>
      </c>
      <c r="O137" s="17" t="s">
        <v>1076</v>
      </c>
      <c r="P137" s="17" t="s">
        <v>1635</v>
      </c>
      <c r="Q137" s="17"/>
      <c r="R137" s="17"/>
      <c r="S137" s="17"/>
      <c r="T137" s="17" t="s">
        <v>439</v>
      </c>
      <c r="U137" s="573">
        <v>0.13350000000000001</v>
      </c>
      <c r="V137" s="570">
        <v>233892</v>
      </c>
      <c r="W137" s="17"/>
      <c r="X137" s="17"/>
      <c r="Y137" s="696" t="s">
        <v>1642</v>
      </c>
      <c r="Z137" s="255">
        <v>1</v>
      </c>
      <c r="AA137" t="e">
        <f>VLOOKUP(Y137,Source!F:F,1,FALSE)</f>
        <v>#N/A</v>
      </c>
    </row>
    <row r="138" spans="1:27" hidden="1">
      <c r="A138" s="17" t="str">
        <f t="shared" si="6"/>
        <v>Military Division1</v>
      </c>
      <c r="B138" s="257" t="s">
        <v>431</v>
      </c>
      <c r="C138" s="682" t="s">
        <v>260</v>
      </c>
      <c r="D138" s="23"/>
      <c r="E138" s="619" t="s">
        <v>1528</v>
      </c>
      <c r="F138" s="565">
        <v>205</v>
      </c>
      <c r="G138" s="257" t="s">
        <v>1583</v>
      </c>
      <c r="H138" s="258" t="s">
        <v>619</v>
      </c>
      <c r="I138" s="23" t="s">
        <v>437</v>
      </c>
      <c r="J138" s="24"/>
      <c r="K138" s="25"/>
      <c r="L138" s="567">
        <v>2020</v>
      </c>
      <c r="M138" s="666">
        <v>205</v>
      </c>
      <c r="N138" s="669" t="s">
        <v>492</v>
      </c>
      <c r="O138" s="23" t="s">
        <v>1076</v>
      </c>
      <c r="P138" s="23" t="s">
        <v>708</v>
      </c>
      <c r="Q138" s="17"/>
      <c r="R138" s="17"/>
      <c r="S138" s="255"/>
      <c r="T138" s="23" t="s">
        <v>439</v>
      </c>
      <c r="U138" s="573">
        <v>0.13350000000000001</v>
      </c>
      <c r="V138" s="677">
        <v>239739.30000000002</v>
      </c>
      <c r="W138" s="26"/>
      <c r="X138" s="17"/>
      <c r="Y138" s="696" t="s">
        <v>173</v>
      </c>
      <c r="Z138" s="255">
        <v>1</v>
      </c>
      <c r="AA138" t="str">
        <f>VLOOKUP(Y138,Source!F:F,1,FALSE)</f>
        <v>Military Division</v>
      </c>
    </row>
    <row r="139" spans="1:27" hidden="1">
      <c r="A139" s="17" t="str">
        <f t="shared" si="6"/>
        <v>Military Division2</v>
      </c>
      <c r="B139" s="255" t="s">
        <v>431</v>
      </c>
      <c r="C139" s="17" t="s">
        <v>260</v>
      </c>
      <c r="D139" s="17"/>
      <c r="E139" s="21" t="s">
        <v>1564</v>
      </c>
      <c r="F139" s="631">
        <v>20.16</v>
      </c>
      <c r="G139" s="17" t="s">
        <v>1597</v>
      </c>
      <c r="H139" s="17" t="s">
        <v>460</v>
      </c>
      <c r="I139" s="17" t="s">
        <v>437</v>
      </c>
      <c r="J139" s="24">
        <v>2122</v>
      </c>
      <c r="K139" s="653">
        <v>42979</v>
      </c>
      <c r="L139" s="28">
        <v>2018</v>
      </c>
      <c r="M139" s="571">
        <v>20.16</v>
      </c>
      <c r="N139" s="17" t="s">
        <v>492</v>
      </c>
      <c r="O139" s="17"/>
      <c r="P139" s="17" t="s">
        <v>710</v>
      </c>
      <c r="T139" s="17" t="s">
        <v>439</v>
      </c>
      <c r="U139" s="573">
        <v>0.13350000000000001</v>
      </c>
      <c r="V139" s="570">
        <v>23576.313600000001</v>
      </c>
      <c r="Y139" s="496" t="s">
        <v>173</v>
      </c>
      <c r="Z139" s="17">
        <v>2</v>
      </c>
      <c r="AA139" t="str">
        <f>VLOOKUP(Y139,Source!F:F,1,FALSE)</f>
        <v>Military Division</v>
      </c>
    </row>
    <row r="140" spans="1:27" hidden="1">
      <c r="A140" s="17" t="str">
        <f t="shared" si="6"/>
        <v>Military Division3</v>
      </c>
      <c r="B140" s="255" t="s">
        <v>431</v>
      </c>
      <c r="C140" s="17" t="s">
        <v>260</v>
      </c>
      <c r="D140" s="17"/>
      <c r="E140" s="21" t="s">
        <v>1565</v>
      </c>
      <c r="F140" s="631">
        <v>62.1</v>
      </c>
      <c r="G140" s="17" t="s">
        <v>1598</v>
      </c>
      <c r="H140" s="17" t="s">
        <v>509</v>
      </c>
      <c r="I140" s="17" t="s">
        <v>437</v>
      </c>
      <c r="J140" s="24">
        <v>1702</v>
      </c>
      <c r="K140" s="653">
        <v>42979</v>
      </c>
      <c r="L140" s="28">
        <v>2018</v>
      </c>
      <c r="M140" s="571">
        <v>62.1</v>
      </c>
      <c r="N140" s="17" t="s">
        <v>492</v>
      </c>
      <c r="O140" s="17"/>
      <c r="P140" s="17" t="s">
        <v>710</v>
      </c>
      <c r="T140" s="17" t="s">
        <v>439</v>
      </c>
      <c r="U140" s="573">
        <v>0.13350000000000001</v>
      </c>
      <c r="V140" s="570">
        <v>72623.466</v>
      </c>
      <c r="Y140" s="17" t="s">
        <v>173</v>
      </c>
      <c r="Z140" s="17">
        <v>3</v>
      </c>
      <c r="AA140" t="str">
        <f>VLOOKUP(Y140,Source!F:F,1,FALSE)</f>
        <v>Military Division</v>
      </c>
    </row>
    <row r="141" spans="1:27" hidden="1">
      <c r="A141" s="17" t="str">
        <f t="shared" si="6"/>
        <v>Mount Wachusett Comm. College1</v>
      </c>
      <c r="B141" s="255" t="s">
        <v>431</v>
      </c>
      <c r="C141" s="17" t="s">
        <v>260</v>
      </c>
      <c r="D141" s="20" t="s">
        <v>633</v>
      </c>
      <c r="E141" s="21" t="s">
        <v>634</v>
      </c>
      <c r="F141" s="565">
        <v>97.28</v>
      </c>
      <c r="G141" s="20" t="s">
        <v>635</v>
      </c>
      <c r="H141" s="22" t="s">
        <v>514</v>
      </c>
      <c r="I141" s="23" t="s">
        <v>437</v>
      </c>
      <c r="J141" s="24">
        <v>1440</v>
      </c>
      <c r="K141" s="25">
        <v>40070</v>
      </c>
      <c r="L141" s="27">
        <v>2011</v>
      </c>
      <c r="M141" s="17">
        <v>97.28</v>
      </c>
      <c r="N141" s="26" t="s">
        <v>438</v>
      </c>
      <c r="O141" s="17" t="s">
        <v>1076</v>
      </c>
      <c r="P141" s="17" t="s">
        <v>710</v>
      </c>
      <c r="Q141" s="460"/>
      <c r="T141" s="17" t="s">
        <v>439</v>
      </c>
      <c r="U141" s="573">
        <v>0.13350000000000001</v>
      </c>
      <c r="V141" s="570">
        <v>113765.06880000001</v>
      </c>
      <c r="W141" s="695"/>
      <c r="Y141" s="696" t="s">
        <v>174</v>
      </c>
      <c r="Z141" s="176">
        <v>1</v>
      </c>
      <c r="AA141" t="str">
        <f>VLOOKUP(Y141,Source!F:F,1,FALSE)</f>
        <v>Mount Wachusett Comm. College</v>
      </c>
    </row>
    <row r="142" spans="1:27" hidden="1">
      <c r="A142" s="17" t="str">
        <f t="shared" si="6"/>
        <v>Mount Wachusett Comm. College2</v>
      </c>
      <c r="B142" s="255" t="s">
        <v>452</v>
      </c>
      <c r="C142" s="26" t="s">
        <v>638</v>
      </c>
      <c r="D142" s="20"/>
      <c r="E142" s="26" t="s">
        <v>639</v>
      </c>
      <c r="F142" s="565">
        <v>400</v>
      </c>
      <c r="G142" s="20" t="s">
        <v>635</v>
      </c>
      <c r="H142" s="26" t="s">
        <v>514</v>
      </c>
      <c r="I142" s="23" t="s">
        <v>437</v>
      </c>
      <c r="J142" s="24">
        <v>1440</v>
      </c>
      <c r="K142" s="25"/>
      <c r="L142" s="27">
        <v>1984</v>
      </c>
      <c r="M142" s="17">
        <v>400</v>
      </c>
      <c r="N142" s="671" t="s">
        <v>438</v>
      </c>
      <c r="O142" s="672"/>
      <c r="P142" s="672"/>
      <c r="Q142" s="17"/>
      <c r="R142" s="17"/>
      <c r="S142" s="255"/>
      <c r="T142" s="17" t="s">
        <v>439</v>
      </c>
      <c r="U142" s="17"/>
      <c r="V142" s="17"/>
      <c r="W142" s="26"/>
      <c r="X142" s="255"/>
      <c r="Y142" s="696" t="s">
        <v>174</v>
      </c>
      <c r="Z142" s="255">
        <v>2</v>
      </c>
      <c r="AA142" t="str">
        <f>VLOOKUP(Y142,Source!F:F,1,FALSE)</f>
        <v>Mount Wachusett Comm. College</v>
      </c>
    </row>
    <row r="143" spans="1:27" hidden="1">
      <c r="A143" s="17" t="str">
        <f t="shared" si="6"/>
        <v>Mount Wachusett Comm. College3</v>
      </c>
      <c r="B143" s="255" t="s">
        <v>431</v>
      </c>
      <c r="C143" s="26" t="s">
        <v>263</v>
      </c>
      <c r="D143" s="20" t="s">
        <v>636</v>
      </c>
      <c r="E143" s="26" t="s">
        <v>637</v>
      </c>
      <c r="F143" s="565">
        <v>3300</v>
      </c>
      <c r="G143" s="20" t="s">
        <v>635</v>
      </c>
      <c r="H143" s="26" t="s">
        <v>514</v>
      </c>
      <c r="I143" s="23" t="s">
        <v>437</v>
      </c>
      <c r="J143" s="24">
        <v>1440</v>
      </c>
      <c r="K143" s="25">
        <v>40664</v>
      </c>
      <c r="L143" s="27">
        <v>2011</v>
      </c>
      <c r="M143" s="17">
        <v>3300</v>
      </c>
      <c r="N143" s="26" t="s">
        <v>438</v>
      </c>
      <c r="O143" s="17"/>
      <c r="P143" s="17"/>
      <c r="Q143" s="17"/>
      <c r="R143" s="17"/>
      <c r="S143" s="17"/>
      <c r="T143" s="17" t="s">
        <v>439</v>
      </c>
      <c r="U143" s="672">
        <v>0.26</v>
      </c>
      <c r="V143" s="570">
        <v>7516080</v>
      </c>
      <c r="W143" s="17"/>
      <c r="X143" s="17"/>
      <c r="Y143" s="696" t="s">
        <v>174</v>
      </c>
      <c r="Z143" s="176">
        <v>3</v>
      </c>
      <c r="AA143" t="str">
        <f>VLOOKUP(Y143,Source!F:F,1,FALSE)</f>
        <v>Mount Wachusett Comm. College</v>
      </c>
    </row>
    <row r="144" spans="1:27" hidden="1">
      <c r="A144" s="17" t="str">
        <f t="shared" si="6"/>
        <v>Norfolk Sheriff1</v>
      </c>
      <c r="B144" s="255" t="s">
        <v>431</v>
      </c>
      <c r="C144" s="26" t="s">
        <v>260</v>
      </c>
      <c r="D144" s="20"/>
      <c r="E144" s="26" t="s">
        <v>1540</v>
      </c>
      <c r="F144" s="565">
        <v>178</v>
      </c>
      <c r="G144" s="17"/>
      <c r="H144" s="26" t="s">
        <v>1607</v>
      </c>
      <c r="I144" s="32" t="s">
        <v>437</v>
      </c>
      <c r="J144" s="24"/>
      <c r="K144" s="25">
        <v>43419</v>
      </c>
      <c r="L144" s="27">
        <v>2019</v>
      </c>
      <c r="M144" s="17">
        <v>178</v>
      </c>
      <c r="N144" s="26" t="s">
        <v>492</v>
      </c>
      <c r="O144" s="17" t="s">
        <v>1076</v>
      </c>
      <c r="P144" s="17" t="s">
        <v>710</v>
      </c>
      <c r="Q144" s="17"/>
      <c r="R144" s="17"/>
      <c r="S144" s="17"/>
      <c r="T144" s="17" t="s">
        <v>439</v>
      </c>
      <c r="U144" s="573">
        <v>0.13350000000000001</v>
      </c>
      <c r="V144" s="570">
        <v>208163.88</v>
      </c>
      <c r="W144" s="17"/>
      <c r="X144" s="17"/>
      <c r="Y144" s="21" t="s">
        <v>1643</v>
      </c>
      <c r="Z144" s="255">
        <v>1</v>
      </c>
      <c r="AA144" t="e">
        <f>VLOOKUP(Y144,Source!F:F,1,FALSE)</f>
        <v>#N/A</v>
      </c>
    </row>
    <row r="145" spans="1:27" hidden="1">
      <c r="A145" s="17" t="str">
        <f t="shared" si="6"/>
        <v>North Shore Comm. College1</v>
      </c>
      <c r="B145" s="255" t="s">
        <v>431</v>
      </c>
      <c r="C145" s="26" t="s">
        <v>260</v>
      </c>
      <c r="D145" s="20" t="s">
        <v>640</v>
      </c>
      <c r="E145" s="26" t="s">
        <v>641</v>
      </c>
      <c r="F145" s="565">
        <v>62.2</v>
      </c>
      <c r="G145" s="22" t="s">
        <v>642</v>
      </c>
      <c r="H145" s="26" t="s">
        <v>1608</v>
      </c>
      <c r="I145" s="17" t="s">
        <v>437</v>
      </c>
      <c r="J145" s="24">
        <v>1923</v>
      </c>
      <c r="K145" s="25">
        <v>40544</v>
      </c>
      <c r="L145" s="27">
        <v>2010</v>
      </c>
      <c r="M145" s="17">
        <v>61</v>
      </c>
      <c r="N145" s="26" t="s">
        <v>438</v>
      </c>
      <c r="O145" s="17" t="s">
        <v>1076</v>
      </c>
      <c r="P145" s="17" t="s">
        <v>710</v>
      </c>
      <c r="Q145" s="17"/>
      <c r="R145" s="17"/>
      <c r="S145" s="17"/>
      <c r="T145" s="17" t="s">
        <v>439</v>
      </c>
      <c r="U145" s="573">
        <v>0.13350000000000001</v>
      </c>
      <c r="V145" s="570">
        <v>71337.06</v>
      </c>
      <c r="W145" s="17"/>
      <c r="X145" s="17"/>
      <c r="Y145" s="21" t="s">
        <v>177</v>
      </c>
      <c r="Z145" s="176">
        <v>1</v>
      </c>
      <c r="AA145" t="str">
        <f>VLOOKUP(Y145,Source!F:F,1,FALSE)</f>
        <v>North Shore Comm. College</v>
      </c>
    </row>
    <row r="146" spans="1:27" hidden="1">
      <c r="A146" s="17" t="str">
        <f t="shared" si="6"/>
        <v>North Shore Comm. College2</v>
      </c>
      <c r="B146" s="255" t="s">
        <v>431</v>
      </c>
      <c r="C146" s="17" t="s">
        <v>260</v>
      </c>
      <c r="D146" s="20" t="s">
        <v>644</v>
      </c>
      <c r="E146" s="21" t="s">
        <v>1541</v>
      </c>
      <c r="F146" s="565">
        <v>345.98399999999998</v>
      </c>
      <c r="G146" s="22" t="s">
        <v>642</v>
      </c>
      <c r="H146" s="22" t="s">
        <v>643</v>
      </c>
      <c r="I146" s="23" t="s">
        <v>437</v>
      </c>
      <c r="J146" s="24">
        <v>1923</v>
      </c>
      <c r="K146" s="25">
        <v>40820</v>
      </c>
      <c r="L146" s="658">
        <v>2012</v>
      </c>
      <c r="M146" s="17">
        <v>345.98399999999998</v>
      </c>
      <c r="N146" s="26" t="s">
        <v>438</v>
      </c>
      <c r="O146" s="17" t="s">
        <v>1076</v>
      </c>
      <c r="P146" s="17" t="s">
        <v>710</v>
      </c>
      <c r="T146" s="17" t="s">
        <v>439</v>
      </c>
      <c r="U146" s="573">
        <v>0.13350000000000001</v>
      </c>
      <c r="V146" s="570">
        <v>404614.44864000002</v>
      </c>
      <c r="Y146" s="21" t="s">
        <v>177</v>
      </c>
      <c r="Z146" s="255">
        <v>2</v>
      </c>
      <c r="AA146" t="str">
        <f>VLOOKUP(Y146,Source!F:F,1,FALSE)</f>
        <v>North Shore Comm. College</v>
      </c>
    </row>
    <row r="147" spans="1:27" hidden="1">
      <c r="A147" s="17" t="str">
        <f t="shared" si="6"/>
        <v>North Shore Comm. College3</v>
      </c>
      <c r="B147" s="255" t="s">
        <v>431</v>
      </c>
      <c r="C147" s="17" t="s">
        <v>260</v>
      </c>
      <c r="D147" s="20" t="s">
        <v>645</v>
      </c>
      <c r="E147" s="21" t="s">
        <v>646</v>
      </c>
      <c r="F147" s="565">
        <v>73.900000000000006</v>
      </c>
      <c r="G147" s="22" t="s">
        <v>642</v>
      </c>
      <c r="H147" s="22" t="s">
        <v>643</v>
      </c>
      <c r="I147" s="23" t="s">
        <v>437</v>
      </c>
      <c r="J147" s="24">
        <v>1923</v>
      </c>
      <c r="K147" s="25">
        <v>40676</v>
      </c>
      <c r="L147" s="658">
        <v>2011</v>
      </c>
      <c r="M147" s="17">
        <v>73.900000000000006</v>
      </c>
      <c r="N147" s="26" t="s">
        <v>438</v>
      </c>
      <c r="O147" s="17" t="s">
        <v>1076</v>
      </c>
      <c r="P147" s="17" t="s">
        <v>710</v>
      </c>
      <c r="T147" s="17" t="s">
        <v>439</v>
      </c>
      <c r="U147" s="573">
        <v>0.13350000000000001</v>
      </c>
      <c r="V147" s="570">
        <v>86423.094000000012</v>
      </c>
      <c r="Y147" s="21" t="s">
        <v>177</v>
      </c>
      <c r="Z147" s="3">
        <v>3</v>
      </c>
      <c r="AA147" t="str">
        <f>VLOOKUP(Y147,Source!F:F,1,FALSE)</f>
        <v>North Shore Comm. College</v>
      </c>
    </row>
    <row r="148" spans="1:27" hidden="1">
      <c r="A148" s="17" t="str">
        <f t="shared" si="6"/>
        <v>Roxbury Comm. College1</v>
      </c>
      <c r="B148" s="255" t="s">
        <v>431</v>
      </c>
      <c r="C148" s="26" t="s">
        <v>260</v>
      </c>
      <c r="D148" s="17"/>
      <c r="E148" s="17" t="s">
        <v>1542</v>
      </c>
      <c r="F148" s="571">
        <v>937</v>
      </c>
      <c r="G148" s="556" t="s">
        <v>1584</v>
      </c>
      <c r="H148" s="26" t="s">
        <v>460</v>
      </c>
      <c r="I148" s="23" t="s">
        <v>437</v>
      </c>
      <c r="J148" s="17"/>
      <c r="K148" s="17"/>
      <c r="L148" s="28">
        <v>2016</v>
      </c>
      <c r="M148" s="17">
        <v>937</v>
      </c>
      <c r="N148" s="17" t="s">
        <v>438</v>
      </c>
      <c r="O148" s="17" t="s">
        <v>1076</v>
      </c>
      <c r="P148" s="17" t="s">
        <v>708</v>
      </c>
      <c r="T148" s="17" t="s">
        <v>439</v>
      </c>
      <c r="U148" s="573">
        <v>0.13350000000000001</v>
      </c>
      <c r="V148" s="570">
        <v>1095784.02</v>
      </c>
      <c r="Y148" s="21" t="s">
        <v>188</v>
      </c>
      <c r="Z148" s="3">
        <v>1</v>
      </c>
      <c r="AA148" t="str">
        <f>VLOOKUP(Y148,Source!F:F,1,FALSE)</f>
        <v>Roxbury Comm. College</v>
      </c>
    </row>
    <row r="149" spans="1:27" hidden="1">
      <c r="A149" s="17" t="str">
        <f t="shared" si="6"/>
        <v>Salem State University1</v>
      </c>
      <c r="B149" s="257" t="s">
        <v>431</v>
      </c>
      <c r="C149" s="23" t="s">
        <v>260</v>
      </c>
      <c r="D149" s="23"/>
      <c r="E149" s="21" t="s">
        <v>1543</v>
      </c>
      <c r="F149" s="565">
        <v>176</v>
      </c>
      <c r="G149" s="23" t="s">
        <v>711</v>
      </c>
      <c r="H149" s="22" t="s">
        <v>651</v>
      </c>
      <c r="I149" s="23" t="s">
        <v>437</v>
      </c>
      <c r="J149" s="24">
        <v>1970</v>
      </c>
      <c r="K149" s="25"/>
      <c r="L149" s="567">
        <v>2019</v>
      </c>
      <c r="M149" s="23">
        <v>176</v>
      </c>
      <c r="N149" s="258" t="s">
        <v>438</v>
      </c>
      <c r="O149" s="23" t="s">
        <v>451</v>
      </c>
      <c r="P149" s="23" t="s">
        <v>710</v>
      </c>
      <c r="Q149" s="460"/>
      <c r="T149" s="23" t="s">
        <v>439</v>
      </c>
      <c r="U149" s="573">
        <v>0.13350000000000001</v>
      </c>
      <c r="V149" s="570">
        <v>205824.96000000002</v>
      </c>
      <c r="W149" s="695"/>
      <c r="Y149" s="21" t="s">
        <v>190</v>
      </c>
      <c r="Z149" s="3">
        <v>1</v>
      </c>
      <c r="AA149" t="str">
        <f>VLOOKUP(Y149,Source!F:F,1,FALSE)</f>
        <v>Salem State University</v>
      </c>
    </row>
    <row r="150" spans="1:27" s="495" customFormat="1" hidden="1">
      <c r="A150" s="17" t="str">
        <f t="shared" si="6"/>
        <v>Salem State University2</v>
      </c>
      <c r="B150" s="255" t="s">
        <v>431</v>
      </c>
      <c r="C150" s="17" t="s">
        <v>260</v>
      </c>
      <c r="D150" s="20" t="s">
        <v>648</v>
      </c>
      <c r="E150" s="34" t="s">
        <v>649</v>
      </c>
      <c r="F150" s="565">
        <v>147.80000000000001</v>
      </c>
      <c r="G150" s="32" t="s">
        <v>650</v>
      </c>
      <c r="H150" s="32" t="s">
        <v>651</v>
      </c>
      <c r="I150" s="32" t="s">
        <v>437</v>
      </c>
      <c r="J150" s="24">
        <v>1970</v>
      </c>
      <c r="K150" s="25">
        <v>41011</v>
      </c>
      <c r="L150" s="658">
        <v>2012</v>
      </c>
      <c r="M150" s="17">
        <v>147.80000000000001</v>
      </c>
      <c r="N150" s="26" t="s">
        <v>438</v>
      </c>
      <c r="O150" s="17" t="s">
        <v>1076</v>
      </c>
      <c r="P150" s="17" t="s">
        <v>710</v>
      </c>
      <c r="Q150" s="36"/>
      <c r="R150" s="17"/>
      <c r="S150" s="17"/>
      <c r="T150" s="17" t="s">
        <v>439</v>
      </c>
      <c r="U150" s="573">
        <v>0.13350000000000001</v>
      </c>
      <c r="V150" s="570">
        <v>172846.18800000002</v>
      </c>
      <c r="W150" s="26"/>
      <c r="X150" s="17"/>
      <c r="Y150" s="21" t="s">
        <v>190</v>
      </c>
      <c r="Z150" s="255">
        <v>2</v>
      </c>
      <c r="AA150" t="str">
        <f>VLOOKUP(Y150,Source!F:F,1,FALSE)</f>
        <v>Salem State University</v>
      </c>
    </row>
    <row r="151" spans="1:27" hidden="1">
      <c r="A151" s="17" t="str">
        <f t="shared" si="6"/>
        <v>Salem State University3</v>
      </c>
      <c r="B151" s="255" t="s">
        <v>431</v>
      </c>
      <c r="C151" s="17" t="s">
        <v>260</v>
      </c>
      <c r="D151" s="20" t="s">
        <v>652</v>
      </c>
      <c r="E151" s="21" t="s">
        <v>1544</v>
      </c>
      <c r="F151" s="565">
        <v>68.900000000000006</v>
      </c>
      <c r="G151" s="20" t="s">
        <v>653</v>
      </c>
      <c r="H151" s="22" t="s">
        <v>651</v>
      </c>
      <c r="I151" s="23" t="s">
        <v>437</v>
      </c>
      <c r="J151" s="24">
        <v>1970</v>
      </c>
      <c r="K151" s="25" t="s">
        <v>654</v>
      </c>
      <c r="L151" s="27">
        <v>2009</v>
      </c>
      <c r="M151" s="17">
        <v>68.900000000000006</v>
      </c>
      <c r="N151" s="26" t="s">
        <v>438</v>
      </c>
      <c r="O151" s="17" t="s">
        <v>1076</v>
      </c>
      <c r="P151" s="17" t="s">
        <v>710</v>
      </c>
      <c r="Q151" s="17"/>
      <c r="R151" s="17"/>
      <c r="S151" s="17"/>
      <c r="T151" s="17" t="s">
        <v>439</v>
      </c>
      <c r="U151" s="573">
        <v>0.13350000000000001</v>
      </c>
      <c r="V151" s="570">
        <v>80575.794000000009</v>
      </c>
      <c r="W151" s="17"/>
      <c r="X151" s="17"/>
      <c r="Y151" s="21" t="s">
        <v>190</v>
      </c>
      <c r="Z151" s="255">
        <v>3</v>
      </c>
      <c r="AA151" t="str">
        <f>VLOOKUP(Y151,Source!F:F,1,FALSE)</f>
        <v>Salem State University</v>
      </c>
    </row>
    <row r="152" spans="1:27" hidden="1">
      <c r="A152" s="17" t="str">
        <f t="shared" si="6"/>
        <v>Salem State University4</v>
      </c>
      <c r="B152" s="257" t="s">
        <v>431</v>
      </c>
      <c r="C152" s="23" t="s">
        <v>260</v>
      </c>
      <c r="D152" s="23"/>
      <c r="E152" s="21" t="s">
        <v>714</v>
      </c>
      <c r="F152" s="565">
        <v>101</v>
      </c>
      <c r="G152" s="23" t="s">
        <v>715</v>
      </c>
      <c r="H152" s="22" t="s">
        <v>651</v>
      </c>
      <c r="I152" s="23" t="s">
        <v>437</v>
      </c>
      <c r="J152" s="24">
        <v>1970</v>
      </c>
      <c r="K152" s="25"/>
      <c r="L152" s="567">
        <v>2019</v>
      </c>
      <c r="M152" s="23">
        <v>101</v>
      </c>
      <c r="N152" s="258" t="s">
        <v>438</v>
      </c>
      <c r="O152" s="23" t="s">
        <v>451</v>
      </c>
      <c r="P152" s="23" t="s">
        <v>710</v>
      </c>
      <c r="Q152" s="17"/>
      <c r="R152" s="17"/>
      <c r="S152" s="17"/>
      <c r="T152" s="23" t="s">
        <v>439</v>
      </c>
      <c r="U152" s="573">
        <v>0.13350000000000001</v>
      </c>
      <c r="V152" s="570">
        <v>118115.46</v>
      </c>
      <c r="W152" s="17"/>
      <c r="X152" s="17"/>
      <c r="Y152" s="21" t="s">
        <v>190</v>
      </c>
      <c r="Z152" s="255">
        <v>4</v>
      </c>
      <c r="AA152" t="str">
        <f>VLOOKUP(Y152,Source!F:F,1,FALSE)</f>
        <v>Salem State University</v>
      </c>
    </row>
    <row r="153" spans="1:27" hidden="1">
      <c r="A153" s="17" t="str">
        <f t="shared" si="6"/>
        <v>Salem State University5</v>
      </c>
      <c r="B153" s="257" t="s">
        <v>431</v>
      </c>
      <c r="C153" s="23" t="s">
        <v>260</v>
      </c>
      <c r="D153" s="23"/>
      <c r="E153" s="21" t="s">
        <v>712</v>
      </c>
      <c r="F153" s="565">
        <v>102</v>
      </c>
      <c r="G153" s="23" t="s">
        <v>713</v>
      </c>
      <c r="H153" s="22" t="s">
        <v>651</v>
      </c>
      <c r="I153" s="23" t="s">
        <v>437</v>
      </c>
      <c r="J153" s="24">
        <v>1970</v>
      </c>
      <c r="K153" s="25"/>
      <c r="L153" s="567">
        <v>2019</v>
      </c>
      <c r="M153" s="23">
        <v>102</v>
      </c>
      <c r="N153" s="258" t="s">
        <v>438</v>
      </c>
      <c r="O153" s="23" t="s">
        <v>451</v>
      </c>
      <c r="P153" s="23" t="s">
        <v>710</v>
      </c>
      <c r="Q153" s="36"/>
      <c r="R153" s="17"/>
      <c r="S153" s="17"/>
      <c r="T153" s="23" t="s">
        <v>439</v>
      </c>
      <c r="U153" s="573">
        <v>0.13350000000000001</v>
      </c>
      <c r="V153" s="570">
        <v>119284.92000000001</v>
      </c>
      <c r="W153" s="26"/>
      <c r="X153" s="17"/>
      <c r="Y153" s="21" t="s">
        <v>190</v>
      </c>
      <c r="Z153" s="255">
        <v>5</v>
      </c>
      <c r="AA153" t="str">
        <f>VLOOKUP(Y153,Source!F:F,1,FALSE)</f>
        <v>Salem State University</v>
      </c>
    </row>
    <row r="154" spans="1:27" hidden="1">
      <c r="A154" s="17" t="str">
        <f t="shared" si="6"/>
        <v>Salem State University6</v>
      </c>
      <c r="B154" s="257" t="s">
        <v>431</v>
      </c>
      <c r="C154" s="23" t="s">
        <v>260</v>
      </c>
      <c r="D154" s="23"/>
      <c r="E154" s="34" t="s">
        <v>1545</v>
      </c>
      <c r="F154" s="565">
        <v>245</v>
      </c>
      <c r="G154" s="32" t="s">
        <v>650</v>
      </c>
      <c r="H154" s="22" t="s">
        <v>651</v>
      </c>
      <c r="I154" s="23" t="s">
        <v>437</v>
      </c>
      <c r="J154" s="24">
        <v>1970</v>
      </c>
      <c r="K154" s="25">
        <v>45261</v>
      </c>
      <c r="L154" s="567">
        <v>2024</v>
      </c>
      <c r="M154" s="23">
        <v>245</v>
      </c>
      <c r="N154" s="258" t="s">
        <v>438</v>
      </c>
      <c r="O154" s="23" t="s">
        <v>451</v>
      </c>
      <c r="P154" s="23" t="s">
        <v>710</v>
      </c>
      <c r="Q154" s="36"/>
      <c r="R154" s="17"/>
      <c r="S154" s="17"/>
      <c r="T154" s="23" t="s">
        <v>439</v>
      </c>
      <c r="U154" s="573">
        <v>0.13350000000000001</v>
      </c>
      <c r="V154" s="570">
        <v>286517.7</v>
      </c>
      <c r="W154" s="26"/>
      <c r="X154" s="17"/>
      <c r="Y154" s="21" t="s">
        <v>190</v>
      </c>
      <c r="Z154" s="255">
        <v>6</v>
      </c>
      <c r="AA154" t="str">
        <f>VLOOKUP(Y154,Source!F:F,1,FALSE)</f>
        <v>Salem State University</v>
      </c>
    </row>
    <row r="155" spans="1:27" hidden="1">
      <c r="A155" s="17" t="str">
        <f t="shared" si="6"/>
        <v>Salem State University7</v>
      </c>
      <c r="B155" s="257" t="s">
        <v>431</v>
      </c>
      <c r="C155" s="23" t="s">
        <v>260</v>
      </c>
      <c r="D155" s="23"/>
      <c r="E155" s="21" t="s">
        <v>1336</v>
      </c>
      <c r="F155" s="565">
        <v>121</v>
      </c>
      <c r="G155" s="20" t="s">
        <v>653</v>
      </c>
      <c r="H155" s="22" t="s">
        <v>651</v>
      </c>
      <c r="I155" s="23" t="s">
        <v>437</v>
      </c>
      <c r="J155" s="24">
        <v>1970</v>
      </c>
      <c r="K155" s="25">
        <v>44774</v>
      </c>
      <c r="L155" s="567">
        <v>2023</v>
      </c>
      <c r="M155" s="23">
        <v>121</v>
      </c>
      <c r="N155" s="258" t="s">
        <v>438</v>
      </c>
      <c r="O155" s="23" t="s">
        <v>451</v>
      </c>
      <c r="P155" s="23" t="s">
        <v>710</v>
      </c>
      <c r="Q155" s="17"/>
      <c r="R155" s="17"/>
      <c r="S155" s="17"/>
      <c r="T155" s="23" t="s">
        <v>439</v>
      </c>
      <c r="U155" s="573">
        <v>0.13350000000000001</v>
      </c>
      <c r="V155" s="570">
        <v>141504.66</v>
      </c>
      <c r="W155" s="17"/>
      <c r="X155" s="17"/>
      <c r="Y155" s="21" t="s">
        <v>190</v>
      </c>
      <c r="Z155" s="255">
        <v>7</v>
      </c>
      <c r="AA155" t="str">
        <f>VLOOKUP(Y155,Source!F:F,1,FALSE)</f>
        <v>Salem State University</v>
      </c>
    </row>
    <row r="156" spans="1:27" hidden="1">
      <c r="A156" s="17" t="str">
        <f t="shared" si="6"/>
        <v>Springfield Technical Comm. College1</v>
      </c>
      <c r="B156" s="255" t="s">
        <v>431</v>
      </c>
      <c r="C156" s="17" t="s">
        <v>260</v>
      </c>
      <c r="D156" s="20" t="s">
        <v>655</v>
      </c>
      <c r="E156" s="21" t="s">
        <v>1546</v>
      </c>
      <c r="F156" s="565">
        <v>82</v>
      </c>
      <c r="G156" s="20" t="s">
        <v>656</v>
      </c>
      <c r="H156" s="22" t="s">
        <v>613</v>
      </c>
      <c r="I156" s="23" t="s">
        <v>437</v>
      </c>
      <c r="J156" s="24">
        <v>1102</v>
      </c>
      <c r="K156" s="25">
        <v>40017</v>
      </c>
      <c r="L156" s="658">
        <v>2011</v>
      </c>
      <c r="M156" s="17">
        <v>82</v>
      </c>
      <c r="N156" s="26" t="s">
        <v>438</v>
      </c>
      <c r="O156" s="17" t="s">
        <v>1076</v>
      </c>
      <c r="P156" s="17" t="s">
        <v>710</v>
      </c>
      <c r="Q156" s="17"/>
      <c r="R156" s="17"/>
      <c r="S156" s="255"/>
      <c r="T156" s="17" t="s">
        <v>439</v>
      </c>
      <c r="U156" s="573">
        <v>0.13350000000000001</v>
      </c>
      <c r="V156" s="570">
        <v>95895.72</v>
      </c>
      <c r="W156" s="26"/>
      <c r="X156" s="255"/>
      <c r="Y156" s="21" t="s">
        <v>195</v>
      </c>
      <c r="Z156" s="255">
        <v>1</v>
      </c>
      <c r="AA156" t="str">
        <f>VLOOKUP(Y156,Source!F:F,1,FALSE)</f>
        <v>Springfield Technical Comm. College</v>
      </c>
    </row>
    <row r="157" spans="1:27" hidden="1">
      <c r="A157" s="17" t="str">
        <f t="shared" si="6"/>
        <v>Trial Court1</v>
      </c>
      <c r="B157" s="255" t="s">
        <v>431</v>
      </c>
      <c r="C157" s="17" t="s">
        <v>260</v>
      </c>
      <c r="D157" s="20"/>
      <c r="E157" s="21" t="s">
        <v>1547</v>
      </c>
      <c r="F157" s="574">
        <v>66</v>
      </c>
      <c r="G157" s="20" t="s">
        <v>1585</v>
      </c>
      <c r="H157" s="22" t="s">
        <v>683</v>
      </c>
      <c r="I157" s="23" t="s">
        <v>437</v>
      </c>
      <c r="J157" s="24">
        <v>1852</v>
      </c>
      <c r="K157" s="25">
        <v>43888</v>
      </c>
      <c r="L157" s="659">
        <v>2020</v>
      </c>
      <c r="M157" s="40">
        <v>66</v>
      </c>
      <c r="N157" s="26" t="s">
        <v>927</v>
      </c>
      <c r="O157" s="40" t="s">
        <v>1076</v>
      </c>
      <c r="P157" s="17" t="s">
        <v>710</v>
      </c>
      <c r="Q157" s="17"/>
      <c r="R157" s="17"/>
      <c r="S157" s="17"/>
      <c r="T157" s="17" t="s">
        <v>439</v>
      </c>
      <c r="U157" s="573">
        <v>0.13350000000000001</v>
      </c>
      <c r="V157" s="570">
        <v>77184.36</v>
      </c>
      <c r="W157" s="39"/>
      <c r="X157" s="17"/>
      <c r="Y157" s="21" t="s">
        <v>200</v>
      </c>
      <c r="Z157" s="255">
        <v>1</v>
      </c>
      <c r="AA157" t="str">
        <f>VLOOKUP(Y157,Source!F:F,1,FALSE)</f>
        <v>Trial Court</v>
      </c>
    </row>
    <row r="158" spans="1:27" hidden="1">
      <c r="A158" s="17" t="str">
        <f t="shared" si="6"/>
        <v>Trial Court2</v>
      </c>
      <c r="B158" s="255" t="s">
        <v>431</v>
      </c>
      <c r="C158" s="17" t="s">
        <v>260</v>
      </c>
      <c r="D158" s="20"/>
      <c r="E158" s="21" t="s">
        <v>1548</v>
      </c>
      <c r="F158" s="574">
        <v>200</v>
      </c>
      <c r="G158" s="20" t="s">
        <v>1585</v>
      </c>
      <c r="H158" s="22" t="s">
        <v>683</v>
      </c>
      <c r="I158" s="23" t="s">
        <v>437</v>
      </c>
      <c r="J158" s="24">
        <v>1852</v>
      </c>
      <c r="K158" s="25">
        <v>43888</v>
      </c>
      <c r="L158" s="659">
        <v>2020</v>
      </c>
      <c r="M158" s="40">
        <v>200</v>
      </c>
      <c r="N158" s="26" t="s">
        <v>927</v>
      </c>
      <c r="O158" s="40" t="s">
        <v>1076</v>
      </c>
      <c r="P158" s="17" t="s">
        <v>708</v>
      </c>
      <c r="Q158" s="17"/>
      <c r="R158" s="17"/>
      <c r="S158" s="17"/>
      <c r="T158" s="17" t="s">
        <v>439</v>
      </c>
      <c r="U158" s="573">
        <v>0.13350000000000001</v>
      </c>
      <c r="V158" s="570">
        <v>233892</v>
      </c>
      <c r="W158" s="39"/>
      <c r="X158" s="17"/>
      <c r="Y158" s="21" t="s">
        <v>200</v>
      </c>
      <c r="Z158" s="255">
        <v>2</v>
      </c>
      <c r="AA158" t="str">
        <f>VLOOKUP(Y158,Source!F:F,1,FALSE)</f>
        <v>Trial Court</v>
      </c>
    </row>
    <row r="159" spans="1:27" s="495" customFormat="1">
      <c r="A159" s="17" t="str">
        <f t="shared" si="6"/>
        <v>UMass Amherst1</v>
      </c>
      <c r="B159" s="255" t="s">
        <v>431</v>
      </c>
      <c r="C159" s="26" t="s">
        <v>260</v>
      </c>
      <c r="D159" s="20"/>
      <c r="E159" s="26" t="s">
        <v>201</v>
      </c>
      <c r="F159" s="565">
        <v>25</v>
      </c>
      <c r="G159" s="22" t="s">
        <v>662</v>
      </c>
      <c r="H159" s="26" t="s">
        <v>663</v>
      </c>
      <c r="I159" s="17" t="s">
        <v>437</v>
      </c>
      <c r="J159" s="24">
        <v>1373</v>
      </c>
      <c r="K159" s="25"/>
      <c r="L159" s="657">
        <v>2011</v>
      </c>
      <c r="M159" s="566">
        <v>25</v>
      </c>
      <c r="N159" s="29" t="s">
        <v>661</v>
      </c>
      <c r="O159" s="17" t="s">
        <v>1076</v>
      </c>
      <c r="P159" s="17" t="s">
        <v>1635</v>
      </c>
      <c r="Q159" s="17"/>
      <c r="R159" s="17"/>
      <c r="S159" s="17"/>
      <c r="T159" s="17" t="s">
        <v>439</v>
      </c>
      <c r="U159" s="573">
        <v>0.13350000000000001</v>
      </c>
      <c r="V159" s="570">
        <f>M159*U159*8760</f>
        <v>29236.500000000004</v>
      </c>
      <c r="W159" s="17"/>
      <c r="X159" s="17"/>
      <c r="Y159" s="21" t="s">
        <v>201</v>
      </c>
      <c r="Z159" s="255">
        <v>1</v>
      </c>
      <c r="AA159" t="str">
        <f>VLOOKUP(Y159,Source!F:F,1,FALSE)</f>
        <v>UMass Amherst</v>
      </c>
    </row>
    <row r="160" spans="1:27" s="495" customFormat="1">
      <c r="A160" s="17" t="str">
        <f t="shared" si="6"/>
        <v>UMass Amherst2</v>
      </c>
      <c r="B160" s="255" t="s">
        <v>431</v>
      </c>
      <c r="C160" s="26" t="s">
        <v>260</v>
      </c>
      <c r="D160" s="17" t="s">
        <v>1627</v>
      </c>
      <c r="E160" s="17" t="s">
        <v>1549</v>
      </c>
      <c r="F160" s="571">
        <v>249.8</v>
      </c>
      <c r="G160" s="20" t="s">
        <v>1586</v>
      </c>
      <c r="H160" s="26" t="s">
        <v>660</v>
      </c>
      <c r="I160" s="17" t="s">
        <v>437</v>
      </c>
      <c r="J160" s="24">
        <v>1003</v>
      </c>
      <c r="K160" s="191">
        <v>42642</v>
      </c>
      <c r="L160" s="28">
        <v>2016</v>
      </c>
      <c r="M160" s="566">
        <v>249.8</v>
      </c>
      <c r="N160" s="17" t="s">
        <v>661</v>
      </c>
      <c r="O160" s="17" t="s">
        <v>451</v>
      </c>
      <c r="P160" s="17" t="s">
        <v>710</v>
      </c>
      <c r="Q160" s="17"/>
      <c r="R160" s="17"/>
      <c r="S160" s="17"/>
      <c r="T160" s="17" t="s">
        <v>439</v>
      </c>
      <c r="U160" s="573">
        <v>0.13350000000000001</v>
      </c>
      <c r="V160" s="570">
        <f t="shared" ref="V160:V170" si="7">M160*U160*8760</f>
        <v>292131.10800000001</v>
      </c>
      <c r="W160" s="17"/>
      <c r="X160" s="17"/>
      <c r="Y160" s="21" t="s">
        <v>201</v>
      </c>
      <c r="Z160" s="255">
        <v>2</v>
      </c>
      <c r="AA160" t="str">
        <f>VLOOKUP(Y160,Source!F:F,1,FALSE)</f>
        <v>UMass Amherst</v>
      </c>
    </row>
    <row r="161" spans="1:27">
      <c r="A161" s="17" t="str">
        <f t="shared" si="6"/>
        <v>UMass Amherst3</v>
      </c>
      <c r="B161" s="255" t="s">
        <v>431</v>
      </c>
      <c r="C161" s="26" t="s">
        <v>260</v>
      </c>
      <c r="D161" s="17" t="s">
        <v>1628</v>
      </c>
      <c r="E161" s="17" t="s">
        <v>717</v>
      </c>
      <c r="F161" s="571">
        <v>154.66999999999999</v>
      </c>
      <c r="G161" s="20" t="s">
        <v>1587</v>
      </c>
      <c r="H161" s="26" t="s">
        <v>660</v>
      </c>
      <c r="I161" s="17" t="s">
        <v>437</v>
      </c>
      <c r="J161" s="24">
        <v>1003</v>
      </c>
      <c r="K161" s="191">
        <v>42641</v>
      </c>
      <c r="L161" s="28">
        <v>2016</v>
      </c>
      <c r="M161" s="566">
        <v>154.66999999999999</v>
      </c>
      <c r="N161" s="17" t="s">
        <v>661</v>
      </c>
      <c r="O161" s="17" t="s">
        <v>451</v>
      </c>
      <c r="P161" s="17" t="s">
        <v>710</v>
      </c>
      <c r="Q161" s="17"/>
      <c r="R161" s="17"/>
      <c r="S161" s="17"/>
      <c r="T161" s="17" t="s">
        <v>439</v>
      </c>
      <c r="U161" s="573">
        <v>0.13350000000000001</v>
      </c>
      <c r="V161" s="570">
        <f t="shared" si="7"/>
        <v>180880.37819999998</v>
      </c>
      <c r="W161" s="17"/>
      <c r="X161" s="17"/>
      <c r="Y161" s="21" t="s">
        <v>201</v>
      </c>
      <c r="Z161" s="255">
        <v>3</v>
      </c>
      <c r="AA161" t="str">
        <f>VLOOKUP(Y161,Source!F:F,1,FALSE)</f>
        <v>UMass Amherst</v>
      </c>
    </row>
    <row r="162" spans="1:27">
      <c r="A162" s="17" t="str">
        <f t="shared" si="6"/>
        <v>UMass Amherst4</v>
      </c>
      <c r="B162" s="255" t="s">
        <v>431</v>
      </c>
      <c r="C162" s="26" t="s">
        <v>260</v>
      </c>
      <c r="D162" s="17" t="s">
        <v>1629</v>
      </c>
      <c r="E162" s="17" t="s">
        <v>1550</v>
      </c>
      <c r="F162" s="571">
        <v>155.62</v>
      </c>
      <c r="G162" s="20" t="s">
        <v>1588</v>
      </c>
      <c r="H162" s="26" t="s">
        <v>660</v>
      </c>
      <c r="I162" s="17" t="s">
        <v>437</v>
      </c>
      <c r="J162" s="24">
        <v>1003</v>
      </c>
      <c r="K162" s="191">
        <v>42718</v>
      </c>
      <c r="L162" s="28">
        <v>2016</v>
      </c>
      <c r="M162" s="566">
        <v>155.62</v>
      </c>
      <c r="N162" s="17" t="s">
        <v>661</v>
      </c>
      <c r="O162" s="17" t="s">
        <v>451</v>
      </c>
      <c r="P162" s="17" t="s">
        <v>710</v>
      </c>
      <c r="T162" s="17" t="s">
        <v>439</v>
      </c>
      <c r="U162" s="573">
        <v>0.13350000000000001</v>
      </c>
      <c r="V162" s="570">
        <f t="shared" si="7"/>
        <v>181991.36520000003</v>
      </c>
      <c r="Y162" s="21" t="s">
        <v>201</v>
      </c>
      <c r="Z162" s="3">
        <v>4</v>
      </c>
      <c r="AA162" t="str">
        <f>VLOOKUP(Y162,Source!F:F,1,FALSE)</f>
        <v>UMass Amherst</v>
      </c>
    </row>
    <row r="163" spans="1:27">
      <c r="A163" s="17" t="str">
        <f t="shared" si="6"/>
        <v>UMass Amherst5</v>
      </c>
      <c r="B163" s="255" t="s">
        <v>431</v>
      </c>
      <c r="C163" s="26" t="s">
        <v>260</v>
      </c>
      <c r="D163" s="17" t="s">
        <v>1630</v>
      </c>
      <c r="E163" s="17" t="s">
        <v>1551</v>
      </c>
      <c r="F163" s="571">
        <v>1918.44</v>
      </c>
      <c r="G163" s="20" t="s">
        <v>1589</v>
      </c>
      <c r="H163" s="26" t="s">
        <v>755</v>
      </c>
      <c r="I163" s="17" t="s">
        <v>437</v>
      </c>
      <c r="J163" s="24">
        <v>1003</v>
      </c>
      <c r="K163" s="191">
        <v>42718</v>
      </c>
      <c r="L163" s="28">
        <v>2016</v>
      </c>
      <c r="M163" s="661">
        <v>1918.44</v>
      </c>
      <c r="N163" s="17" t="s">
        <v>661</v>
      </c>
      <c r="O163" s="17" t="s">
        <v>451</v>
      </c>
      <c r="P163" s="17" t="s">
        <v>708</v>
      </c>
      <c r="T163" s="17" t="s">
        <v>439</v>
      </c>
      <c r="U163" s="573">
        <v>0.13350000000000001</v>
      </c>
      <c r="V163" s="570">
        <f t="shared" si="7"/>
        <v>2243538.8424</v>
      </c>
      <c r="Y163" s="21" t="s">
        <v>201</v>
      </c>
      <c r="Z163" s="3">
        <v>5</v>
      </c>
      <c r="AA163" t="str">
        <f>VLOOKUP(Y163,Source!F:F,1,FALSE)</f>
        <v>UMass Amherst</v>
      </c>
    </row>
    <row r="164" spans="1:27">
      <c r="A164" s="17" t="str">
        <f t="shared" si="6"/>
        <v>UMass Amherst6</v>
      </c>
      <c r="B164" s="255" t="s">
        <v>431</v>
      </c>
      <c r="C164" s="26" t="s">
        <v>260</v>
      </c>
      <c r="D164" s="17" t="s">
        <v>1631</v>
      </c>
      <c r="E164" s="17" t="s">
        <v>1552</v>
      </c>
      <c r="F164" s="571">
        <v>2568.87</v>
      </c>
      <c r="G164" s="20" t="s">
        <v>1590</v>
      </c>
      <c r="H164" s="26" t="s">
        <v>660</v>
      </c>
      <c r="I164" s="17" t="s">
        <v>437</v>
      </c>
      <c r="J164" s="24">
        <v>1003</v>
      </c>
      <c r="K164" s="191">
        <v>75597</v>
      </c>
      <c r="L164" s="28">
        <v>2016</v>
      </c>
      <c r="M164" s="661">
        <v>2568.87</v>
      </c>
      <c r="N164" s="17" t="s">
        <v>661</v>
      </c>
      <c r="O164" s="17" t="s">
        <v>451</v>
      </c>
      <c r="P164" s="17" t="s">
        <v>708</v>
      </c>
      <c r="T164" s="17" t="s">
        <v>439</v>
      </c>
      <c r="U164" s="573">
        <v>0.13350000000000001</v>
      </c>
      <c r="V164" s="570">
        <f t="shared" si="7"/>
        <v>3004190.7102000001</v>
      </c>
      <c r="Y164" s="21" t="s">
        <v>201</v>
      </c>
      <c r="Z164" s="3">
        <v>6</v>
      </c>
      <c r="AA164" t="str">
        <f>VLOOKUP(Y164,Source!F:F,1,FALSE)</f>
        <v>UMass Amherst</v>
      </c>
    </row>
    <row r="165" spans="1:27">
      <c r="A165" s="17" t="str">
        <f t="shared" si="6"/>
        <v>UMass Amherst7</v>
      </c>
      <c r="B165" s="255" t="s">
        <v>431</v>
      </c>
      <c r="C165" s="26" t="s">
        <v>260</v>
      </c>
      <c r="D165" s="17" t="s">
        <v>1632</v>
      </c>
      <c r="E165" s="17" t="s">
        <v>718</v>
      </c>
      <c r="F165" s="571">
        <v>30.87</v>
      </c>
      <c r="G165" s="20" t="s">
        <v>1591</v>
      </c>
      <c r="H165" s="26" t="s">
        <v>660</v>
      </c>
      <c r="I165" s="17" t="s">
        <v>437</v>
      </c>
      <c r="J165" s="24">
        <v>1003</v>
      </c>
      <c r="K165" s="191">
        <v>42613</v>
      </c>
      <c r="L165" s="28">
        <v>2016</v>
      </c>
      <c r="M165" s="566">
        <v>30.87</v>
      </c>
      <c r="N165" s="17" t="s">
        <v>661</v>
      </c>
      <c r="O165" s="17" t="s">
        <v>451</v>
      </c>
      <c r="P165" s="17" t="s">
        <v>710</v>
      </c>
      <c r="Q165" s="495"/>
      <c r="R165" s="495"/>
      <c r="S165" s="495"/>
      <c r="T165" s="17" t="s">
        <v>439</v>
      </c>
      <c r="U165" s="573">
        <v>0.13350000000000001</v>
      </c>
      <c r="V165" s="570">
        <f t="shared" si="7"/>
        <v>36101.230200000005</v>
      </c>
      <c r="W165" s="495"/>
      <c r="X165" s="495"/>
      <c r="Y165" s="21" t="s">
        <v>201</v>
      </c>
      <c r="Z165" s="3">
        <v>7</v>
      </c>
      <c r="AA165" t="str">
        <f>VLOOKUP(Y165,Source!F:F,1,FALSE)</f>
        <v>UMass Amherst</v>
      </c>
    </row>
    <row r="166" spans="1:27">
      <c r="A166" s="17" t="str">
        <f t="shared" si="6"/>
        <v>UMass Amherst8</v>
      </c>
      <c r="B166" s="255" t="s">
        <v>431</v>
      </c>
      <c r="C166" s="26" t="s">
        <v>260</v>
      </c>
      <c r="D166" s="17" t="s">
        <v>1633</v>
      </c>
      <c r="E166" s="17" t="s">
        <v>719</v>
      </c>
      <c r="F166" s="571">
        <v>241.92</v>
      </c>
      <c r="G166" s="20" t="s">
        <v>1592</v>
      </c>
      <c r="H166" s="26" t="s">
        <v>660</v>
      </c>
      <c r="I166" s="17" t="s">
        <v>437</v>
      </c>
      <c r="J166" s="24">
        <v>1003</v>
      </c>
      <c r="K166" s="191">
        <v>42648</v>
      </c>
      <c r="L166" s="28">
        <v>2016</v>
      </c>
      <c r="M166" s="566">
        <v>241.92</v>
      </c>
      <c r="N166" s="17" t="s">
        <v>661</v>
      </c>
      <c r="O166" s="17" t="s">
        <v>451</v>
      </c>
      <c r="P166" s="17" t="s">
        <v>710</v>
      </c>
      <c r="T166" s="17" t="s">
        <v>439</v>
      </c>
      <c r="U166" s="573">
        <v>0.13350000000000001</v>
      </c>
      <c r="V166" s="570">
        <f t="shared" si="7"/>
        <v>282915.76319999999</v>
      </c>
      <c r="Y166" s="21" t="s">
        <v>201</v>
      </c>
      <c r="Z166" s="3">
        <v>8</v>
      </c>
      <c r="AA166" t="str">
        <f>VLOOKUP(Y166,Source!F:F,1,FALSE)</f>
        <v>UMass Amherst</v>
      </c>
    </row>
    <row r="167" spans="1:27">
      <c r="A167" s="17" t="str">
        <f t="shared" si="6"/>
        <v>UMass Amherst9</v>
      </c>
      <c r="B167" s="255" t="s">
        <v>431</v>
      </c>
      <c r="C167" s="26" t="s">
        <v>260</v>
      </c>
      <c r="D167" s="20" t="s">
        <v>1634</v>
      </c>
      <c r="E167" s="21" t="s">
        <v>1553</v>
      </c>
      <c r="F167" s="621">
        <v>336</v>
      </c>
      <c r="G167" s="20" t="s">
        <v>659</v>
      </c>
      <c r="H167" s="26" t="s">
        <v>660</v>
      </c>
      <c r="I167" s="17" t="s">
        <v>437</v>
      </c>
      <c r="J167" s="24">
        <v>1003</v>
      </c>
      <c r="K167" s="25">
        <v>42419</v>
      </c>
      <c r="L167" s="28">
        <v>2016</v>
      </c>
      <c r="M167" s="661">
        <v>336</v>
      </c>
      <c r="N167" s="17" t="s">
        <v>661</v>
      </c>
      <c r="O167" s="17" t="s">
        <v>1076</v>
      </c>
      <c r="P167" s="17" t="s">
        <v>708</v>
      </c>
      <c r="T167" s="17" t="s">
        <v>439</v>
      </c>
      <c r="U167" s="573">
        <v>0.13350000000000001</v>
      </c>
      <c r="V167" s="570">
        <f t="shared" si="7"/>
        <v>392938.56</v>
      </c>
      <c r="Y167" s="21" t="s">
        <v>201</v>
      </c>
      <c r="Z167" s="3">
        <v>9</v>
      </c>
      <c r="AA167" t="str">
        <f>VLOOKUP(Y167,Source!F:F,1,FALSE)</f>
        <v>UMass Amherst</v>
      </c>
    </row>
    <row r="168" spans="1:27">
      <c r="A168" s="17" t="str">
        <f t="shared" ref="A168:A193" si="8">Y168&amp;Z168</f>
        <v>UMass Amherst10</v>
      </c>
      <c r="B168" s="255" t="s">
        <v>431</v>
      </c>
      <c r="C168" s="26" t="s">
        <v>260</v>
      </c>
      <c r="D168" s="20"/>
      <c r="E168" s="21" t="s">
        <v>1554</v>
      </c>
      <c r="F168" s="574">
        <v>2000</v>
      </c>
      <c r="G168" s="20" t="s">
        <v>659</v>
      </c>
      <c r="H168" s="26" t="s">
        <v>660</v>
      </c>
      <c r="I168" s="17" t="s">
        <v>437</v>
      </c>
      <c r="J168" s="24">
        <v>1003</v>
      </c>
      <c r="K168" s="25"/>
      <c r="L168" s="16">
        <v>2022</v>
      </c>
      <c r="M168" s="575"/>
      <c r="N168" s="26" t="s">
        <v>661</v>
      </c>
      <c r="O168" s="17" t="s">
        <v>451</v>
      </c>
      <c r="P168" s="17" t="s">
        <v>708</v>
      </c>
      <c r="T168" s="17" t="s">
        <v>439</v>
      </c>
      <c r="U168" s="573">
        <v>0.13350000000000001</v>
      </c>
      <c r="V168" s="570">
        <f t="shared" si="7"/>
        <v>0</v>
      </c>
      <c r="Y168" s="21" t="s">
        <v>201</v>
      </c>
      <c r="Z168" s="3">
        <v>10</v>
      </c>
      <c r="AA168" t="str">
        <f>VLOOKUP(Y168,Source!F:F,1,FALSE)</f>
        <v>UMass Amherst</v>
      </c>
    </row>
    <row r="169" spans="1:27">
      <c r="A169" s="17" t="str">
        <f t="shared" si="8"/>
        <v>UMass Amherst11</v>
      </c>
      <c r="B169" s="255" t="s">
        <v>431</v>
      </c>
      <c r="C169" s="26" t="s">
        <v>260</v>
      </c>
      <c r="D169" s="20"/>
      <c r="E169" s="21" t="s">
        <v>1337</v>
      </c>
      <c r="F169" s="574">
        <v>900</v>
      </c>
      <c r="G169" s="20" t="s">
        <v>659</v>
      </c>
      <c r="H169" s="26" t="s">
        <v>660</v>
      </c>
      <c r="I169" s="17" t="s">
        <v>437</v>
      </c>
      <c r="J169" s="24">
        <v>1003</v>
      </c>
      <c r="K169" s="25"/>
      <c r="L169" s="16">
        <v>2022</v>
      </c>
      <c r="M169" s="575">
        <v>900</v>
      </c>
      <c r="N169" s="26" t="s">
        <v>661</v>
      </c>
      <c r="O169" s="17" t="s">
        <v>451</v>
      </c>
      <c r="P169" s="17" t="s">
        <v>708</v>
      </c>
      <c r="T169" s="17" t="s">
        <v>439</v>
      </c>
      <c r="U169" s="573">
        <v>0.13350000000000001</v>
      </c>
      <c r="V169" s="570">
        <f t="shared" si="7"/>
        <v>1052514</v>
      </c>
      <c r="Y169" s="21" t="s">
        <v>201</v>
      </c>
      <c r="Z169" s="3">
        <v>11</v>
      </c>
      <c r="AA169" t="str">
        <f>VLOOKUP(Y169,Source!F:F,1,FALSE)</f>
        <v>UMass Amherst</v>
      </c>
    </row>
    <row r="170" spans="1:27">
      <c r="A170" s="17" t="str">
        <f t="shared" si="8"/>
        <v>UMass Amherst12</v>
      </c>
      <c r="B170" s="255" t="s">
        <v>431</v>
      </c>
      <c r="C170" s="26" t="s">
        <v>260</v>
      </c>
      <c r="D170" s="20"/>
      <c r="E170" s="21" t="s">
        <v>2251</v>
      </c>
      <c r="F170" s="574">
        <v>60</v>
      </c>
      <c r="G170" s="20" t="s">
        <v>2252</v>
      </c>
      <c r="H170" s="26" t="s">
        <v>660</v>
      </c>
      <c r="I170" s="17" t="s">
        <v>437</v>
      </c>
      <c r="J170" s="24">
        <v>1003</v>
      </c>
      <c r="K170" s="25"/>
      <c r="L170" s="16">
        <v>2016</v>
      </c>
      <c r="M170" s="575">
        <v>60</v>
      </c>
      <c r="N170" s="26" t="s">
        <v>661</v>
      </c>
      <c r="O170" s="17"/>
      <c r="P170" s="17" t="s">
        <v>710</v>
      </c>
      <c r="T170" s="17" t="s">
        <v>439</v>
      </c>
      <c r="U170" s="573">
        <v>0.13350000000000001</v>
      </c>
      <c r="V170" s="570">
        <f t="shared" si="7"/>
        <v>70167.599999999991</v>
      </c>
      <c r="Y170" s="21" t="s">
        <v>201</v>
      </c>
      <c r="Z170" s="3">
        <v>12</v>
      </c>
      <c r="AA170" t="str">
        <f>VLOOKUP(Y170,Source!F:F,1,FALSE)</f>
        <v>UMass Amherst</v>
      </c>
    </row>
    <row r="171" spans="1:27">
      <c r="A171" s="17" t="str">
        <f t="shared" si="8"/>
        <v>UMass Amherst13</v>
      </c>
      <c r="B171" s="255" t="s">
        <v>452</v>
      </c>
      <c r="C171" s="26" t="s">
        <v>453</v>
      </c>
      <c r="D171" s="20" t="s">
        <v>657</v>
      </c>
      <c r="E171" s="26" t="s">
        <v>658</v>
      </c>
      <c r="F171" s="565">
        <v>10000</v>
      </c>
      <c r="G171" s="20" t="s">
        <v>659</v>
      </c>
      <c r="H171" s="26" t="s">
        <v>660</v>
      </c>
      <c r="I171" s="23" t="s">
        <v>437</v>
      </c>
      <c r="J171" s="24">
        <v>1003</v>
      </c>
      <c r="K171" s="25">
        <v>39787</v>
      </c>
      <c r="L171" s="657">
        <v>2008</v>
      </c>
      <c r="M171" s="571">
        <v>14000</v>
      </c>
      <c r="N171" s="29" t="s">
        <v>661</v>
      </c>
      <c r="O171" s="672"/>
      <c r="P171" s="672"/>
      <c r="T171" s="17" t="s">
        <v>439</v>
      </c>
      <c r="U171" s="17"/>
      <c r="V171" s="17"/>
      <c r="Y171" s="21" t="s">
        <v>201</v>
      </c>
      <c r="Z171" s="3">
        <v>13</v>
      </c>
      <c r="AA171" t="str">
        <f>VLOOKUP(Y171,Source!F:F,1,FALSE)</f>
        <v>UMass Amherst</v>
      </c>
    </row>
    <row r="172" spans="1:27">
      <c r="A172" s="17" t="str">
        <f t="shared" si="8"/>
        <v>UMass Boston1</v>
      </c>
      <c r="B172" s="255" t="s">
        <v>431</v>
      </c>
      <c r="C172" s="17" t="s">
        <v>260</v>
      </c>
      <c r="D172" s="20"/>
      <c r="E172" s="21" t="s">
        <v>1555</v>
      </c>
      <c r="F172" s="565">
        <v>304</v>
      </c>
      <c r="G172" s="22" t="s">
        <v>666</v>
      </c>
      <c r="H172" s="22" t="s">
        <v>460</v>
      </c>
      <c r="I172" s="22" t="s">
        <v>437</v>
      </c>
      <c r="J172" s="24">
        <v>2125</v>
      </c>
      <c r="K172" s="25"/>
      <c r="L172" s="27">
        <v>2020</v>
      </c>
      <c r="M172" s="17">
        <v>304</v>
      </c>
      <c r="N172" s="29" t="s">
        <v>661</v>
      </c>
      <c r="O172" s="17" t="s">
        <v>1618</v>
      </c>
      <c r="P172" s="17" t="s">
        <v>710</v>
      </c>
      <c r="T172" s="17" t="s">
        <v>439</v>
      </c>
      <c r="U172" s="573">
        <v>0.13350000000000001</v>
      </c>
      <c r="V172" s="570">
        <v>355515.84</v>
      </c>
      <c r="Y172" s="26" t="s">
        <v>206</v>
      </c>
      <c r="Z172" s="3">
        <v>1</v>
      </c>
      <c r="AA172" t="str">
        <f>VLOOKUP(Y172,Source!F:F,1,FALSE)</f>
        <v>UMass Boston</v>
      </c>
    </row>
    <row r="173" spans="1:27">
      <c r="A173" s="17" t="str">
        <f t="shared" si="8"/>
        <v>UMass Boston2</v>
      </c>
      <c r="B173" s="255" t="s">
        <v>431</v>
      </c>
      <c r="C173" s="17" t="s">
        <v>260</v>
      </c>
      <c r="D173" s="20"/>
      <c r="E173" s="21" t="s">
        <v>1556</v>
      </c>
      <c r="F173" s="565">
        <v>644</v>
      </c>
      <c r="G173" s="22" t="s">
        <v>666</v>
      </c>
      <c r="H173" s="22" t="s">
        <v>460</v>
      </c>
      <c r="I173" s="22" t="s">
        <v>437</v>
      </c>
      <c r="J173" s="24">
        <v>2125</v>
      </c>
      <c r="K173" s="25"/>
      <c r="L173" s="27">
        <v>2020</v>
      </c>
      <c r="M173" s="667">
        <v>644</v>
      </c>
      <c r="N173" s="17" t="s">
        <v>661</v>
      </c>
      <c r="O173" s="17" t="s">
        <v>1618</v>
      </c>
      <c r="P173" s="17" t="s">
        <v>708</v>
      </c>
      <c r="T173" s="17" t="s">
        <v>439</v>
      </c>
      <c r="U173" s="573">
        <v>0.13350000000000001</v>
      </c>
      <c r="V173" s="570">
        <v>753132.24</v>
      </c>
      <c r="Y173" s="26" t="s">
        <v>206</v>
      </c>
      <c r="Z173" s="3">
        <v>2</v>
      </c>
      <c r="AA173" t="str">
        <f>VLOOKUP(Y173,Source!F:F,1,FALSE)</f>
        <v>UMass Boston</v>
      </c>
    </row>
    <row r="174" spans="1:27">
      <c r="A174" s="17" t="str">
        <f t="shared" si="8"/>
        <v>UMass Boston3</v>
      </c>
      <c r="B174" s="176" t="s">
        <v>431</v>
      </c>
      <c r="C174" s="175" t="s">
        <v>260</v>
      </c>
      <c r="D174" s="177" t="s">
        <v>665</v>
      </c>
      <c r="E174" s="181" t="s">
        <v>2254</v>
      </c>
      <c r="F174" s="628">
        <v>73.92</v>
      </c>
      <c r="G174" s="189" t="s">
        <v>666</v>
      </c>
      <c r="H174" s="189" t="s">
        <v>460</v>
      </c>
      <c r="I174" s="189" t="s">
        <v>437</v>
      </c>
      <c r="J174" s="179">
        <v>2125</v>
      </c>
      <c r="K174" s="180">
        <v>40828</v>
      </c>
      <c r="L174" s="660">
        <v>2012</v>
      </c>
      <c r="M174" s="175">
        <v>73.92</v>
      </c>
      <c r="N174" s="190" t="s">
        <v>661</v>
      </c>
      <c r="O174" s="175" t="s">
        <v>1076</v>
      </c>
      <c r="P174" s="175" t="s">
        <v>710</v>
      </c>
      <c r="T174" s="175" t="s">
        <v>2253</v>
      </c>
      <c r="U174" s="573">
        <v>0.13350000000000001</v>
      </c>
      <c r="V174" s="678">
        <v>86446.483200000017</v>
      </c>
      <c r="Y174" s="21" t="s">
        <v>206</v>
      </c>
      <c r="Z174" s="3">
        <v>3</v>
      </c>
      <c r="AA174" t="str">
        <f>VLOOKUP(Y174,Source!F:F,1,FALSE)</f>
        <v>UMass Boston</v>
      </c>
    </row>
    <row r="175" spans="1:27">
      <c r="A175" s="17" t="str">
        <f t="shared" si="8"/>
        <v>UMass Dartmouth1</v>
      </c>
      <c r="B175" s="614" t="s">
        <v>431</v>
      </c>
      <c r="C175" s="679" t="s">
        <v>260</v>
      </c>
      <c r="D175" s="635" t="s">
        <v>667</v>
      </c>
      <c r="E175" s="685" t="s">
        <v>668</v>
      </c>
      <c r="F175" s="629">
        <v>92.4</v>
      </c>
      <c r="G175" s="689" t="s">
        <v>669</v>
      </c>
      <c r="H175" s="689" t="s">
        <v>670</v>
      </c>
      <c r="I175" s="643" t="s">
        <v>437</v>
      </c>
      <c r="J175" s="644">
        <v>2747</v>
      </c>
      <c r="K175" s="651">
        <v>40708</v>
      </c>
      <c r="L175" s="701">
        <v>2011</v>
      </c>
      <c r="M175" s="679">
        <v>92.4</v>
      </c>
      <c r="N175" s="692" t="s">
        <v>661</v>
      </c>
      <c r="O175" s="679" t="s">
        <v>1076</v>
      </c>
      <c r="P175" s="679" t="s">
        <v>710</v>
      </c>
      <c r="T175" s="679" t="s">
        <v>439</v>
      </c>
      <c r="U175" s="693">
        <v>0.13350000000000001</v>
      </c>
      <c r="V175" s="694">
        <v>108058.10400000001</v>
      </c>
      <c r="Y175" s="26" t="s">
        <v>207</v>
      </c>
      <c r="Z175" s="3">
        <v>1</v>
      </c>
      <c r="AA175" t="str">
        <f>VLOOKUP(Y175,Source!F:F,1,FALSE)</f>
        <v>UMass Dartmouth</v>
      </c>
    </row>
    <row r="176" spans="1:27">
      <c r="A176" s="17" t="str">
        <f t="shared" si="8"/>
        <v>UMass Dartmouth2</v>
      </c>
      <c r="B176" s="615" t="s">
        <v>431</v>
      </c>
      <c r="C176" s="680" t="s">
        <v>260</v>
      </c>
      <c r="D176" s="636" t="s">
        <v>671</v>
      </c>
      <c r="E176" s="684" t="s">
        <v>672</v>
      </c>
      <c r="F176" s="630">
        <v>44.1</v>
      </c>
      <c r="G176" s="688" t="s">
        <v>669</v>
      </c>
      <c r="H176" s="688" t="s">
        <v>670</v>
      </c>
      <c r="I176" s="645" t="s">
        <v>437</v>
      </c>
      <c r="J176" s="646">
        <v>2747</v>
      </c>
      <c r="K176" s="652">
        <v>40708</v>
      </c>
      <c r="L176" s="700">
        <v>2011</v>
      </c>
      <c r="M176" s="680">
        <v>44.1</v>
      </c>
      <c r="N176" s="691" t="s">
        <v>661</v>
      </c>
      <c r="O176" s="680" t="s">
        <v>1076</v>
      </c>
      <c r="P176" s="680" t="s">
        <v>710</v>
      </c>
      <c r="Q176" s="495"/>
      <c r="R176" s="495"/>
      <c r="S176" s="495"/>
      <c r="T176" s="680" t="s">
        <v>439</v>
      </c>
      <c r="U176" s="704">
        <v>0.13350000000000001</v>
      </c>
      <c r="V176" s="705">
        <v>51573.186000000002</v>
      </c>
      <c r="W176" s="495"/>
      <c r="X176" s="495"/>
      <c r="Y176" s="26" t="s">
        <v>207</v>
      </c>
      <c r="Z176" s="697">
        <v>2</v>
      </c>
      <c r="AA176" t="str">
        <f>VLOOKUP(Y176,Source!F:F,1,FALSE)</f>
        <v>UMass Dartmouth</v>
      </c>
    </row>
    <row r="177" spans="1:27">
      <c r="A177" s="17" t="str">
        <f t="shared" si="8"/>
        <v>UMass Dartmouth3</v>
      </c>
      <c r="B177" s="255" t="s">
        <v>431</v>
      </c>
      <c r="C177" s="17" t="s">
        <v>260</v>
      </c>
      <c r="D177" s="20" t="s">
        <v>673</v>
      </c>
      <c r="E177" s="21" t="s">
        <v>674</v>
      </c>
      <c r="F177" s="565">
        <v>44.1</v>
      </c>
      <c r="G177" s="22" t="s">
        <v>669</v>
      </c>
      <c r="H177" s="22" t="s">
        <v>670</v>
      </c>
      <c r="I177" s="23" t="s">
        <v>437</v>
      </c>
      <c r="J177" s="24">
        <v>2747</v>
      </c>
      <c r="K177" s="25">
        <v>40708</v>
      </c>
      <c r="L177" s="657">
        <v>2011</v>
      </c>
      <c r="M177" s="17">
        <v>44.1</v>
      </c>
      <c r="N177" s="29" t="s">
        <v>661</v>
      </c>
      <c r="O177" s="17" t="s">
        <v>1076</v>
      </c>
      <c r="P177" s="17" t="s">
        <v>710</v>
      </c>
      <c r="Q177" s="495"/>
      <c r="R177" s="495"/>
      <c r="S177" s="495"/>
      <c r="T177" s="680" t="s">
        <v>439</v>
      </c>
      <c r="U177" s="573">
        <v>0.13350000000000001</v>
      </c>
      <c r="V177" s="678">
        <v>51573.186000000002</v>
      </c>
      <c r="W177" s="495"/>
      <c r="X177" s="495"/>
      <c r="Y177" s="26" t="s">
        <v>207</v>
      </c>
      <c r="Z177" s="3">
        <v>3</v>
      </c>
      <c r="AA177" t="str">
        <f>VLOOKUP(Y177,Source!F:F,1,FALSE)</f>
        <v>UMass Dartmouth</v>
      </c>
    </row>
    <row r="178" spans="1:27">
      <c r="A178" s="17" t="str">
        <f t="shared" si="8"/>
        <v>UMass Dartmouth4</v>
      </c>
      <c r="B178" s="255" t="s">
        <v>431</v>
      </c>
      <c r="C178" s="17" t="s">
        <v>260</v>
      </c>
      <c r="D178" s="20" t="s">
        <v>675</v>
      </c>
      <c r="E178" s="21" t="s">
        <v>676</v>
      </c>
      <c r="F178" s="565">
        <v>44.1</v>
      </c>
      <c r="G178" s="22" t="s">
        <v>669</v>
      </c>
      <c r="H178" s="22" t="s">
        <v>670</v>
      </c>
      <c r="I178" s="23" t="s">
        <v>437</v>
      </c>
      <c r="J178" s="24">
        <v>2747</v>
      </c>
      <c r="K178" s="25">
        <v>40708</v>
      </c>
      <c r="L178" s="657">
        <v>2011</v>
      </c>
      <c r="M178" s="17">
        <v>44.1</v>
      </c>
      <c r="N178" s="29" t="s">
        <v>661</v>
      </c>
      <c r="O178" s="17" t="s">
        <v>1076</v>
      </c>
      <c r="P178" s="17" t="s">
        <v>710</v>
      </c>
      <c r="T178" s="17" t="s">
        <v>439</v>
      </c>
      <c r="U178" s="573">
        <v>0.13350000000000001</v>
      </c>
      <c r="V178" s="678">
        <v>51573.186000000002</v>
      </c>
      <c r="Y178" s="26" t="s">
        <v>207</v>
      </c>
      <c r="Z178" s="697">
        <v>4</v>
      </c>
      <c r="AA178" t="str">
        <f>VLOOKUP(Y178,Source!F:F,1,FALSE)</f>
        <v>UMass Dartmouth</v>
      </c>
    </row>
    <row r="179" spans="1:27">
      <c r="A179" s="17" t="str">
        <f t="shared" si="8"/>
        <v>UMass Dartmouth5</v>
      </c>
      <c r="B179" s="255" t="s">
        <v>431</v>
      </c>
      <c r="C179" s="17" t="s">
        <v>260</v>
      </c>
      <c r="D179" s="20" t="s">
        <v>677</v>
      </c>
      <c r="E179" s="21" t="s">
        <v>678</v>
      </c>
      <c r="F179" s="565">
        <v>44.1</v>
      </c>
      <c r="G179" s="22" t="s">
        <v>669</v>
      </c>
      <c r="H179" s="22" t="s">
        <v>670</v>
      </c>
      <c r="I179" s="23" t="s">
        <v>437</v>
      </c>
      <c r="J179" s="24">
        <v>2747</v>
      </c>
      <c r="K179" s="25">
        <v>40708</v>
      </c>
      <c r="L179" s="657">
        <v>2011</v>
      </c>
      <c r="M179" s="17">
        <v>44.1</v>
      </c>
      <c r="N179" s="29" t="s">
        <v>661</v>
      </c>
      <c r="O179" s="17" t="s">
        <v>1076</v>
      </c>
      <c r="P179" s="17" t="s">
        <v>710</v>
      </c>
      <c r="T179" s="17" t="s">
        <v>439</v>
      </c>
      <c r="U179" s="573">
        <v>0.13350000000000001</v>
      </c>
      <c r="V179" s="678">
        <v>51573.186000000002</v>
      </c>
      <c r="Y179" s="26" t="s">
        <v>207</v>
      </c>
      <c r="Z179" s="3">
        <v>5</v>
      </c>
      <c r="AA179" t="str">
        <f>VLOOKUP(Y179,Source!F:F,1,FALSE)</f>
        <v>UMass Dartmouth</v>
      </c>
    </row>
    <row r="180" spans="1:27">
      <c r="A180" s="17" t="str">
        <f t="shared" si="8"/>
        <v>UMass Dartmouth6</v>
      </c>
      <c r="B180" s="255" t="s">
        <v>452</v>
      </c>
      <c r="C180" s="26" t="s">
        <v>453</v>
      </c>
      <c r="D180" s="20" t="s">
        <v>679</v>
      </c>
      <c r="E180" s="26" t="s">
        <v>207</v>
      </c>
      <c r="F180" s="565">
        <v>1600</v>
      </c>
      <c r="G180" s="22" t="s">
        <v>669</v>
      </c>
      <c r="H180" s="26" t="s">
        <v>670</v>
      </c>
      <c r="I180" s="23" t="s">
        <v>437</v>
      </c>
      <c r="J180" s="24">
        <v>2747</v>
      </c>
      <c r="K180" s="25">
        <v>41426</v>
      </c>
      <c r="L180" s="27">
        <v>2013</v>
      </c>
      <c r="M180" s="571">
        <v>1600</v>
      </c>
      <c r="N180" s="29" t="s">
        <v>661</v>
      </c>
      <c r="O180" s="672"/>
      <c r="P180" s="672"/>
      <c r="T180" s="17" t="s">
        <v>439</v>
      </c>
      <c r="U180" s="17"/>
      <c r="V180" s="175"/>
      <c r="Y180" s="26" t="s">
        <v>207</v>
      </c>
      <c r="Z180" s="697">
        <v>6</v>
      </c>
      <c r="AA180" t="str">
        <f>VLOOKUP(Y180,Source!F:F,1,FALSE)</f>
        <v>UMass Dartmouth</v>
      </c>
    </row>
    <row r="181" spans="1:27">
      <c r="A181" s="17" t="str">
        <f t="shared" si="8"/>
        <v>UMass Lowell1</v>
      </c>
      <c r="B181" s="255" t="s">
        <v>431</v>
      </c>
      <c r="C181" s="17" t="s">
        <v>260</v>
      </c>
      <c r="D181" s="20" t="s">
        <v>680</v>
      </c>
      <c r="E181" s="21" t="s">
        <v>681</v>
      </c>
      <c r="F181" s="565">
        <v>46.2</v>
      </c>
      <c r="G181" s="22" t="s">
        <v>682</v>
      </c>
      <c r="H181" s="22" t="s">
        <v>683</v>
      </c>
      <c r="I181" s="22" t="s">
        <v>437</v>
      </c>
      <c r="J181" s="24">
        <v>1854</v>
      </c>
      <c r="K181" s="25">
        <v>40777</v>
      </c>
      <c r="L181" s="27">
        <v>2012</v>
      </c>
      <c r="M181" s="17">
        <v>46.2</v>
      </c>
      <c r="N181" s="29" t="s">
        <v>661</v>
      </c>
      <c r="O181" s="17" t="s">
        <v>1076</v>
      </c>
      <c r="P181" s="17" t="s">
        <v>710</v>
      </c>
      <c r="T181" s="17" t="s">
        <v>439</v>
      </c>
      <c r="U181" s="573">
        <v>0.13350000000000001</v>
      </c>
      <c r="V181" s="678">
        <v>54029.052000000003</v>
      </c>
      <c r="Y181" s="496" t="s">
        <v>212</v>
      </c>
      <c r="Z181" s="3">
        <v>1</v>
      </c>
      <c r="AA181" t="str">
        <f>VLOOKUP(Y181,Source!F:F,1,FALSE)</f>
        <v>UMass Lowell</v>
      </c>
    </row>
    <row r="182" spans="1:27">
      <c r="A182" s="17" t="str">
        <f t="shared" si="8"/>
        <v>UMass Lowell2</v>
      </c>
      <c r="B182" s="255" t="s">
        <v>431</v>
      </c>
      <c r="C182" s="17" t="s">
        <v>260</v>
      </c>
      <c r="D182" s="20" t="s">
        <v>684</v>
      </c>
      <c r="E182" s="21" t="s">
        <v>685</v>
      </c>
      <c r="F182" s="565">
        <v>70.56</v>
      </c>
      <c r="G182" s="22" t="s">
        <v>682</v>
      </c>
      <c r="H182" s="22" t="s">
        <v>683</v>
      </c>
      <c r="I182" s="22" t="s">
        <v>437</v>
      </c>
      <c r="J182" s="24">
        <v>1854</v>
      </c>
      <c r="K182" s="25">
        <v>40777</v>
      </c>
      <c r="L182" s="27">
        <v>2012</v>
      </c>
      <c r="M182" s="17">
        <v>70.56</v>
      </c>
      <c r="N182" s="29" t="s">
        <v>661</v>
      </c>
      <c r="O182" s="17" t="s">
        <v>1076</v>
      </c>
      <c r="P182" s="17" t="s">
        <v>710</v>
      </c>
      <c r="T182" s="17" t="s">
        <v>439</v>
      </c>
      <c r="U182" s="573">
        <v>0.13350000000000001</v>
      </c>
      <c r="V182" s="570">
        <v>82517.097600000008</v>
      </c>
      <c r="Y182" s="496" t="s">
        <v>212</v>
      </c>
      <c r="Z182" s="697">
        <v>2</v>
      </c>
      <c r="AA182" t="str">
        <f>VLOOKUP(Y182,Source!F:F,1,FALSE)</f>
        <v>UMass Lowell</v>
      </c>
    </row>
    <row r="183" spans="1:27">
      <c r="A183" s="17" t="str">
        <f t="shared" si="8"/>
        <v>UMass Lowell3</v>
      </c>
      <c r="B183" s="255" t="s">
        <v>431</v>
      </c>
      <c r="C183" s="17" t="s">
        <v>260</v>
      </c>
      <c r="D183" s="20" t="s">
        <v>686</v>
      </c>
      <c r="E183" s="21" t="s">
        <v>687</v>
      </c>
      <c r="F183" s="565">
        <v>83.16</v>
      </c>
      <c r="G183" s="22" t="s">
        <v>682</v>
      </c>
      <c r="H183" s="22" t="s">
        <v>683</v>
      </c>
      <c r="I183" s="22" t="s">
        <v>437</v>
      </c>
      <c r="J183" s="24">
        <v>1854</v>
      </c>
      <c r="K183" s="25">
        <v>40743</v>
      </c>
      <c r="L183" s="27">
        <v>2012</v>
      </c>
      <c r="M183" s="17">
        <v>83.16</v>
      </c>
      <c r="N183" s="29" t="s">
        <v>661</v>
      </c>
      <c r="O183" s="17" t="s">
        <v>1076</v>
      </c>
      <c r="P183" s="17" t="s">
        <v>710</v>
      </c>
      <c r="T183" s="17" t="s">
        <v>439</v>
      </c>
      <c r="U183" s="573">
        <v>0.13350000000000001</v>
      </c>
      <c r="V183" s="570">
        <v>97252.293600000005</v>
      </c>
      <c r="Y183" s="496" t="s">
        <v>212</v>
      </c>
      <c r="Z183" s="3">
        <v>3</v>
      </c>
      <c r="AA183" t="str">
        <f>VLOOKUP(Y183,Source!F:F,1,FALSE)</f>
        <v>UMass Lowell</v>
      </c>
    </row>
    <row r="184" spans="1:27">
      <c r="A184" s="17" t="str">
        <f t="shared" si="8"/>
        <v>UMass Lowell4</v>
      </c>
      <c r="B184" s="255" t="s">
        <v>431</v>
      </c>
      <c r="C184" s="17" t="s">
        <v>260</v>
      </c>
      <c r="D184" s="20" t="s">
        <v>688</v>
      </c>
      <c r="E184" s="21" t="s">
        <v>689</v>
      </c>
      <c r="F184" s="565">
        <v>46.2</v>
      </c>
      <c r="G184" s="22" t="s">
        <v>682</v>
      </c>
      <c r="H184" s="22" t="s">
        <v>683</v>
      </c>
      <c r="I184" s="22" t="s">
        <v>437</v>
      </c>
      <c r="J184" s="24">
        <v>1854</v>
      </c>
      <c r="K184" s="25">
        <v>40777</v>
      </c>
      <c r="L184" s="27">
        <v>2012</v>
      </c>
      <c r="M184" s="17">
        <v>46.2</v>
      </c>
      <c r="N184" s="29" t="s">
        <v>661</v>
      </c>
      <c r="O184" s="17" t="s">
        <v>1076</v>
      </c>
      <c r="P184" s="17" t="s">
        <v>710</v>
      </c>
      <c r="T184" s="17" t="s">
        <v>439</v>
      </c>
      <c r="U184" s="573">
        <v>0.13350000000000001</v>
      </c>
      <c r="V184" s="570">
        <v>54029.052000000003</v>
      </c>
      <c r="Y184" s="496" t="s">
        <v>212</v>
      </c>
      <c r="Z184" s="697">
        <v>4</v>
      </c>
      <c r="AA184" t="str">
        <f>VLOOKUP(Y184,Source!F:F,1,FALSE)</f>
        <v>UMass Lowell</v>
      </c>
    </row>
    <row r="185" spans="1:27">
      <c r="A185" s="17" t="str">
        <f t="shared" si="8"/>
        <v>UMass Lowell5</v>
      </c>
      <c r="B185" s="255" t="s">
        <v>431</v>
      </c>
      <c r="C185" s="17" t="s">
        <v>260</v>
      </c>
      <c r="D185" s="17"/>
      <c r="E185" s="21" t="s">
        <v>1557</v>
      </c>
      <c r="F185" s="571">
        <v>201</v>
      </c>
      <c r="G185" s="22" t="s">
        <v>682</v>
      </c>
      <c r="H185" s="22" t="s">
        <v>683</v>
      </c>
      <c r="I185" s="22" t="s">
        <v>437</v>
      </c>
      <c r="J185" s="24">
        <v>1854</v>
      </c>
      <c r="K185" s="17"/>
      <c r="L185" s="28">
        <v>2016</v>
      </c>
      <c r="M185" s="661">
        <v>200</v>
      </c>
      <c r="N185" s="29" t="s">
        <v>661</v>
      </c>
      <c r="O185" s="17" t="s">
        <v>1076</v>
      </c>
      <c r="P185" s="17" t="s">
        <v>708</v>
      </c>
      <c r="T185" s="17" t="s">
        <v>439</v>
      </c>
      <c r="U185" s="573">
        <v>0.13350000000000001</v>
      </c>
      <c r="V185" s="570">
        <v>233892</v>
      </c>
      <c r="Y185" s="496" t="s">
        <v>212</v>
      </c>
      <c r="Z185" s="3">
        <v>5</v>
      </c>
      <c r="AA185" t="str">
        <f>VLOOKUP(Y185,Source!F:F,1,FALSE)</f>
        <v>UMass Lowell</v>
      </c>
    </row>
    <row r="186" spans="1:27">
      <c r="A186" s="17" t="str">
        <f t="shared" si="8"/>
        <v>UMass Medical1</v>
      </c>
      <c r="B186" s="255" t="s">
        <v>452</v>
      </c>
      <c r="C186" s="26" t="s">
        <v>453</v>
      </c>
      <c r="D186" s="20" t="s">
        <v>690</v>
      </c>
      <c r="E186" s="21" t="s">
        <v>213</v>
      </c>
      <c r="F186" s="565">
        <v>7500</v>
      </c>
      <c r="G186" s="22" t="s">
        <v>691</v>
      </c>
      <c r="H186" s="26" t="s">
        <v>534</v>
      </c>
      <c r="I186" s="23" t="s">
        <v>437</v>
      </c>
      <c r="J186" s="24">
        <v>1655</v>
      </c>
      <c r="K186" s="25">
        <v>41091</v>
      </c>
      <c r="L186" s="27">
        <v>2012</v>
      </c>
      <c r="M186" s="571">
        <v>7500</v>
      </c>
      <c r="N186" s="29" t="s">
        <v>661</v>
      </c>
      <c r="O186" s="672"/>
      <c r="P186" s="672"/>
      <c r="T186" s="17" t="s">
        <v>439</v>
      </c>
      <c r="U186" s="17"/>
      <c r="V186" s="17"/>
      <c r="Y186" s="496" t="s">
        <v>213</v>
      </c>
      <c r="Z186" s="697">
        <v>1</v>
      </c>
      <c r="AA186" t="str">
        <f>VLOOKUP(Y186,Source!F:F,1,FALSE)</f>
        <v>UMass Medical</v>
      </c>
    </row>
    <row r="187" spans="1:27">
      <c r="A187" s="17" t="str">
        <f t="shared" si="8"/>
        <v>UMass Medical2</v>
      </c>
      <c r="B187" s="255" t="s">
        <v>452</v>
      </c>
      <c r="C187" s="26" t="s">
        <v>453</v>
      </c>
      <c r="D187" s="20" t="s">
        <v>690</v>
      </c>
      <c r="E187" s="21" t="s">
        <v>213</v>
      </c>
      <c r="F187" s="565">
        <v>10000</v>
      </c>
      <c r="G187" s="22" t="s">
        <v>691</v>
      </c>
      <c r="H187" s="26" t="s">
        <v>534</v>
      </c>
      <c r="I187" s="23" t="s">
        <v>437</v>
      </c>
      <c r="J187" s="24">
        <v>1655</v>
      </c>
      <c r="K187" s="25">
        <v>41091</v>
      </c>
      <c r="L187" s="27">
        <v>2013</v>
      </c>
      <c r="M187" s="571">
        <v>10000</v>
      </c>
      <c r="N187" s="29" t="s">
        <v>661</v>
      </c>
      <c r="O187" s="672"/>
      <c r="P187" s="672"/>
      <c r="T187" s="17" t="s">
        <v>439</v>
      </c>
      <c r="U187" s="17"/>
      <c r="V187" s="17"/>
      <c r="Y187" s="496" t="s">
        <v>213</v>
      </c>
      <c r="Z187" s="3">
        <v>2</v>
      </c>
      <c r="AA187" t="str">
        <f>VLOOKUP(Y187,Source!F:F,1,FALSE)</f>
        <v>UMass Medical</v>
      </c>
    </row>
    <row r="188" spans="1:27" hidden="1">
      <c r="A188" s="17" t="str">
        <f t="shared" si="8"/>
        <v>Westfield State University1</v>
      </c>
      <c r="B188" s="255" t="s">
        <v>431</v>
      </c>
      <c r="C188" s="17" t="s">
        <v>260</v>
      </c>
      <c r="D188" s="20" t="s">
        <v>692</v>
      </c>
      <c r="E188" s="21" t="s">
        <v>693</v>
      </c>
      <c r="F188" s="565">
        <v>37.799999999999997</v>
      </c>
      <c r="G188" s="22" t="s">
        <v>694</v>
      </c>
      <c r="H188" s="22" t="s">
        <v>695</v>
      </c>
      <c r="I188" s="23" t="s">
        <v>437</v>
      </c>
      <c r="J188" s="24">
        <v>1086</v>
      </c>
      <c r="K188" s="25">
        <v>40646</v>
      </c>
      <c r="L188" s="27">
        <v>2012</v>
      </c>
      <c r="M188" s="17">
        <v>37.799999999999997</v>
      </c>
      <c r="N188" s="26" t="s">
        <v>438</v>
      </c>
      <c r="O188" s="17" t="s">
        <v>1076</v>
      </c>
      <c r="P188" s="17" t="s">
        <v>710</v>
      </c>
      <c r="T188" s="17" t="s">
        <v>439</v>
      </c>
      <c r="U188" s="573">
        <v>0.13350000000000001</v>
      </c>
      <c r="V188" s="570">
        <v>44205.588000000003</v>
      </c>
      <c r="Y188" s="496" t="s">
        <v>218</v>
      </c>
      <c r="Z188" s="697">
        <v>1</v>
      </c>
      <c r="AA188" t="str">
        <f>VLOOKUP(Y188,Source!F:F,1,FALSE)</f>
        <v>Westfield State University</v>
      </c>
    </row>
    <row r="189" spans="1:27" hidden="1">
      <c r="A189" s="17" t="str">
        <f t="shared" si="8"/>
        <v>Westfield State University2</v>
      </c>
      <c r="B189" s="255" t="s">
        <v>431</v>
      </c>
      <c r="C189" s="17" t="s">
        <v>260</v>
      </c>
      <c r="D189" s="20" t="s">
        <v>696</v>
      </c>
      <c r="E189" s="21" t="s">
        <v>697</v>
      </c>
      <c r="F189" s="565">
        <v>73.92</v>
      </c>
      <c r="G189" s="22" t="s">
        <v>694</v>
      </c>
      <c r="H189" s="22" t="s">
        <v>695</v>
      </c>
      <c r="I189" s="23" t="s">
        <v>437</v>
      </c>
      <c r="J189" s="24">
        <v>1086</v>
      </c>
      <c r="K189" s="25">
        <v>40646</v>
      </c>
      <c r="L189" s="27">
        <v>2012</v>
      </c>
      <c r="M189" s="17">
        <v>73.92</v>
      </c>
      <c r="N189" s="26" t="s">
        <v>438</v>
      </c>
      <c r="O189" s="17" t="s">
        <v>1076</v>
      </c>
      <c r="P189" s="17" t="s">
        <v>710</v>
      </c>
      <c r="T189" s="17" t="s">
        <v>439</v>
      </c>
      <c r="U189" s="573">
        <v>0.13350000000000001</v>
      </c>
      <c r="V189" s="570">
        <v>86446.483200000017</v>
      </c>
      <c r="Y189" s="496" t="s">
        <v>218</v>
      </c>
      <c r="Z189" s="3">
        <v>2</v>
      </c>
      <c r="AA189" t="str">
        <f>VLOOKUP(Y189,Source!F:F,1,FALSE)</f>
        <v>Westfield State University</v>
      </c>
    </row>
    <row r="190" spans="1:27" hidden="1">
      <c r="A190" s="17" t="str">
        <f t="shared" si="8"/>
        <v>Worcester State University1</v>
      </c>
      <c r="B190" s="255" t="s">
        <v>431</v>
      </c>
      <c r="C190" s="17" t="s">
        <v>260</v>
      </c>
      <c r="D190" s="20" t="s">
        <v>700</v>
      </c>
      <c r="E190" s="21" t="s">
        <v>1558</v>
      </c>
      <c r="F190" s="565">
        <v>40.768000000000001</v>
      </c>
      <c r="G190" s="20" t="s">
        <v>699</v>
      </c>
      <c r="H190" s="22" t="s">
        <v>534</v>
      </c>
      <c r="I190" s="23" t="s">
        <v>437</v>
      </c>
      <c r="J190" s="24">
        <v>1602</v>
      </c>
      <c r="K190" s="25">
        <v>40820</v>
      </c>
      <c r="L190" s="27">
        <v>2012</v>
      </c>
      <c r="M190" s="17">
        <v>40.768000000000001</v>
      </c>
      <c r="N190" s="26" t="s">
        <v>438</v>
      </c>
      <c r="O190" s="17" t="s">
        <v>451</v>
      </c>
      <c r="P190" s="17" t="s">
        <v>710</v>
      </c>
      <c r="T190" s="17" t="s">
        <v>439</v>
      </c>
      <c r="U190" s="573">
        <v>0.13350000000000001</v>
      </c>
      <c r="V190" s="570">
        <v>47676.545279999998</v>
      </c>
      <c r="Y190" s="496" t="s">
        <v>220</v>
      </c>
      <c r="Z190" s="697">
        <v>1</v>
      </c>
      <c r="AA190" t="str">
        <f>VLOOKUP(Y190,Source!F:F,1,FALSE)</f>
        <v>Worcester State University</v>
      </c>
    </row>
    <row r="191" spans="1:27" hidden="1">
      <c r="A191" s="17" t="str">
        <f t="shared" si="8"/>
        <v>Worcester State University2</v>
      </c>
      <c r="B191" s="255" t="s">
        <v>452</v>
      </c>
      <c r="C191" s="26" t="s">
        <v>453</v>
      </c>
      <c r="D191" s="20" t="s">
        <v>698</v>
      </c>
      <c r="E191" s="26" t="s">
        <v>1559</v>
      </c>
      <c r="F191" s="565">
        <v>60</v>
      </c>
      <c r="G191" s="20" t="s">
        <v>699</v>
      </c>
      <c r="H191" s="26" t="s">
        <v>534</v>
      </c>
      <c r="I191" s="23" t="s">
        <v>437</v>
      </c>
      <c r="J191" s="24">
        <v>1602</v>
      </c>
      <c r="K191" s="25">
        <v>40396</v>
      </c>
      <c r="L191" s="27">
        <v>2011</v>
      </c>
      <c r="M191" s="571">
        <v>60</v>
      </c>
      <c r="N191" s="26" t="s">
        <v>438</v>
      </c>
      <c r="O191" s="672"/>
      <c r="P191" s="672"/>
      <c r="T191" s="17" t="s">
        <v>439</v>
      </c>
      <c r="U191" s="17"/>
      <c r="V191" s="17"/>
      <c r="Y191" s="496" t="s">
        <v>220</v>
      </c>
      <c r="Z191" s="3">
        <v>2</v>
      </c>
      <c r="AA191" t="str">
        <f>VLOOKUP(Y191,Source!F:F,1,FALSE)</f>
        <v>Worcester State University</v>
      </c>
    </row>
    <row r="192" spans="1:27" hidden="1">
      <c r="A192" s="17" t="str">
        <f t="shared" si="8"/>
        <v>Worcester State University3</v>
      </c>
      <c r="B192" s="255" t="s">
        <v>452</v>
      </c>
      <c r="C192" s="26" t="s">
        <v>453</v>
      </c>
      <c r="D192" s="20"/>
      <c r="E192" s="26" t="s">
        <v>1560</v>
      </c>
      <c r="F192" s="565">
        <v>60</v>
      </c>
      <c r="G192" s="20" t="s">
        <v>699</v>
      </c>
      <c r="H192" s="26" t="s">
        <v>534</v>
      </c>
      <c r="I192" s="23" t="s">
        <v>437</v>
      </c>
      <c r="J192" s="24">
        <v>1602</v>
      </c>
      <c r="K192" s="25"/>
      <c r="L192" s="27">
        <v>2014</v>
      </c>
      <c r="M192" s="571">
        <v>60</v>
      </c>
      <c r="N192" s="26" t="s">
        <v>438</v>
      </c>
      <c r="O192" s="672" t="s">
        <v>1076</v>
      </c>
      <c r="P192" s="672"/>
      <c r="T192" s="17" t="s">
        <v>439</v>
      </c>
      <c r="U192" s="17"/>
      <c r="V192" s="17"/>
      <c r="Y192" s="496" t="s">
        <v>220</v>
      </c>
      <c r="Z192" s="697">
        <v>3</v>
      </c>
      <c r="AA192" t="str">
        <f>VLOOKUP(Y192,Source!F:F,1,FALSE)</f>
        <v>Worcester State University</v>
      </c>
    </row>
    <row r="193" spans="1:27" hidden="1">
      <c r="A193" s="17" t="str">
        <f t="shared" si="8"/>
        <v>Worcester State University4</v>
      </c>
      <c r="B193" s="255" t="s">
        <v>431</v>
      </c>
      <c r="C193" s="26" t="s">
        <v>260</v>
      </c>
      <c r="D193" s="20" t="s">
        <v>701</v>
      </c>
      <c r="E193" s="26" t="s">
        <v>1648</v>
      </c>
      <c r="F193" s="565">
        <v>105.3</v>
      </c>
      <c r="G193" s="20" t="s">
        <v>699</v>
      </c>
      <c r="H193" s="26" t="s">
        <v>534</v>
      </c>
      <c r="I193" s="17" t="s">
        <v>437</v>
      </c>
      <c r="J193" s="24">
        <v>1602</v>
      </c>
      <c r="K193" s="25">
        <v>40544</v>
      </c>
      <c r="L193" s="27">
        <v>2009</v>
      </c>
      <c r="M193" s="17">
        <v>105.4</v>
      </c>
      <c r="N193" s="26" t="s">
        <v>438</v>
      </c>
      <c r="O193" s="17" t="s">
        <v>1076</v>
      </c>
      <c r="P193" s="17" t="s">
        <v>710</v>
      </c>
      <c r="T193" s="17" t="s">
        <v>439</v>
      </c>
      <c r="U193" s="573">
        <v>0.13350000000000001</v>
      </c>
      <c r="V193" s="570">
        <v>123261.084</v>
      </c>
      <c r="Y193" s="21" t="s">
        <v>220</v>
      </c>
      <c r="Z193" s="3">
        <v>4</v>
      </c>
      <c r="AA193" t="str">
        <f>VLOOKUP(Y193,Source!F:F,1,FALSE)</f>
        <v>Worcester State University</v>
      </c>
    </row>
  </sheetData>
  <autoFilter ref="A1:AA193" xr:uid="{00000000-0009-0000-0000-00000D000000}">
    <filterColumn colId="24">
      <filters>
        <filter val="Mass. Bay Transportation Authority"/>
        <filter val="Mass. College of Liberal Arts"/>
        <filter val="Mass. Emergency Management Agency"/>
        <filter val="Mass. Maritime Academy"/>
        <filter val="Mass. Water Resources Authority"/>
        <filter val="Massasoit Comm. College"/>
        <filter val="MassDEP - owned"/>
        <filter val="MassDOT - Highway &amp; Turnpike Divisions"/>
        <filter val="MassPort Authority"/>
        <filter val="UMass Amherst"/>
        <filter val="UMass Boston"/>
        <filter val="UMass Dartmouth"/>
        <filter val="UMass Lowell"/>
        <filter val="UMass Medical"/>
      </filters>
    </filterColumn>
  </autoFilter>
  <sortState xmlns:xlrd2="http://schemas.microsoft.com/office/spreadsheetml/2017/richdata2" ref="A2:AA193">
    <sortCondition ref="Y2:Y193"/>
  </sortState>
  <phoneticPr fontId="79" type="noConversion"/>
  <dataValidations count="1">
    <dataValidation type="list" allowBlank="1" showInputMessage="1" showErrorMessage="1" sqref="D184:D189 D11:D21 D25:D42 H183:H191 I188:I189 I191 H43:H45 H3:H36 I43:I52" xr:uid="{F671C6DE-5C73-4572-B05A-CF0287E7E032}"/>
  </dataValidations>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P108"/>
  <sheetViews>
    <sheetView topLeftCell="A71" zoomScale="90" zoomScaleNormal="90" workbookViewId="0">
      <selection activeCell="E10" sqref="E10:E68"/>
    </sheetView>
  </sheetViews>
  <sheetFormatPr defaultColWidth="9.140625" defaultRowHeight="15"/>
  <cols>
    <col min="1" max="1" width="34" style="3" customWidth="1"/>
    <col min="2" max="2" width="19" style="3" bestFit="1" customWidth="1"/>
    <col min="3" max="3" width="30.7109375" style="3" bestFit="1" customWidth="1"/>
    <col min="4" max="4" width="8" style="3" bestFit="1" customWidth="1"/>
    <col min="5" max="5" width="25.140625" style="3" customWidth="1"/>
    <col min="6" max="6" width="46.42578125" style="3" bestFit="1" customWidth="1"/>
    <col min="7" max="7" width="37.42578125" style="3" customWidth="1"/>
    <col min="8" max="8" width="15.42578125" style="3" customWidth="1"/>
    <col min="9" max="9" width="19.140625" style="265" customWidth="1"/>
    <col min="10" max="10" width="16.28515625" style="261" customWidth="1"/>
    <col min="11" max="11" width="16.42578125" style="3" customWidth="1"/>
    <col min="12" max="12" width="12.42578125" style="3" customWidth="1"/>
    <col min="13" max="13" width="13.140625" style="3" customWidth="1"/>
    <col min="14" max="14" width="57.85546875" style="3" customWidth="1"/>
    <col min="15" max="15" width="13.42578125" style="3" customWidth="1"/>
    <col min="16" max="16384" width="9.140625" style="3"/>
  </cols>
  <sheetData>
    <row r="1" spans="1:16" ht="90">
      <c r="A1" s="253" t="str">
        <f>E1&amp;P1</f>
        <v>Agency#</v>
      </c>
      <c r="B1" s="253" t="s">
        <v>286</v>
      </c>
      <c r="C1" s="253" t="s">
        <v>410</v>
      </c>
      <c r="D1" s="253" t="s">
        <v>420</v>
      </c>
      <c r="E1" s="253" t="s">
        <v>399</v>
      </c>
      <c r="F1" s="253" t="s">
        <v>720</v>
      </c>
      <c r="G1" s="253" t="s">
        <v>422</v>
      </c>
      <c r="H1" s="253" t="s">
        <v>721</v>
      </c>
      <c r="I1" s="264" t="s">
        <v>382</v>
      </c>
      <c r="J1" s="256" t="s">
        <v>383</v>
      </c>
      <c r="K1" s="254" t="s">
        <v>423</v>
      </c>
      <c r="L1" s="253" t="s">
        <v>426</v>
      </c>
      <c r="M1" s="253" t="s">
        <v>419</v>
      </c>
      <c r="N1" s="253" t="s">
        <v>429</v>
      </c>
      <c r="O1" s="253" t="s">
        <v>430</v>
      </c>
      <c r="P1" s="253" t="s">
        <v>400</v>
      </c>
    </row>
    <row r="2" spans="1:16" s="279" customFormat="1">
      <c r="A2" s="270" t="str">
        <f>E2&amp;P2</f>
        <v>Bristol Comm. College1</v>
      </c>
      <c r="B2" s="708" t="s">
        <v>722</v>
      </c>
      <c r="C2" s="708" t="s">
        <v>727</v>
      </c>
      <c r="D2" s="708" t="s">
        <v>438</v>
      </c>
      <c r="E2" s="708" t="s">
        <v>27</v>
      </c>
      <c r="F2" s="708" t="s">
        <v>983</v>
      </c>
      <c r="G2" s="709" t="s">
        <v>728</v>
      </c>
      <c r="H2" s="708" t="s">
        <v>456</v>
      </c>
      <c r="I2" s="713" t="s">
        <v>1659</v>
      </c>
      <c r="J2" s="263" t="s">
        <v>327</v>
      </c>
      <c r="K2" s="259"/>
      <c r="L2" s="731" t="s">
        <v>439</v>
      </c>
      <c r="M2" s="738">
        <v>2016</v>
      </c>
      <c r="N2" s="255"/>
      <c r="O2" s="255"/>
      <c r="P2" s="270">
        <v>1</v>
      </c>
    </row>
    <row r="3" spans="1:16" s="279" customFormat="1">
      <c r="A3" s="270" t="str">
        <f t="shared" ref="A3:A66" si="0">E3&amp;P3</f>
        <v>Bristol Comm. College2</v>
      </c>
      <c r="B3" s="708" t="s">
        <v>722</v>
      </c>
      <c r="C3" s="708" t="s">
        <v>729</v>
      </c>
      <c r="D3" s="708" t="s">
        <v>438</v>
      </c>
      <c r="E3" s="708" t="s">
        <v>27</v>
      </c>
      <c r="F3" s="708" t="s">
        <v>983</v>
      </c>
      <c r="G3" s="709" t="s">
        <v>728</v>
      </c>
      <c r="H3" s="708" t="s">
        <v>456</v>
      </c>
      <c r="I3" s="713" t="s">
        <v>1660</v>
      </c>
      <c r="J3" s="263" t="s">
        <v>327</v>
      </c>
      <c r="K3" s="259"/>
      <c r="L3" s="731" t="s">
        <v>439</v>
      </c>
      <c r="M3" s="738">
        <v>2016</v>
      </c>
      <c r="N3" s="281"/>
      <c r="O3" s="280"/>
      <c r="P3" s="280">
        <v>2</v>
      </c>
    </row>
    <row r="4" spans="1:16" s="279" customFormat="1">
      <c r="A4" s="270" t="str">
        <f t="shared" si="0"/>
        <v>Bristol Comm. College3</v>
      </c>
      <c r="B4" s="708" t="s">
        <v>722</v>
      </c>
      <c r="C4" s="708" t="s">
        <v>723</v>
      </c>
      <c r="D4" s="708" t="s">
        <v>438</v>
      </c>
      <c r="E4" s="708" t="s">
        <v>27</v>
      </c>
      <c r="F4" s="708" t="s">
        <v>983</v>
      </c>
      <c r="G4" s="708" t="s">
        <v>1661</v>
      </c>
      <c r="H4" s="708" t="s">
        <v>456</v>
      </c>
      <c r="I4" s="714" t="s">
        <v>1662</v>
      </c>
      <c r="J4" s="284" t="s">
        <v>1749</v>
      </c>
      <c r="K4" s="722"/>
      <c r="L4" s="731" t="s">
        <v>439</v>
      </c>
      <c r="M4" s="738">
        <v>2016</v>
      </c>
      <c r="N4" s="281"/>
      <c r="O4" s="280"/>
      <c r="P4" s="280">
        <v>3</v>
      </c>
    </row>
    <row r="5" spans="1:16" s="279" customFormat="1">
      <c r="A5" s="270" t="str">
        <f t="shared" si="0"/>
        <v>Bridgewater State University1</v>
      </c>
      <c r="B5" s="708" t="s">
        <v>722</v>
      </c>
      <c r="C5" s="709" t="s">
        <v>723</v>
      </c>
      <c r="D5" s="710" t="s">
        <v>438</v>
      </c>
      <c r="E5" s="709" t="s">
        <v>58</v>
      </c>
      <c r="F5" s="709" t="s">
        <v>58</v>
      </c>
      <c r="G5" s="709" t="s">
        <v>724</v>
      </c>
      <c r="H5" s="709" t="s">
        <v>450</v>
      </c>
      <c r="I5" s="713" t="s">
        <v>1658</v>
      </c>
      <c r="J5" s="263" t="s">
        <v>734</v>
      </c>
      <c r="K5" s="721"/>
      <c r="L5" s="731" t="s">
        <v>439</v>
      </c>
      <c r="M5" s="737">
        <v>2012</v>
      </c>
      <c r="N5" s="255"/>
      <c r="O5" s="255"/>
      <c r="P5" s="270">
        <v>1</v>
      </c>
    </row>
    <row r="6" spans="1:16" s="279" customFormat="1">
      <c r="A6" s="270" t="str">
        <f t="shared" si="0"/>
        <v>Bridgewater State University2</v>
      </c>
      <c r="B6" s="708" t="s">
        <v>722</v>
      </c>
      <c r="C6" s="708" t="s">
        <v>723</v>
      </c>
      <c r="D6" s="708" t="s">
        <v>438</v>
      </c>
      <c r="E6" s="709" t="s">
        <v>58</v>
      </c>
      <c r="F6" s="712" t="s">
        <v>58</v>
      </c>
      <c r="G6" s="712" t="s">
        <v>1735</v>
      </c>
      <c r="H6" s="712" t="s">
        <v>450</v>
      </c>
      <c r="I6" s="712"/>
      <c r="J6" s="283" t="s">
        <v>1852</v>
      </c>
      <c r="K6" s="712"/>
      <c r="L6" s="668" t="s">
        <v>439</v>
      </c>
      <c r="M6" s="735">
        <v>2022</v>
      </c>
      <c r="N6" s="255"/>
      <c r="O6" s="255"/>
      <c r="P6" s="255">
        <v>2</v>
      </c>
    </row>
    <row r="7" spans="1:16" s="279" customFormat="1">
      <c r="A7" s="270" t="str">
        <f t="shared" si="0"/>
        <v>Bridgewater State University3</v>
      </c>
      <c r="B7" s="708" t="s">
        <v>722</v>
      </c>
      <c r="C7" s="712" t="s">
        <v>723</v>
      </c>
      <c r="D7" s="708" t="s">
        <v>438</v>
      </c>
      <c r="E7" s="709" t="s">
        <v>58</v>
      </c>
      <c r="F7" s="712" t="s">
        <v>58</v>
      </c>
      <c r="G7" s="712" t="s">
        <v>1737</v>
      </c>
      <c r="H7" s="712" t="s">
        <v>450</v>
      </c>
      <c r="I7" s="712" t="s">
        <v>1738</v>
      </c>
      <c r="J7" s="263" t="s">
        <v>734</v>
      </c>
      <c r="K7" s="712"/>
      <c r="L7" s="668" t="s">
        <v>439</v>
      </c>
      <c r="M7" s="735">
        <v>2021</v>
      </c>
      <c r="N7" s="255"/>
      <c r="O7" s="255"/>
      <c r="P7" s="255">
        <v>3</v>
      </c>
    </row>
    <row r="8" spans="1:16">
      <c r="A8" s="270" t="str">
        <f t="shared" si="0"/>
        <v>Bridgewater State University4</v>
      </c>
      <c r="B8" s="712" t="s">
        <v>722</v>
      </c>
      <c r="C8" s="712" t="s">
        <v>723</v>
      </c>
      <c r="D8" s="712" t="s">
        <v>438</v>
      </c>
      <c r="E8" s="709" t="s">
        <v>58</v>
      </c>
      <c r="F8" s="712" t="s">
        <v>58</v>
      </c>
      <c r="G8" s="712" t="s">
        <v>1755</v>
      </c>
      <c r="H8" s="712" t="s">
        <v>450</v>
      </c>
      <c r="I8" s="712"/>
      <c r="J8" s="283" t="s">
        <v>1852</v>
      </c>
      <c r="K8" s="712"/>
      <c r="L8" s="668" t="s">
        <v>439</v>
      </c>
      <c r="M8" s="735">
        <v>2023</v>
      </c>
      <c r="N8" s="255"/>
      <c r="O8" s="255"/>
      <c r="P8" s="255">
        <v>4</v>
      </c>
    </row>
    <row r="9" spans="1:16">
      <c r="A9" s="270" t="str">
        <f t="shared" si="0"/>
        <v>Bridgewater State University5</v>
      </c>
      <c r="B9" s="712" t="s">
        <v>722</v>
      </c>
      <c r="C9" s="712" t="s">
        <v>723</v>
      </c>
      <c r="D9" s="712" t="s">
        <v>438</v>
      </c>
      <c r="E9" s="709" t="s">
        <v>58</v>
      </c>
      <c r="F9" s="712" t="s">
        <v>58</v>
      </c>
      <c r="G9" s="712" t="s">
        <v>1756</v>
      </c>
      <c r="H9" s="712" t="s">
        <v>450</v>
      </c>
      <c r="I9" s="712"/>
      <c r="J9" s="283" t="s">
        <v>1852</v>
      </c>
      <c r="K9" s="712"/>
      <c r="L9" s="668" t="s">
        <v>439</v>
      </c>
      <c r="M9" s="735">
        <v>2023</v>
      </c>
      <c r="N9" s="255"/>
      <c r="O9" s="255"/>
      <c r="P9" s="255">
        <v>5</v>
      </c>
    </row>
    <row r="10" spans="1:16" s="500" customFormat="1">
      <c r="A10" s="270" t="str">
        <f t="shared" si="0"/>
        <v>Dept. of Conservation and Recreation1</v>
      </c>
      <c r="B10" s="708" t="s">
        <v>722</v>
      </c>
      <c r="C10" s="708" t="s">
        <v>738</v>
      </c>
      <c r="D10" s="709" t="s">
        <v>481</v>
      </c>
      <c r="E10" s="709" t="s">
        <v>92</v>
      </c>
      <c r="F10" s="708" t="s">
        <v>1667</v>
      </c>
      <c r="G10" s="708" t="s">
        <v>1668</v>
      </c>
      <c r="H10" s="708" t="s">
        <v>534</v>
      </c>
      <c r="I10" s="715" t="s">
        <v>1669</v>
      </c>
      <c r="J10" s="283" t="s">
        <v>1852</v>
      </c>
      <c r="K10" s="723"/>
      <c r="L10" s="731" t="s">
        <v>439</v>
      </c>
      <c r="M10" s="739">
        <v>2018</v>
      </c>
      <c r="N10" s="280"/>
      <c r="O10" s="280"/>
      <c r="P10" s="280">
        <v>1</v>
      </c>
    </row>
    <row r="11" spans="1:16">
      <c r="A11" s="270" t="str">
        <f t="shared" si="0"/>
        <v>Dept. of Conservation and Recreation2</v>
      </c>
      <c r="B11" s="708" t="s">
        <v>722</v>
      </c>
      <c r="C11" s="709" t="s">
        <v>738</v>
      </c>
      <c r="D11" s="709" t="s">
        <v>481</v>
      </c>
      <c r="E11" s="709" t="s">
        <v>92</v>
      </c>
      <c r="F11" s="709" t="s">
        <v>1670</v>
      </c>
      <c r="G11" s="708" t="s">
        <v>1671</v>
      </c>
      <c r="H11" s="708" t="s">
        <v>1672</v>
      </c>
      <c r="I11" s="716" t="s">
        <v>1673</v>
      </c>
      <c r="J11" s="283" t="s">
        <v>1852</v>
      </c>
      <c r="K11" s="721">
        <v>102000</v>
      </c>
      <c r="L11" s="731" t="s">
        <v>439</v>
      </c>
      <c r="M11" s="740">
        <v>2016</v>
      </c>
      <c r="N11" s="281"/>
      <c r="O11" s="280"/>
      <c r="P11" s="280">
        <v>2</v>
      </c>
    </row>
    <row r="12" spans="1:16">
      <c r="A12" s="270" t="str">
        <f t="shared" si="0"/>
        <v>Dept. of Conservation and Recreation3</v>
      </c>
      <c r="B12" s="708" t="s">
        <v>722</v>
      </c>
      <c r="C12" s="709" t="s">
        <v>738</v>
      </c>
      <c r="D12" s="709" t="s">
        <v>481</v>
      </c>
      <c r="E12" s="709" t="s">
        <v>92</v>
      </c>
      <c r="F12" s="709" t="s">
        <v>1674</v>
      </c>
      <c r="G12" s="709" t="s">
        <v>1675</v>
      </c>
      <c r="H12" s="709" t="s">
        <v>660</v>
      </c>
      <c r="I12" s="716" t="s">
        <v>1673</v>
      </c>
      <c r="J12" s="283" t="s">
        <v>1852</v>
      </c>
      <c r="K12" s="721">
        <v>118402</v>
      </c>
      <c r="L12" s="731" t="s">
        <v>439</v>
      </c>
      <c r="M12" s="737">
        <v>2010</v>
      </c>
      <c r="N12" s="26"/>
      <c r="O12" s="255"/>
      <c r="P12" s="280">
        <v>3</v>
      </c>
    </row>
    <row r="13" spans="1:16">
      <c r="A13" s="270" t="str">
        <f t="shared" si="0"/>
        <v>Dept. of Conservation and Recreation4</v>
      </c>
      <c r="B13" s="708" t="s">
        <v>722</v>
      </c>
      <c r="C13" s="709" t="s">
        <v>738</v>
      </c>
      <c r="D13" s="709" t="s">
        <v>481</v>
      </c>
      <c r="E13" s="709" t="s">
        <v>92</v>
      </c>
      <c r="F13" s="709" t="s">
        <v>1674</v>
      </c>
      <c r="G13" s="709" t="s">
        <v>1676</v>
      </c>
      <c r="H13" s="709" t="s">
        <v>660</v>
      </c>
      <c r="I13" s="716" t="s">
        <v>1673</v>
      </c>
      <c r="J13" s="283" t="s">
        <v>1852</v>
      </c>
      <c r="K13" s="721">
        <v>111755</v>
      </c>
      <c r="L13" s="731" t="s">
        <v>439</v>
      </c>
      <c r="M13" s="737">
        <v>2010</v>
      </c>
      <c r="N13" s="26"/>
      <c r="O13" s="255"/>
      <c r="P13" s="280">
        <v>4</v>
      </c>
    </row>
    <row r="14" spans="1:16">
      <c r="A14" s="270" t="str">
        <f t="shared" si="0"/>
        <v>Dept. of Conservation and Recreation5</v>
      </c>
      <c r="B14" s="708" t="s">
        <v>722</v>
      </c>
      <c r="C14" s="708" t="s">
        <v>729</v>
      </c>
      <c r="D14" s="709" t="s">
        <v>481</v>
      </c>
      <c r="E14" s="709" t="s">
        <v>92</v>
      </c>
      <c r="F14" s="708" t="s">
        <v>1498</v>
      </c>
      <c r="G14" s="708" t="s">
        <v>1677</v>
      </c>
      <c r="H14" s="708" t="s">
        <v>1678</v>
      </c>
      <c r="I14" s="715"/>
      <c r="J14" s="283" t="s">
        <v>1852</v>
      </c>
      <c r="K14" s="722"/>
      <c r="L14" s="732" t="s">
        <v>439</v>
      </c>
      <c r="M14" s="738">
        <v>2019</v>
      </c>
      <c r="N14" s="499" t="s">
        <v>737</v>
      </c>
      <c r="O14" s="498"/>
      <c r="P14" s="280">
        <v>5</v>
      </c>
    </row>
    <row r="15" spans="1:16">
      <c r="A15" s="270" t="str">
        <f t="shared" si="0"/>
        <v>Dept. of Conservation and Recreation6</v>
      </c>
      <c r="B15" s="708" t="s">
        <v>722</v>
      </c>
      <c r="C15" s="708" t="s">
        <v>723</v>
      </c>
      <c r="D15" s="709" t="s">
        <v>481</v>
      </c>
      <c r="E15" s="709" t="s">
        <v>92</v>
      </c>
      <c r="F15" s="708" t="s">
        <v>1498</v>
      </c>
      <c r="G15" s="708" t="s">
        <v>1677</v>
      </c>
      <c r="H15" s="708" t="s">
        <v>1678</v>
      </c>
      <c r="I15" s="715"/>
      <c r="J15" s="283" t="s">
        <v>1852</v>
      </c>
      <c r="K15" s="722"/>
      <c r="L15" s="731" t="s">
        <v>439</v>
      </c>
      <c r="M15" s="732">
        <v>2019</v>
      </c>
      <c r="N15" s="26"/>
      <c r="O15" s="255"/>
      <c r="P15" s="280">
        <v>6</v>
      </c>
    </row>
    <row r="16" spans="1:16">
      <c r="A16" s="270" t="str">
        <f t="shared" si="0"/>
        <v>Dept. of Conservation and Recreation7</v>
      </c>
      <c r="B16" s="708" t="s">
        <v>722</v>
      </c>
      <c r="C16" s="709" t="s">
        <v>738</v>
      </c>
      <c r="D16" s="709" t="s">
        <v>481</v>
      </c>
      <c r="E16" s="709" t="s">
        <v>92</v>
      </c>
      <c r="F16" s="709" t="s">
        <v>1679</v>
      </c>
      <c r="G16" s="709" t="s">
        <v>1680</v>
      </c>
      <c r="H16" s="709" t="s">
        <v>1606</v>
      </c>
      <c r="I16" s="713" t="s">
        <v>1681</v>
      </c>
      <c r="J16" s="284" t="s">
        <v>1749</v>
      </c>
      <c r="K16" s="721">
        <v>480000</v>
      </c>
      <c r="L16" s="731" t="s">
        <v>439</v>
      </c>
      <c r="M16" s="737">
        <v>2009</v>
      </c>
      <c r="N16" s="258"/>
      <c r="O16" s="257"/>
      <c r="P16" s="280">
        <v>7</v>
      </c>
    </row>
    <row r="17" spans="1:16">
      <c r="A17" s="270" t="str">
        <f t="shared" si="0"/>
        <v>Dept. of Conservation and Recreation8</v>
      </c>
      <c r="B17" s="708" t="s">
        <v>722</v>
      </c>
      <c r="C17" s="709" t="s">
        <v>729</v>
      </c>
      <c r="D17" s="709" t="s">
        <v>481</v>
      </c>
      <c r="E17" s="709" t="s">
        <v>92</v>
      </c>
      <c r="F17" s="709" t="s">
        <v>1679</v>
      </c>
      <c r="G17" s="709" t="s">
        <v>1682</v>
      </c>
      <c r="H17" s="709" t="s">
        <v>1606</v>
      </c>
      <c r="I17" s="713" t="s">
        <v>1683</v>
      </c>
      <c r="J17" s="283" t="s">
        <v>1852</v>
      </c>
      <c r="K17" s="721"/>
      <c r="L17" s="731" t="s">
        <v>439</v>
      </c>
      <c r="M17" s="737">
        <v>2015</v>
      </c>
      <c r="N17" s="258"/>
      <c r="O17" s="257"/>
      <c r="P17" s="280">
        <v>8</v>
      </c>
    </row>
    <row r="18" spans="1:16">
      <c r="A18" s="270" t="str">
        <f t="shared" si="0"/>
        <v>Dept. of Conservation and Recreation9</v>
      </c>
      <c r="B18" s="708" t="s">
        <v>722</v>
      </c>
      <c r="C18" s="708" t="s">
        <v>729</v>
      </c>
      <c r="D18" s="709" t="s">
        <v>481</v>
      </c>
      <c r="E18" s="709" t="s">
        <v>92</v>
      </c>
      <c r="F18" s="708" t="s">
        <v>1684</v>
      </c>
      <c r="G18" s="708" t="s">
        <v>1685</v>
      </c>
      <c r="H18" s="708" t="s">
        <v>1686</v>
      </c>
      <c r="I18" s="715"/>
      <c r="J18" s="283" t="s">
        <v>1852</v>
      </c>
      <c r="K18" s="724"/>
      <c r="L18" s="731" t="s">
        <v>439</v>
      </c>
      <c r="M18" s="740">
        <v>2020</v>
      </c>
      <c r="N18" s="26"/>
      <c r="O18" s="255"/>
      <c r="P18" s="280">
        <v>9</v>
      </c>
    </row>
    <row r="19" spans="1:16" s="504" customFormat="1">
      <c r="A19" s="270" t="str">
        <f t="shared" si="0"/>
        <v>Dept. of Conservation and Recreation10</v>
      </c>
      <c r="B19" s="708" t="s">
        <v>722</v>
      </c>
      <c r="C19" s="708" t="s">
        <v>723</v>
      </c>
      <c r="D19" s="709" t="s">
        <v>481</v>
      </c>
      <c r="E19" s="709" t="s">
        <v>92</v>
      </c>
      <c r="F19" s="708" t="s">
        <v>1687</v>
      </c>
      <c r="G19" s="708" t="s">
        <v>1688</v>
      </c>
      <c r="H19" s="708" t="s">
        <v>534</v>
      </c>
      <c r="I19" s="715"/>
      <c r="J19" s="283" t="s">
        <v>1852</v>
      </c>
      <c r="K19" s="725"/>
      <c r="L19" s="731" t="s">
        <v>439</v>
      </c>
      <c r="M19" s="741">
        <v>2012</v>
      </c>
      <c r="N19" s="26"/>
      <c r="O19" s="255"/>
      <c r="P19" s="280">
        <v>10</v>
      </c>
    </row>
    <row r="20" spans="1:16" s="504" customFormat="1">
      <c r="A20" s="270" t="str">
        <f t="shared" si="0"/>
        <v>Dept. of Conservation and Recreation11</v>
      </c>
      <c r="B20" s="708" t="s">
        <v>722</v>
      </c>
      <c r="C20" s="708" t="s">
        <v>738</v>
      </c>
      <c r="D20" s="709" t="s">
        <v>481</v>
      </c>
      <c r="E20" s="709" t="s">
        <v>92</v>
      </c>
      <c r="F20" s="708" t="s">
        <v>1689</v>
      </c>
      <c r="G20" s="708" t="s">
        <v>1690</v>
      </c>
      <c r="H20" s="708" t="s">
        <v>514</v>
      </c>
      <c r="I20" s="715"/>
      <c r="J20" s="283" t="s">
        <v>1852</v>
      </c>
      <c r="K20" s="724"/>
      <c r="L20" s="731" t="s">
        <v>439</v>
      </c>
      <c r="M20" s="740">
        <v>2014</v>
      </c>
      <c r="N20" s="26"/>
      <c r="O20" s="255"/>
      <c r="P20" s="280">
        <v>11</v>
      </c>
    </row>
    <row r="21" spans="1:16" s="504" customFormat="1">
      <c r="A21" s="270" t="str">
        <f t="shared" si="0"/>
        <v>Dept. of Conservation and Recreation12</v>
      </c>
      <c r="B21" s="708" t="s">
        <v>722</v>
      </c>
      <c r="C21" s="708" t="s">
        <v>723</v>
      </c>
      <c r="D21" s="709" t="s">
        <v>481</v>
      </c>
      <c r="E21" s="709" t="s">
        <v>92</v>
      </c>
      <c r="F21" s="708" t="s">
        <v>1184</v>
      </c>
      <c r="G21" s="708" t="s">
        <v>1691</v>
      </c>
      <c r="H21" s="708" t="s">
        <v>489</v>
      </c>
      <c r="I21" s="715" t="s">
        <v>1692</v>
      </c>
      <c r="J21" s="252" t="s">
        <v>743</v>
      </c>
      <c r="K21" s="722"/>
      <c r="L21" s="731" t="s">
        <v>439</v>
      </c>
      <c r="M21" s="738">
        <v>2016</v>
      </c>
      <c r="N21" s="26" t="s">
        <v>744</v>
      </c>
      <c r="O21" s="255"/>
      <c r="P21" s="280">
        <v>12</v>
      </c>
    </row>
    <row r="22" spans="1:16" s="504" customFormat="1">
      <c r="A22" s="270" t="str">
        <f t="shared" si="0"/>
        <v>Dept. of Conservation and Recreation13</v>
      </c>
      <c r="B22" s="708" t="s">
        <v>722</v>
      </c>
      <c r="C22" s="708" t="s">
        <v>729</v>
      </c>
      <c r="D22" s="709" t="s">
        <v>481</v>
      </c>
      <c r="E22" s="709" t="s">
        <v>92</v>
      </c>
      <c r="F22" s="708" t="s">
        <v>1184</v>
      </c>
      <c r="G22" s="708" t="s">
        <v>1691</v>
      </c>
      <c r="H22" s="708" t="s">
        <v>489</v>
      </c>
      <c r="I22" s="715" t="s">
        <v>1693</v>
      </c>
      <c r="J22" s="283" t="s">
        <v>1852</v>
      </c>
      <c r="K22" s="722"/>
      <c r="L22" s="731" t="s">
        <v>439</v>
      </c>
      <c r="M22" s="738">
        <v>2016</v>
      </c>
      <c r="N22" s="26"/>
      <c r="O22" s="255"/>
      <c r="P22" s="280">
        <v>13</v>
      </c>
    </row>
    <row r="23" spans="1:16">
      <c r="A23" s="270" t="str">
        <f t="shared" si="0"/>
        <v>Dept. of Conservation and Recreation14</v>
      </c>
      <c r="B23" s="708" t="s">
        <v>722</v>
      </c>
      <c r="C23" s="709" t="s">
        <v>723</v>
      </c>
      <c r="D23" s="709" t="s">
        <v>481</v>
      </c>
      <c r="E23" s="709" t="s">
        <v>92</v>
      </c>
      <c r="F23" s="709" t="s">
        <v>482</v>
      </c>
      <c r="G23" s="709" t="s">
        <v>482</v>
      </c>
      <c r="H23" s="709" t="s">
        <v>1694</v>
      </c>
      <c r="I23" s="713"/>
      <c r="J23" s="503" t="s">
        <v>327</v>
      </c>
      <c r="K23" s="724"/>
      <c r="L23" s="731" t="s">
        <v>439</v>
      </c>
      <c r="M23" s="737">
        <v>2006</v>
      </c>
      <c r="N23" s="502"/>
      <c r="O23" s="501"/>
      <c r="P23" s="280">
        <v>14</v>
      </c>
    </row>
    <row r="24" spans="1:16">
      <c r="A24" s="270" t="str">
        <f t="shared" si="0"/>
        <v>Dept. of Conservation and Recreation15</v>
      </c>
      <c r="B24" s="708" t="s">
        <v>722</v>
      </c>
      <c r="C24" s="709" t="s">
        <v>738</v>
      </c>
      <c r="D24" s="709" t="s">
        <v>481</v>
      </c>
      <c r="E24" s="709" t="s">
        <v>92</v>
      </c>
      <c r="F24" s="709" t="s">
        <v>1695</v>
      </c>
      <c r="G24" s="709" t="s">
        <v>1696</v>
      </c>
      <c r="H24" s="709" t="s">
        <v>436</v>
      </c>
      <c r="I24" s="713" t="s">
        <v>1673</v>
      </c>
      <c r="J24" s="283" t="s">
        <v>1852</v>
      </c>
      <c r="K24" s="724"/>
      <c r="L24" s="731" t="s">
        <v>439</v>
      </c>
      <c r="M24" s="742">
        <v>2010</v>
      </c>
      <c r="N24" s="502"/>
      <c r="O24" s="501"/>
      <c r="P24" s="280">
        <v>15</v>
      </c>
    </row>
    <row r="25" spans="1:16">
      <c r="A25" s="270" t="str">
        <f t="shared" si="0"/>
        <v>Dept. of Conservation and Recreation16</v>
      </c>
      <c r="B25" s="712" t="s">
        <v>722</v>
      </c>
      <c r="C25" s="711" t="s">
        <v>1650</v>
      </c>
      <c r="D25" s="712" t="s">
        <v>481</v>
      </c>
      <c r="E25" s="709" t="s">
        <v>92</v>
      </c>
      <c r="F25" s="712" t="s">
        <v>1687</v>
      </c>
      <c r="G25" s="711" t="s">
        <v>1757</v>
      </c>
      <c r="H25" s="712" t="s">
        <v>1758</v>
      </c>
      <c r="I25" s="711"/>
      <c r="J25" s="283" t="s">
        <v>1852</v>
      </c>
      <c r="K25" s="730"/>
      <c r="L25" s="668" t="s">
        <v>439</v>
      </c>
      <c r="M25" s="735">
        <v>2023</v>
      </c>
      <c r="P25" s="280">
        <v>16</v>
      </c>
    </row>
    <row r="26" spans="1:16">
      <c r="A26" s="270" t="str">
        <f t="shared" si="0"/>
        <v>Dept. of Conservation and Recreation17</v>
      </c>
      <c r="B26" s="712" t="s">
        <v>722</v>
      </c>
      <c r="C26" s="711" t="s">
        <v>1650</v>
      </c>
      <c r="D26" s="712" t="s">
        <v>481</v>
      </c>
      <c r="E26" s="709" t="s">
        <v>92</v>
      </c>
      <c r="F26" s="712" t="s">
        <v>1759</v>
      </c>
      <c r="G26" s="711" t="s">
        <v>1760</v>
      </c>
      <c r="H26" s="712" t="s">
        <v>1761</v>
      </c>
      <c r="I26" s="711"/>
      <c r="J26" s="283" t="s">
        <v>1852</v>
      </c>
      <c r="K26" s="730"/>
      <c r="L26" s="668" t="s">
        <v>439</v>
      </c>
      <c r="M26" s="735">
        <v>2023</v>
      </c>
      <c r="N26" s="255"/>
      <c r="O26" s="255"/>
      <c r="P26" s="280">
        <v>17</v>
      </c>
    </row>
    <row r="27" spans="1:16">
      <c r="A27" s="270" t="str">
        <f t="shared" si="0"/>
        <v>Dept. of Conservation and Recreation18</v>
      </c>
      <c r="B27" s="712" t="s">
        <v>722</v>
      </c>
      <c r="C27" s="711" t="s">
        <v>729</v>
      </c>
      <c r="D27" s="712" t="s">
        <v>481</v>
      </c>
      <c r="E27" s="709" t="s">
        <v>92</v>
      </c>
      <c r="F27" s="712" t="s">
        <v>1762</v>
      </c>
      <c r="G27" s="711" t="s">
        <v>1763</v>
      </c>
      <c r="H27" s="712" t="s">
        <v>1764</v>
      </c>
      <c r="I27" s="711"/>
      <c r="J27" s="283" t="s">
        <v>1852</v>
      </c>
      <c r="K27" s="730"/>
      <c r="L27" s="668" t="s">
        <v>439</v>
      </c>
      <c r="M27" s="735">
        <v>2023</v>
      </c>
      <c r="N27" s="255"/>
      <c r="O27" s="255"/>
      <c r="P27" s="280">
        <v>18</v>
      </c>
    </row>
    <row r="28" spans="1:16">
      <c r="A28" s="270" t="str">
        <f t="shared" si="0"/>
        <v>Dept. of Conservation and Recreation19</v>
      </c>
      <c r="B28" s="712" t="s">
        <v>722</v>
      </c>
      <c r="C28" s="711" t="s">
        <v>1650</v>
      </c>
      <c r="D28" s="712" t="s">
        <v>481</v>
      </c>
      <c r="E28" s="709" t="s">
        <v>92</v>
      </c>
      <c r="F28" s="712" t="s">
        <v>1762</v>
      </c>
      <c r="G28" s="711" t="s">
        <v>1763</v>
      </c>
      <c r="H28" s="712" t="s">
        <v>1764</v>
      </c>
      <c r="I28" s="711"/>
      <c r="J28" s="283" t="s">
        <v>1852</v>
      </c>
      <c r="K28" s="730"/>
      <c r="L28" s="668" t="s">
        <v>439</v>
      </c>
      <c r="M28" s="735">
        <v>2023</v>
      </c>
      <c r="N28" s="255"/>
      <c r="O28" s="255"/>
      <c r="P28" s="280">
        <v>19</v>
      </c>
    </row>
    <row r="29" spans="1:16">
      <c r="A29" s="270" t="str">
        <f t="shared" si="0"/>
        <v>Dept. of Conservation and Recreation20</v>
      </c>
      <c r="B29" s="712" t="s">
        <v>722</v>
      </c>
      <c r="C29" s="711" t="s">
        <v>1650</v>
      </c>
      <c r="D29" s="712" t="s">
        <v>481</v>
      </c>
      <c r="E29" s="709" t="s">
        <v>92</v>
      </c>
      <c r="F29" s="712" t="s">
        <v>1765</v>
      </c>
      <c r="G29" s="711" t="s">
        <v>1766</v>
      </c>
      <c r="H29" s="712" t="s">
        <v>1767</v>
      </c>
      <c r="I29" s="711"/>
      <c r="J29" s="283" t="s">
        <v>1852</v>
      </c>
      <c r="K29" s="730"/>
      <c r="L29" s="668" t="s">
        <v>439</v>
      </c>
      <c r="M29" s="735">
        <v>2023</v>
      </c>
      <c r="N29" s="255"/>
      <c r="O29" s="255"/>
      <c r="P29" s="280">
        <v>20</v>
      </c>
    </row>
    <row r="30" spans="1:16">
      <c r="A30" s="270" t="str">
        <f t="shared" si="0"/>
        <v>Dept. of Conservation and Recreation21</v>
      </c>
      <c r="B30" s="712" t="s">
        <v>722</v>
      </c>
      <c r="C30" s="711" t="s">
        <v>1650</v>
      </c>
      <c r="D30" s="712" t="s">
        <v>481</v>
      </c>
      <c r="E30" s="709" t="s">
        <v>92</v>
      </c>
      <c r="F30" s="712" t="s">
        <v>1768</v>
      </c>
      <c r="G30" s="711" t="s">
        <v>1769</v>
      </c>
      <c r="H30" s="712" t="s">
        <v>1770</v>
      </c>
      <c r="I30" s="711"/>
      <c r="J30" s="283" t="s">
        <v>1852</v>
      </c>
      <c r="K30" s="730"/>
      <c r="L30" s="668" t="s">
        <v>439</v>
      </c>
      <c r="M30" s="735">
        <v>2023</v>
      </c>
      <c r="P30" s="280">
        <v>21</v>
      </c>
    </row>
    <row r="31" spans="1:16">
      <c r="A31" s="270" t="str">
        <f t="shared" si="0"/>
        <v>Dept. of Conservation and Recreation22</v>
      </c>
      <c r="B31" s="712" t="s">
        <v>722</v>
      </c>
      <c r="C31" s="711" t="s">
        <v>1650</v>
      </c>
      <c r="D31" s="712" t="s">
        <v>481</v>
      </c>
      <c r="E31" s="709" t="s">
        <v>92</v>
      </c>
      <c r="F31" s="712" t="s">
        <v>1771</v>
      </c>
      <c r="G31" s="711" t="s">
        <v>1772</v>
      </c>
      <c r="H31" s="712" t="s">
        <v>869</v>
      </c>
      <c r="I31" s="711"/>
      <c r="J31" s="748" t="s">
        <v>1852</v>
      </c>
      <c r="K31" s="730"/>
      <c r="L31" s="668" t="s">
        <v>439</v>
      </c>
      <c r="M31" s="735">
        <v>2023</v>
      </c>
      <c r="P31" s="280">
        <v>22</v>
      </c>
    </row>
    <row r="32" spans="1:16">
      <c r="A32" s="270" t="str">
        <f t="shared" si="0"/>
        <v>Dept. of Conservation and Recreation23</v>
      </c>
      <c r="B32" s="712" t="s">
        <v>722</v>
      </c>
      <c r="C32" s="711" t="s">
        <v>1650</v>
      </c>
      <c r="D32" s="712" t="s">
        <v>481</v>
      </c>
      <c r="E32" s="709" t="s">
        <v>92</v>
      </c>
      <c r="F32" s="712" t="s">
        <v>1773</v>
      </c>
      <c r="G32" s="711" t="s">
        <v>1774</v>
      </c>
      <c r="H32" s="712" t="s">
        <v>1775</v>
      </c>
      <c r="I32" s="711" t="s">
        <v>1776</v>
      </c>
      <c r="J32" s="283" t="s">
        <v>318</v>
      </c>
      <c r="K32" s="730"/>
      <c r="L32" s="668" t="s">
        <v>439</v>
      </c>
      <c r="M32" s="735">
        <v>2023</v>
      </c>
      <c r="P32" s="280">
        <v>23</v>
      </c>
    </row>
    <row r="33" spans="1:16">
      <c r="A33" s="270" t="str">
        <f t="shared" si="0"/>
        <v>Dept. of Conservation and Recreation24</v>
      </c>
      <c r="B33" s="712" t="s">
        <v>722</v>
      </c>
      <c r="C33" s="711" t="s">
        <v>1650</v>
      </c>
      <c r="D33" s="712" t="s">
        <v>481</v>
      </c>
      <c r="E33" s="709" t="s">
        <v>92</v>
      </c>
      <c r="F33" s="712" t="s">
        <v>1777</v>
      </c>
      <c r="G33" s="711" t="s">
        <v>1778</v>
      </c>
      <c r="H33" s="712" t="s">
        <v>1779</v>
      </c>
      <c r="I33" s="711" t="s">
        <v>1780</v>
      </c>
      <c r="J33" s="283" t="s">
        <v>318</v>
      </c>
      <c r="K33" s="730"/>
      <c r="L33" s="668" t="s">
        <v>439</v>
      </c>
      <c r="M33" s="735">
        <v>2023</v>
      </c>
      <c r="P33" s="280">
        <v>24</v>
      </c>
    </row>
    <row r="34" spans="1:16">
      <c r="A34" s="270" t="str">
        <f t="shared" si="0"/>
        <v>Dept. of Conservation and Recreation25</v>
      </c>
      <c r="B34" s="712" t="s">
        <v>722</v>
      </c>
      <c r="C34" s="711" t="s">
        <v>1650</v>
      </c>
      <c r="D34" s="712" t="s">
        <v>481</v>
      </c>
      <c r="E34" s="709" t="s">
        <v>92</v>
      </c>
      <c r="F34" s="712" t="s">
        <v>1781</v>
      </c>
      <c r="G34" s="711" t="s">
        <v>1782</v>
      </c>
      <c r="H34" s="712" t="s">
        <v>487</v>
      </c>
      <c r="I34" s="711"/>
      <c r="J34" s="283" t="s">
        <v>1852</v>
      </c>
      <c r="K34" s="730"/>
      <c r="L34" s="668" t="s">
        <v>439</v>
      </c>
      <c r="M34" s="735">
        <v>2023</v>
      </c>
      <c r="P34" s="280">
        <v>25</v>
      </c>
    </row>
    <row r="35" spans="1:16">
      <c r="A35" s="270" t="str">
        <f t="shared" si="0"/>
        <v>Dept. of Conservation and Recreation26</v>
      </c>
      <c r="B35" s="712" t="s">
        <v>722</v>
      </c>
      <c r="C35" s="711" t="s">
        <v>729</v>
      </c>
      <c r="D35" s="712" t="s">
        <v>481</v>
      </c>
      <c r="E35" s="709" t="s">
        <v>92</v>
      </c>
      <c r="F35" s="712" t="s">
        <v>1781</v>
      </c>
      <c r="G35" s="711" t="s">
        <v>1782</v>
      </c>
      <c r="H35" s="712" t="s">
        <v>487</v>
      </c>
      <c r="I35" s="711"/>
      <c r="J35" s="283" t="s">
        <v>1852</v>
      </c>
      <c r="K35" s="730"/>
      <c r="L35" s="668" t="s">
        <v>439</v>
      </c>
      <c r="M35" s="735">
        <v>2023</v>
      </c>
      <c r="P35" s="280">
        <v>26</v>
      </c>
    </row>
    <row r="36" spans="1:16">
      <c r="A36" s="270" t="str">
        <f t="shared" si="0"/>
        <v>Dept. of Conservation and Recreation27</v>
      </c>
      <c r="B36" s="712" t="s">
        <v>722</v>
      </c>
      <c r="C36" s="711" t="s">
        <v>729</v>
      </c>
      <c r="D36" s="712" t="s">
        <v>481</v>
      </c>
      <c r="E36" s="709" t="s">
        <v>92</v>
      </c>
      <c r="F36" s="712" t="s">
        <v>1781</v>
      </c>
      <c r="G36" s="711" t="s">
        <v>1783</v>
      </c>
      <c r="H36" s="712" t="s">
        <v>487</v>
      </c>
      <c r="I36" s="711"/>
      <c r="J36" s="283" t="s">
        <v>1852</v>
      </c>
      <c r="K36" s="730"/>
      <c r="L36" s="668" t="s">
        <v>439</v>
      </c>
      <c r="M36" s="735">
        <v>2015</v>
      </c>
      <c r="P36" s="280">
        <v>27</v>
      </c>
    </row>
    <row r="37" spans="1:16">
      <c r="A37" s="270" t="str">
        <f t="shared" si="0"/>
        <v>Dept. of Conservation and Recreation28</v>
      </c>
      <c r="B37" s="712" t="s">
        <v>722</v>
      </c>
      <c r="C37" s="711" t="s">
        <v>729</v>
      </c>
      <c r="D37" s="712" t="s">
        <v>481</v>
      </c>
      <c r="E37" s="709" t="s">
        <v>92</v>
      </c>
      <c r="F37" s="712" t="s">
        <v>1781</v>
      </c>
      <c r="G37" s="711" t="s">
        <v>1784</v>
      </c>
      <c r="H37" s="712" t="s">
        <v>487</v>
      </c>
      <c r="I37" s="711" t="s">
        <v>1785</v>
      </c>
      <c r="J37" s="263" t="s">
        <v>327</v>
      </c>
      <c r="K37" s="730"/>
      <c r="L37" s="668" t="s">
        <v>439</v>
      </c>
      <c r="M37" s="735">
        <v>2023</v>
      </c>
      <c r="P37" s="280">
        <v>28</v>
      </c>
    </row>
    <row r="38" spans="1:16">
      <c r="A38" s="270" t="str">
        <f t="shared" si="0"/>
        <v>Dept. of Conservation and Recreation29</v>
      </c>
      <c r="B38" s="712" t="s">
        <v>722</v>
      </c>
      <c r="C38" s="711" t="s">
        <v>729</v>
      </c>
      <c r="D38" s="712" t="s">
        <v>481</v>
      </c>
      <c r="E38" s="709" t="s">
        <v>92</v>
      </c>
      <c r="F38" s="712" t="s">
        <v>1781</v>
      </c>
      <c r="G38" s="711" t="s">
        <v>1786</v>
      </c>
      <c r="H38" s="712" t="s">
        <v>487</v>
      </c>
      <c r="I38" s="711" t="s">
        <v>1787</v>
      </c>
      <c r="J38" s="263" t="s">
        <v>327</v>
      </c>
      <c r="K38" s="730"/>
      <c r="L38" s="668" t="s">
        <v>439</v>
      </c>
      <c r="M38" s="735">
        <v>2023</v>
      </c>
      <c r="P38" s="280">
        <v>29</v>
      </c>
    </row>
    <row r="39" spans="1:16">
      <c r="A39" s="270" t="str">
        <f t="shared" si="0"/>
        <v>Dept. of Conservation and Recreation30</v>
      </c>
      <c r="B39" s="712" t="s">
        <v>722</v>
      </c>
      <c r="C39" s="711" t="s">
        <v>729</v>
      </c>
      <c r="D39" s="712" t="s">
        <v>481</v>
      </c>
      <c r="E39" s="709" t="s">
        <v>92</v>
      </c>
      <c r="F39" s="712" t="s">
        <v>1781</v>
      </c>
      <c r="G39" s="711" t="s">
        <v>1788</v>
      </c>
      <c r="H39" s="712" t="s">
        <v>487</v>
      </c>
      <c r="I39" s="711" t="s">
        <v>1789</v>
      </c>
      <c r="J39" s="284" t="s">
        <v>1749</v>
      </c>
      <c r="K39" s="730"/>
      <c r="L39" s="668" t="s">
        <v>439</v>
      </c>
      <c r="M39" s="735">
        <v>2023</v>
      </c>
      <c r="P39" s="280">
        <v>30</v>
      </c>
    </row>
    <row r="40" spans="1:16">
      <c r="A40" s="270" t="str">
        <f t="shared" si="0"/>
        <v>Dept. of Conservation and Recreation31</v>
      </c>
      <c r="B40" s="712" t="s">
        <v>722</v>
      </c>
      <c r="C40" s="711" t="s">
        <v>729</v>
      </c>
      <c r="D40" s="712" t="s">
        <v>481</v>
      </c>
      <c r="E40" s="709" t="s">
        <v>92</v>
      </c>
      <c r="F40" s="712" t="s">
        <v>1781</v>
      </c>
      <c r="G40" s="711" t="s">
        <v>1790</v>
      </c>
      <c r="H40" s="712" t="s">
        <v>487</v>
      </c>
      <c r="I40" s="711" t="s">
        <v>1789</v>
      </c>
      <c r="J40" s="284" t="s">
        <v>1749</v>
      </c>
      <c r="K40" s="730"/>
      <c r="L40" s="668" t="s">
        <v>439</v>
      </c>
      <c r="M40" s="735">
        <v>2023</v>
      </c>
      <c r="P40" s="280">
        <v>31</v>
      </c>
    </row>
    <row r="41" spans="1:16">
      <c r="A41" s="270" t="str">
        <f t="shared" si="0"/>
        <v>Dept. of Conservation and Recreation32</v>
      </c>
      <c r="B41" s="712" t="s">
        <v>722</v>
      </c>
      <c r="C41" s="711" t="s">
        <v>729</v>
      </c>
      <c r="D41" s="712" t="s">
        <v>481</v>
      </c>
      <c r="E41" s="709" t="s">
        <v>92</v>
      </c>
      <c r="F41" s="712" t="s">
        <v>1781</v>
      </c>
      <c r="G41" s="711" t="s">
        <v>1791</v>
      </c>
      <c r="H41" s="712" t="s">
        <v>487</v>
      </c>
      <c r="I41" s="711"/>
      <c r="J41" s="283" t="s">
        <v>1852</v>
      </c>
      <c r="K41" s="730"/>
      <c r="L41" s="668" t="s">
        <v>439</v>
      </c>
      <c r="M41" s="735">
        <v>2023</v>
      </c>
      <c r="P41" s="280">
        <v>32</v>
      </c>
    </row>
    <row r="42" spans="1:16">
      <c r="A42" s="270" t="str">
        <f t="shared" si="0"/>
        <v>Dept. of Conservation and Recreation33</v>
      </c>
      <c r="B42" s="712" t="s">
        <v>722</v>
      </c>
      <c r="C42" s="711" t="s">
        <v>729</v>
      </c>
      <c r="D42" s="712" t="s">
        <v>481</v>
      </c>
      <c r="E42" s="709" t="s">
        <v>92</v>
      </c>
      <c r="F42" s="712" t="s">
        <v>1792</v>
      </c>
      <c r="G42" s="711" t="s">
        <v>1793</v>
      </c>
      <c r="H42" s="712" t="s">
        <v>1794</v>
      </c>
      <c r="I42" s="712" t="s">
        <v>1742</v>
      </c>
      <c r="J42" s="263" t="s">
        <v>327</v>
      </c>
      <c r="K42" s="730"/>
      <c r="L42" s="668" t="s">
        <v>439</v>
      </c>
      <c r="M42" s="735">
        <v>2023</v>
      </c>
      <c r="P42" s="280">
        <v>33</v>
      </c>
    </row>
    <row r="43" spans="1:16">
      <c r="A43" s="270" t="str">
        <f t="shared" si="0"/>
        <v>Dept. of Conservation and Recreation34</v>
      </c>
      <c r="B43" s="712" t="s">
        <v>722</v>
      </c>
      <c r="C43" s="711" t="s">
        <v>729</v>
      </c>
      <c r="D43" s="712" t="s">
        <v>481</v>
      </c>
      <c r="E43" s="709" t="s">
        <v>92</v>
      </c>
      <c r="F43" s="712" t="s">
        <v>1795</v>
      </c>
      <c r="G43" s="711" t="s">
        <v>1796</v>
      </c>
      <c r="H43" s="712" t="s">
        <v>1672</v>
      </c>
      <c r="I43" s="712" t="s">
        <v>1797</v>
      </c>
      <c r="J43" s="284" t="s">
        <v>1749</v>
      </c>
      <c r="K43" s="730"/>
      <c r="L43" s="668" t="s">
        <v>439</v>
      </c>
      <c r="M43" s="735">
        <v>2023</v>
      </c>
      <c r="P43" s="280">
        <v>34</v>
      </c>
    </row>
    <row r="44" spans="1:16">
      <c r="A44" s="270" t="str">
        <f t="shared" si="0"/>
        <v>Dept. of Conservation and Recreation35</v>
      </c>
      <c r="B44" s="712" t="s">
        <v>722</v>
      </c>
      <c r="C44" s="711" t="s">
        <v>729</v>
      </c>
      <c r="D44" s="712" t="s">
        <v>481</v>
      </c>
      <c r="E44" s="709" t="s">
        <v>92</v>
      </c>
      <c r="F44" s="712" t="s">
        <v>1670</v>
      </c>
      <c r="G44" s="711" t="s">
        <v>1798</v>
      </c>
      <c r="H44" s="712" t="s">
        <v>1672</v>
      </c>
      <c r="I44" s="711" t="s">
        <v>1799</v>
      </c>
      <c r="J44" s="284" t="s">
        <v>1749</v>
      </c>
      <c r="K44" s="730"/>
      <c r="L44" s="668" t="s">
        <v>439</v>
      </c>
      <c r="M44" s="735">
        <v>2023</v>
      </c>
      <c r="P44" s="280">
        <v>35</v>
      </c>
    </row>
    <row r="45" spans="1:16">
      <c r="A45" s="270" t="str">
        <f t="shared" si="0"/>
        <v>Dept. of Conservation and Recreation36</v>
      </c>
      <c r="B45" s="712" t="s">
        <v>722</v>
      </c>
      <c r="C45" s="711" t="s">
        <v>729</v>
      </c>
      <c r="D45" s="712" t="s">
        <v>481</v>
      </c>
      <c r="E45" s="709" t="s">
        <v>92</v>
      </c>
      <c r="F45" s="712" t="s">
        <v>1800</v>
      </c>
      <c r="G45" s="711" t="s">
        <v>1801</v>
      </c>
      <c r="H45" s="712" t="s">
        <v>460</v>
      </c>
      <c r="I45" s="712" t="s">
        <v>1802</v>
      </c>
      <c r="J45" s="263" t="s">
        <v>327</v>
      </c>
      <c r="K45" s="730"/>
      <c r="L45" s="668" t="s">
        <v>439</v>
      </c>
      <c r="M45" s="735">
        <v>2023</v>
      </c>
      <c r="P45" s="280">
        <v>36</v>
      </c>
    </row>
    <row r="46" spans="1:16">
      <c r="A46" s="270" t="str">
        <f t="shared" si="0"/>
        <v>Dept. of Conservation and Recreation37</v>
      </c>
      <c r="B46" s="712" t="s">
        <v>722</v>
      </c>
      <c r="C46" s="711" t="s">
        <v>729</v>
      </c>
      <c r="D46" s="712" t="s">
        <v>481</v>
      </c>
      <c r="E46" s="709" t="s">
        <v>92</v>
      </c>
      <c r="F46" s="712" t="s">
        <v>1803</v>
      </c>
      <c r="G46" s="711" t="s">
        <v>1804</v>
      </c>
      <c r="H46" s="712" t="s">
        <v>576</v>
      </c>
      <c r="I46" s="711"/>
      <c r="J46" s="283" t="s">
        <v>1852</v>
      </c>
      <c r="K46" s="730"/>
      <c r="L46" s="668" t="s">
        <v>439</v>
      </c>
      <c r="M46" s="735">
        <v>2023</v>
      </c>
      <c r="P46" s="280">
        <v>37</v>
      </c>
    </row>
    <row r="47" spans="1:16">
      <c r="A47" s="270" t="str">
        <f t="shared" si="0"/>
        <v>Dept. of Conservation and Recreation38</v>
      </c>
      <c r="B47" s="712" t="s">
        <v>722</v>
      </c>
      <c r="C47" s="711" t="s">
        <v>729</v>
      </c>
      <c r="D47" s="712" t="s">
        <v>481</v>
      </c>
      <c r="E47" s="709" t="s">
        <v>92</v>
      </c>
      <c r="F47" s="712" t="s">
        <v>1805</v>
      </c>
      <c r="G47" s="711" t="s">
        <v>1806</v>
      </c>
      <c r="H47" s="712" t="s">
        <v>695</v>
      </c>
      <c r="I47" s="711"/>
      <c r="J47" s="283" t="s">
        <v>1852</v>
      </c>
      <c r="K47" s="730"/>
      <c r="L47" s="668" t="s">
        <v>439</v>
      </c>
      <c r="M47" s="735">
        <v>2023</v>
      </c>
      <c r="P47" s="280">
        <v>38</v>
      </c>
    </row>
    <row r="48" spans="1:16">
      <c r="A48" s="270" t="str">
        <f t="shared" si="0"/>
        <v>Dept. of Conservation and Recreation39</v>
      </c>
      <c r="B48" s="712" t="s">
        <v>722</v>
      </c>
      <c r="C48" s="711" t="s">
        <v>729</v>
      </c>
      <c r="D48" s="712" t="s">
        <v>481</v>
      </c>
      <c r="E48" s="709" t="s">
        <v>92</v>
      </c>
      <c r="F48" s="712" t="s">
        <v>1807</v>
      </c>
      <c r="G48" s="711" t="s">
        <v>1808</v>
      </c>
      <c r="H48" s="712" t="s">
        <v>1809</v>
      </c>
      <c r="I48" s="712" t="s">
        <v>1742</v>
      </c>
      <c r="J48" s="263" t="s">
        <v>327</v>
      </c>
      <c r="K48" s="730"/>
      <c r="L48" s="668" t="s">
        <v>439</v>
      </c>
      <c r="M48" s="735">
        <v>2023</v>
      </c>
      <c r="P48" s="280">
        <v>39</v>
      </c>
    </row>
    <row r="49" spans="1:16">
      <c r="A49" s="270" t="str">
        <f t="shared" si="0"/>
        <v>Dept. of Conservation and Recreation40</v>
      </c>
      <c r="B49" s="712" t="s">
        <v>722</v>
      </c>
      <c r="C49" s="711" t="s">
        <v>729</v>
      </c>
      <c r="D49" s="712" t="s">
        <v>481</v>
      </c>
      <c r="E49" s="709" t="s">
        <v>92</v>
      </c>
      <c r="F49" s="712" t="s">
        <v>1807</v>
      </c>
      <c r="G49" s="711" t="s">
        <v>1810</v>
      </c>
      <c r="H49" s="712" t="s">
        <v>1809</v>
      </c>
      <c r="I49" s="712" t="s">
        <v>1742</v>
      </c>
      <c r="J49" s="263" t="s">
        <v>327</v>
      </c>
      <c r="K49" s="730"/>
      <c r="L49" s="668" t="s">
        <v>439</v>
      </c>
      <c r="M49" s="735">
        <v>2023</v>
      </c>
      <c r="P49" s="280">
        <v>40</v>
      </c>
    </row>
    <row r="50" spans="1:16">
      <c r="A50" s="270" t="str">
        <f t="shared" si="0"/>
        <v>Dept. of Conservation and Recreation41</v>
      </c>
      <c r="B50" s="712" t="s">
        <v>722</v>
      </c>
      <c r="C50" s="711" t="s">
        <v>729</v>
      </c>
      <c r="D50" s="712" t="s">
        <v>481</v>
      </c>
      <c r="E50" s="709" t="s">
        <v>92</v>
      </c>
      <c r="F50" s="712" t="s">
        <v>1811</v>
      </c>
      <c r="G50" s="711" t="s">
        <v>1812</v>
      </c>
      <c r="H50" s="712" t="s">
        <v>707</v>
      </c>
      <c r="I50" s="711"/>
      <c r="J50" s="748" t="s">
        <v>1852</v>
      </c>
      <c r="K50" s="730"/>
      <c r="L50" s="668" t="s">
        <v>439</v>
      </c>
      <c r="M50" s="735">
        <v>2023</v>
      </c>
      <c r="P50" s="280">
        <v>41</v>
      </c>
    </row>
    <row r="51" spans="1:16">
      <c r="A51" s="270" t="str">
        <f t="shared" si="0"/>
        <v>Dept. of Conservation and Recreation42</v>
      </c>
      <c r="B51" s="712" t="s">
        <v>722</v>
      </c>
      <c r="C51" s="711" t="s">
        <v>729</v>
      </c>
      <c r="D51" s="712" t="s">
        <v>481</v>
      </c>
      <c r="E51" s="709" t="s">
        <v>92</v>
      </c>
      <c r="F51" s="712" t="s">
        <v>1813</v>
      </c>
      <c r="G51" s="711" t="s">
        <v>1814</v>
      </c>
      <c r="H51" s="712" t="s">
        <v>757</v>
      </c>
      <c r="I51" s="712" t="s">
        <v>1742</v>
      </c>
      <c r="J51" s="263" t="s">
        <v>327</v>
      </c>
      <c r="K51" s="730"/>
      <c r="L51" s="668" t="s">
        <v>439</v>
      </c>
      <c r="M51" s="735">
        <v>2023</v>
      </c>
      <c r="P51" s="280">
        <v>42</v>
      </c>
    </row>
    <row r="52" spans="1:16">
      <c r="A52" s="270" t="str">
        <f t="shared" si="0"/>
        <v>Dept. of Conservation and Recreation43</v>
      </c>
      <c r="B52" s="712" t="s">
        <v>722</v>
      </c>
      <c r="C52" s="711" t="s">
        <v>729</v>
      </c>
      <c r="D52" s="712" t="s">
        <v>481</v>
      </c>
      <c r="E52" s="709" t="s">
        <v>92</v>
      </c>
      <c r="F52" s="712" t="s">
        <v>1815</v>
      </c>
      <c r="G52" s="711" t="s">
        <v>1816</v>
      </c>
      <c r="H52" s="712" t="s">
        <v>1817</v>
      </c>
      <c r="I52" s="711"/>
      <c r="J52" s="283" t="s">
        <v>1852</v>
      </c>
      <c r="K52" s="730"/>
      <c r="L52" s="668" t="s">
        <v>439</v>
      </c>
      <c r="M52" s="735">
        <v>2023</v>
      </c>
      <c r="P52" s="280">
        <v>43</v>
      </c>
    </row>
    <row r="53" spans="1:16">
      <c r="A53" s="270" t="str">
        <f t="shared" si="0"/>
        <v>Dept. of Conservation and Recreation44</v>
      </c>
      <c r="B53" s="712" t="s">
        <v>722</v>
      </c>
      <c r="C53" s="711" t="s">
        <v>729</v>
      </c>
      <c r="D53" s="712" t="s">
        <v>481</v>
      </c>
      <c r="E53" s="709" t="s">
        <v>92</v>
      </c>
      <c r="F53" s="712" t="s">
        <v>1815</v>
      </c>
      <c r="G53" s="711" t="s">
        <v>1818</v>
      </c>
      <c r="H53" s="712" t="s">
        <v>1817</v>
      </c>
      <c r="I53" s="711"/>
      <c r="J53" s="283" t="s">
        <v>1852</v>
      </c>
      <c r="K53" s="730"/>
      <c r="L53" s="668" t="s">
        <v>439</v>
      </c>
      <c r="M53" s="735">
        <v>2023</v>
      </c>
      <c r="P53" s="280">
        <v>44</v>
      </c>
    </row>
    <row r="54" spans="1:16">
      <c r="A54" s="270" t="str">
        <f t="shared" si="0"/>
        <v>Dept. of Conservation and Recreation45</v>
      </c>
      <c r="B54" s="712" t="s">
        <v>722</v>
      </c>
      <c r="C54" s="711" t="s">
        <v>729</v>
      </c>
      <c r="D54" s="712" t="s">
        <v>481</v>
      </c>
      <c r="E54" s="709" t="s">
        <v>92</v>
      </c>
      <c r="F54" s="712" t="s">
        <v>1819</v>
      </c>
      <c r="G54" s="711" t="s">
        <v>1820</v>
      </c>
      <c r="H54" s="712" t="s">
        <v>1821</v>
      </c>
      <c r="I54" s="712" t="s">
        <v>1802</v>
      </c>
      <c r="J54" s="263" t="s">
        <v>327</v>
      </c>
      <c r="K54" s="730"/>
      <c r="L54" s="668" t="s">
        <v>439</v>
      </c>
      <c r="M54" s="735">
        <v>2023</v>
      </c>
      <c r="P54" s="280">
        <v>45</v>
      </c>
    </row>
    <row r="55" spans="1:16">
      <c r="A55" s="270" t="str">
        <f t="shared" si="0"/>
        <v>Dept. of Conservation and Recreation46</v>
      </c>
      <c r="B55" s="712" t="s">
        <v>722</v>
      </c>
      <c r="C55" s="711" t="s">
        <v>729</v>
      </c>
      <c r="D55" s="712" t="s">
        <v>481</v>
      </c>
      <c r="E55" s="709" t="s">
        <v>92</v>
      </c>
      <c r="F55" s="712" t="s">
        <v>1819</v>
      </c>
      <c r="G55" s="711" t="s">
        <v>1822</v>
      </c>
      <c r="H55" s="712" t="s">
        <v>1821</v>
      </c>
      <c r="I55" s="712" t="s">
        <v>1742</v>
      </c>
      <c r="J55" s="263" t="s">
        <v>327</v>
      </c>
      <c r="K55" s="730"/>
      <c r="L55" s="668" t="s">
        <v>439</v>
      </c>
      <c r="M55" s="735">
        <v>2023</v>
      </c>
      <c r="P55" s="280">
        <v>46</v>
      </c>
    </row>
    <row r="56" spans="1:16">
      <c r="A56" s="270" t="str">
        <f t="shared" si="0"/>
        <v>Dept. of Conservation and Recreation47</v>
      </c>
      <c r="B56" s="712" t="s">
        <v>722</v>
      </c>
      <c r="C56" s="711" t="s">
        <v>729</v>
      </c>
      <c r="D56" s="712" t="s">
        <v>481</v>
      </c>
      <c r="E56" s="709" t="s">
        <v>92</v>
      </c>
      <c r="F56" s="712" t="s">
        <v>1823</v>
      </c>
      <c r="G56" s="711" t="s">
        <v>1824</v>
      </c>
      <c r="H56" s="712" t="s">
        <v>1748</v>
      </c>
      <c r="I56" s="712" t="s">
        <v>1825</v>
      </c>
      <c r="J56" s="284" t="s">
        <v>1749</v>
      </c>
      <c r="K56" s="730"/>
      <c r="L56" s="668" t="s">
        <v>439</v>
      </c>
      <c r="M56" s="735">
        <v>2020</v>
      </c>
      <c r="P56" s="280">
        <v>47</v>
      </c>
    </row>
    <row r="57" spans="1:16">
      <c r="A57" s="270" t="str">
        <f t="shared" si="0"/>
        <v>Dept. of Conservation and Recreation48</v>
      </c>
      <c r="B57" s="712" t="s">
        <v>722</v>
      </c>
      <c r="C57" s="711" t="s">
        <v>729</v>
      </c>
      <c r="D57" s="712" t="s">
        <v>481</v>
      </c>
      <c r="E57" s="709" t="s">
        <v>92</v>
      </c>
      <c r="F57" s="712" t="s">
        <v>1826</v>
      </c>
      <c r="G57" s="711" t="s">
        <v>1827</v>
      </c>
      <c r="H57" s="712" t="s">
        <v>460</v>
      </c>
      <c r="I57" s="712" t="s">
        <v>1802</v>
      </c>
      <c r="J57" s="263" t="s">
        <v>327</v>
      </c>
      <c r="K57" s="730"/>
      <c r="L57" s="668" t="s">
        <v>439</v>
      </c>
      <c r="M57" s="735">
        <v>2023</v>
      </c>
      <c r="P57" s="280">
        <v>48</v>
      </c>
    </row>
    <row r="58" spans="1:16">
      <c r="A58" s="270" t="str">
        <f t="shared" si="0"/>
        <v>Dept. of Conservation and Recreation49</v>
      </c>
      <c r="B58" s="712" t="s">
        <v>722</v>
      </c>
      <c r="C58" s="711" t="s">
        <v>729</v>
      </c>
      <c r="D58" s="712" t="s">
        <v>481</v>
      </c>
      <c r="E58" s="709" t="s">
        <v>92</v>
      </c>
      <c r="F58" s="712" t="s">
        <v>1828</v>
      </c>
      <c r="G58" s="711" t="s">
        <v>1829</v>
      </c>
      <c r="H58" s="712" t="s">
        <v>538</v>
      </c>
      <c r="I58" s="711"/>
      <c r="J58" s="283" t="s">
        <v>1852</v>
      </c>
      <c r="K58" s="730"/>
      <c r="L58" s="668" t="s">
        <v>439</v>
      </c>
      <c r="M58" s="735">
        <v>2017</v>
      </c>
      <c r="P58" s="280">
        <v>49</v>
      </c>
    </row>
    <row r="59" spans="1:16">
      <c r="A59" s="270" t="str">
        <f t="shared" si="0"/>
        <v>Dept. of Conservation and Recreation50</v>
      </c>
      <c r="B59" s="712" t="s">
        <v>722</v>
      </c>
      <c r="C59" s="711" t="s">
        <v>729</v>
      </c>
      <c r="D59" s="712" t="s">
        <v>481</v>
      </c>
      <c r="E59" s="709" t="s">
        <v>92</v>
      </c>
      <c r="F59" s="712" t="s">
        <v>1828</v>
      </c>
      <c r="G59" s="711" t="s">
        <v>1829</v>
      </c>
      <c r="H59" s="712" t="s">
        <v>538</v>
      </c>
      <c r="I59" s="711"/>
      <c r="J59" s="283" t="s">
        <v>1852</v>
      </c>
      <c r="K59" s="730"/>
      <c r="L59" s="668" t="s">
        <v>439</v>
      </c>
      <c r="M59" s="735">
        <v>2022</v>
      </c>
      <c r="P59" s="280">
        <v>50</v>
      </c>
    </row>
    <row r="60" spans="1:16">
      <c r="A60" s="270" t="str">
        <f t="shared" si="0"/>
        <v>Dept. of Conservation and Recreation51</v>
      </c>
      <c r="B60" s="712" t="s">
        <v>722</v>
      </c>
      <c r="C60" s="711" t="s">
        <v>729</v>
      </c>
      <c r="D60" s="712" t="s">
        <v>481</v>
      </c>
      <c r="E60" s="709" t="s">
        <v>92</v>
      </c>
      <c r="F60" s="712" t="s">
        <v>1830</v>
      </c>
      <c r="G60" s="711" t="s">
        <v>1831</v>
      </c>
      <c r="H60" s="712" t="s">
        <v>1832</v>
      </c>
      <c r="I60" s="711"/>
      <c r="J60" s="283" t="s">
        <v>1852</v>
      </c>
      <c r="K60" s="730"/>
      <c r="L60" s="668" t="s">
        <v>439</v>
      </c>
      <c r="M60" s="735">
        <v>2021</v>
      </c>
      <c r="P60" s="280">
        <v>51</v>
      </c>
    </row>
    <row r="61" spans="1:16">
      <c r="A61" s="270" t="str">
        <f t="shared" si="0"/>
        <v>Dept. of Conservation and Recreation52</v>
      </c>
      <c r="B61" s="712" t="s">
        <v>722</v>
      </c>
      <c r="C61" s="711" t="s">
        <v>729</v>
      </c>
      <c r="D61" s="712" t="s">
        <v>481</v>
      </c>
      <c r="E61" s="709" t="s">
        <v>92</v>
      </c>
      <c r="F61" s="712" t="s">
        <v>1833</v>
      </c>
      <c r="G61" s="711" t="s">
        <v>1834</v>
      </c>
      <c r="H61" s="712" t="s">
        <v>1835</v>
      </c>
      <c r="I61" s="711"/>
      <c r="J61" s="283" t="s">
        <v>1852</v>
      </c>
      <c r="K61" s="730"/>
      <c r="L61" s="668" t="s">
        <v>439</v>
      </c>
      <c r="M61" s="735">
        <v>2023</v>
      </c>
      <c r="P61" s="280">
        <v>52</v>
      </c>
    </row>
    <row r="62" spans="1:16">
      <c r="A62" s="270" t="str">
        <f t="shared" si="0"/>
        <v>Dept. of Conservation and Recreation53</v>
      </c>
      <c r="B62" s="712" t="s">
        <v>722</v>
      </c>
      <c r="C62" s="711" t="s">
        <v>729</v>
      </c>
      <c r="D62" s="712" t="s">
        <v>481</v>
      </c>
      <c r="E62" s="709" t="s">
        <v>92</v>
      </c>
      <c r="F62" s="712" t="s">
        <v>1836</v>
      </c>
      <c r="G62" s="711" t="s">
        <v>1837</v>
      </c>
      <c r="H62" s="712" t="s">
        <v>1838</v>
      </c>
      <c r="I62" s="711"/>
      <c r="J62" s="283" t="s">
        <v>1852</v>
      </c>
      <c r="K62" s="730"/>
      <c r="L62" s="668" t="s">
        <v>439</v>
      </c>
      <c r="M62" s="735">
        <v>2023</v>
      </c>
      <c r="P62" s="280">
        <v>53</v>
      </c>
    </row>
    <row r="63" spans="1:16">
      <c r="A63" s="270" t="str">
        <f t="shared" si="0"/>
        <v>Dept. of Conservation and Recreation54</v>
      </c>
      <c r="B63" s="712" t="s">
        <v>722</v>
      </c>
      <c r="C63" s="711" t="s">
        <v>729</v>
      </c>
      <c r="D63" s="712" t="s">
        <v>481</v>
      </c>
      <c r="E63" s="709" t="s">
        <v>92</v>
      </c>
      <c r="F63" s="712" t="s">
        <v>1839</v>
      </c>
      <c r="G63" s="711" t="s">
        <v>1840</v>
      </c>
      <c r="H63" s="712" t="s">
        <v>705</v>
      </c>
      <c r="I63" s="712"/>
      <c r="J63" s="283" t="s">
        <v>1852</v>
      </c>
      <c r="K63" s="730"/>
      <c r="L63" s="668" t="s">
        <v>439</v>
      </c>
      <c r="M63" s="735">
        <v>2023</v>
      </c>
      <c r="P63" s="280">
        <v>54</v>
      </c>
    </row>
    <row r="64" spans="1:16">
      <c r="A64" s="270" t="str">
        <f t="shared" si="0"/>
        <v>Dept. of Conservation and Recreation55</v>
      </c>
      <c r="B64" s="712" t="s">
        <v>722</v>
      </c>
      <c r="C64" s="711" t="s">
        <v>729</v>
      </c>
      <c r="D64" s="712" t="s">
        <v>481</v>
      </c>
      <c r="E64" s="709" t="s">
        <v>92</v>
      </c>
      <c r="F64" s="712" t="s">
        <v>1841</v>
      </c>
      <c r="G64" s="711" t="s">
        <v>1842</v>
      </c>
      <c r="H64" s="712" t="s">
        <v>1843</v>
      </c>
      <c r="I64" s="711"/>
      <c r="J64" s="283" t="s">
        <v>1852</v>
      </c>
      <c r="K64" s="730"/>
      <c r="L64" s="668" t="s">
        <v>439</v>
      </c>
      <c r="M64" s="735">
        <v>2023</v>
      </c>
      <c r="P64" s="280">
        <v>55</v>
      </c>
    </row>
    <row r="65" spans="1:16">
      <c r="A65" s="270" t="str">
        <f t="shared" si="0"/>
        <v>Dept. of Conservation and Recreation56</v>
      </c>
      <c r="B65" s="712" t="s">
        <v>722</v>
      </c>
      <c r="C65" s="711" t="s">
        <v>729</v>
      </c>
      <c r="D65" s="712" t="s">
        <v>481</v>
      </c>
      <c r="E65" s="709" t="s">
        <v>92</v>
      </c>
      <c r="F65" s="712" t="s">
        <v>1844</v>
      </c>
      <c r="G65" s="711" t="s">
        <v>1845</v>
      </c>
      <c r="H65" s="712" t="s">
        <v>1846</v>
      </c>
      <c r="I65" s="711"/>
      <c r="J65" s="283" t="s">
        <v>1852</v>
      </c>
      <c r="K65" s="730"/>
      <c r="L65" s="668" t="s">
        <v>439</v>
      </c>
      <c r="M65" s="735">
        <v>2017</v>
      </c>
      <c r="P65" s="280">
        <v>56</v>
      </c>
    </row>
    <row r="66" spans="1:16">
      <c r="A66" s="270" t="str">
        <f t="shared" si="0"/>
        <v>Dept. of Conservation and Recreation57</v>
      </c>
      <c r="B66" s="712" t="s">
        <v>722</v>
      </c>
      <c r="C66" s="711" t="s">
        <v>729</v>
      </c>
      <c r="D66" s="712" t="s">
        <v>481</v>
      </c>
      <c r="E66" s="709" t="s">
        <v>92</v>
      </c>
      <c r="F66" s="712" t="s">
        <v>1844</v>
      </c>
      <c r="G66" s="711" t="s">
        <v>1847</v>
      </c>
      <c r="H66" s="712" t="s">
        <v>1846</v>
      </c>
      <c r="I66" s="711"/>
      <c r="J66" s="283" t="s">
        <v>1852</v>
      </c>
      <c r="K66" s="730"/>
      <c r="L66" s="668" t="s">
        <v>439</v>
      </c>
      <c r="M66" s="735">
        <v>2023</v>
      </c>
      <c r="P66" s="280">
        <v>57</v>
      </c>
    </row>
    <row r="67" spans="1:16">
      <c r="A67" s="270" t="str">
        <f t="shared" ref="A67:A108" si="1">E67&amp;P67</f>
        <v>Dept. of Conservation and Recreation58</v>
      </c>
      <c r="B67" s="712" t="s">
        <v>722</v>
      </c>
      <c r="C67" s="711" t="s">
        <v>729</v>
      </c>
      <c r="D67" s="712" t="s">
        <v>481</v>
      </c>
      <c r="E67" s="709" t="s">
        <v>92</v>
      </c>
      <c r="F67" s="712" t="s">
        <v>1848</v>
      </c>
      <c r="G67" s="711" t="s">
        <v>1849</v>
      </c>
      <c r="H67" s="712" t="s">
        <v>1602</v>
      </c>
      <c r="I67" s="712" t="s">
        <v>1742</v>
      </c>
      <c r="J67" s="263" t="s">
        <v>327</v>
      </c>
      <c r="K67" s="730"/>
      <c r="L67" s="668" t="s">
        <v>439</v>
      </c>
      <c r="M67" s="735">
        <v>2023</v>
      </c>
      <c r="P67" s="280">
        <v>58</v>
      </c>
    </row>
    <row r="68" spans="1:16">
      <c r="A68" s="270" t="str">
        <f t="shared" si="1"/>
        <v>Dept. of Conservation and Recreation59</v>
      </c>
      <c r="B68" s="712" t="s">
        <v>722</v>
      </c>
      <c r="C68" s="711" t="s">
        <v>729</v>
      </c>
      <c r="D68" s="712" t="s">
        <v>481</v>
      </c>
      <c r="E68" s="709" t="s">
        <v>92</v>
      </c>
      <c r="F68" s="719" t="s">
        <v>1836</v>
      </c>
      <c r="G68" s="719" t="s">
        <v>1850</v>
      </c>
      <c r="H68" s="720" t="s">
        <v>1838</v>
      </c>
      <c r="I68" s="719" t="s">
        <v>1851</v>
      </c>
      <c r="J68" s="284" t="s">
        <v>1749</v>
      </c>
      <c r="K68" s="668"/>
      <c r="L68" s="668" t="s">
        <v>439</v>
      </c>
      <c r="M68" s="747">
        <v>2024</v>
      </c>
      <c r="P68" s="280">
        <v>59</v>
      </c>
    </row>
    <row r="69" spans="1:16">
      <c r="A69" s="270" t="str">
        <f t="shared" si="1"/>
        <v>Dept. of Developmental Services1</v>
      </c>
      <c r="B69" s="708" t="s">
        <v>722</v>
      </c>
      <c r="C69" s="709" t="s">
        <v>723</v>
      </c>
      <c r="D69" s="710" t="s">
        <v>479</v>
      </c>
      <c r="E69" s="709" t="s">
        <v>98</v>
      </c>
      <c r="F69" s="709" t="s">
        <v>1697</v>
      </c>
      <c r="G69" s="709" t="s">
        <v>1698</v>
      </c>
      <c r="H69" s="709" t="s">
        <v>643</v>
      </c>
      <c r="I69" s="713"/>
      <c r="J69" s="503" t="s">
        <v>327</v>
      </c>
      <c r="K69" s="724"/>
      <c r="L69" s="731" t="s">
        <v>439</v>
      </c>
      <c r="M69" s="737">
        <v>2013</v>
      </c>
      <c r="N69" s="749"/>
      <c r="O69" s="504"/>
      <c r="P69" s="504">
        <v>1</v>
      </c>
    </row>
    <row r="70" spans="1:16">
      <c r="A70" s="270" t="str">
        <f t="shared" si="1"/>
        <v>Dept. of Fish &amp; Game1</v>
      </c>
      <c r="B70" s="708" t="s">
        <v>722</v>
      </c>
      <c r="C70" s="709" t="s">
        <v>738</v>
      </c>
      <c r="D70" s="709" t="s">
        <v>481</v>
      </c>
      <c r="E70" s="709" t="s">
        <v>1638</v>
      </c>
      <c r="F70" s="708" t="s">
        <v>1699</v>
      </c>
      <c r="G70" s="708" t="s">
        <v>1700</v>
      </c>
      <c r="H70" s="708" t="s">
        <v>1606</v>
      </c>
      <c r="I70" s="715" t="s">
        <v>1701</v>
      </c>
      <c r="J70" s="284" t="s">
        <v>1749</v>
      </c>
      <c r="K70" s="724"/>
      <c r="L70" s="731" t="s">
        <v>439</v>
      </c>
      <c r="M70" s="740">
        <v>2016</v>
      </c>
      <c r="N70" s="749"/>
      <c r="O70" s="504"/>
      <c r="P70" s="504">
        <v>1</v>
      </c>
    </row>
    <row r="71" spans="1:16">
      <c r="A71" s="270" t="str">
        <f t="shared" si="1"/>
        <v>Dept. of Fish &amp; Game2</v>
      </c>
      <c r="B71" s="708" t="s">
        <v>722</v>
      </c>
      <c r="C71" s="709" t="s">
        <v>729</v>
      </c>
      <c r="D71" s="709" t="s">
        <v>481</v>
      </c>
      <c r="E71" s="709" t="s">
        <v>1638</v>
      </c>
      <c r="F71" s="709" t="s">
        <v>1702</v>
      </c>
      <c r="G71" s="709" t="s">
        <v>1703</v>
      </c>
      <c r="H71" s="709" t="s">
        <v>1704</v>
      </c>
      <c r="I71" s="713"/>
      <c r="J71" s="263" t="s">
        <v>327</v>
      </c>
      <c r="K71" s="722"/>
      <c r="L71" s="731" t="s">
        <v>439</v>
      </c>
      <c r="M71" s="736">
        <v>2017</v>
      </c>
      <c r="P71" s="3">
        <v>2</v>
      </c>
    </row>
    <row r="72" spans="1:16">
      <c r="A72" s="270" t="str">
        <f t="shared" si="1"/>
        <v>Greenfield Comm. College1</v>
      </c>
      <c r="B72" s="711" t="s">
        <v>722</v>
      </c>
      <c r="C72" s="711" t="s">
        <v>727</v>
      </c>
      <c r="D72" s="711" t="s">
        <v>438</v>
      </c>
      <c r="E72" s="711" t="s">
        <v>116</v>
      </c>
      <c r="F72" s="711" t="s">
        <v>1155</v>
      </c>
      <c r="G72" s="711" t="s">
        <v>1705</v>
      </c>
      <c r="H72" s="711" t="s">
        <v>556</v>
      </c>
      <c r="I72" s="711" t="s">
        <v>731</v>
      </c>
      <c r="J72" s="263" t="s">
        <v>327</v>
      </c>
      <c r="K72" s="726">
        <v>1133896</v>
      </c>
      <c r="L72" s="733" t="s">
        <v>439</v>
      </c>
      <c r="M72" s="743">
        <v>2011</v>
      </c>
      <c r="N72" s="750" t="s">
        <v>749</v>
      </c>
      <c r="O72" s="750"/>
      <c r="P72" s="750">
        <v>1</v>
      </c>
    </row>
    <row r="73" spans="1:16">
      <c r="A73" s="270" t="str">
        <f t="shared" si="1"/>
        <v>Holyoke Comm. College1</v>
      </c>
      <c r="B73" s="708" t="s">
        <v>722</v>
      </c>
      <c r="C73" s="709" t="s">
        <v>723</v>
      </c>
      <c r="D73" s="709" t="s">
        <v>438</v>
      </c>
      <c r="E73" s="709" t="s">
        <v>121</v>
      </c>
      <c r="F73" s="709" t="s">
        <v>1202</v>
      </c>
      <c r="G73" s="709" t="s">
        <v>732</v>
      </c>
      <c r="H73" s="709" t="s">
        <v>733</v>
      </c>
      <c r="I73" s="713"/>
      <c r="J73" s="283" t="s">
        <v>1852</v>
      </c>
      <c r="K73" s="259">
        <v>86978</v>
      </c>
      <c r="L73" s="731" t="s">
        <v>439</v>
      </c>
      <c r="M73" s="742">
        <v>2012</v>
      </c>
      <c r="N73" t="s">
        <v>754</v>
      </c>
      <c r="O73"/>
      <c r="P73" s="750">
        <v>1</v>
      </c>
    </row>
    <row r="74" spans="1:16">
      <c r="A74" s="270" t="str">
        <f t="shared" si="1"/>
        <v>MassPort Authority1</v>
      </c>
      <c r="B74" s="708" t="s">
        <v>722</v>
      </c>
      <c r="C74" s="712" t="s">
        <v>723</v>
      </c>
      <c r="D74" s="712" t="s">
        <v>735</v>
      </c>
      <c r="E74" s="712" t="s">
        <v>167</v>
      </c>
      <c r="F74" s="712" t="s">
        <v>1653</v>
      </c>
      <c r="G74" s="712" t="s">
        <v>1745</v>
      </c>
      <c r="H74" s="712" t="s">
        <v>460</v>
      </c>
      <c r="I74" s="712" t="s">
        <v>654</v>
      </c>
      <c r="J74" s="283" t="s">
        <v>1852</v>
      </c>
      <c r="K74" s="712"/>
      <c r="L74" s="668" t="s">
        <v>439</v>
      </c>
      <c r="M74" s="735">
        <v>2022</v>
      </c>
      <c r="P74" s="3">
        <v>1</v>
      </c>
    </row>
    <row r="75" spans="1:16">
      <c r="A75" s="270" t="str">
        <f t="shared" si="1"/>
        <v>Mass. Bay Transportation Authority1</v>
      </c>
      <c r="B75" s="708" t="s">
        <v>722</v>
      </c>
      <c r="C75" s="709" t="s">
        <v>727</v>
      </c>
      <c r="D75" s="709" t="s">
        <v>735</v>
      </c>
      <c r="E75" s="709" t="s">
        <v>1004</v>
      </c>
      <c r="F75" s="709" t="s">
        <v>1712</v>
      </c>
      <c r="G75" s="709" t="s">
        <v>1713</v>
      </c>
      <c r="H75" s="709" t="s">
        <v>1602</v>
      </c>
      <c r="I75" s="713"/>
      <c r="J75" s="263" t="s">
        <v>730</v>
      </c>
      <c r="K75" s="259"/>
      <c r="L75" s="731" t="s">
        <v>439</v>
      </c>
      <c r="M75" s="736">
        <v>2017</v>
      </c>
      <c r="P75" s="3">
        <v>1</v>
      </c>
    </row>
    <row r="76" spans="1:16">
      <c r="A76" s="270" t="str">
        <f t="shared" si="1"/>
        <v>Middlesex Comm. College1</v>
      </c>
      <c r="B76" s="708" t="s">
        <v>722</v>
      </c>
      <c r="C76" s="708" t="s">
        <v>727</v>
      </c>
      <c r="D76" s="709" t="s">
        <v>438</v>
      </c>
      <c r="E76" s="709" t="s">
        <v>172</v>
      </c>
      <c r="F76" s="709" t="s">
        <v>1714</v>
      </c>
      <c r="G76" s="709" t="s">
        <v>1715</v>
      </c>
      <c r="H76" s="709" t="s">
        <v>623</v>
      </c>
      <c r="I76" s="713"/>
      <c r="J76" s="283" t="s">
        <v>1852</v>
      </c>
      <c r="K76" s="728">
        <v>324113</v>
      </c>
      <c r="L76" s="731" t="s">
        <v>439</v>
      </c>
      <c r="M76" s="737">
        <v>2013</v>
      </c>
      <c r="P76" s="3">
        <v>1</v>
      </c>
    </row>
    <row r="77" spans="1:16">
      <c r="A77" s="270" t="str">
        <f t="shared" si="1"/>
        <v>Mass. Maritime Academy1</v>
      </c>
      <c r="B77" s="708" t="s">
        <v>722</v>
      </c>
      <c r="C77" s="708" t="s">
        <v>727</v>
      </c>
      <c r="D77" s="709" t="s">
        <v>438</v>
      </c>
      <c r="E77" s="709" t="s">
        <v>137</v>
      </c>
      <c r="F77" s="709" t="s">
        <v>562</v>
      </c>
      <c r="G77" s="709" t="s">
        <v>1708</v>
      </c>
      <c r="H77" s="709" t="s">
        <v>564</v>
      </c>
      <c r="I77" s="713" t="s">
        <v>1709</v>
      </c>
      <c r="J77" s="263" t="s">
        <v>734</v>
      </c>
      <c r="K77" s="727">
        <v>1218736</v>
      </c>
      <c r="L77" s="731" t="s">
        <v>439</v>
      </c>
      <c r="M77" s="744">
        <v>2012</v>
      </c>
      <c r="P77" s="750">
        <v>1</v>
      </c>
    </row>
    <row r="78" spans="1:16">
      <c r="A78" s="270" t="str">
        <f t="shared" si="1"/>
        <v>Mass. Maritime Academy2</v>
      </c>
      <c r="B78" s="708" t="s">
        <v>722</v>
      </c>
      <c r="C78" s="709" t="s">
        <v>723</v>
      </c>
      <c r="D78" s="709" t="s">
        <v>438</v>
      </c>
      <c r="E78" s="709" t="s">
        <v>137</v>
      </c>
      <c r="F78" s="709" t="s">
        <v>562</v>
      </c>
      <c r="G78" s="709" t="s">
        <v>1710</v>
      </c>
      <c r="H78" s="709" t="s">
        <v>564</v>
      </c>
      <c r="I78" s="713" t="s">
        <v>1711</v>
      </c>
      <c r="J78" s="283" t="s">
        <v>1852</v>
      </c>
      <c r="K78" s="721">
        <v>189200</v>
      </c>
      <c r="L78" s="731" t="s">
        <v>439</v>
      </c>
      <c r="M78" s="737">
        <v>2016</v>
      </c>
      <c r="P78" s="3">
        <v>2</v>
      </c>
    </row>
    <row r="79" spans="1:16">
      <c r="A79" s="270" t="str">
        <f t="shared" si="1"/>
        <v>Dept. of State Police1</v>
      </c>
      <c r="B79" s="712" t="s">
        <v>722</v>
      </c>
      <c r="C79" s="712" t="s">
        <v>729</v>
      </c>
      <c r="D79" s="712" t="s">
        <v>492</v>
      </c>
      <c r="E79" s="712" t="s">
        <v>103</v>
      </c>
      <c r="F79" s="712" t="s">
        <v>1746</v>
      </c>
      <c r="G79" s="712" t="s">
        <v>1747</v>
      </c>
      <c r="H79" s="712" t="s">
        <v>1748</v>
      </c>
      <c r="I79" s="712" t="s">
        <v>1749</v>
      </c>
      <c r="J79" s="284" t="s">
        <v>1749</v>
      </c>
      <c r="K79" s="712"/>
      <c r="L79" s="668" t="s">
        <v>439</v>
      </c>
      <c r="M79" s="735">
        <v>2023</v>
      </c>
      <c r="P79" s="3">
        <v>1</v>
      </c>
    </row>
    <row r="80" spans="1:16">
      <c r="A80" s="270" t="str">
        <f t="shared" si="1"/>
        <v>Dept. of State Police2</v>
      </c>
      <c r="B80" s="712" t="s">
        <v>722</v>
      </c>
      <c r="C80" s="712" t="s">
        <v>729</v>
      </c>
      <c r="D80" s="712" t="s">
        <v>492</v>
      </c>
      <c r="E80" s="712" t="s">
        <v>103</v>
      </c>
      <c r="F80" s="712" t="s">
        <v>1746</v>
      </c>
      <c r="G80" s="712" t="s">
        <v>1750</v>
      </c>
      <c r="H80" s="712" t="s">
        <v>1751</v>
      </c>
      <c r="I80" s="712" t="s">
        <v>1749</v>
      </c>
      <c r="J80" s="284" t="s">
        <v>1749</v>
      </c>
      <c r="K80" s="712"/>
      <c r="L80" s="668" t="s">
        <v>439</v>
      </c>
      <c r="M80" s="735">
        <v>2023</v>
      </c>
      <c r="P80" s="3">
        <v>2</v>
      </c>
    </row>
    <row r="81" spans="1:16">
      <c r="A81" s="270" t="str">
        <f t="shared" si="1"/>
        <v>Dept. of State Police3</v>
      </c>
      <c r="B81" s="712" t="s">
        <v>722</v>
      </c>
      <c r="C81" s="712" t="s">
        <v>729</v>
      </c>
      <c r="D81" s="712" t="s">
        <v>492</v>
      </c>
      <c r="E81" s="712" t="s">
        <v>103</v>
      </c>
      <c r="F81" s="712" t="s">
        <v>1746</v>
      </c>
      <c r="G81" s="712" t="s">
        <v>1752</v>
      </c>
      <c r="H81" s="712" t="s">
        <v>509</v>
      </c>
      <c r="I81" s="712" t="s">
        <v>1749</v>
      </c>
      <c r="J81" s="284" t="s">
        <v>1749</v>
      </c>
      <c r="K81" s="712"/>
      <c r="L81" s="668" t="s">
        <v>439</v>
      </c>
      <c r="M81" s="735">
        <v>2023</v>
      </c>
      <c r="P81" s="3">
        <v>3</v>
      </c>
    </row>
    <row r="82" spans="1:16">
      <c r="A82" s="270" t="str">
        <f t="shared" si="1"/>
        <v>Dept. of State Police4</v>
      </c>
      <c r="B82" s="712" t="s">
        <v>722</v>
      </c>
      <c r="C82" s="712" t="s">
        <v>729</v>
      </c>
      <c r="D82" s="712" t="s">
        <v>492</v>
      </c>
      <c r="E82" s="712" t="s">
        <v>103</v>
      </c>
      <c r="F82" s="712" t="s">
        <v>1746</v>
      </c>
      <c r="G82" s="712" t="s">
        <v>1753</v>
      </c>
      <c r="H82" s="712" t="s">
        <v>643</v>
      </c>
      <c r="I82" s="712" t="s">
        <v>1749</v>
      </c>
      <c r="J82" s="284" t="s">
        <v>1749</v>
      </c>
      <c r="K82" s="712"/>
      <c r="L82" s="668" t="s">
        <v>439</v>
      </c>
      <c r="M82" s="735">
        <v>2023</v>
      </c>
      <c r="P82" s="3">
        <v>4</v>
      </c>
    </row>
    <row r="83" spans="1:16">
      <c r="A83" s="270" t="str">
        <f t="shared" si="1"/>
        <v>Dept. of State Police5</v>
      </c>
      <c r="B83" s="712" t="s">
        <v>722</v>
      </c>
      <c r="C83" s="712" t="s">
        <v>729</v>
      </c>
      <c r="D83" s="712" t="s">
        <v>492</v>
      </c>
      <c r="E83" s="712" t="s">
        <v>103</v>
      </c>
      <c r="F83" s="712" t="s">
        <v>1746</v>
      </c>
      <c r="G83" s="712" t="s">
        <v>1754</v>
      </c>
      <c r="H83" s="712" t="s">
        <v>460</v>
      </c>
      <c r="I83" s="712" t="s">
        <v>1749</v>
      </c>
      <c r="J83" s="284" t="s">
        <v>1749</v>
      </c>
      <c r="K83" s="712"/>
      <c r="L83" s="668" t="s">
        <v>439</v>
      </c>
      <c r="M83" s="735">
        <v>2023</v>
      </c>
      <c r="P83" s="3">
        <v>5</v>
      </c>
    </row>
    <row r="84" spans="1:16">
      <c r="A84" s="270" t="str">
        <f t="shared" si="1"/>
        <v>Mount Wachusett Comm. College1</v>
      </c>
      <c r="B84" s="708" t="s">
        <v>722</v>
      </c>
      <c r="C84" s="709" t="s">
        <v>738</v>
      </c>
      <c r="D84" s="709" t="s">
        <v>438</v>
      </c>
      <c r="E84" s="709" t="s">
        <v>174</v>
      </c>
      <c r="F84" s="709" t="s">
        <v>639</v>
      </c>
      <c r="G84" s="709" t="s">
        <v>1719</v>
      </c>
      <c r="H84" s="709" t="s">
        <v>514</v>
      </c>
      <c r="I84" s="713"/>
      <c r="J84" s="283" t="s">
        <v>1852</v>
      </c>
      <c r="K84" s="259"/>
      <c r="L84" s="731" t="s">
        <v>439</v>
      </c>
      <c r="M84" s="736">
        <v>2006</v>
      </c>
      <c r="P84" s="3">
        <v>1</v>
      </c>
    </row>
    <row r="85" spans="1:16">
      <c r="A85" s="270" t="str">
        <f t="shared" si="1"/>
        <v>Mass. Water Resources Authority1</v>
      </c>
      <c r="B85" s="712" t="s">
        <v>722</v>
      </c>
      <c r="C85" s="708" t="s">
        <v>727</v>
      </c>
      <c r="D85" s="712" t="s">
        <v>735</v>
      </c>
      <c r="E85" s="712" t="s">
        <v>145</v>
      </c>
      <c r="F85" s="712" t="s">
        <v>1739</v>
      </c>
      <c r="G85" s="712" t="s">
        <v>1740</v>
      </c>
      <c r="H85" s="712" t="s">
        <v>589</v>
      </c>
      <c r="I85" s="712" t="s">
        <v>1741</v>
      </c>
      <c r="J85" s="263" t="s">
        <v>327</v>
      </c>
      <c r="K85" s="712"/>
      <c r="L85" s="668" t="s">
        <v>439</v>
      </c>
      <c r="M85" s="735">
        <v>2021</v>
      </c>
      <c r="P85" s="3">
        <v>1</v>
      </c>
    </row>
    <row r="86" spans="1:16">
      <c r="A86" s="270" t="str">
        <f t="shared" si="1"/>
        <v>North Shore Comm. College1</v>
      </c>
      <c r="B86" s="708" t="s">
        <v>722</v>
      </c>
      <c r="C86" s="708" t="s">
        <v>727</v>
      </c>
      <c r="D86" s="709" t="s">
        <v>438</v>
      </c>
      <c r="E86" s="709" t="s">
        <v>177</v>
      </c>
      <c r="F86" s="709" t="s">
        <v>1720</v>
      </c>
      <c r="G86" s="709" t="s">
        <v>1721</v>
      </c>
      <c r="H86" s="709" t="s">
        <v>643</v>
      </c>
      <c r="I86" s="713" t="s">
        <v>1722</v>
      </c>
      <c r="J86" s="263" t="s">
        <v>327</v>
      </c>
      <c r="K86" s="727">
        <v>1101799</v>
      </c>
      <c r="L86" s="731" t="s">
        <v>439</v>
      </c>
      <c r="M86" s="744">
        <v>2011</v>
      </c>
      <c r="P86" s="3">
        <v>1</v>
      </c>
    </row>
    <row r="87" spans="1:16">
      <c r="A87" s="270" t="str">
        <f t="shared" si="1"/>
        <v>Quinsigamond Comm. College1</v>
      </c>
      <c r="B87" s="708" t="s">
        <v>722</v>
      </c>
      <c r="C87" s="709" t="s">
        <v>723</v>
      </c>
      <c r="D87" s="709" t="s">
        <v>438</v>
      </c>
      <c r="E87" s="709" t="s">
        <v>183</v>
      </c>
      <c r="F87" s="709" t="s">
        <v>740</v>
      </c>
      <c r="G87" s="709" t="s">
        <v>1723</v>
      </c>
      <c r="H87" s="709" t="s">
        <v>534</v>
      </c>
      <c r="I87" s="713"/>
      <c r="J87" s="283" t="s">
        <v>1852</v>
      </c>
      <c r="K87" s="721">
        <v>52000</v>
      </c>
      <c r="L87" s="731" t="s">
        <v>439</v>
      </c>
      <c r="M87" s="737">
        <v>2013</v>
      </c>
      <c r="P87" s="3">
        <v>1</v>
      </c>
    </row>
    <row r="88" spans="1:16">
      <c r="A88" s="270" t="str">
        <f t="shared" si="1"/>
        <v>Roxbury Comm. College1</v>
      </c>
      <c r="B88" s="708" t="s">
        <v>722</v>
      </c>
      <c r="C88" s="709" t="s">
        <v>727</v>
      </c>
      <c r="D88" s="709" t="s">
        <v>1649</v>
      </c>
      <c r="E88" s="709" t="s">
        <v>188</v>
      </c>
      <c r="F88" s="709" t="s">
        <v>1247</v>
      </c>
      <c r="G88" s="709" t="s">
        <v>1724</v>
      </c>
      <c r="H88" s="709" t="s">
        <v>460</v>
      </c>
      <c r="I88" s="713"/>
      <c r="J88" s="283" t="s">
        <v>1852</v>
      </c>
      <c r="K88" s="721">
        <v>3950000</v>
      </c>
      <c r="L88" s="731" t="s">
        <v>439</v>
      </c>
      <c r="M88" s="737">
        <v>2018</v>
      </c>
      <c r="P88" s="3">
        <v>1</v>
      </c>
    </row>
    <row r="89" spans="1:16">
      <c r="A89" s="270" t="str">
        <f t="shared" si="1"/>
        <v>Roxbury Comm. College2</v>
      </c>
      <c r="B89" s="708" t="s">
        <v>722</v>
      </c>
      <c r="C89" s="709" t="s">
        <v>723</v>
      </c>
      <c r="D89" s="709" t="s">
        <v>438</v>
      </c>
      <c r="E89" s="709" t="s">
        <v>188</v>
      </c>
      <c r="F89" s="709" t="s">
        <v>1247</v>
      </c>
      <c r="G89" s="709" t="s">
        <v>741</v>
      </c>
      <c r="H89" s="709" t="s">
        <v>460</v>
      </c>
      <c r="I89" s="713" t="s">
        <v>1725</v>
      </c>
      <c r="J89" s="283" t="s">
        <v>1852</v>
      </c>
      <c r="K89" s="721">
        <v>161800</v>
      </c>
      <c r="L89" s="731" t="s">
        <v>439</v>
      </c>
      <c r="M89" s="737">
        <v>2018</v>
      </c>
      <c r="P89" s="3">
        <v>2</v>
      </c>
    </row>
    <row r="90" spans="1:16">
      <c r="A90" s="270" t="str">
        <f t="shared" si="1"/>
        <v>Sheriff1</v>
      </c>
      <c r="B90" s="708" t="s">
        <v>722</v>
      </c>
      <c r="C90" s="709" t="s">
        <v>723</v>
      </c>
      <c r="D90" s="710" t="s">
        <v>492</v>
      </c>
      <c r="E90" s="709" t="s">
        <v>1615</v>
      </c>
      <c r="F90" s="709" t="s">
        <v>1655</v>
      </c>
      <c r="G90" s="709" t="s">
        <v>1656</v>
      </c>
      <c r="H90" s="709" t="s">
        <v>1657</v>
      </c>
      <c r="I90" s="713"/>
      <c r="J90" s="283" t="s">
        <v>1852</v>
      </c>
      <c r="K90" s="259">
        <v>383155</v>
      </c>
      <c r="L90" s="731" t="s">
        <v>439</v>
      </c>
      <c r="M90" s="736">
        <v>2015</v>
      </c>
      <c r="N90" s="752" t="s">
        <v>726</v>
      </c>
      <c r="O90" s="279"/>
      <c r="P90" s="279">
        <v>1</v>
      </c>
    </row>
    <row r="91" spans="1:16">
      <c r="A91" s="270" t="str">
        <f t="shared" si="1"/>
        <v>Sheriff1</v>
      </c>
      <c r="B91" s="708" t="s">
        <v>722</v>
      </c>
      <c r="C91" s="708" t="s">
        <v>723</v>
      </c>
      <c r="D91" s="708" t="s">
        <v>492</v>
      </c>
      <c r="E91" s="708" t="s">
        <v>1615</v>
      </c>
      <c r="F91" s="708" t="s">
        <v>1663</v>
      </c>
      <c r="G91" s="708" t="s">
        <v>1664</v>
      </c>
      <c r="H91" s="708" t="s">
        <v>1665</v>
      </c>
      <c r="I91" s="715" t="s">
        <v>1666</v>
      </c>
      <c r="J91" s="282" t="s">
        <v>730</v>
      </c>
      <c r="K91" s="723"/>
      <c r="L91" s="731" t="s">
        <v>439</v>
      </c>
      <c r="M91" s="739">
        <v>2017</v>
      </c>
      <c r="N91" s="751"/>
      <c r="O91" s="751"/>
      <c r="P91" s="751">
        <v>1</v>
      </c>
    </row>
    <row r="92" spans="1:16">
      <c r="A92" s="270" t="str">
        <f t="shared" si="1"/>
        <v>Sheriff1</v>
      </c>
      <c r="B92" s="708" t="s">
        <v>722</v>
      </c>
      <c r="C92" s="709" t="s">
        <v>723</v>
      </c>
      <c r="D92" s="709" t="s">
        <v>492</v>
      </c>
      <c r="E92" s="709" t="s">
        <v>1615</v>
      </c>
      <c r="F92" s="709" t="s">
        <v>1706</v>
      </c>
      <c r="G92" s="709" t="s">
        <v>1706</v>
      </c>
      <c r="H92" s="709" t="s">
        <v>1707</v>
      </c>
      <c r="I92" s="713"/>
      <c r="J92" s="263" t="s">
        <v>734</v>
      </c>
      <c r="K92" s="721">
        <v>790022</v>
      </c>
      <c r="L92" s="731" t="s">
        <v>439</v>
      </c>
      <c r="M92" s="737">
        <v>2011</v>
      </c>
      <c r="N92" s="750" t="s">
        <v>751</v>
      </c>
      <c r="O92" s="750"/>
      <c r="P92" s="750">
        <v>1</v>
      </c>
    </row>
    <row r="93" spans="1:16">
      <c r="A93" s="270" t="str">
        <f t="shared" si="1"/>
        <v>Sheriff1</v>
      </c>
      <c r="B93" s="708" t="s">
        <v>722</v>
      </c>
      <c r="C93" s="708" t="s">
        <v>729</v>
      </c>
      <c r="D93" s="708" t="s">
        <v>492</v>
      </c>
      <c r="E93" s="708" t="s">
        <v>1615</v>
      </c>
      <c r="F93" s="708" t="s">
        <v>1716</v>
      </c>
      <c r="G93" s="708" t="s">
        <v>1717</v>
      </c>
      <c r="H93" s="708" t="s">
        <v>1604</v>
      </c>
      <c r="I93" s="715" t="s">
        <v>1718</v>
      </c>
      <c r="J93" s="263" t="s">
        <v>327</v>
      </c>
      <c r="K93" s="723"/>
      <c r="L93" s="731" t="s">
        <v>439</v>
      </c>
      <c r="M93" s="739">
        <v>2018</v>
      </c>
      <c r="P93" s="3">
        <v>1</v>
      </c>
    </row>
    <row r="94" spans="1:16">
      <c r="A94" s="270" t="str">
        <f t="shared" si="1"/>
        <v>Salem State University1</v>
      </c>
      <c r="B94" s="708" t="s">
        <v>722</v>
      </c>
      <c r="C94" s="709" t="s">
        <v>727</v>
      </c>
      <c r="D94" s="709" t="s">
        <v>438</v>
      </c>
      <c r="E94" s="709" t="s">
        <v>190</v>
      </c>
      <c r="F94" s="709" t="s">
        <v>190</v>
      </c>
      <c r="G94" s="709" t="s">
        <v>742</v>
      </c>
      <c r="H94" s="709" t="s">
        <v>651</v>
      </c>
      <c r="I94" s="713" t="s">
        <v>1726</v>
      </c>
      <c r="J94" s="284" t="s">
        <v>1749</v>
      </c>
      <c r="K94" s="721"/>
      <c r="L94" s="731" t="s">
        <v>439</v>
      </c>
      <c r="M94" s="737">
        <v>2014</v>
      </c>
      <c r="P94" s="3">
        <v>1</v>
      </c>
    </row>
    <row r="95" spans="1:16">
      <c r="A95" s="270" t="str">
        <f t="shared" si="1"/>
        <v>Springfield Technical Comm. College1</v>
      </c>
      <c r="B95" s="711" t="s">
        <v>722</v>
      </c>
      <c r="C95" s="711" t="s">
        <v>727</v>
      </c>
      <c r="D95" s="711" t="s">
        <v>438</v>
      </c>
      <c r="E95" s="711" t="s">
        <v>195</v>
      </c>
      <c r="F95" s="711" t="s">
        <v>1323</v>
      </c>
      <c r="G95" s="711" t="s">
        <v>1340</v>
      </c>
      <c r="H95" s="711" t="s">
        <v>613</v>
      </c>
      <c r="I95" s="711" t="s">
        <v>1727</v>
      </c>
      <c r="J95" s="263" t="s">
        <v>327</v>
      </c>
      <c r="K95" s="726">
        <v>344731</v>
      </c>
      <c r="L95" s="733" t="s">
        <v>439</v>
      </c>
      <c r="M95" s="743">
        <v>2011</v>
      </c>
      <c r="P95" s="3">
        <v>1</v>
      </c>
    </row>
    <row r="96" spans="1:16">
      <c r="A96" s="270" t="str">
        <f t="shared" si="1"/>
        <v>Springfield Technical Comm. College2</v>
      </c>
      <c r="B96" s="708" t="s">
        <v>722</v>
      </c>
      <c r="C96" s="712" t="s">
        <v>729</v>
      </c>
      <c r="D96" s="708" t="s">
        <v>438</v>
      </c>
      <c r="E96" s="711" t="s">
        <v>195</v>
      </c>
      <c r="F96" s="712" t="s">
        <v>1323</v>
      </c>
      <c r="G96" s="712" t="s">
        <v>1339</v>
      </c>
      <c r="H96" s="712" t="s">
        <v>613</v>
      </c>
      <c r="I96" s="712" t="s">
        <v>1736</v>
      </c>
      <c r="J96" s="263" t="s">
        <v>327</v>
      </c>
      <c r="K96" s="712"/>
      <c r="L96" s="668" t="s">
        <v>439</v>
      </c>
      <c r="M96" s="735">
        <v>2022</v>
      </c>
      <c r="P96" s="3">
        <v>2</v>
      </c>
    </row>
    <row r="97" spans="1:16">
      <c r="A97" s="270" t="str">
        <f t="shared" si="1"/>
        <v>Springfield Technical Comm. College3</v>
      </c>
      <c r="B97" s="708" t="s">
        <v>722</v>
      </c>
      <c r="C97" s="712" t="s">
        <v>729</v>
      </c>
      <c r="D97" s="708" t="s">
        <v>438</v>
      </c>
      <c r="E97" s="711" t="s">
        <v>195</v>
      </c>
      <c r="F97" s="712" t="s">
        <v>1323</v>
      </c>
      <c r="G97" s="712" t="s">
        <v>746</v>
      </c>
      <c r="H97" s="712" t="s">
        <v>613</v>
      </c>
      <c r="I97" s="718" t="s">
        <v>1742</v>
      </c>
      <c r="J97" s="263" t="s">
        <v>327</v>
      </c>
      <c r="K97" s="712"/>
      <c r="L97" s="668" t="s">
        <v>439</v>
      </c>
      <c r="M97" s="735">
        <v>2021</v>
      </c>
      <c r="P97" s="3">
        <v>3</v>
      </c>
    </row>
    <row r="98" spans="1:16">
      <c r="A98" s="270" t="str">
        <f t="shared" si="1"/>
        <v>Springfield Technical Comm. College4</v>
      </c>
      <c r="B98" s="708" t="s">
        <v>722</v>
      </c>
      <c r="C98" s="712" t="s">
        <v>729</v>
      </c>
      <c r="D98" s="708" t="s">
        <v>438</v>
      </c>
      <c r="E98" s="711" t="s">
        <v>195</v>
      </c>
      <c r="F98" s="712" t="s">
        <v>1323</v>
      </c>
      <c r="G98" s="712" t="s">
        <v>747</v>
      </c>
      <c r="H98" s="712" t="s">
        <v>613</v>
      </c>
      <c r="I98" s="718" t="s">
        <v>1743</v>
      </c>
      <c r="J98" s="263" t="s">
        <v>327</v>
      </c>
      <c r="K98" s="712"/>
      <c r="L98" s="668" t="s">
        <v>439</v>
      </c>
      <c r="M98" s="735">
        <v>2021</v>
      </c>
      <c r="P98" s="3">
        <v>4</v>
      </c>
    </row>
    <row r="99" spans="1:16">
      <c r="A99" s="270" t="str">
        <f t="shared" si="1"/>
        <v>Springfield Technical Comm. College5</v>
      </c>
      <c r="B99" s="708" t="s">
        <v>722</v>
      </c>
      <c r="C99" s="712" t="s">
        <v>729</v>
      </c>
      <c r="D99" s="708" t="s">
        <v>438</v>
      </c>
      <c r="E99" s="711" t="s">
        <v>195</v>
      </c>
      <c r="F99" s="712" t="s">
        <v>1323</v>
      </c>
      <c r="G99" s="712" t="s">
        <v>748</v>
      </c>
      <c r="H99" s="712" t="s">
        <v>613</v>
      </c>
      <c r="I99" s="718" t="s">
        <v>1743</v>
      </c>
      <c r="J99" s="263" t="s">
        <v>327</v>
      </c>
      <c r="K99" s="712"/>
      <c r="L99" s="668" t="s">
        <v>439</v>
      </c>
      <c r="M99" s="735">
        <v>2021</v>
      </c>
      <c r="P99" s="3">
        <v>5</v>
      </c>
    </row>
    <row r="100" spans="1:16">
      <c r="A100" s="270" t="str">
        <f t="shared" si="1"/>
        <v>Springfield Technical Comm. College6</v>
      </c>
      <c r="B100" s="708" t="s">
        <v>722</v>
      </c>
      <c r="C100" s="712" t="s">
        <v>729</v>
      </c>
      <c r="D100" s="708" t="s">
        <v>438</v>
      </c>
      <c r="E100" s="711" t="s">
        <v>195</v>
      </c>
      <c r="F100" s="712" t="s">
        <v>1323</v>
      </c>
      <c r="G100" s="712" t="s">
        <v>748</v>
      </c>
      <c r="H100" s="712" t="s">
        <v>613</v>
      </c>
      <c r="I100" s="718" t="s">
        <v>1744</v>
      </c>
      <c r="J100" s="263" t="s">
        <v>327</v>
      </c>
      <c r="K100" s="712"/>
      <c r="L100" s="668" t="s">
        <v>439</v>
      </c>
      <c r="M100" s="735">
        <v>2021</v>
      </c>
      <c r="P100" s="3">
        <v>6</v>
      </c>
    </row>
    <row r="101" spans="1:16">
      <c r="A101" s="270" t="str">
        <f t="shared" si="1"/>
        <v>UMass Amherst1</v>
      </c>
      <c r="B101" s="708" t="s">
        <v>722</v>
      </c>
      <c r="C101" s="708" t="s">
        <v>727</v>
      </c>
      <c r="D101" s="708" t="s">
        <v>438</v>
      </c>
      <c r="E101" s="708" t="s">
        <v>201</v>
      </c>
      <c r="F101" s="708" t="s">
        <v>201</v>
      </c>
      <c r="G101" s="708" t="s">
        <v>1728</v>
      </c>
      <c r="H101" s="708" t="s">
        <v>660</v>
      </c>
      <c r="I101" s="715" t="s">
        <v>725</v>
      </c>
      <c r="J101" s="283" t="s">
        <v>1852</v>
      </c>
      <c r="K101" s="722"/>
      <c r="L101" s="731" t="s">
        <v>439</v>
      </c>
      <c r="M101" s="738">
        <v>2011</v>
      </c>
      <c r="P101" s="3">
        <v>1</v>
      </c>
    </row>
    <row r="102" spans="1:16">
      <c r="A102" s="270" t="str">
        <f t="shared" si="1"/>
        <v>UMass Amherst2</v>
      </c>
      <c r="B102" s="708" t="s">
        <v>722</v>
      </c>
      <c r="C102" s="708" t="s">
        <v>727</v>
      </c>
      <c r="D102" s="708" t="s">
        <v>438</v>
      </c>
      <c r="E102" s="708" t="s">
        <v>201</v>
      </c>
      <c r="F102" s="708" t="s">
        <v>201</v>
      </c>
      <c r="G102" s="708" t="s">
        <v>752</v>
      </c>
      <c r="H102" s="708" t="s">
        <v>660</v>
      </c>
      <c r="I102" s="715" t="s">
        <v>753</v>
      </c>
      <c r="J102" s="283" t="s">
        <v>1852</v>
      </c>
      <c r="K102" s="722"/>
      <c r="L102" s="731" t="s">
        <v>439</v>
      </c>
      <c r="M102" s="738"/>
      <c r="P102" s="3">
        <v>2</v>
      </c>
    </row>
    <row r="103" spans="1:16">
      <c r="A103" s="270" t="str">
        <f t="shared" si="1"/>
        <v>UMass Amherst3</v>
      </c>
      <c r="B103" s="708" t="s">
        <v>722</v>
      </c>
      <c r="C103" s="708" t="s">
        <v>727</v>
      </c>
      <c r="D103" s="708" t="s">
        <v>438</v>
      </c>
      <c r="E103" s="708" t="s">
        <v>201</v>
      </c>
      <c r="F103" s="708" t="s">
        <v>201</v>
      </c>
      <c r="G103" s="708" t="s">
        <v>750</v>
      </c>
      <c r="H103" s="708" t="s">
        <v>660</v>
      </c>
      <c r="I103" s="715" t="s">
        <v>1729</v>
      </c>
      <c r="J103" s="283" t="s">
        <v>1852</v>
      </c>
      <c r="K103" s="722"/>
      <c r="L103" s="731" t="s">
        <v>439</v>
      </c>
      <c r="M103" s="738">
        <v>2011</v>
      </c>
      <c r="P103" s="3">
        <v>3</v>
      </c>
    </row>
    <row r="104" spans="1:16">
      <c r="A104" s="270" t="str">
        <f t="shared" si="1"/>
        <v>UMass Amherst4</v>
      </c>
      <c r="B104" s="708" t="s">
        <v>722</v>
      </c>
      <c r="C104" s="708" t="s">
        <v>723</v>
      </c>
      <c r="D104" s="708" t="s">
        <v>438</v>
      </c>
      <c r="E104" s="708" t="s">
        <v>201</v>
      </c>
      <c r="F104" s="708" t="s">
        <v>201</v>
      </c>
      <c r="G104" s="708" t="s">
        <v>1730</v>
      </c>
      <c r="H104" s="708" t="s">
        <v>755</v>
      </c>
      <c r="I104" s="715" t="s">
        <v>1731</v>
      </c>
      <c r="J104" s="283" t="s">
        <v>1852</v>
      </c>
      <c r="K104" s="724"/>
      <c r="L104" s="731" t="s">
        <v>439</v>
      </c>
      <c r="M104" s="740">
        <v>2017</v>
      </c>
      <c r="P104" s="3">
        <v>4</v>
      </c>
    </row>
    <row r="105" spans="1:16">
      <c r="A105" s="270" t="str">
        <f t="shared" si="1"/>
        <v>UMass Lowell1</v>
      </c>
      <c r="B105" s="708" t="s">
        <v>722</v>
      </c>
      <c r="C105" s="708" t="s">
        <v>723</v>
      </c>
      <c r="D105" s="708" t="s">
        <v>438</v>
      </c>
      <c r="E105" s="708" t="s">
        <v>212</v>
      </c>
      <c r="F105" s="708" t="s">
        <v>212</v>
      </c>
      <c r="G105" s="708" t="s">
        <v>756</v>
      </c>
      <c r="H105" s="708" t="s">
        <v>757</v>
      </c>
      <c r="I105" s="715" t="s">
        <v>1732</v>
      </c>
      <c r="J105" s="284" t="s">
        <v>1749</v>
      </c>
      <c r="K105" s="724"/>
      <c r="L105" s="731" t="s">
        <v>439</v>
      </c>
      <c r="M105" s="740">
        <v>2017</v>
      </c>
      <c r="P105" s="3">
        <v>1</v>
      </c>
    </row>
    <row r="106" spans="1:16">
      <c r="A106" s="270" t="str">
        <f t="shared" si="1"/>
        <v>UMass Lowell2</v>
      </c>
      <c r="B106" s="708" t="s">
        <v>722</v>
      </c>
      <c r="C106" s="708" t="s">
        <v>723</v>
      </c>
      <c r="D106" s="708" t="s">
        <v>438</v>
      </c>
      <c r="E106" s="708" t="s">
        <v>212</v>
      </c>
      <c r="F106" s="708" t="s">
        <v>212</v>
      </c>
      <c r="G106" s="708" t="s">
        <v>1733</v>
      </c>
      <c r="H106" s="708" t="s">
        <v>757</v>
      </c>
      <c r="I106" s="717"/>
      <c r="J106" s="283" t="s">
        <v>1852</v>
      </c>
      <c r="K106" s="729"/>
      <c r="L106" s="734" t="s">
        <v>439</v>
      </c>
      <c r="M106" s="745">
        <v>2017</v>
      </c>
      <c r="P106" s="3">
        <v>2</v>
      </c>
    </row>
    <row r="107" spans="1:16">
      <c r="A107" s="270" t="str">
        <f t="shared" si="1"/>
        <v>UMass Boston1</v>
      </c>
      <c r="B107" s="712" t="s">
        <v>722</v>
      </c>
      <c r="C107" s="712" t="s">
        <v>723</v>
      </c>
      <c r="D107" s="712" t="s">
        <v>438</v>
      </c>
      <c r="E107" s="712" t="s">
        <v>206</v>
      </c>
      <c r="F107" s="712" t="s">
        <v>206</v>
      </c>
      <c r="G107" s="712" t="s">
        <v>1056</v>
      </c>
      <c r="H107" s="712" t="s">
        <v>460</v>
      </c>
      <c r="I107" s="712"/>
      <c r="J107" s="283" t="s">
        <v>1852</v>
      </c>
      <c r="K107" s="712"/>
      <c r="L107" s="668" t="s">
        <v>439</v>
      </c>
      <c r="M107" s="735">
        <v>2015</v>
      </c>
      <c r="P107" s="3">
        <v>1</v>
      </c>
    </row>
    <row r="108" spans="1:16">
      <c r="A108" s="270" t="str">
        <f t="shared" si="1"/>
        <v>Worcester State University1</v>
      </c>
      <c r="B108" s="708" t="s">
        <v>722</v>
      </c>
      <c r="C108" s="708" t="s">
        <v>723</v>
      </c>
      <c r="D108" s="708" t="s">
        <v>438</v>
      </c>
      <c r="E108" s="712" t="s">
        <v>220</v>
      </c>
      <c r="F108" s="712" t="s">
        <v>220</v>
      </c>
      <c r="G108" s="712"/>
      <c r="H108" s="712" t="s">
        <v>534</v>
      </c>
      <c r="I108" s="712" t="s">
        <v>1734</v>
      </c>
      <c r="J108" s="283" t="s">
        <v>1852</v>
      </c>
      <c r="K108" s="712"/>
      <c r="L108" s="735" t="s">
        <v>439</v>
      </c>
      <c r="M108" s="746">
        <v>2015</v>
      </c>
      <c r="P108" s="3">
        <v>1</v>
      </c>
    </row>
  </sheetData>
  <autoFilter ref="A1:P108" xr:uid="{00000000-0001-0000-0E00-000000000000}">
    <sortState xmlns:xlrd2="http://schemas.microsoft.com/office/spreadsheetml/2017/richdata2" ref="A2:P108">
      <sortCondition ref="E2:E108"/>
    </sortState>
  </autoFilter>
  <sortState xmlns:xlrd2="http://schemas.microsoft.com/office/spreadsheetml/2017/richdata2" ref="A2:P33">
    <sortCondition ref="F2:F33"/>
  </sortState>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XFC231"/>
  <sheetViews>
    <sheetView showGridLines="0" topLeftCell="A3" zoomScale="70" zoomScaleNormal="70" workbookViewId="0">
      <selection activeCell="B13" sqref="B13:K14"/>
    </sheetView>
  </sheetViews>
  <sheetFormatPr defaultColWidth="0" defaultRowHeight="15" zeroHeight="1"/>
  <cols>
    <col min="1" max="1" width="2.140625" style="403" customWidth="1"/>
    <col min="2" max="2" width="14.7109375" style="403" customWidth="1"/>
    <col min="3" max="3" width="18.28515625" style="403" customWidth="1"/>
    <col min="4" max="6" width="20.42578125" style="403" customWidth="1"/>
    <col min="7" max="7" width="25.140625" style="403" bestFit="1" customWidth="1"/>
    <col min="8" max="8" width="24.5703125" style="403" customWidth="1"/>
    <col min="9" max="9" width="20.42578125" style="403" customWidth="1"/>
    <col min="10" max="10" width="25.140625" style="403" customWidth="1"/>
    <col min="11" max="11" width="45.28515625" style="403" customWidth="1"/>
    <col min="12" max="12" width="33.140625" style="403" customWidth="1"/>
    <col min="13" max="13" width="1.85546875" style="403" hidden="1" customWidth="1"/>
    <col min="14" max="15" width="15.42578125" style="403" hidden="1" customWidth="1"/>
    <col min="16" max="16" width="16.28515625" style="403" hidden="1" customWidth="1"/>
    <col min="17" max="17" width="9.140625" style="403" hidden="1" customWidth="1"/>
    <col min="18" max="24" width="0" style="403" hidden="1" customWidth="1"/>
    <col min="25" max="16383" width="9.140625" style="403" hidden="1"/>
    <col min="16384" max="16384" width="5" style="403" customWidth="1"/>
  </cols>
  <sheetData>
    <row r="1" spans="1:22" customFormat="1" ht="18.95" customHeight="1" thickBot="1">
      <c r="A1" s="42"/>
      <c r="B1" s="1070" t="s">
        <v>22</v>
      </c>
      <c r="C1" s="1070"/>
      <c r="D1" s="1070"/>
      <c r="E1" s="1070"/>
      <c r="F1" s="1070"/>
      <c r="G1" s="1070"/>
      <c r="H1" s="1070"/>
      <c r="I1" s="1070"/>
      <c r="J1" s="1070"/>
      <c r="K1" s="1070"/>
      <c r="L1" s="42"/>
      <c r="N1" s="15"/>
      <c r="O1" s="15"/>
      <c r="P1" s="15"/>
      <c r="Q1" s="15"/>
    </row>
    <row r="2" spans="1:22" customFormat="1" ht="18.600000000000001" customHeight="1">
      <c r="A2" s="42"/>
      <c r="B2" s="1091" t="s">
        <v>18</v>
      </c>
      <c r="C2" s="1108" t="s">
        <v>758</v>
      </c>
      <c r="D2" s="1108"/>
      <c r="E2" s="1108"/>
      <c r="F2" s="1108"/>
      <c r="G2" s="1108"/>
      <c r="H2" s="1108"/>
      <c r="I2" s="1108"/>
      <c r="J2" s="1108"/>
      <c r="K2" s="1108"/>
      <c r="L2" s="42"/>
      <c r="M2" s="15"/>
      <c r="N2" s="15"/>
      <c r="O2" s="15"/>
      <c r="P2" s="15"/>
      <c r="Q2" s="15"/>
      <c r="R2" s="15"/>
      <c r="S2" s="15"/>
      <c r="T2" s="15"/>
      <c r="U2" s="15"/>
      <c r="V2" s="15"/>
    </row>
    <row r="3" spans="1:22" customFormat="1" ht="20.100000000000001" customHeight="1">
      <c r="A3" s="42"/>
      <c r="B3" s="1092"/>
      <c r="C3" s="1108"/>
      <c r="D3" s="1108"/>
      <c r="E3" s="1108"/>
      <c r="F3" s="1108"/>
      <c r="G3" s="1108"/>
      <c r="H3" s="1108"/>
      <c r="I3" s="1108"/>
      <c r="J3" s="1108"/>
      <c r="K3" s="1108"/>
      <c r="L3" s="42"/>
      <c r="M3" s="15"/>
      <c r="N3" s="15"/>
      <c r="O3" s="15"/>
      <c r="P3" s="15"/>
      <c r="Q3" s="15"/>
      <c r="R3" s="15"/>
      <c r="S3" s="15"/>
      <c r="T3" s="15"/>
      <c r="U3" s="15"/>
      <c r="V3" s="15"/>
    </row>
    <row r="4" spans="1:22" customFormat="1" ht="22.5" customHeight="1">
      <c r="A4" s="42"/>
      <c r="B4" s="1092"/>
      <c r="C4" s="1108"/>
      <c r="D4" s="1108"/>
      <c r="E4" s="1108"/>
      <c r="F4" s="1108"/>
      <c r="G4" s="1108"/>
      <c r="H4" s="1108"/>
      <c r="I4" s="1108"/>
      <c r="J4" s="1108"/>
      <c r="K4" s="1108"/>
      <c r="L4" s="42"/>
      <c r="M4" s="15"/>
      <c r="N4" s="15"/>
      <c r="O4" s="15"/>
      <c r="P4" s="15"/>
      <c r="Q4" s="15"/>
      <c r="R4" s="15"/>
      <c r="S4" s="15"/>
      <c r="T4" s="15"/>
      <c r="U4" s="15"/>
      <c r="V4" s="15"/>
    </row>
    <row r="5" spans="1:22" customFormat="1" ht="15" customHeight="1" thickBot="1">
      <c r="A5" s="42"/>
      <c r="B5" s="1092"/>
      <c r="C5" s="1021" t="s">
        <v>358</v>
      </c>
      <c r="D5" s="1021"/>
      <c r="E5" s="1021"/>
      <c r="F5" s="1021"/>
      <c r="G5" s="1021"/>
      <c r="H5" s="1021"/>
      <c r="I5" s="1021"/>
      <c r="J5" s="1021"/>
      <c r="K5" s="1021"/>
      <c r="L5" s="42"/>
      <c r="M5" s="15"/>
      <c r="N5" s="15"/>
      <c r="O5" s="15"/>
      <c r="P5" s="15"/>
      <c r="Q5" s="15"/>
    </row>
    <row r="6" spans="1:22" customFormat="1" ht="21.95" customHeight="1">
      <c r="A6" s="42"/>
      <c r="B6" s="1092"/>
      <c r="C6" s="1093" t="s">
        <v>759</v>
      </c>
      <c r="D6" s="1094"/>
      <c r="E6" s="1094"/>
      <c r="F6" s="1094"/>
      <c r="G6" s="1094"/>
      <c r="H6" s="1094"/>
      <c r="I6" s="1094"/>
      <c r="J6" s="1094"/>
      <c r="K6" s="1095"/>
      <c r="L6" s="42"/>
      <c r="N6" s="119"/>
      <c r="O6" s="214"/>
      <c r="P6" s="15"/>
      <c r="Q6" s="15"/>
      <c r="R6" s="15"/>
    </row>
    <row r="7" spans="1:22" customFormat="1" ht="21.95" customHeight="1">
      <c r="A7" s="42"/>
      <c r="B7" s="1092"/>
      <c r="C7" s="428" t="s">
        <v>1354</v>
      </c>
      <c r="D7" s="119"/>
      <c r="E7" s="119"/>
      <c r="F7" s="119"/>
      <c r="G7" s="119"/>
      <c r="H7" s="119"/>
      <c r="I7" s="119"/>
      <c r="J7" s="119"/>
      <c r="K7" s="429"/>
      <c r="L7" s="42"/>
      <c r="N7" s="118"/>
      <c r="O7" s="118"/>
      <c r="P7" s="15"/>
      <c r="Q7" s="15"/>
      <c r="R7" s="15"/>
    </row>
    <row r="8" spans="1:22" s="42" customFormat="1" ht="26.1" customHeight="1">
      <c r="B8" s="224"/>
      <c r="C8" s="427"/>
      <c r="D8" s="427"/>
      <c r="E8" s="427"/>
      <c r="F8" s="427"/>
      <c r="G8" s="427"/>
      <c r="H8" s="427"/>
      <c r="I8" s="427"/>
      <c r="J8" s="427"/>
      <c r="K8" s="427"/>
      <c r="N8" s="213"/>
      <c r="O8" s="213"/>
      <c r="P8" s="213"/>
      <c r="Q8" s="213"/>
      <c r="R8" s="213"/>
    </row>
    <row r="9" spans="1:22" s="42" customFormat="1" ht="21">
      <c r="B9" s="1101" t="s">
        <v>760</v>
      </c>
      <c r="C9" s="1102"/>
      <c r="D9" s="1102"/>
      <c r="E9" s="1102"/>
      <c r="F9" s="1102"/>
      <c r="G9" s="1102"/>
      <c r="H9" s="1102"/>
      <c r="I9" s="1102"/>
      <c r="J9" s="1102"/>
      <c r="K9" s="1103"/>
      <c r="N9" s="213"/>
      <c r="O9" s="213"/>
      <c r="P9" s="213"/>
      <c r="Q9" s="213"/>
      <c r="R9" s="213"/>
    </row>
    <row r="10" spans="1:22" s="42" customFormat="1" ht="15.75">
      <c r="B10" s="1098" t="s">
        <v>761</v>
      </c>
      <c r="C10" s="1099"/>
      <c r="D10" s="1099"/>
      <c r="E10" s="1099"/>
      <c r="F10" s="1099"/>
      <c r="G10" s="1099"/>
      <c r="H10" s="1099"/>
      <c r="I10" s="1099"/>
      <c r="J10" s="1099"/>
      <c r="K10" s="1100"/>
      <c r="N10" s="213"/>
      <c r="O10" s="213"/>
      <c r="P10" s="213"/>
      <c r="Q10" s="213"/>
      <c r="R10" s="213"/>
    </row>
    <row r="11" spans="1:22" customFormat="1" ht="36" customHeight="1">
      <c r="A11" s="42"/>
      <c r="B11" s="1104" t="s">
        <v>2204</v>
      </c>
      <c r="C11" s="1105"/>
      <c r="D11" s="1105"/>
      <c r="E11" s="1105"/>
      <c r="F11" s="1105"/>
      <c r="G11" s="1105"/>
      <c r="H11" s="1105"/>
      <c r="I11" s="1105"/>
      <c r="J11" s="1105"/>
      <c r="K11" s="598" t="s">
        <v>225</v>
      </c>
      <c r="L11" s="42"/>
    </row>
    <row r="12" spans="1:22" customFormat="1" ht="15" customHeight="1">
      <c r="A12" s="42"/>
      <c r="B12" s="1074" t="s">
        <v>762</v>
      </c>
      <c r="C12" s="1075"/>
      <c r="D12" s="1075"/>
      <c r="E12" s="1075"/>
      <c r="F12" s="1075"/>
      <c r="G12" s="1075"/>
      <c r="H12" s="1075"/>
      <c r="I12" s="1075"/>
      <c r="J12" s="1075"/>
      <c r="K12" s="1076"/>
      <c r="L12" s="42"/>
    </row>
    <row r="13" spans="1:22" customFormat="1" ht="15" customHeight="1">
      <c r="A13" s="42"/>
      <c r="B13" s="1079"/>
      <c r="C13" s="1080"/>
      <c r="D13" s="1080"/>
      <c r="E13" s="1080"/>
      <c r="F13" s="1080"/>
      <c r="G13" s="1080"/>
      <c r="H13" s="1080"/>
      <c r="I13" s="1080"/>
      <c r="J13" s="1080"/>
      <c r="K13" s="1081"/>
      <c r="L13" s="42"/>
    </row>
    <row r="14" spans="1:22" customFormat="1" ht="15.95" customHeight="1">
      <c r="A14" s="42"/>
      <c r="B14" s="1079"/>
      <c r="C14" s="1080"/>
      <c r="D14" s="1080"/>
      <c r="E14" s="1080"/>
      <c r="F14" s="1080"/>
      <c r="G14" s="1080"/>
      <c r="H14" s="1080"/>
      <c r="I14" s="1080"/>
      <c r="J14" s="1080"/>
      <c r="K14" s="1081"/>
      <c r="L14" s="42"/>
    </row>
    <row r="15" spans="1:22" customFormat="1" ht="15.95" customHeight="1">
      <c r="B15" s="582"/>
      <c r="C15" s="583"/>
      <c r="D15" s="583"/>
      <c r="E15" s="583"/>
      <c r="F15" s="583"/>
      <c r="G15" s="583"/>
      <c r="H15" s="583"/>
      <c r="I15" s="583"/>
      <c r="J15" s="583"/>
      <c r="K15" s="584"/>
    </row>
    <row r="16" spans="1:22" customFormat="1" ht="15.95" customHeight="1">
      <c r="A16" s="42"/>
      <c r="B16" s="1109" t="s">
        <v>2205</v>
      </c>
      <c r="C16" s="1110"/>
      <c r="D16" s="1110"/>
      <c r="E16" s="1110"/>
      <c r="F16" s="1110"/>
      <c r="G16" s="1110"/>
      <c r="H16" s="1110"/>
      <c r="I16" s="1110"/>
      <c r="J16" s="1110"/>
      <c r="K16" s="599" t="s">
        <v>1346</v>
      </c>
      <c r="L16" s="42"/>
    </row>
    <row r="17" spans="1:21" customFormat="1" ht="15.95" customHeight="1">
      <c r="A17" s="42"/>
      <c r="B17" s="579"/>
      <c r="C17" s="580"/>
      <c r="D17" s="580"/>
      <c r="E17" s="580"/>
      <c r="F17" s="580"/>
      <c r="G17" s="580"/>
      <c r="H17" s="580"/>
      <c r="I17" s="580"/>
      <c r="J17" s="580"/>
      <c r="K17" s="581"/>
      <c r="L17" s="42"/>
    </row>
    <row r="18" spans="1:21" customFormat="1" ht="15.95" customHeight="1">
      <c r="A18" s="42"/>
      <c r="B18" s="579"/>
      <c r="C18" s="580"/>
      <c r="D18" s="580"/>
      <c r="E18" s="580"/>
      <c r="F18" s="580"/>
      <c r="G18" s="580"/>
      <c r="H18" s="580"/>
      <c r="I18" s="580"/>
      <c r="J18" s="580"/>
      <c r="K18" s="581"/>
      <c r="L18" s="42"/>
    </row>
    <row r="19" spans="1:21" customFormat="1" ht="15.95" customHeight="1">
      <c r="A19" s="42"/>
      <c r="B19" s="579"/>
      <c r="C19" s="580"/>
      <c r="D19" s="580"/>
      <c r="E19" s="580"/>
      <c r="F19" s="580"/>
      <c r="G19" s="580"/>
      <c r="H19" s="580"/>
      <c r="I19" s="580"/>
      <c r="J19" s="580"/>
      <c r="K19" s="581"/>
      <c r="L19" s="42"/>
    </row>
    <row r="20" spans="1:21" customFormat="1" ht="15.95" customHeight="1">
      <c r="A20" s="42"/>
      <c r="B20" s="579"/>
      <c r="C20" s="580"/>
      <c r="D20" s="580"/>
      <c r="E20" s="580"/>
      <c r="F20" s="580"/>
      <c r="G20" s="580"/>
      <c r="H20" s="580"/>
      <c r="I20" s="580"/>
      <c r="J20" s="580"/>
      <c r="K20" s="581"/>
      <c r="L20" s="42"/>
    </row>
    <row r="21" spans="1:21" s="42" customFormat="1" ht="15.75">
      <c r="B21" s="431"/>
      <c r="C21" s="218"/>
      <c r="D21" s="219"/>
      <c r="E21" s="219"/>
      <c r="F21" s="220"/>
      <c r="G21" s="220"/>
      <c r="H21" s="220"/>
      <c r="I21" s="220"/>
      <c r="J21" s="220"/>
      <c r="K21" s="432"/>
    </row>
    <row r="22" spans="1:21" s="42" customFormat="1" ht="21" customHeight="1">
      <c r="B22" s="1106" t="s">
        <v>763</v>
      </c>
      <c r="C22" s="1107"/>
      <c r="D22" s="1107"/>
      <c r="E22" s="1107"/>
      <c r="F22" s="1107"/>
      <c r="G22" s="1107"/>
      <c r="H22" s="1107"/>
      <c r="I22" s="1107"/>
      <c r="J22" s="1107"/>
      <c r="K22" s="430" t="s">
        <v>225</v>
      </c>
    </row>
    <row r="23" spans="1:21" s="42" customFormat="1" ht="15.75">
      <c r="B23" s="1074" t="s">
        <v>764</v>
      </c>
      <c r="C23" s="1075"/>
      <c r="D23" s="1075"/>
      <c r="E23" s="1075"/>
      <c r="F23" s="1075"/>
      <c r="G23" s="1075"/>
      <c r="H23" s="1075"/>
      <c r="I23" s="1075"/>
      <c r="J23" s="1075"/>
      <c r="K23" s="1076"/>
    </row>
    <row r="24" spans="1:21" s="42" customFormat="1" ht="15.95" customHeight="1">
      <c r="B24" s="1082"/>
      <c r="C24" s="1083"/>
      <c r="D24" s="1083"/>
      <c r="E24" s="1083"/>
      <c r="F24" s="1083"/>
      <c r="G24" s="1083"/>
      <c r="H24" s="1083"/>
      <c r="I24" s="1083"/>
      <c r="J24" s="1083"/>
      <c r="K24" s="1084"/>
    </row>
    <row r="25" spans="1:21" s="42" customFormat="1" ht="15.95" customHeight="1">
      <c r="B25" s="1082"/>
      <c r="C25" s="1083"/>
      <c r="D25" s="1083"/>
      <c r="E25" s="1083"/>
      <c r="F25" s="1083"/>
      <c r="G25" s="1083"/>
      <c r="H25" s="1083"/>
      <c r="I25" s="1083"/>
      <c r="J25" s="1083"/>
      <c r="K25" s="1084"/>
    </row>
    <row r="26" spans="1:21" s="42" customFormat="1" ht="15.75">
      <c r="B26" s="431"/>
      <c r="C26" s="218"/>
      <c r="D26" s="219"/>
      <c r="E26" s="219"/>
      <c r="F26" s="220"/>
      <c r="G26" s="220"/>
      <c r="H26" s="220"/>
      <c r="I26" s="220"/>
      <c r="J26" s="220"/>
      <c r="K26" s="432"/>
    </row>
    <row r="27" spans="1:21" s="42" customFormat="1" ht="15.75">
      <c r="B27" s="433"/>
      <c r="C27" s="434"/>
      <c r="D27" s="435"/>
      <c r="E27" s="435"/>
      <c r="F27" s="436"/>
      <c r="G27" s="436"/>
      <c r="H27" s="436"/>
      <c r="I27" s="436"/>
      <c r="J27" s="436"/>
      <c r="K27" s="437"/>
    </row>
    <row r="28" spans="1:21" customFormat="1" ht="21" customHeight="1">
      <c r="A28" s="42"/>
      <c r="B28" s="1054" t="s">
        <v>1347</v>
      </c>
      <c r="C28" s="1054"/>
      <c r="D28" s="1054"/>
      <c r="E28" s="1054"/>
      <c r="F28" s="1054"/>
      <c r="G28" s="1054"/>
      <c r="H28" s="1054"/>
      <c r="I28" s="1054"/>
      <c r="J28" s="1054"/>
      <c r="K28" s="1054"/>
      <c r="L28" s="1054"/>
      <c r="M28" s="1054"/>
      <c r="N28" s="1054"/>
      <c r="O28" s="1054"/>
      <c r="P28" s="1054"/>
      <c r="Q28" s="1054"/>
      <c r="R28" s="1054"/>
      <c r="S28" s="1054"/>
      <c r="T28" s="1054"/>
      <c r="U28" s="1054"/>
    </row>
    <row r="29" spans="1:21" customFormat="1" ht="72" customHeight="1" thickBot="1">
      <c r="A29" s="42"/>
      <c r="B29" s="1085" t="s">
        <v>1353</v>
      </c>
      <c r="C29" s="1085"/>
      <c r="D29" s="1085"/>
      <c r="E29" s="1085"/>
      <c r="F29" s="1085"/>
      <c r="G29" s="1085"/>
      <c r="H29" s="1085"/>
      <c r="I29" s="1085"/>
      <c r="J29" s="1085"/>
      <c r="K29" s="1085"/>
      <c r="L29" s="1085"/>
    </row>
    <row r="30" spans="1:21" customFormat="1" ht="18.600000000000001" customHeight="1" thickBot="1">
      <c r="A30" s="42"/>
      <c r="B30" s="1111" t="s">
        <v>1414</v>
      </c>
      <c r="C30" s="1112"/>
      <c r="D30" s="1112"/>
      <c r="E30" s="1112"/>
      <c r="F30" s="1112"/>
      <c r="G30" s="1112"/>
      <c r="H30" s="1112"/>
      <c r="I30" s="1112"/>
      <c r="J30" s="1113"/>
      <c r="K30" s="608"/>
      <c r="L30" s="608"/>
    </row>
    <row r="31" spans="1:21" s="99" customFormat="1" ht="30" customHeight="1" thickBot="1">
      <c r="A31" s="215"/>
      <c r="B31" s="1072" t="s">
        <v>765</v>
      </c>
      <c r="C31" s="1072"/>
      <c r="D31" s="527" t="s">
        <v>766</v>
      </c>
      <c r="E31" s="527" t="s">
        <v>767</v>
      </c>
      <c r="F31" s="527" t="s">
        <v>768</v>
      </c>
      <c r="G31" s="527" t="s">
        <v>769</v>
      </c>
      <c r="H31" s="527" t="s">
        <v>770</v>
      </c>
      <c r="I31" s="585" t="s">
        <v>771</v>
      </c>
      <c r="J31" s="585" t="s">
        <v>2108</v>
      </c>
      <c r="K31" s="527" t="s">
        <v>288</v>
      </c>
    </row>
    <row r="32" spans="1:21" s="101" customFormat="1" ht="17.25" customHeight="1" thickBot="1">
      <c r="A32" s="216"/>
      <c r="B32" s="1073" t="s">
        <v>341</v>
      </c>
      <c r="C32" s="1073"/>
      <c r="D32" s="438"/>
      <c r="E32" s="438"/>
      <c r="F32" s="438"/>
      <c r="G32" s="438"/>
      <c r="H32" s="438"/>
      <c r="I32" s="438"/>
      <c r="J32" s="438"/>
      <c r="K32" s="439"/>
    </row>
    <row r="33" spans="1:13" s="101" customFormat="1" ht="17.25" customHeight="1" thickBot="1">
      <c r="A33" s="216"/>
      <c r="B33" s="1073" t="s">
        <v>772</v>
      </c>
      <c r="C33" s="1073"/>
      <c r="D33" s="438"/>
      <c r="E33" s="438"/>
      <c r="F33" s="438"/>
      <c r="G33" s="438"/>
      <c r="H33" s="438"/>
      <c r="I33" s="438"/>
      <c r="J33" s="438"/>
      <c r="K33" s="439"/>
    </row>
    <row r="34" spans="1:13" s="101" customFormat="1" ht="17.25" customHeight="1" thickBot="1">
      <c r="A34" s="216"/>
      <c r="B34" s="1073" t="s">
        <v>773</v>
      </c>
      <c r="C34" s="1073"/>
      <c r="D34" s="438"/>
      <c r="E34" s="438"/>
      <c r="F34" s="438"/>
      <c r="G34" s="438"/>
      <c r="H34" s="438"/>
      <c r="I34" s="438"/>
      <c r="J34" s="438"/>
      <c r="K34" s="439"/>
    </row>
    <row r="35" spans="1:13" s="101" customFormat="1" ht="17.25" customHeight="1" thickBot="1">
      <c r="A35" s="216"/>
      <c r="B35" s="1073" t="s">
        <v>774</v>
      </c>
      <c r="C35" s="1073"/>
      <c r="D35" s="438"/>
      <c r="E35" s="438"/>
      <c r="F35" s="438"/>
      <c r="G35" s="438"/>
      <c r="H35" s="438"/>
      <c r="I35" s="438"/>
      <c r="J35" s="438"/>
      <c r="K35" s="439"/>
    </row>
    <row r="36" spans="1:13" s="101" customFormat="1" ht="17.25" customHeight="1" thickBot="1">
      <c r="A36" s="216"/>
      <c r="B36" s="1073" t="s">
        <v>775</v>
      </c>
      <c r="C36" s="1073"/>
      <c r="D36" s="438"/>
      <c r="E36" s="438"/>
      <c r="F36" s="438"/>
      <c r="G36" s="438"/>
      <c r="H36" s="438"/>
      <c r="I36" s="438"/>
      <c r="J36" s="438"/>
      <c r="K36" s="439"/>
    </row>
    <row r="37" spans="1:13" s="101" customFormat="1" ht="17.25" customHeight="1" thickBot="1">
      <c r="A37" s="216"/>
      <c r="B37" s="1077" t="s">
        <v>776</v>
      </c>
      <c r="C37" s="1077"/>
      <c r="D37" s="438"/>
      <c r="E37" s="438"/>
      <c r="F37" s="438"/>
      <c r="G37" s="438"/>
      <c r="H37" s="438"/>
      <c r="I37" s="438"/>
      <c r="J37" s="438"/>
      <c r="K37" s="439"/>
    </row>
    <row r="38" spans="1:13" s="101" customFormat="1" ht="17.25" customHeight="1" thickBot="1">
      <c r="A38" s="216"/>
      <c r="B38" s="1077" t="s">
        <v>776</v>
      </c>
      <c r="C38" s="1077"/>
      <c r="D38" s="438"/>
      <c r="E38" s="438"/>
      <c r="F38" s="438"/>
      <c r="G38" s="438"/>
      <c r="H38" s="438"/>
      <c r="I38" s="438"/>
      <c r="J38" s="438"/>
      <c r="K38" s="439"/>
    </row>
    <row r="39" spans="1:13" s="101" customFormat="1" ht="17.25" customHeight="1" thickBot="1">
      <c r="A39" s="216"/>
      <c r="B39" s="1077" t="s">
        <v>776</v>
      </c>
      <c r="C39" s="1077"/>
      <c r="D39" s="438"/>
      <c r="E39" s="438"/>
      <c r="F39" s="438"/>
      <c r="G39" s="438"/>
      <c r="H39" s="438"/>
      <c r="I39" s="438"/>
      <c r="J39" s="438"/>
      <c r="K39" s="439"/>
    </row>
    <row r="40" spans="1:13" customFormat="1" ht="16.5" customHeight="1">
      <c r="A40" s="42"/>
      <c r="B40" s="1078" t="s">
        <v>777</v>
      </c>
      <c r="C40" s="1078"/>
      <c r="D40" s="425">
        <f>SUM(D32:D39)</f>
        <v>0</v>
      </c>
      <c r="E40" s="425">
        <f>SUM(E32:E39)</f>
        <v>0</v>
      </c>
      <c r="F40" s="425">
        <f>SUM(F32:F39)</f>
        <v>0</v>
      </c>
      <c r="G40" s="425">
        <f>SUM(G32:G39)</f>
        <v>0</v>
      </c>
      <c r="H40" s="425">
        <f>SUM(H32:H39)</f>
        <v>0</v>
      </c>
      <c r="I40" s="425">
        <f t="shared" ref="I40:J40" si="0">SUM(I32:I39)</f>
        <v>0</v>
      </c>
      <c r="J40" s="425">
        <f t="shared" si="0"/>
        <v>0</v>
      </c>
      <c r="K40" s="426"/>
    </row>
    <row r="41" spans="1:13" s="42" customFormat="1">
      <c r="B41" s="1115" t="s">
        <v>2109</v>
      </c>
      <c r="C41" s="1115"/>
      <c r="D41" s="1115"/>
      <c r="E41" s="1115"/>
      <c r="F41" s="1115"/>
      <c r="G41" s="423"/>
      <c r="H41" s="423"/>
      <c r="I41" s="423"/>
      <c r="J41" s="423"/>
    </row>
    <row r="42" spans="1:13" s="99" customFormat="1" ht="18.95" customHeight="1" thickBot="1">
      <c r="A42" s="215"/>
      <c r="B42" s="42"/>
      <c r="C42" s="42"/>
      <c r="D42" s="42"/>
      <c r="E42" s="420"/>
      <c r="F42" s="420"/>
      <c r="G42" s="420"/>
      <c r="H42" s="1071" t="s">
        <v>1348</v>
      </c>
      <c r="I42" s="1071"/>
      <c r="J42" s="419">
        <f>SUM(D40:J40)</f>
        <v>0</v>
      </c>
      <c r="K42" s="543" t="s">
        <v>778</v>
      </c>
      <c r="L42" s="215"/>
    </row>
    <row r="43" spans="1:13" customFormat="1" ht="36" customHeight="1">
      <c r="A43" s="42"/>
      <c r="B43" s="42"/>
      <c r="C43" s="42"/>
      <c r="D43" s="1114"/>
      <c r="E43" s="1114"/>
      <c r="F43" s="1114"/>
      <c r="G43" s="1114"/>
      <c r="H43" s="1114"/>
      <c r="I43" s="421"/>
      <c r="J43" s="422"/>
      <c r="K43" s="468"/>
      <c r="L43" s="42"/>
    </row>
    <row r="44" spans="1:13" customFormat="1" ht="17.45" customHeight="1" thickBot="1">
      <c r="A44" s="42"/>
      <c r="B44" s="42"/>
      <c r="C44" s="42"/>
      <c r="D44" s="220"/>
      <c r="E44" s="220"/>
      <c r="F44" s="220"/>
      <c r="G44" s="220"/>
      <c r="H44" s="220"/>
      <c r="I44" s="421"/>
      <c r="J44" s="422"/>
      <c r="K44" s="44"/>
      <c r="L44" s="42"/>
    </row>
    <row r="45" spans="1:13" customFormat="1" ht="15.95" customHeight="1" thickBot="1">
      <c r="A45" s="42"/>
      <c r="B45" s="42"/>
      <c r="C45" s="42"/>
      <c r="D45" s="1087" t="s">
        <v>1350</v>
      </c>
      <c r="E45" s="1088"/>
      <c r="F45" s="1088"/>
      <c r="G45" s="1088"/>
      <c r="H45" s="1089" t="s">
        <v>1351</v>
      </c>
      <c r="I45" s="1090"/>
      <c r="J45" s="422"/>
      <c r="K45" s="44"/>
      <c r="L45" s="42"/>
    </row>
    <row r="46" spans="1:13" customFormat="1" ht="36" customHeight="1">
      <c r="A46" s="42"/>
      <c r="B46" s="1072" t="s">
        <v>765</v>
      </c>
      <c r="C46" s="1072"/>
      <c r="D46" s="589" t="s">
        <v>768</v>
      </c>
      <c r="E46" s="590" t="s">
        <v>769</v>
      </c>
      <c r="F46" s="590" t="s">
        <v>770</v>
      </c>
      <c r="G46" s="590" t="s">
        <v>1349</v>
      </c>
      <c r="H46" s="814" t="s">
        <v>2110</v>
      </c>
      <c r="I46" s="591" t="s">
        <v>2111</v>
      </c>
      <c r="J46" s="587" t="s">
        <v>288</v>
      </c>
      <c r="K46" s="422"/>
      <c r="L46" s="44"/>
      <c r="M46" s="42"/>
    </row>
    <row r="47" spans="1:13" customFormat="1" ht="15.75">
      <c r="A47" s="42"/>
      <c r="B47" s="1073" t="s">
        <v>341</v>
      </c>
      <c r="C47" s="1073"/>
      <c r="D47" s="594"/>
      <c r="E47" s="588"/>
      <c r="F47" s="588"/>
      <c r="G47" s="812"/>
      <c r="H47" s="813"/>
      <c r="I47" s="595"/>
      <c r="J47" s="595"/>
      <c r="K47" s="422"/>
      <c r="L47" s="44"/>
      <c r="M47" s="42"/>
    </row>
    <row r="48" spans="1:13" customFormat="1" ht="15.75">
      <c r="A48" s="42"/>
      <c r="B48" s="1073" t="s">
        <v>772</v>
      </c>
      <c r="C48" s="1073"/>
      <c r="D48" s="594"/>
      <c r="E48" s="588"/>
      <c r="F48" s="588"/>
      <c r="G48" s="812"/>
      <c r="H48" s="813"/>
      <c r="I48" s="595"/>
      <c r="J48" s="595"/>
      <c r="K48" s="422"/>
      <c r="L48" s="44"/>
      <c r="M48" s="42"/>
    </row>
    <row r="49" spans="1:13" customFormat="1" ht="15.75">
      <c r="A49" s="42"/>
      <c r="B49" s="1073" t="s">
        <v>773</v>
      </c>
      <c r="C49" s="1073"/>
      <c r="D49" s="594"/>
      <c r="E49" s="588"/>
      <c r="F49" s="588"/>
      <c r="G49" s="812"/>
      <c r="H49" s="813"/>
      <c r="I49" s="595"/>
      <c r="J49" s="595"/>
      <c r="K49" s="422"/>
      <c r="L49" s="44"/>
      <c r="M49" s="42"/>
    </row>
    <row r="50" spans="1:13" customFormat="1" ht="15.75">
      <c r="A50" s="42"/>
      <c r="B50" s="1073" t="s">
        <v>774</v>
      </c>
      <c r="C50" s="1073"/>
      <c r="D50" s="594"/>
      <c r="E50" s="588"/>
      <c r="F50" s="588"/>
      <c r="G50" s="812"/>
      <c r="H50" s="813"/>
      <c r="I50" s="595"/>
      <c r="J50" s="595"/>
      <c r="K50" s="422"/>
      <c r="L50" s="44"/>
      <c r="M50" s="42"/>
    </row>
    <row r="51" spans="1:13" customFormat="1" ht="15.75">
      <c r="A51" s="42"/>
      <c r="B51" s="1073" t="s">
        <v>775</v>
      </c>
      <c r="C51" s="1073"/>
      <c r="D51" s="594"/>
      <c r="E51" s="588"/>
      <c r="F51" s="588"/>
      <c r="G51" s="812"/>
      <c r="H51" s="813"/>
      <c r="I51" s="595"/>
      <c r="J51" s="595"/>
      <c r="K51" s="422"/>
      <c r="L51" s="44"/>
      <c r="M51" s="42"/>
    </row>
    <row r="52" spans="1:13" customFormat="1" ht="15.75">
      <c r="A52" s="42"/>
      <c r="B52" s="1077" t="s">
        <v>776</v>
      </c>
      <c r="C52" s="1077"/>
      <c r="D52" s="594"/>
      <c r="E52" s="588"/>
      <c r="F52" s="588"/>
      <c r="G52" s="812"/>
      <c r="H52" s="813"/>
      <c r="I52" s="595"/>
      <c r="J52" s="595"/>
      <c r="K52" s="422"/>
      <c r="L52" s="44"/>
      <c r="M52" s="42"/>
    </row>
    <row r="53" spans="1:13" customFormat="1" ht="15.75">
      <c r="A53" s="42"/>
      <c r="B53" s="1078" t="s">
        <v>777</v>
      </c>
      <c r="C53" s="1078"/>
      <c r="D53" s="597">
        <f>SUM(D47:D52)</f>
        <v>0</v>
      </c>
      <c r="E53" s="597">
        <f t="shared" ref="E53:I53" si="1">SUM(E47:E52)</f>
        <v>0</v>
      </c>
      <c r="F53" s="597">
        <f t="shared" si="1"/>
        <v>0</v>
      </c>
      <c r="G53" s="597">
        <f t="shared" si="1"/>
        <v>0</v>
      </c>
      <c r="H53" s="597">
        <f>SUM(H47:H52)</f>
        <v>0</v>
      </c>
      <c r="I53" s="597">
        <f t="shared" si="1"/>
        <v>0</v>
      </c>
      <c r="J53" s="596"/>
      <c r="K53" s="422"/>
      <c r="L53" s="44"/>
      <c r="M53" s="42"/>
    </row>
    <row r="54" spans="1:13" customFormat="1" ht="15.75">
      <c r="A54" s="42"/>
      <c r="B54" s="42"/>
      <c r="C54" s="42"/>
      <c r="D54" s="42"/>
      <c r="E54" s="420"/>
      <c r="F54" s="420"/>
      <c r="G54" s="420"/>
      <c r="H54" s="592"/>
      <c r="I54" s="592"/>
      <c r="J54" s="593"/>
      <c r="K54" s="44"/>
      <c r="L54" s="42"/>
    </row>
    <row r="55" spans="1:13" customFormat="1" ht="15.75">
      <c r="A55" s="42"/>
      <c r="B55" s="42"/>
      <c r="C55" s="42"/>
      <c r="D55" s="42"/>
      <c r="E55" s="420"/>
      <c r="F55" s="420"/>
      <c r="G55" s="420"/>
      <c r="H55" s="1071" t="s">
        <v>1352</v>
      </c>
      <c r="I55" s="1071"/>
      <c r="J55" s="419">
        <f>SUM(D53:I53)</f>
        <v>0</v>
      </c>
      <c r="K55" s="543" t="s">
        <v>778</v>
      </c>
      <c r="L55" s="42"/>
    </row>
    <row r="56" spans="1:13" customFormat="1" ht="15.75">
      <c r="A56" s="42"/>
      <c r="B56" s="42"/>
      <c r="C56" s="42"/>
      <c r="D56" s="42"/>
      <c r="E56" s="420"/>
      <c r="F56" s="420"/>
      <c r="G56" s="420"/>
      <c r="H56" s="421"/>
      <c r="I56" s="421"/>
      <c r="J56" s="422"/>
      <c r="K56" s="1096"/>
      <c r="L56" s="42"/>
    </row>
    <row r="57" spans="1:13" customFormat="1" ht="15.75">
      <c r="A57" s="42"/>
      <c r="B57" s="42"/>
      <c r="C57" s="42"/>
      <c r="D57" s="42"/>
      <c r="E57" s="420"/>
      <c r="F57" s="420"/>
      <c r="G57" s="420"/>
      <c r="H57" s="421"/>
      <c r="I57" s="421"/>
      <c r="J57" s="422"/>
      <c r="K57" s="1096"/>
      <c r="L57" s="42"/>
    </row>
    <row r="58" spans="1:13" s="42" customFormat="1">
      <c r="E58" s="423"/>
      <c r="F58" s="423"/>
      <c r="G58" s="423"/>
      <c r="H58" s="424"/>
      <c r="I58" s="424"/>
      <c r="J58" s="423"/>
    </row>
    <row r="59" spans="1:13" s="42" customFormat="1" ht="18.95" customHeight="1">
      <c r="B59" s="1086" t="s">
        <v>1138</v>
      </c>
      <c r="C59" s="1086"/>
      <c r="D59" s="1086"/>
      <c r="E59" s="1086"/>
      <c r="F59" s="1086"/>
      <c r="G59" s="1086"/>
      <c r="H59" s="1086"/>
      <c r="I59" s="1086"/>
      <c r="J59" s="1086"/>
      <c r="K59" s="407" t="s">
        <v>225</v>
      </c>
    </row>
    <row r="60" spans="1:13" s="404" customFormat="1" ht="15.75">
      <c r="B60" s="1097" t="s">
        <v>2185</v>
      </c>
      <c r="C60" s="1097"/>
      <c r="D60" s="1097"/>
      <c r="E60" s="1097"/>
      <c r="F60" s="1097"/>
      <c r="G60" s="1097"/>
      <c r="H60" s="1097"/>
      <c r="I60" s="1097"/>
      <c r="J60" s="1097"/>
      <c r="K60" s="1097"/>
    </row>
    <row r="61" spans="1:13" s="404" customFormat="1" ht="15.95" customHeight="1">
      <c r="B61" s="1083"/>
      <c r="C61" s="1083"/>
      <c r="D61" s="1083"/>
      <c r="E61" s="1083"/>
      <c r="F61" s="1083"/>
      <c r="G61" s="1083"/>
      <c r="H61" s="1083"/>
      <c r="I61" s="1083"/>
      <c r="J61" s="1083"/>
      <c r="K61" s="1083"/>
    </row>
    <row r="62" spans="1:13" s="404" customFormat="1" ht="15.95" customHeight="1">
      <c r="B62" s="1083"/>
      <c r="C62" s="1083"/>
      <c r="D62" s="1083"/>
      <c r="E62" s="1083"/>
      <c r="F62" s="1083"/>
      <c r="G62" s="1083"/>
      <c r="H62" s="1083"/>
      <c r="I62" s="1083"/>
      <c r="J62" s="1083"/>
      <c r="K62" s="1083"/>
    </row>
    <row r="63" spans="1:13" s="404" customFormat="1" ht="15.95" customHeight="1">
      <c r="B63" s="586"/>
      <c r="C63" s="586"/>
      <c r="D63" s="586"/>
      <c r="E63" s="586"/>
      <c r="F63" s="586"/>
      <c r="G63" s="586"/>
      <c r="H63" s="586"/>
      <c r="I63" s="586"/>
      <c r="J63" s="586"/>
      <c r="K63" s="586"/>
    </row>
    <row r="64" spans="1:13" s="404" customFormat="1" ht="15.95" customHeight="1">
      <c r="B64" s="586"/>
      <c r="C64" s="586"/>
      <c r="D64" s="586"/>
      <c r="E64" s="586"/>
      <c r="F64" s="586"/>
      <c r="G64" s="586"/>
      <c r="H64" s="586"/>
      <c r="I64" s="586"/>
      <c r="J64" s="586"/>
      <c r="K64" s="586"/>
    </row>
    <row r="65" spans="2:11" s="404" customFormat="1" ht="15.95" customHeight="1">
      <c r="B65" s="586"/>
      <c r="C65" s="586"/>
      <c r="D65" s="586"/>
      <c r="E65" s="586"/>
      <c r="F65" s="586"/>
      <c r="G65" s="586"/>
      <c r="H65" s="586"/>
      <c r="I65" s="586"/>
      <c r="J65" s="586"/>
      <c r="K65" s="586"/>
    </row>
    <row r="66" spans="2:11" s="404" customFormat="1"/>
    <row r="67" spans="2:11"/>
    <row r="68" spans="2:11"/>
    <row r="69" spans="2:11"/>
    <row r="72" spans="2:11"/>
    <row r="73" spans="2:11"/>
    <row r="74" spans="2:11"/>
    <row r="75" spans="2:11"/>
    <row r="77" spans="2:11"/>
    <row r="78" spans="2:11"/>
    <row r="79" spans="2:11"/>
    <row r="80" spans="2:11"/>
    <row r="81"/>
    <row r="82"/>
    <row r="83"/>
    <row r="84"/>
    <row r="85"/>
    <row r="86"/>
    <row r="87"/>
    <row r="88"/>
    <row r="89"/>
    <row r="90"/>
    <row r="91"/>
    <row r="92"/>
    <row r="93"/>
    <row r="94"/>
    <row r="95"/>
    <row r="96"/>
    <row r="97"/>
    <row r="98"/>
    <row r="99"/>
    <row r="100"/>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sheetData>
  <sheetProtection selectLockedCells="1"/>
  <mergeCells count="45">
    <mergeCell ref="B2:B7"/>
    <mergeCell ref="C6:K6"/>
    <mergeCell ref="H55:I55"/>
    <mergeCell ref="K56:K57"/>
    <mergeCell ref="B60:K60"/>
    <mergeCell ref="B10:K10"/>
    <mergeCell ref="B9:K9"/>
    <mergeCell ref="B23:K23"/>
    <mergeCell ref="B11:J11"/>
    <mergeCell ref="B22:J22"/>
    <mergeCell ref="C2:K4"/>
    <mergeCell ref="B16:J16"/>
    <mergeCell ref="B30:J30"/>
    <mergeCell ref="D43:H43"/>
    <mergeCell ref="B41:F41"/>
    <mergeCell ref="B61:K62"/>
    <mergeCell ref="B28:U28"/>
    <mergeCell ref="B29:L29"/>
    <mergeCell ref="B59:J59"/>
    <mergeCell ref="B49:C49"/>
    <mergeCell ref="B46:C46"/>
    <mergeCell ref="B47:C47"/>
    <mergeCell ref="B48:C48"/>
    <mergeCell ref="B50:C50"/>
    <mergeCell ref="B51:C51"/>
    <mergeCell ref="B52:C52"/>
    <mergeCell ref="D45:G45"/>
    <mergeCell ref="B53:C53"/>
    <mergeCell ref="H45:I45"/>
    <mergeCell ref="B1:K1"/>
    <mergeCell ref="C5:K5"/>
    <mergeCell ref="H42:I42"/>
    <mergeCell ref="B31:C31"/>
    <mergeCell ref="B32:C32"/>
    <mergeCell ref="B33:C33"/>
    <mergeCell ref="B34:C34"/>
    <mergeCell ref="B35:C35"/>
    <mergeCell ref="B12:K12"/>
    <mergeCell ref="B36:C36"/>
    <mergeCell ref="B37:C37"/>
    <mergeCell ref="B38:C38"/>
    <mergeCell ref="B39:C39"/>
    <mergeCell ref="B40:C40"/>
    <mergeCell ref="B13:K14"/>
    <mergeCell ref="B24:K25"/>
  </mergeCells>
  <conditionalFormatting sqref="B12">
    <cfRule type="expression" dxfId="30" priority="4">
      <formula>$K$11&lt;&gt;"yes"</formula>
    </cfRule>
  </conditionalFormatting>
  <conditionalFormatting sqref="B23:K23">
    <cfRule type="expression" dxfId="29" priority="2">
      <formula>$K$22&lt;&gt;"yes"</formula>
    </cfRule>
  </conditionalFormatting>
  <conditionalFormatting sqref="B60:K60">
    <cfRule type="expression" dxfId="28" priority="1">
      <formula>$K$59&lt;&gt;"yes"</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7C338E21-527B-024C-94D3-D9AC14C92EB8}">
          <x14:formula1>
            <xm:f>Source!$I$1:$I$4</xm:f>
          </x14:formula1>
          <xm:sqref>K11 K22 K59</xm:sqref>
        </x14:dataValidation>
        <x14:dataValidation type="list" allowBlank="1" showInputMessage="1" showErrorMessage="1" xr:uid="{65257A4D-64FA-4A4A-8121-19B46E2DBF0D}">
          <x14:formula1>
            <xm:f>Source!$AQ$1:$AQ$6</xm:f>
          </x14:formula1>
          <xm:sqref>B37:C39 B52:C52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S121"/>
  <sheetViews>
    <sheetView showGridLines="0" zoomScale="90" zoomScaleNormal="90" workbookViewId="0">
      <pane xSplit="1" ySplit="5" topLeftCell="B15" activePane="bottomRight" state="frozen"/>
      <selection activeCell="J24" sqref="J24"/>
      <selection pane="topRight" activeCell="J24" sqref="J24"/>
      <selection pane="bottomLeft" activeCell="J24" sqref="J24"/>
      <selection pane="bottomRight" activeCell="C19" sqref="C19:D19"/>
    </sheetView>
  </sheetViews>
  <sheetFormatPr defaultColWidth="0" defaultRowHeight="15.75" zeroHeight="1"/>
  <cols>
    <col min="1" max="1" width="1.85546875" style="194" customWidth="1"/>
    <col min="2" max="2" width="10.28515625" style="194" customWidth="1"/>
    <col min="3" max="3" width="27" style="194" customWidth="1"/>
    <col min="4" max="4" width="8.7109375" style="194" customWidth="1"/>
    <col min="5" max="5" width="58.28515625" style="354" customWidth="1"/>
    <col min="6" max="6" width="24" style="194" customWidth="1"/>
    <col min="7" max="7" width="14.28515625" style="194" customWidth="1"/>
    <col min="8" max="8" width="13.42578125" style="222" customWidth="1"/>
    <col min="9" max="9" width="20" style="194" customWidth="1"/>
    <col min="10" max="10" width="12.140625" style="194" customWidth="1"/>
    <col min="11" max="11" width="38" style="194" customWidth="1"/>
    <col min="12" max="12" width="8.42578125" style="194" customWidth="1"/>
    <col min="13" max="16384" width="9.140625" style="194" hidden="1"/>
  </cols>
  <sheetData>
    <row r="1" spans="2:19" ht="16.5" thickBot="1">
      <c r="B1" s="1155" t="s">
        <v>22</v>
      </c>
      <c r="C1" s="1155"/>
      <c r="D1" s="1155"/>
      <c r="E1" s="1155"/>
      <c r="F1" s="1155"/>
      <c r="G1" s="1155"/>
      <c r="H1" s="1155"/>
      <c r="I1" s="1155"/>
      <c r="J1" s="1155"/>
      <c r="K1" s="1155"/>
      <c r="L1" s="57"/>
      <c r="M1" s="470"/>
      <c r="N1" s="470"/>
      <c r="O1" s="470"/>
      <c r="P1" s="470"/>
      <c r="Q1" s="470"/>
      <c r="R1" s="470"/>
      <c r="S1" s="470"/>
    </row>
    <row r="2" spans="2:19" ht="15.75" customHeight="1">
      <c r="B2" s="901" t="s">
        <v>19</v>
      </c>
      <c r="C2" s="901"/>
      <c r="D2" s="901"/>
      <c r="E2" s="1156" t="s">
        <v>779</v>
      </c>
      <c r="F2" s="1157"/>
      <c r="G2" s="1157"/>
      <c r="H2" s="1157"/>
      <c r="I2" s="1157"/>
      <c r="J2" s="1157"/>
      <c r="K2" s="1157"/>
      <c r="L2" s="213"/>
      <c r="M2" s="213"/>
      <c r="N2" s="213"/>
      <c r="O2" s="213"/>
      <c r="P2" s="213"/>
      <c r="Q2" s="213"/>
      <c r="R2" s="213"/>
      <c r="S2" s="213"/>
    </row>
    <row r="3" spans="2:19">
      <c r="B3" s="901"/>
      <c r="C3" s="901"/>
      <c r="D3" s="901"/>
      <c r="E3" s="1156"/>
      <c r="F3" s="1157"/>
      <c r="G3" s="1157"/>
      <c r="H3" s="1157"/>
      <c r="I3" s="1157"/>
      <c r="J3" s="1157"/>
      <c r="K3" s="1157"/>
      <c r="L3" s="213"/>
      <c r="M3" s="213"/>
      <c r="N3" s="213"/>
      <c r="O3" s="213"/>
      <c r="P3" s="213"/>
      <c r="Q3" s="213"/>
      <c r="R3" s="213"/>
      <c r="S3" s="213"/>
    </row>
    <row r="4" spans="2:19" ht="15.75" customHeight="1" thickBot="1">
      <c r="B4" s="901"/>
      <c r="C4" s="901"/>
      <c r="D4" s="901"/>
      <c r="E4" s="1158" t="s">
        <v>780</v>
      </c>
      <c r="F4" s="1159"/>
      <c r="G4" s="1159"/>
      <c r="H4" s="1159"/>
      <c r="I4" s="1159"/>
      <c r="J4" s="1159"/>
      <c r="K4" s="1159"/>
      <c r="L4" s="221"/>
      <c r="M4" s="213"/>
      <c r="N4" s="213"/>
      <c r="O4" s="213"/>
      <c r="P4" s="213"/>
      <c r="Q4" s="213"/>
      <c r="R4" s="213"/>
      <c r="S4" s="213"/>
    </row>
    <row r="5" spans="2:19" ht="18" customHeight="1">
      <c r="B5" s="901"/>
      <c r="C5" s="901"/>
      <c r="D5" s="901"/>
      <c r="E5" s="1020" t="s">
        <v>358</v>
      </c>
      <c r="F5" s="1021"/>
      <c r="G5" s="1021"/>
      <c r="H5" s="1021"/>
      <c r="I5" s="1021"/>
      <c r="J5" s="1021"/>
      <c r="K5" s="1021"/>
      <c r="L5" s="213"/>
      <c r="M5" s="213"/>
      <c r="N5" s="213"/>
      <c r="O5" s="213"/>
      <c r="P5" s="213"/>
      <c r="Q5" s="213"/>
      <c r="R5" s="213"/>
      <c r="S5" s="213"/>
    </row>
    <row r="6" spans="2:19" ht="12.95" customHeight="1">
      <c r="B6" s="470"/>
      <c r="C6" s="470"/>
      <c r="D6" s="470"/>
      <c r="E6" s="487"/>
      <c r="F6" s="470"/>
      <c r="G6" s="470"/>
      <c r="H6" s="488"/>
      <c r="I6" s="470"/>
      <c r="J6" s="470"/>
      <c r="K6" s="470"/>
      <c r="L6" s="470"/>
      <c r="M6" s="470"/>
      <c r="N6" s="470"/>
      <c r="O6" s="470"/>
      <c r="P6" s="470"/>
      <c r="Q6" s="470"/>
      <c r="R6" s="470"/>
      <c r="S6" s="470"/>
    </row>
    <row r="7" spans="2:19" s="223" customFormat="1" ht="1.5" hidden="1" customHeight="1">
      <c r="B7" s="489"/>
      <c r="C7" s="489"/>
      <c r="D7" s="489"/>
      <c r="E7" s="1150" t="s">
        <v>26</v>
      </c>
      <c r="F7" s="1150"/>
      <c r="G7" s="1152" t="str">
        <f>'Contact Information '!J9</f>
        <v>Please select your answer from the dropdown</v>
      </c>
      <c r="H7" s="1152"/>
      <c r="I7" s="1152"/>
      <c r="J7" s="117"/>
      <c r="K7" s="224"/>
      <c r="L7" s="489"/>
      <c r="M7" s="489"/>
      <c r="N7" s="489"/>
      <c r="O7" s="489"/>
      <c r="P7" s="489"/>
      <c r="Q7" s="489"/>
      <c r="R7" s="489"/>
      <c r="S7" s="489"/>
    </row>
    <row r="8" spans="2:19" ht="16.5" customHeight="1">
      <c r="B8" s="470"/>
      <c r="C8" s="470"/>
      <c r="D8" s="470"/>
      <c r="E8" s="487"/>
      <c r="F8" s="470"/>
      <c r="G8" s="470"/>
      <c r="H8" s="470"/>
      <c r="I8" s="470"/>
      <c r="J8" s="470"/>
      <c r="K8" s="470"/>
      <c r="L8" s="470"/>
      <c r="M8" s="470"/>
      <c r="N8" s="470"/>
      <c r="O8" s="470"/>
      <c r="P8" s="470"/>
      <c r="Q8" s="470"/>
      <c r="R8" s="470"/>
      <c r="S8" s="470"/>
    </row>
    <row r="9" spans="2:19" ht="14.45" customHeight="1">
      <c r="B9" s="470"/>
      <c r="C9" s="470"/>
      <c r="D9" s="470"/>
      <c r="E9" s="487"/>
      <c r="F9" s="225"/>
      <c r="G9" s="225"/>
      <c r="H9" s="225"/>
      <c r="I9" s="225"/>
      <c r="J9" s="225"/>
      <c r="K9" s="225"/>
      <c r="L9" s="470"/>
      <c r="M9" s="470"/>
      <c r="N9" s="470"/>
      <c r="O9" s="470"/>
      <c r="P9" s="470"/>
      <c r="Q9" s="470"/>
      <c r="R9" s="470"/>
      <c r="S9" s="470"/>
    </row>
    <row r="10" spans="2:19" ht="30.75" customHeight="1" thickBot="1">
      <c r="B10" s="1148" t="s">
        <v>19</v>
      </c>
      <c r="C10" s="1148"/>
      <c r="D10" s="1148"/>
      <c r="E10" s="1148"/>
      <c r="F10" s="1148"/>
      <c r="G10" s="1148"/>
      <c r="H10" s="1148"/>
      <c r="I10" s="1148"/>
      <c r="J10" s="1148"/>
      <c r="K10" s="1148"/>
      <c r="L10" s="55"/>
      <c r="M10" s="470"/>
      <c r="N10" s="470"/>
      <c r="O10" s="470"/>
      <c r="P10" s="470"/>
      <c r="Q10" s="470"/>
      <c r="R10" s="470"/>
      <c r="S10" s="470"/>
    </row>
    <row r="11" spans="2:19" s="223" customFormat="1" ht="36" customHeight="1" thickBot="1">
      <c r="B11" s="251" t="s">
        <v>360</v>
      </c>
      <c r="C11" s="1153" t="s">
        <v>781</v>
      </c>
      <c r="D11" s="1153"/>
      <c r="E11" s="1153"/>
      <c r="F11" s="1153"/>
      <c r="G11" s="1153"/>
      <c r="H11" s="1153"/>
      <c r="I11" s="1153"/>
      <c r="J11" s="1153"/>
      <c r="K11" s="1153"/>
      <c r="L11" s="56"/>
      <c r="M11" s="489"/>
      <c r="N11" s="489"/>
      <c r="O11" s="489"/>
      <c r="P11" s="489"/>
      <c r="Q11" s="489"/>
      <c r="R11" s="489"/>
      <c r="S11" s="489"/>
    </row>
    <row r="12" spans="2:19" s="223" customFormat="1" ht="36" customHeight="1">
      <c r="B12" s="116" t="s">
        <v>362</v>
      </c>
      <c r="C12" s="1154" t="s">
        <v>782</v>
      </c>
      <c r="D12" s="1154"/>
      <c r="E12" s="1154"/>
      <c r="F12" s="1154"/>
      <c r="G12" s="1154"/>
      <c r="H12" s="1154"/>
      <c r="I12" s="1154"/>
      <c r="J12" s="1154"/>
      <c r="K12" s="1154"/>
      <c r="L12" s="56"/>
      <c r="M12" s="489"/>
      <c r="N12" s="489"/>
      <c r="O12" s="489"/>
      <c r="P12" s="489"/>
      <c r="Q12" s="489"/>
      <c r="R12" s="489"/>
      <c r="S12" s="489"/>
    </row>
    <row r="13" spans="2:19" s="266" customFormat="1" ht="20.25" customHeight="1">
      <c r="B13" s="268"/>
      <c r="E13" s="268"/>
      <c r="H13" s="267"/>
    </row>
    <row r="14" spans="2:19" ht="21">
      <c r="B14" s="1151" t="s">
        <v>365</v>
      </c>
      <c r="C14" s="1151"/>
      <c r="D14" s="1151"/>
      <c r="E14" s="1151"/>
      <c r="F14" s="1151"/>
      <c r="G14" s="1151"/>
      <c r="H14" s="1151"/>
      <c r="I14" s="1151"/>
      <c r="J14" s="1151"/>
      <c r="K14" s="1151"/>
      <c r="L14" s="53"/>
      <c r="M14" s="470"/>
      <c r="N14" s="470"/>
      <c r="O14" s="470"/>
      <c r="P14" s="470"/>
      <c r="Q14" s="470"/>
      <c r="R14" s="470"/>
      <c r="S14" s="470"/>
    </row>
    <row r="15" spans="2:19" ht="18.75">
      <c r="B15" s="1149" t="s">
        <v>783</v>
      </c>
      <c r="C15" s="1149"/>
      <c r="D15" s="1149"/>
      <c r="E15" s="1149"/>
      <c r="F15" s="1149"/>
      <c r="G15" s="1149"/>
      <c r="H15" s="1149"/>
      <c r="I15" s="1149"/>
      <c r="J15" s="1149"/>
      <c r="K15" s="1149"/>
      <c r="L15" s="53"/>
      <c r="M15" s="470"/>
      <c r="N15" s="470"/>
      <c r="O15" s="470"/>
      <c r="P15" s="470"/>
      <c r="Q15" s="470"/>
      <c r="R15" s="470"/>
      <c r="S15" s="470"/>
    </row>
    <row r="16" spans="2:19" ht="15.75" customHeight="1" thickBot="1">
      <c r="B16" s="1145" t="s">
        <v>784</v>
      </c>
      <c r="C16" s="1145"/>
      <c r="D16" s="1145"/>
      <c r="E16" s="1145"/>
      <c r="F16" s="1145"/>
      <c r="G16" s="1145"/>
      <c r="H16" s="1145"/>
      <c r="I16" s="1145"/>
      <c r="J16" s="1145"/>
      <c r="K16" s="1145"/>
      <c r="L16" s="54"/>
      <c r="M16" s="470"/>
      <c r="N16" s="470"/>
      <c r="O16" s="470"/>
      <c r="P16" s="470"/>
      <c r="Q16" s="470"/>
      <c r="R16" s="470"/>
      <c r="S16" s="470"/>
    </row>
    <row r="17" spans="2:12" ht="16.5" thickBot="1">
      <c r="B17" s="1146" t="s">
        <v>785</v>
      </c>
      <c r="C17" s="1146"/>
      <c r="D17" s="1146"/>
      <c r="E17" s="1146"/>
      <c r="F17" s="1146"/>
      <c r="G17" s="1146"/>
      <c r="H17" s="1146"/>
      <c r="I17" s="1146"/>
      <c r="J17" s="1146"/>
      <c r="K17" s="1146"/>
      <c r="L17" s="54"/>
    </row>
    <row r="18" spans="2:12" ht="41.25" customHeight="1" thickBot="1">
      <c r="B18" s="113"/>
      <c r="C18" s="1135" t="s">
        <v>720</v>
      </c>
      <c r="D18" s="1135"/>
      <c r="E18" s="528" t="s">
        <v>422</v>
      </c>
      <c r="F18" s="114" t="s">
        <v>786</v>
      </c>
      <c r="G18" s="114" t="s">
        <v>787</v>
      </c>
      <c r="H18" s="115" t="s">
        <v>788</v>
      </c>
      <c r="I18" s="114" t="s">
        <v>1132</v>
      </c>
      <c r="J18" s="1147" t="s">
        <v>790</v>
      </c>
      <c r="K18" s="1147"/>
      <c r="L18" s="470"/>
    </row>
    <row r="19" spans="2:12" ht="16.5" thickBot="1">
      <c r="B19" s="490">
        <v>1</v>
      </c>
      <c r="C19" s="1116" t="str">
        <f>IFERROR(VLOOKUP($G$7&amp;$B19,'EV Charging Stations source'!A:V,5,FALSE),"")</f>
        <v/>
      </c>
      <c r="D19" s="1116"/>
      <c r="E19" s="355" t="str">
        <f>IFERROR(VLOOKUP($G$7&amp;$B19,'EV Charging Stations source'!A:V,6,FALSE),"")</f>
        <v/>
      </c>
      <c r="F19" s="226" t="str">
        <f>IFERROR(VLOOKUP($G$7&amp;$B19,'EV Charging Stations source'!A:V,20,FALSE),"")</f>
        <v/>
      </c>
      <c r="G19" s="226" t="str">
        <f>IFERROR(VLOOKUP($G$7&amp;$B19,'EV Charging Stations source'!A:V,22,FALSE),"")</f>
        <v/>
      </c>
      <c r="H19" s="226" t="str">
        <f>IFERROR(VLOOKUP($G$7&amp;$B19,'EV Charging Stations source'!A:V,21,FALSE)," ")</f>
        <v xml:space="preserve"> </v>
      </c>
      <c r="I19" s="226" t="str">
        <f>IFERROR(VLOOKUP($G$7&amp;$B19,'EV Charging Stations source'!A:V,13,FALSE)," ")</f>
        <v xml:space="preserve"> </v>
      </c>
      <c r="J19" s="1138"/>
      <c r="K19" s="1139"/>
      <c r="L19" s="470"/>
    </row>
    <row r="20" spans="2:12" ht="16.5" thickBot="1">
      <c r="B20" s="490">
        <v>2</v>
      </c>
      <c r="C20" s="1116" t="str">
        <f>IFERROR(VLOOKUP($G$7&amp;$B20,'EV Charging Stations source'!A:V,5,FALSE),"")</f>
        <v/>
      </c>
      <c r="D20" s="1116"/>
      <c r="E20" s="355" t="str">
        <f>IFERROR(VLOOKUP($G$7&amp;$B20,'EV Charging Stations source'!A:V,6,FALSE),"")</f>
        <v/>
      </c>
      <c r="F20" s="226" t="str">
        <f>IFERROR(VLOOKUP($G$7&amp;$B20,'EV Charging Stations source'!A:V,20,FALSE),"")</f>
        <v/>
      </c>
      <c r="G20" s="226" t="str">
        <f>IFERROR(VLOOKUP($G$7&amp;$B20,'EV Charging Stations source'!A:V,22,FALSE),"")</f>
        <v/>
      </c>
      <c r="H20" s="226" t="str">
        <f>IFERROR(VLOOKUP($G$7&amp;$B20,'EV Charging Stations source'!A:V,21,FALSE)," ")</f>
        <v xml:space="preserve"> </v>
      </c>
      <c r="I20" s="226" t="str">
        <f>IFERROR(VLOOKUP($G$7&amp;$B20,'EV Charging Stations source'!A:V,13,FALSE)," ")</f>
        <v xml:space="preserve"> </v>
      </c>
      <c r="J20" s="1138"/>
      <c r="K20" s="1139"/>
      <c r="L20" s="470"/>
    </row>
    <row r="21" spans="2:12" ht="16.5" thickBot="1">
      <c r="B21" s="490">
        <v>3</v>
      </c>
      <c r="C21" s="1116" t="str">
        <f>IFERROR(VLOOKUP($G$7&amp;$B21,'EV Charging Stations source'!A:V,5,FALSE),"")</f>
        <v/>
      </c>
      <c r="D21" s="1116"/>
      <c r="E21" s="355" t="str">
        <f>IFERROR(VLOOKUP($G$7&amp;$B21,'EV Charging Stations source'!A:V,6,FALSE),"")</f>
        <v/>
      </c>
      <c r="F21" s="226" t="str">
        <f>IFERROR(VLOOKUP($G$7&amp;$B21,'EV Charging Stations source'!A:V,20,FALSE),"")</f>
        <v/>
      </c>
      <c r="G21" s="226" t="str">
        <f>IFERROR(VLOOKUP($G$7&amp;$B21,'EV Charging Stations source'!A:V,22,FALSE),"")</f>
        <v/>
      </c>
      <c r="H21" s="226" t="str">
        <f>IFERROR(VLOOKUP($G$7&amp;$B21,'EV Charging Stations source'!A:V,21,FALSE)," ")</f>
        <v xml:space="preserve"> </v>
      </c>
      <c r="I21" s="226" t="str">
        <f>IFERROR(VLOOKUP($G$7&amp;$B21,'EV Charging Stations source'!A:V,13,FALSE)," ")</f>
        <v xml:space="preserve"> </v>
      </c>
      <c r="J21" s="1138"/>
      <c r="K21" s="1139"/>
      <c r="L21" s="470"/>
    </row>
    <row r="22" spans="2:12" ht="16.5" thickBot="1">
      <c r="B22" s="490">
        <v>4</v>
      </c>
      <c r="C22" s="1116" t="str">
        <f>IFERROR(VLOOKUP($G$7&amp;$B22,'EV Charging Stations source'!A:V,5,FALSE),"")</f>
        <v/>
      </c>
      <c r="D22" s="1116"/>
      <c r="E22" s="355" t="str">
        <f>IFERROR(VLOOKUP($G$7&amp;$B22,'EV Charging Stations source'!A:V,6,FALSE),"")</f>
        <v/>
      </c>
      <c r="F22" s="226" t="str">
        <f>IFERROR(VLOOKUP($G$7&amp;$B22,'EV Charging Stations source'!A:V,20,FALSE),"")</f>
        <v/>
      </c>
      <c r="G22" s="226" t="str">
        <f>IFERROR(VLOOKUP($G$7&amp;$B22,'EV Charging Stations source'!A:V,22,FALSE),"")</f>
        <v/>
      </c>
      <c r="H22" s="226" t="str">
        <f>IFERROR(VLOOKUP($G$7&amp;$B22,'EV Charging Stations source'!A:V,21,FALSE)," ")</f>
        <v xml:space="preserve"> </v>
      </c>
      <c r="I22" s="226" t="str">
        <f>IFERROR(VLOOKUP($G$7&amp;$B22,'EV Charging Stations source'!A:V,13,FALSE)," ")</f>
        <v xml:space="preserve"> </v>
      </c>
      <c r="J22" s="1138"/>
      <c r="K22" s="1139"/>
      <c r="L22" s="470"/>
    </row>
    <row r="23" spans="2:12" ht="16.5" thickBot="1">
      <c r="B23" s="490">
        <v>5</v>
      </c>
      <c r="C23" s="1116" t="str">
        <f>IFERROR(VLOOKUP($G$7&amp;$B23,'EV Charging Stations source'!A:V,5,FALSE),"")</f>
        <v/>
      </c>
      <c r="D23" s="1116"/>
      <c r="E23" s="355" t="str">
        <f>IFERROR(VLOOKUP($G$7&amp;$B23,'EV Charging Stations source'!A:V,6,FALSE),"")</f>
        <v/>
      </c>
      <c r="F23" s="226" t="str">
        <f>IFERROR(VLOOKUP($G$7&amp;$B23,'EV Charging Stations source'!A:V,20,FALSE),"")</f>
        <v/>
      </c>
      <c r="G23" s="226" t="str">
        <f>IFERROR(VLOOKUP($G$7&amp;$B23,'EV Charging Stations source'!A:V,22,FALSE),"")</f>
        <v/>
      </c>
      <c r="H23" s="226" t="str">
        <f>IFERROR(VLOOKUP($G$7&amp;$B23,'EV Charging Stations source'!A:V,21,FALSE)," ")</f>
        <v xml:space="preserve"> </v>
      </c>
      <c r="I23" s="226" t="str">
        <f>IFERROR(VLOOKUP($G$7&amp;$B23,'EV Charging Stations source'!A:V,13,FALSE)," ")</f>
        <v xml:space="preserve"> </v>
      </c>
      <c r="J23" s="1138"/>
      <c r="K23" s="1139"/>
      <c r="L23" s="470"/>
    </row>
    <row r="24" spans="2:12" ht="16.5" thickBot="1">
      <c r="B24" s="490">
        <v>6</v>
      </c>
      <c r="C24" s="1116" t="str">
        <f>IFERROR(VLOOKUP($G$7&amp;$B24,'EV Charging Stations source'!A:V,5,FALSE),"")</f>
        <v/>
      </c>
      <c r="D24" s="1116"/>
      <c r="E24" s="355" t="str">
        <f>IFERROR(VLOOKUP($G$7&amp;$B24,'EV Charging Stations source'!A:V,6,FALSE),"")</f>
        <v/>
      </c>
      <c r="F24" s="226" t="str">
        <f>IFERROR(VLOOKUP($G$7&amp;$B24,'EV Charging Stations source'!A:V,20,FALSE),"")</f>
        <v/>
      </c>
      <c r="G24" s="226" t="str">
        <f>IFERROR(VLOOKUP($G$7&amp;$B24,'EV Charging Stations source'!A:V,22,FALSE),"")</f>
        <v/>
      </c>
      <c r="H24" s="226" t="str">
        <f>IFERROR(VLOOKUP($G$7&amp;$B24,'EV Charging Stations source'!A:V,21,FALSE)," ")</f>
        <v xml:space="preserve"> </v>
      </c>
      <c r="I24" s="226" t="str">
        <f>IFERROR(VLOOKUP($G$7&amp;$B24,'EV Charging Stations source'!A:V,13,FALSE)," ")</f>
        <v xml:space="preserve"> </v>
      </c>
      <c r="J24" s="1138"/>
      <c r="K24" s="1139"/>
      <c r="L24" s="470"/>
    </row>
    <row r="25" spans="2:12" ht="16.5" thickBot="1">
      <c r="B25" s="490">
        <v>7</v>
      </c>
      <c r="C25" s="1116" t="str">
        <f>IFERROR(VLOOKUP($G$7&amp;$B25,'EV Charging Stations source'!A:V,5,FALSE),"")</f>
        <v/>
      </c>
      <c r="D25" s="1116"/>
      <c r="E25" s="355" t="str">
        <f>IFERROR(VLOOKUP($G$7&amp;$B25,'EV Charging Stations source'!A:V,6,FALSE),"")</f>
        <v/>
      </c>
      <c r="F25" s="226" t="str">
        <f>IFERROR(VLOOKUP($G$7&amp;$B25,'EV Charging Stations source'!A:V,20,FALSE),"")</f>
        <v/>
      </c>
      <c r="G25" s="226" t="str">
        <f>IFERROR(VLOOKUP($G$7&amp;$B25,'EV Charging Stations source'!A:V,22,FALSE),"")</f>
        <v/>
      </c>
      <c r="H25" s="226" t="str">
        <f>IFERROR(VLOOKUP($G$7&amp;$B25,'EV Charging Stations source'!A:V,21,FALSE)," ")</f>
        <v xml:space="preserve"> </v>
      </c>
      <c r="I25" s="226" t="str">
        <f>IFERROR(VLOOKUP($G$7&amp;$B25,'EV Charging Stations source'!A:V,13,FALSE)," ")</f>
        <v xml:space="preserve"> </v>
      </c>
      <c r="J25" s="1138"/>
      <c r="K25" s="1139"/>
      <c r="L25" s="470"/>
    </row>
    <row r="26" spans="2:12" ht="16.5" thickBot="1">
      <c r="B26" s="490">
        <v>8</v>
      </c>
      <c r="C26" s="1116" t="str">
        <f>IFERROR(VLOOKUP($G$7&amp;$B26,'EV Charging Stations source'!A:V,5,FALSE),"")</f>
        <v/>
      </c>
      <c r="D26" s="1116"/>
      <c r="E26" s="355" t="str">
        <f>IFERROR(VLOOKUP($G$7&amp;$B26,'EV Charging Stations source'!A:V,6,FALSE),"")</f>
        <v/>
      </c>
      <c r="F26" s="226" t="str">
        <f>IFERROR(VLOOKUP($G$7&amp;$B26,'EV Charging Stations source'!A:V,20,FALSE),"")</f>
        <v/>
      </c>
      <c r="G26" s="226" t="str">
        <f>IFERROR(VLOOKUP($G$7&amp;$B26,'EV Charging Stations source'!A:V,22,FALSE),"")</f>
        <v/>
      </c>
      <c r="H26" s="226" t="str">
        <f>IFERROR(VLOOKUP($G$7&amp;$B26,'EV Charging Stations source'!A:V,21,FALSE)," ")</f>
        <v xml:space="preserve"> </v>
      </c>
      <c r="I26" s="226" t="str">
        <f>IFERROR(VLOOKUP($G$7&amp;$B26,'EV Charging Stations source'!A:V,13,FALSE)," ")</f>
        <v xml:space="preserve"> </v>
      </c>
      <c r="J26" s="1138"/>
      <c r="K26" s="1139"/>
      <c r="L26" s="470"/>
    </row>
    <row r="27" spans="2:12" ht="16.5" thickBot="1">
      <c r="B27" s="490">
        <v>9</v>
      </c>
      <c r="C27" s="1116" t="str">
        <f>IFERROR(VLOOKUP($G$7&amp;$B27,'EV Charging Stations source'!A:V,5,FALSE),"")</f>
        <v/>
      </c>
      <c r="D27" s="1116"/>
      <c r="E27" s="355" t="str">
        <f>IFERROR(VLOOKUP($G$7&amp;$B27,'EV Charging Stations source'!A:V,6,FALSE),"")</f>
        <v/>
      </c>
      <c r="F27" s="226" t="str">
        <f>IFERROR(VLOOKUP($G$7&amp;$B27,'EV Charging Stations source'!A:V,20,FALSE),"")</f>
        <v/>
      </c>
      <c r="G27" s="226" t="str">
        <f>IFERROR(VLOOKUP($G$7&amp;$B27,'EV Charging Stations source'!A:V,22,FALSE),"")</f>
        <v/>
      </c>
      <c r="H27" s="226" t="str">
        <f>IFERROR(VLOOKUP($G$7&amp;$B27,'EV Charging Stations source'!A:V,21,FALSE)," ")</f>
        <v xml:space="preserve"> </v>
      </c>
      <c r="I27" s="226" t="str">
        <f>IFERROR(VLOOKUP($G$7&amp;$B27,'EV Charging Stations source'!A:V,13,FALSE)," ")</f>
        <v xml:space="preserve"> </v>
      </c>
      <c r="J27" s="1138"/>
      <c r="K27" s="1139"/>
      <c r="L27" s="470"/>
    </row>
    <row r="28" spans="2:12" ht="16.5" thickBot="1">
      <c r="B28" s="490">
        <v>10</v>
      </c>
      <c r="C28" s="1116" t="str">
        <f>IFERROR(VLOOKUP($G$7&amp;$B28,'EV Charging Stations source'!A:V,5,FALSE),"")</f>
        <v/>
      </c>
      <c r="D28" s="1116"/>
      <c r="E28" s="355" t="str">
        <f>IFERROR(VLOOKUP($G$7&amp;$B28,'EV Charging Stations source'!A:V,6,FALSE),"")</f>
        <v/>
      </c>
      <c r="F28" s="226" t="str">
        <f>IFERROR(VLOOKUP($G$7&amp;$B28,'EV Charging Stations source'!A:V,20,FALSE),"")</f>
        <v/>
      </c>
      <c r="G28" s="226" t="str">
        <f>IFERROR(VLOOKUP($G$7&amp;$B28,'EV Charging Stations source'!A:V,22,FALSE),"")</f>
        <v/>
      </c>
      <c r="H28" s="226" t="str">
        <f>IFERROR(VLOOKUP($G$7&amp;$B28,'EV Charging Stations source'!A:V,21,FALSE)," ")</f>
        <v xml:space="preserve"> </v>
      </c>
      <c r="I28" s="226" t="str">
        <f>IFERROR(VLOOKUP($G$7&amp;$B28,'EV Charging Stations source'!A:V,13,FALSE)," ")</f>
        <v xml:space="preserve"> </v>
      </c>
      <c r="J28" s="1138"/>
      <c r="K28" s="1139"/>
      <c r="L28" s="470"/>
    </row>
    <row r="29" spans="2:12" ht="16.5" thickBot="1">
      <c r="B29" s="490">
        <v>11</v>
      </c>
      <c r="C29" s="1116" t="str">
        <f>IFERROR(VLOOKUP($G$7&amp;$B29,'EV Charging Stations source'!A:V,5,FALSE),"")</f>
        <v/>
      </c>
      <c r="D29" s="1116"/>
      <c r="E29" s="355" t="str">
        <f>IFERROR(VLOOKUP($G$7&amp;$B29,'EV Charging Stations source'!A:V,6,FALSE),"")</f>
        <v/>
      </c>
      <c r="F29" s="226" t="str">
        <f>IFERROR(VLOOKUP($G$7&amp;$B29,'EV Charging Stations source'!A:V,20,FALSE),"")</f>
        <v/>
      </c>
      <c r="G29" s="226" t="str">
        <f>IFERROR(VLOOKUP($G$7&amp;$B29,'EV Charging Stations source'!A:V,22,FALSE),"")</f>
        <v/>
      </c>
      <c r="H29" s="226" t="str">
        <f>IFERROR(VLOOKUP($G$7&amp;$B29,'EV Charging Stations source'!A:V,21,FALSE)," ")</f>
        <v xml:space="preserve"> </v>
      </c>
      <c r="I29" s="226" t="str">
        <f>IFERROR(VLOOKUP($G$7&amp;$B29,'EV Charging Stations source'!A:V,13,FALSE)," ")</f>
        <v xml:space="preserve"> </v>
      </c>
      <c r="J29" s="1138"/>
      <c r="K29" s="1139"/>
      <c r="L29" s="470"/>
    </row>
    <row r="30" spans="2:12" ht="16.5" thickBot="1">
      <c r="B30" s="490">
        <v>12</v>
      </c>
      <c r="C30" s="1116" t="str">
        <f>IFERROR(VLOOKUP($G$7&amp;$B30,'EV Charging Stations source'!A:V,5,FALSE),"")</f>
        <v/>
      </c>
      <c r="D30" s="1116"/>
      <c r="E30" s="355" t="str">
        <f>IFERROR(VLOOKUP($G$7&amp;$B30,'EV Charging Stations source'!A:V,6,FALSE),"")</f>
        <v/>
      </c>
      <c r="F30" s="226" t="str">
        <f>IFERROR(VLOOKUP($G$7&amp;$B30,'EV Charging Stations source'!A:V,20,FALSE),"")</f>
        <v/>
      </c>
      <c r="G30" s="226" t="str">
        <f>IFERROR(VLOOKUP($G$7&amp;$B30,'EV Charging Stations source'!A:V,22,FALSE),"")</f>
        <v/>
      </c>
      <c r="H30" s="226" t="str">
        <f>IFERROR(VLOOKUP($G$7&amp;$B30,'EV Charging Stations source'!A:V,21,FALSE)," ")</f>
        <v xml:space="preserve"> </v>
      </c>
      <c r="I30" s="226" t="str">
        <f>IFERROR(VLOOKUP($G$7&amp;$B30,'EV Charging Stations source'!A:V,13,FALSE)," ")</f>
        <v xml:space="preserve"> </v>
      </c>
      <c r="J30" s="1138"/>
      <c r="K30" s="1139"/>
      <c r="L30" s="470"/>
    </row>
    <row r="31" spans="2:12" ht="16.5" thickBot="1">
      <c r="B31" s="490">
        <v>13</v>
      </c>
      <c r="C31" s="1116" t="str">
        <f>IFERROR(VLOOKUP($G$7&amp;$B31,'EV Charging Stations source'!A:V,5,FALSE),"")</f>
        <v/>
      </c>
      <c r="D31" s="1116"/>
      <c r="E31" s="355" t="str">
        <f>IFERROR(VLOOKUP($G$7&amp;$B31,'EV Charging Stations source'!A:V,6,FALSE),"")</f>
        <v/>
      </c>
      <c r="F31" s="226" t="str">
        <f>IFERROR(VLOOKUP($G$7&amp;$B31,'EV Charging Stations source'!A:V,20,FALSE),"")</f>
        <v/>
      </c>
      <c r="G31" s="226" t="str">
        <f>IFERROR(VLOOKUP($G$7&amp;$B31,'EV Charging Stations source'!A:V,22,FALSE),"")</f>
        <v/>
      </c>
      <c r="H31" s="226" t="str">
        <f>IFERROR(VLOOKUP($G$7&amp;$B31,'EV Charging Stations source'!A:V,21,FALSE)," ")</f>
        <v xml:space="preserve"> </v>
      </c>
      <c r="I31" s="226" t="str">
        <f>IFERROR(VLOOKUP($G$7&amp;$B31,'EV Charging Stations source'!A:V,13,FALSE)," ")</f>
        <v xml:space="preserve"> </v>
      </c>
      <c r="J31" s="1138"/>
      <c r="K31" s="1139"/>
      <c r="L31" s="470"/>
    </row>
    <row r="32" spans="2:12" ht="16.5" thickBot="1">
      <c r="B32" s="490">
        <v>14</v>
      </c>
      <c r="C32" s="1116" t="str">
        <f>IFERROR(VLOOKUP($G$7&amp;$B32,'EV Charging Stations source'!A:V,5,FALSE),"")</f>
        <v/>
      </c>
      <c r="D32" s="1116"/>
      <c r="E32" s="355" t="str">
        <f>IFERROR(VLOOKUP($G$7&amp;$B32,'EV Charging Stations source'!A:V,6,FALSE),"")</f>
        <v/>
      </c>
      <c r="F32" s="226" t="str">
        <f>IFERROR(VLOOKUP($G$7&amp;$B32,'EV Charging Stations source'!A:V,20,FALSE),"")</f>
        <v/>
      </c>
      <c r="G32" s="226" t="str">
        <f>IFERROR(VLOOKUP($G$7&amp;$B32,'EV Charging Stations source'!A:V,22,FALSE),"")</f>
        <v/>
      </c>
      <c r="H32" s="226" t="str">
        <f>IFERROR(VLOOKUP($G$7&amp;$B32,'EV Charging Stations source'!A:V,21,FALSE)," ")</f>
        <v xml:space="preserve"> </v>
      </c>
      <c r="I32" s="226" t="str">
        <f>IFERROR(VLOOKUP($G$7&amp;$B32,'EV Charging Stations source'!A:V,13,FALSE)," ")</f>
        <v xml:space="preserve"> </v>
      </c>
      <c r="J32" s="1138"/>
      <c r="K32" s="1139"/>
      <c r="L32" s="470"/>
    </row>
    <row r="33" spans="2:13" ht="16.5" thickBot="1">
      <c r="B33" s="490">
        <v>15</v>
      </c>
      <c r="C33" s="1116" t="str">
        <f>IFERROR(VLOOKUP($G$7&amp;$B33,'EV Charging Stations source'!A:V,5,FALSE),"")</f>
        <v/>
      </c>
      <c r="D33" s="1116"/>
      <c r="E33" s="355" t="str">
        <f>IFERROR(VLOOKUP($G$7&amp;$B33,'EV Charging Stations source'!A:V,6,FALSE),"")</f>
        <v/>
      </c>
      <c r="F33" s="226" t="str">
        <f>IFERROR(VLOOKUP($G$7&amp;$B33,'EV Charging Stations source'!A:V,20,FALSE),"")</f>
        <v/>
      </c>
      <c r="G33" s="226" t="str">
        <f>IFERROR(VLOOKUP($G$7&amp;$B33,'EV Charging Stations source'!A:V,22,FALSE),"")</f>
        <v/>
      </c>
      <c r="H33" s="226" t="str">
        <f>IFERROR(VLOOKUP($G$7&amp;$B33,'EV Charging Stations source'!A:V,21,FALSE)," ")</f>
        <v xml:space="preserve"> </v>
      </c>
      <c r="I33" s="226" t="str">
        <f>IFERROR(VLOOKUP($G$7&amp;$B33,'EV Charging Stations source'!A:V,13,FALSE)," ")</f>
        <v xml:space="preserve"> </v>
      </c>
      <c r="J33" s="1138"/>
      <c r="K33" s="1139"/>
      <c r="L33" s="470"/>
      <c r="M33" s="470"/>
    </row>
    <row r="34" spans="2:13" ht="16.5" thickBot="1">
      <c r="B34" s="490">
        <v>16</v>
      </c>
      <c r="C34" s="1116" t="str">
        <f>IFERROR(VLOOKUP($G$7&amp;$B34,'EV Charging Stations source'!A:V,5,FALSE),"")</f>
        <v/>
      </c>
      <c r="D34" s="1116"/>
      <c r="E34" s="355" t="str">
        <f>IFERROR(VLOOKUP($G$7&amp;$B34,'EV Charging Stations source'!A:V,6,FALSE),"")</f>
        <v/>
      </c>
      <c r="F34" s="226" t="str">
        <f>IFERROR(VLOOKUP($G$7&amp;$B34,'EV Charging Stations source'!A:V,20,FALSE),"")</f>
        <v/>
      </c>
      <c r="G34" s="226" t="str">
        <f>IFERROR(VLOOKUP($G$7&amp;$B34,'EV Charging Stations source'!A:V,22,FALSE),"")</f>
        <v/>
      </c>
      <c r="H34" s="226" t="str">
        <f>IFERROR(VLOOKUP($G$7&amp;$B34,'EV Charging Stations source'!A:V,21,FALSE)," ")</f>
        <v xml:space="preserve"> </v>
      </c>
      <c r="I34" s="226" t="str">
        <f>IFERROR(VLOOKUP($G$7&amp;$B34,'EV Charging Stations source'!A:V,13,FALSE)," ")</f>
        <v xml:space="preserve"> </v>
      </c>
      <c r="J34" s="1138"/>
      <c r="K34" s="1139"/>
      <c r="L34" s="470"/>
      <c r="M34" s="470"/>
    </row>
    <row r="35" spans="2:13" ht="16.5" thickBot="1">
      <c r="B35" s="490">
        <v>17</v>
      </c>
      <c r="C35" s="1116" t="str">
        <f>IFERROR(VLOOKUP($G$7&amp;$B35,'EV Charging Stations source'!A:V,5,FALSE),"")</f>
        <v/>
      </c>
      <c r="D35" s="1116"/>
      <c r="E35" s="355" t="str">
        <f>IFERROR(VLOOKUP($G$7&amp;$B35,'EV Charging Stations source'!A:V,6,FALSE),"")</f>
        <v/>
      </c>
      <c r="F35" s="226" t="str">
        <f>IFERROR(VLOOKUP($G$7&amp;$B35,'EV Charging Stations source'!A:V,20,FALSE),"")</f>
        <v/>
      </c>
      <c r="G35" s="226" t="str">
        <f>IFERROR(VLOOKUP($G$7&amp;$B35,'EV Charging Stations source'!A:V,22,FALSE),"")</f>
        <v/>
      </c>
      <c r="H35" s="226" t="str">
        <f>IFERROR(VLOOKUP($G$7&amp;$B35,'EV Charging Stations source'!A:V,21,FALSE)," ")</f>
        <v xml:space="preserve"> </v>
      </c>
      <c r="I35" s="226" t="str">
        <f>IFERROR(VLOOKUP($G$7&amp;$B35,'EV Charging Stations source'!A:V,13,FALSE)," ")</f>
        <v xml:space="preserve"> </v>
      </c>
      <c r="J35" s="1138"/>
      <c r="K35" s="1139"/>
      <c r="L35" s="470"/>
      <c r="M35" s="470"/>
    </row>
    <row r="36" spans="2:13" ht="16.5" thickBot="1">
      <c r="B36" s="490">
        <v>18</v>
      </c>
      <c r="C36" s="1116" t="str">
        <f>IFERROR(VLOOKUP($G$7&amp;$B36,'EV Charging Stations source'!A:V,5,FALSE),"")</f>
        <v/>
      </c>
      <c r="D36" s="1116"/>
      <c r="E36" s="355" t="str">
        <f>IFERROR(VLOOKUP($G$7&amp;$B36,'EV Charging Stations source'!A:V,6,FALSE),"")</f>
        <v/>
      </c>
      <c r="F36" s="226" t="str">
        <f>IFERROR(VLOOKUP($G$7&amp;$B36,'EV Charging Stations source'!A:V,20,FALSE),"")</f>
        <v/>
      </c>
      <c r="G36" s="226" t="str">
        <f>IFERROR(VLOOKUP($G$7&amp;$B36,'EV Charging Stations source'!A:V,22,FALSE),"")</f>
        <v/>
      </c>
      <c r="H36" s="226" t="str">
        <f>IFERROR(VLOOKUP($G$7&amp;$B36,'EV Charging Stations source'!A:V,21,FALSE)," ")</f>
        <v xml:space="preserve"> </v>
      </c>
      <c r="I36" s="226" t="str">
        <f>IFERROR(VLOOKUP($G$7&amp;$B36,'EV Charging Stations source'!A:V,13,FALSE)," ")</f>
        <v xml:space="preserve"> </v>
      </c>
      <c r="J36" s="1138"/>
      <c r="K36" s="1139"/>
      <c r="L36" s="470"/>
      <c r="M36" s="470"/>
    </row>
    <row r="37" spans="2:13" ht="16.5" thickBot="1">
      <c r="B37" s="490">
        <v>19</v>
      </c>
      <c r="C37" s="1116" t="str">
        <f>IFERROR(VLOOKUP($G$7&amp;$B37,'EV Charging Stations source'!A:V,5,FALSE),"")</f>
        <v/>
      </c>
      <c r="D37" s="1116"/>
      <c r="E37" s="355" t="str">
        <f>IFERROR(VLOOKUP($G$7&amp;$B37,'EV Charging Stations source'!A:V,6,FALSE),"")</f>
        <v/>
      </c>
      <c r="F37" s="226" t="str">
        <f>IFERROR(VLOOKUP($G$7&amp;$B37,'EV Charging Stations source'!A:V,20,FALSE),"")</f>
        <v/>
      </c>
      <c r="G37" s="226" t="str">
        <f>IFERROR(VLOOKUP($G$7&amp;$B37,'EV Charging Stations source'!A:V,22,FALSE),"")</f>
        <v/>
      </c>
      <c r="H37" s="226" t="str">
        <f>IFERROR(VLOOKUP($G$7&amp;$B37,'EV Charging Stations source'!A:V,21,FALSE)," ")</f>
        <v xml:space="preserve"> </v>
      </c>
      <c r="I37" s="226" t="str">
        <f>IFERROR(VLOOKUP($G$7&amp;$B37,'EV Charging Stations source'!A:V,13,FALSE)," ")</f>
        <v xml:space="preserve"> </v>
      </c>
      <c r="J37" s="1138"/>
      <c r="K37" s="1139"/>
      <c r="L37" s="470"/>
      <c r="M37" s="470"/>
    </row>
    <row r="38" spans="2:13" ht="16.5" thickBot="1">
      <c r="B38" s="490">
        <v>20</v>
      </c>
      <c r="C38" s="1116" t="str">
        <f>IFERROR(VLOOKUP($G$7&amp;$B38,'EV Charging Stations source'!A:V,5,FALSE),"")</f>
        <v/>
      </c>
      <c r="D38" s="1116"/>
      <c r="E38" s="355" t="str">
        <f>IFERROR(VLOOKUP($G$7&amp;$B38,'EV Charging Stations source'!A:V,6,FALSE),"")</f>
        <v/>
      </c>
      <c r="F38" s="226" t="str">
        <f>IFERROR(VLOOKUP($G$7&amp;$B38,'EV Charging Stations source'!A:V,20,FALSE),"")</f>
        <v/>
      </c>
      <c r="G38" s="226" t="str">
        <f>IFERROR(VLOOKUP($G$7&amp;$B38,'EV Charging Stations source'!A:V,22,FALSE),"")</f>
        <v/>
      </c>
      <c r="H38" s="226" t="str">
        <f>IFERROR(VLOOKUP($G$7&amp;$B38,'EV Charging Stations source'!A:V,21,FALSE)," ")</f>
        <v xml:space="preserve"> </v>
      </c>
      <c r="I38" s="226" t="str">
        <f>IFERROR(VLOOKUP($G$7&amp;$B38,'EV Charging Stations source'!A:V,13,FALSE)," ")</f>
        <v xml:space="preserve"> </v>
      </c>
      <c r="J38" s="521"/>
      <c r="K38" s="525"/>
      <c r="L38" s="470"/>
      <c r="M38" s="470"/>
    </row>
    <row r="39" spans="2:13" ht="16.5" thickBot="1">
      <c r="B39" s="490">
        <v>21</v>
      </c>
      <c r="C39" s="1116" t="str">
        <f>IFERROR(VLOOKUP($G$7&amp;$B39,'EV Charging Stations source'!A:V,5,FALSE),"")</f>
        <v/>
      </c>
      <c r="D39" s="1116"/>
      <c r="E39" s="355" t="str">
        <f>IFERROR(VLOOKUP($G$7&amp;$B39,'EV Charging Stations source'!A:V,6,FALSE),"")</f>
        <v/>
      </c>
      <c r="F39" s="226" t="str">
        <f>IFERROR(VLOOKUP($G$7&amp;$B39,'EV Charging Stations source'!A:V,20,FALSE),"")</f>
        <v/>
      </c>
      <c r="G39" s="226" t="str">
        <f>IFERROR(VLOOKUP($G$7&amp;$B39,'EV Charging Stations source'!A:V,22,FALSE),"")</f>
        <v/>
      </c>
      <c r="H39" s="226" t="str">
        <f>IFERROR(VLOOKUP($G$7&amp;$B39,'EV Charging Stations source'!A:V,21,FALSE)," ")</f>
        <v xml:space="preserve"> </v>
      </c>
      <c r="I39" s="226" t="str">
        <f>IFERROR(VLOOKUP($G$7&amp;$B39,'EV Charging Stations source'!A:V,13,FALSE)," ")</f>
        <v xml:space="preserve"> </v>
      </c>
      <c r="J39" s="521"/>
      <c r="K39" s="525"/>
      <c r="L39" s="470"/>
      <c r="M39" s="470"/>
    </row>
    <row r="40" spans="2:13" ht="16.5" thickBot="1">
      <c r="B40" s="490">
        <v>22</v>
      </c>
      <c r="C40" s="1116" t="str">
        <f>IFERROR(VLOOKUP($G$7&amp;$B40,'EV Charging Stations source'!A:V,5,FALSE),"")</f>
        <v/>
      </c>
      <c r="D40" s="1116"/>
      <c r="E40" s="355" t="str">
        <f>IFERROR(VLOOKUP($G$7&amp;$B40,'EV Charging Stations source'!A:V,6,FALSE),"")</f>
        <v/>
      </c>
      <c r="F40" s="226" t="str">
        <f>IFERROR(VLOOKUP($G$7&amp;$B40,'EV Charging Stations source'!A:V,20,FALSE),"")</f>
        <v/>
      </c>
      <c r="G40" s="226" t="str">
        <f>IFERROR(VLOOKUP($G$7&amp;$B40,'EV Charging Stations source'!A:V,22,FALSE),"")</f>
        <v/>
      </c>
      <c r="H40" s="226" t="str">
        <f>IFERROR(VLOOKUP($G$7&amp;$B40,'EV Charging Stations source'!A:V,21,FALSE)," ")</f>
        <v xml:space="preserve"> </v>
      </c>
      <c r="I40" s="226" t="str">
        <f>IFERROR(VLOOKUP($G$7&amp;$B40,'EV Charging Stations source'!A:V,13,FALSE)," ")</f>
        <v xml:space="preserve"> </v>
      </c>
      <c r="J40" s="521"/>
      <c r="K40" s="525"/>
      <c r="L40" s="470"/>
      <c r="M40" s="470"/>
    </row>
    <row r="41" spans="2:13" ht="16.5" thickBot="1">
      <c r="B41" s="490">
        <v>23</v>
      </c>
      <c r="C41" s="1116" t="str">
        <f>IFERROR(VLOOKUP($G$7&amp;$B41,'EV Charging Stations source'!A:V,5,FALSE),"")</f>
        <v/>
      </c>
      <c r="D41" s="1116"/>
      <c r="E41" s="355" t="str">
        <f>IFERROR(VLOOKUP($G$7&amp;$B41,'EV Charging Stations source'!A:V,6,FALSE),"")</f>
        <v/>
      </c>
      <c r="F41" s="226" t="str">
        <f>IFERROR(VLOOKUP($G$7&amp;$B41,'EV Charging Stations source'!A:V,20,FALSE),"")</f>
        <v/>
      </c>
      <c r="G41" s="226" t="str">
        <f>IFERROR(VLOOKUP($G$7&amp;$B41,'EV Charging Stations source'!A:V,22,FALSE),"")</f>
        <v/>
      </c>
      <c r="H41" s="226" t="str">
        <f>IFERROR(VLOOKUP($G$7&amp;$B41,'EV Charging Stations source'!A:V,21,FALSE)," ")</f>
        <v xml:space="preserve"> </v>
      </c>
      <c r="I41" s="226" t="str">
        <f>IFERROR(VLOOKUP($G$7&amp;$B41,'EV Charging Stations source'!A:V,13,FALSE)," ")</f>
        <v xml:space="preserve"> </v>
      </c>
      <c r="J41" s="521"/>
      <c r="K41" s="525"/>
      <c r="L41" s="470"/>
      <c r="M41" s="470"/>
    </row>
    <row r="42" spans="2:13" ht="16.5" thickBot="1">
      <c r="B42" s="490">
        <v>24</v>
      </c>
      <c r="C42" s="1116" t="str">
        <f>IFERROR(VLOOKUP($G$7&amp;$B42,'EV Charging Stations source'!A:V,5,FALSE),"")</f>
        <v/>
      </c>
      <c r="D42" s="1116"/>
      <c r="E42" s="355" t="str">
        <f>IFERROR(VLOOKUP($G$7&amp;$B42,'EV Charging Stations source'!A:V,6,FALSE),"")</f>
        <v/>
      </c>
      <c r="F42" s="226" t="str">
        <f>IFERROR(VLOOKUP($G$7&amp;$B42,'EV Charging Stations source'!A:V,20,FALSE),"")</f>
        <v/>
      </c>
      <c r="G42" s="226" t="str">
        <f>IFERROR(VLOOKUP($G$7&amp;$B42,'EV Charging Stations source'!A:V,22,FALSE),"")</f>
        <v/>
      </c>
      <c r="H42" s="226" t="str">
        <f>IFERROR(VLOOKUP($G$7&amp;$B42,'EV Charging Stations source'!A:V,21,FALSE)," ")</f>
        <v xml:space="preserve"> </v>
      </c>
      <c r="I42" s="226" t="str">
        <f>IFERROR(VLOOKUP($G$7&amp;$B42,'EV Charging Stations source'!A:V,13,FALSE)," ")</f>
        <v xml:space="preserve"> </v>
      </c>
      <c r="J42" s="521"/>
      <c r="K42" s="525"/>
      <c r="L42" s="470"/>
      <c r="M42" s="470"/>
    </row>
    <row r="43" spans="2:13" ht="16.5" thickBot="1">
      <c r="B43" s="490">
        <v>25</v>
      </c>
      <c r="C43" s="1116" t="str">
        <f>IFERROR(VLOOKUP($G$7&amp;$B43,'EV Charging Stations source'!A:V,5,FALSE),"")</f>
        <v/>
      </c>
      <c r="D43" s="1116"/>
      <c r="E43" s="355" t="str">
        <f>IFERROR(VLOOKUP($G$7&amp;$B43,'EV Charging Stations source'!A:V,6,FALSE),"")</f>
        <v/>
      </c>
      <c r="F43" s="226" t="str">
        <f>IFERROR(VLOOKUP($G$7&amp;$B43,'EV Charging Stations source'!A:V,20,FALSE),"")</f>
        <v/>
      </c>
      <c r="G43" s="226" t="str">
        <f>IFERROR(VLOOKUP($G$7&amp;$B43,'EV Charging Stations source'!A:V,22,FALSE),"")</f>
        <v/>
      </c>
      <c r="H43" s="226" t="str">
        <f>IFERROR(VLOOKUP($G$7&amp;$B43,'EV Charging Stations source'!A:V,21,FALSE)," ")</f>
        <v xml:space="preserve"> </v>
      </c>
      <c r="I43" s="226" t="str">
        <f>IFERROR(VLOOKUP($G$7&amp;$B43,'EV Charging Stations source'!A:V,13,FALSE)," ")</f>
        <v xml:space="preserve"> </v>
      </c>
      <c r="J43" s="521"/>
      <c r="K43" s="525"/>
      <c r="L43" s="470"/>
      <c r="M43" s="470"/>
    </row>
    <row r="44" spans="2:13" ht="16.5" thickBot="1">
      <c r="B44" s="491">
        <v>26</v>
      </c>
      <c r="C44" s="1116" t="str">
        <f>IFERROR(VLOOKUP($G$7&amp;$B44,'EV Charging Stations source'!A:V,5,FALSE),"")</f>
        <v/>
      </c>
      <c r="D44" s="1116"/>
      <c r="E44" s="355" t="str">
        <f>IFERROR(VLOOKUP($G$7&amp;$B44,'EV Charging Stations source'!A:V,6,FALSE),"")</f>
        <v/>
      </c>
      <c r="F44" s="226" t="str">
        <f>IFERROR(VLOOKUP($G$7&amp;$B44,'EV Charging Stations source'!A:V,20,FALSE),"")</f>
        <v/>
      </c>
      <c r="G44" s="226" t="str">
        <f>IFERROR(VLOOKUP($G$7&amp;$B44,'EV Charging Stations source'!A:V,22,FALSE),"")</f>
        <v/>
      </c>
      <c r="H44" s="226" t="str">
        <f>IFERROR(VLOOKUP($G$7&amp;$B44,'EV Charging Stations source'!A:V,21,FALSE)," ")</f>
        <v xml:space="preserve"> </v>
      </c>
      <c r="I44" s="226" t="str">
        <f>IFERROR(VLOOKUP($G$7&amp;$B44,'EV Charging Stations source'!A:V,13,FALSE)," ")</f>
        <v xml:space="preserve"> </v>
      </c>
      <c r="J44" s="1136"/>
      <c r="K44" s="1137"/>
      <c r="L44" s="470"/>
      <c r="M44" s="470"/>
    </row>
    <row r="45" spans="2:13" ht="16.5" thickBot="1">
      <c r="B45" s="490">
        <v>27</v>
      </c>
      <c r="C45" s="1116" t="str">
        <f>IFERROR(VLOOKUP($G$7&amp;$B45,'EV Charging Stations source'!A:V,5,FALSE),"")</f>
        <v/>
      </c>
      <c r="D45" s="1116"/>
      <c r="E45" s="355" t="str">
        <f>IFERROR(VLOOKUP($G$7&amp;$B45,'EV Charging Stations source'!A:V,6,FALSE),"")</f>
        <v/>
      </c>
      <c r="F45" s="226" t="str">
        <f>IFERROR(VLOOKUP($G$7&amp;$B45,'EV Charging Stations source'!A:V,20,FALSE),"")</f>
        <v/>
      </c>
      <c r="G45" s="226" t="str">
        <f>IFERROR(VLOOKUP($G$7&amp;$B45,'EV Charging Stations source'!A:V,22,FALSE),"")</f>
        <v/>
      </c>
      <c r="H45" s="226" t="str">
        <f>IFERROR(VLOOKUP($G$7&amp;$B45,'EV Charging Stations source'!A:V,21,FALSE)," ")</f>
        <v xml:space="preserve"> </v>
      </c>
      <c r="I45" s="226" t="str">
        <f>IFERROR(VLOOKUP($G$7&amp;$B45,'EV Charging Stations source'!A:V,13,FALSE)," ")</f>
        <v xml:space="preserve"> </v>
      </c>
      <c r="J45" s="808"/>
      <c r="K45" s="753"/>
      <c r="L45" s="470"/>
      <c r="M45" s="470"/>
    </row>
    <row r="46" spans="2:13" ht="16.5" thickBot="1">
      <c r="B46" s="490">
        <v>28</v>
      </c>
      <c r="C46" s="1116" t="str">
        <f>IFERROR(VLOOKUP($G$7&amp;$B46,'EV Charging Stations source'!A:V,5,FALSE),"")</f>
        <v/>
      </c>
      <c r="D46" s="1116"/>
      <c r="E46" s="355" t="str">
        <f>IFERROR(VLOOKUP($G$7&amp;$B46,'EV Charging Stations source'!A:V,6,FALSE),"")</f>
        <v/>
      </c>
      <c r="F46" s="226" t="str">
        <f>IFERROR(VLOOKUP($G$7&amp;$B46,'EV Charging Stations source'!A:V,20,FALSE),"")</f>
        <v/>
      </c>
      <c r="G46" s="226" t="str">
        <f>IFERROR(VLOOKUP($G$7&amp;$B46,'EV Charging Stations source'!A:V,22,FALSE),"")</f>
        <v/>
      </c>
      <c r="H46" s="226" t="str">
        <f>IFERROR(VLOOKUP($G$7&amp;$B46,'EV Charging Stations source'!A:V,21,FALSE)," ")</f>
        <v xml:space="preserve"> </v>
      </c>
      <c r="I46" s="226" t="str">
        <f>IFERROR(VLOOKUP($G$7&amp;$B46,'EV Charging Stations source'!A:V,13,FALSE)," ")</f>
        <v xml:space="preserve"> </v>
      </c>
      <c r="J46" s="808"/>
      <c r="K46" s="753"/>
      <c r="L46" s="470"/>
      <c r="M46" s="470"/>
    </row>
    <row r="47" spans="2:13" ht="16.5" thickBot="1">
      <c r="B47" s="491">
        <v>29</v>
      </c>
      <c r="C47" s="1116" t="str">
        <f>IFERROR(VLOOKUP($G$7&amp;$B47,'EV Charging Stations source'!A:V,5,FALSE),"")</f>
        <v/>
      </c>
      <c r="D47" s="1116"/>
      <c r="E47" s="355" t="str">
        <f>IFERROR(VLOOKUP($G$7&amp;$B47,'EV Charging Stations source'!A:V,6,FALSE),"")</f>
        <v/>
      </c>
      <c r="F47" s="226" t="str">
        <f>IFERROR(VLOOKUP($G$7&amp;$B47,'EV Charging Stations source'!A:V,20,FALSE),"")</f>
        <v/>
      </c>
      <c r="G47" s="226" t="str">
        <f>IFERROR(VLOOKUP($G$7&amp;$B47,'EV Charging Stations source'!A:V,22,FALSE),"")</f>
        <v/>
      </c>
      <c r="H47" s="226" t="str">
        <f>IFERROR(VLOOKUP($G$7&amp;$B47,'EV Charging Stations source'!A:V,21,FALSE)," ")</f>
        <v xml:space="preserve"> </v>
      </c>
      <c r="I47" s="226" t="str">
        <f>IFERROR(VLOOKUP($G$7&amp;$B47,'EV Charging Stations source'!A:V,13,FALSE)," ")</f>
        <v xml:space="preserve"> </v>
      </c>
      <c r="J47" s="808"/>
      <c r="K47" s="753"/>
      <c r="L47" s="470"/>
      <c r="M47" s="470"/>
    </row>
    <row r="48" spans="2:13" ht="16.5" thickBot="1">
      <c r="B48" s="490">
        <v>30</v>
      </c>
      <c r="C48" s="1116" t="str">
        <f>IFERROR(VLOOKUP($G$7&amp;$B48,'EV Charging Stations source'!A:V,5,FALSE),"")</f>
        <v/>
      </c>
      <c r="D48" s="1116"/>
      <c r="E48" s="355" t="str">
        <f>IFERROR(VLOOKUP($G$7&amp;$B48,'EV Charging Stations source'!A:V,6,FALSE),"")</f>
        <v/>
      </c>
      <c r="F48" s="226" t="str">
        <f>IFERROR(VLOOKUP($G$7&amp;$B48,'EV Charging Stations source'!A:V,20,FALSE),"")</f>
        <v/>
      </c>
      <c r="G48" s="226" t="str">
        <f>IFERROR(VLOOKUP($G$7&amp;$B48,'EV Charging Stations source'!A:V,22,FALSE),"")</f>
        <v/>
      </c>
      <c r="H48" s="226" t="str">
        <f>IFERROR(VLOOKUP($G$7&amp;$B48,'EV Charging Stations source'!A:V,21,FALSE)," ")</f>
        <v xml:space="preserve"> </v>
      </c>
      <c r="I48" s="226" t="str">
        <f>IFERROR(VLOOKUP($G$7&amp;$B48,'EV Charging Stations source'!A:V,13,FALSE)," ")</f>
        <v xml:space="preserve"> </v>
      </c>
      <c r="J48" s="808"/>
      <c r="K48" s="753"/>
      <c r="L48" s="470"/>
      <c r="M48" s="470"/>
    </row>
    <row r="49" spans="1:13" ht="16.5" thickBot="1">
      <c r="B49" s="490">
        <v>31</v>
      </c>
      <c r="C49" s="1116" t="str">
        <f>IFERROR(VLOOKUP($G$7&amp;$B49,'EV Charging Stations source'!A:V,5,FALSE),"")</f>
        <v/>
      </c>
      <c r="D49" s="1116"/>
      <c r="E49" s="355" t="str">
        <f>IFERROR(VLOOKUP($G$7&amp;$B49,'EV Charging Stations source'!A:V,6,FALSE),"")</f>
        <v/>
      </c>
      <c r="F49" s="226" t="str">
        <f>IFERROR(VLOOKUP($G$7&amp;$B49,'EV Charging Stations source'!A:V,20,FALSE),"")</f>
        <v/>
      </c>
      <c r="G49" s="226" t="str">
        <f>IFERROR(VLOOKUP($G$7&amp;$B49,'EV Charging Stations source'!A:V,22,FALSE),"")</f>
        <v/>
      </c>
      <c r="H49" s="226" t="str">
        <f>IFERROR(VLOOKUP($G$7&amp;$B49,'EV Charging Stations source'!A:V,21,FALSE)," ")</f>
        <v xml:space="preserve"> </v>
      </c>
      <c r="I49" s="226" t="str">
        <f>IFERROR(VLOOKUP($G$7&amp;$B49,'EV Charging Stations source'!A:V,13,FALSE)," ")</f>
        <v xml:space="preserve"> </v>
      </c>
      <c r="J49" s="808"/>
      <c r="K49" s="753"/>
      <c r="L49" s="470"/>
      <c r="M49" s="470"/>
    </row>
    <row r="50" spans="1:13" ht="16.5" thickBot="1">
      <c r="B50" s="491">
        <v>32</v>
      </c>
      <c r="C50" s="1116" t="str">
        <f>IFERROR(VLOOKUP($G$7&amp;$B50,'EV Charging Stations source'!A:V,5,FALSE),"")</f>
        <v/>
      </c>
      <c r="D50" s="1116"/>
      <c r="E50" s="355" t="str">
        <f>IFERROR(VLOOKUP($G$7&amp;$B50,'EV Charging Stations source'!A:V,6,FALSE),"")</f>
        <v/>
      </c>
      <c r="F50" s="226" t="str">
        <f>IFERROR(VLOOKUP($G$7&amp;$B50,'EV Charging Stations source'!A:V,20,FALSE),"")</f>
        <v/>
      </c>
      <c r="G50" s="226" t="str">
        <f>IFERROR(VLOOKUP($G$7&amp;$B50,'EV Charging Stations source'!A:V,22,FALSE),"")</f>
        <v/>
      </c>
      <c r="H50" s="226" t="str">
        <f>IFERROR(VLOOKUP($G$7&amp;$B50,'EV Charging Stations source'!A:V,21,FALSE)," ")</f>
        <v xml:space="preserve"> </v>
      </c>
      <c r="I50" s="226" t="str">
        <f>IFERROR(VLOOKUP($G$7&amp;$B50,'EV Charging Stations source'!A:V,13,FALSE)," ")</f>
        <v xml:space="preserve"> </v>
      </c>
      <c r="J50" s="808"/>
      <c r="K50" s="753"/>
      <c r="L50" s="470"/>
      <c r="M50" s="470"/>
    </row>
    <row r="51" spans="1:13" ht="16.5" thickBot="1">
      <c r="B51" s="490">
        <v>33</v>
      </c>
      <c r="C51" s="1116" t="str">
        <f>IFERROR(VLOOKUP($G$7&amp;$B51,'EV Charging Stations source'!A:V,5,FALSE),"")</f>
        <v/>
      </c>
      <c r="D51" s="1116"/>
      <c r="E51" s="355" t="str">
        <f>IFERROR(VLOOKUP($G$7&amp;$B51,'EV Charging Stations source'!A:V,6,FALSE),"")</f>
        <v/>
      </c>
      <c r="F51" s="226" t="str">
        <f>IFERROR(VLOOKUP($G$7&amp;$B51,'EV Charging Stations source'!A:V,20,FALSE),"")</f>
        <v/>
      </c>
      <c r="G51" s="226" t="str">
        <f>IFERROR(VLOOKUP($G$7&amp;$B51,'EV Charging Stations source'!A:V,22,FALSE),"")</f>
        <v/>
      </c>
      <c r="H51" s="226" t="str">
        <f>IFERROR(VLOOKUP($G$7&amp;$B51,'EV Charging Stations source'!A:V,21,FALSE)," ")</f>
        <v xml:space="preserve"> </v>
      </c>
      <c r="I51" s="226" t="str">
        <f>IFERROR(VLOOKUP($G$7&amp;$B51,'EV Charging Stations source'!A:V,13,FALSE)," ")</f>
        <v xml:space="preserve"> </v>
      </c>
      <c r="J51" s="808"/>
      <c r="K51" s="753"/>
      <c r="L51" s="470"/>
      <c r="M51" s="470"/>
    </row>
    <row r="52" spans="1:13" ht="16.5" thickBot="1">
      <c r="B52" s="490">
        <v>34</v>
      </c>
      <c r="C52" s="1116" t="str">
        <f>IFERROR(VLOOKUP($G$7&amp;$B52,'EV Charging Stations source'!A:V,5,FALSE),"")</f>
        <v/>
      </c>
      <c r="D52" s="1116"/>
      <c r="E52" s="355" t="str">
        <f>IFERROR(VLOOKUP($G$7&amp;$B52,'EV Charging Stations source'!A:V,6,FALSE),"")</f>
        <v/>
      </c>
      <c r="F52" s="226" t="str">
        <f>IFERROR(VLOOKUP($G$7&amp;$B52,'EV Charging Stations source'!A:V,20,FALSE),"")</f>
        <v/>
      </c>
      <c r="G52" s="226" t="str">
        <f>IFERROR(VLOOKUP($G$7&amp;$B52,'EV Charging Stations source'!A:V,22,FALSE),"")</f>
        <v/>
      </c>
      <c r="H52" s="226" t="str">
        <f>IFERROR(VLOOKUP($G$7&amp;$B52,'EV Charging Stations source'!A:V,21,FALSE)," ")</f>
        <v xml:space="preserve"> </v>
      </c>
      <c r="I52" s="226" t="str">
        <f>IFERROR(VLOOKUP($G$7&amp;$B52,'EV Charging Stations source'!A:V,13,FALSE)," ")</f>
        <v xml:space="preserve"> </v>
      </c>
      <c r="J52" s="808"/>
      <c r="K52" s="753"/>
      <c r="L52" s="470"/>
      <c r="M52" s="470"/>
    </row>
    <row r="53" spans="1:13" ht="16.5" thickBot="1">
      <c r="B53" s="491">
        <v>35</v>
      </c>
      <c r="C53" s="1116" t="str">
        <f>IFERROR(VLOOKUP($G$7&amp;$B53,'EV Charging Stations source'!A:V,5,FALSE),"")</f>
        <v/>
      </c>
      <c r="D53" s="1116"/>
      <c r="E53" s="355" t="str">
        <f>IFERROR(VLOOKUP($G$7&amp;$B53,'EV Charging Stations source'!A:V,6,FALSE),"")</f>
        <v/>
      </c>
      <c r="F53" s="226" t="str">
        <f>IFERROR(VLOOKUP($G$7&amp;$B53,'EV Charging Stations source'!A:V,20,FALSE),"")</f>
        <v/>
      </c>
      <c r="G53" s="226" t="str">
        <f>IFERROR(VLOOKUP($G$7&amp;$B53,'EV Charging Stations source'!A:V,22,FALSE),"")</f>
        <v/>
      </c>
      <c r="H53" s="226" t="str">
        <f>IFERROR(VLOOKUP($G$7&amp;$B53,'EV Charging Stations source'!A:V,21,FALSE)," ")</f>
        <v xml:space="preserve"> </v>
      </c>
      <c r="I53" s="226" t="str">
        <f>IFERROR(VLOOKUP($G$7&amp;$B53,'EV Charging Stations source'!A:V,13,FALSE)," ")</f>
        <v xml:space="preserve"> </v>
      </c>
      <c r="J53" s="808"/>
      <c r="K53" s="753"/>
      <c r="L53" s="470"/>
      <c r="M53" s="470"/>
    </row>
    <row r="54" spans="1:13" ht="19.5" thickBot="1">
      <c r="B54" s="1118" t="s">
        <v>791</v>
      </c>
      <c r="C54" s="1119"/>
      <c r="D54" s="1119"/>
      <c r="E54" s="1119"/>
      <c r="F54" s="1119"/>
      <c r="G54" s="1119"/>
      <c r="H54" s="1119"/>
      <c r="I54" s="1119"/>
      <c r="J54" s="1119"/>
      <c r="K54" s="1120"/>
      <c r="L54" s="53"/>
      <c r="M54" s="470"/>
    </row>
    <row r="55" spans="1:13" s="6" customFormat="1" ht="41.25" customHeight="1" thickBot="1">
      <c r="A55" s="194"/>
      <c r="B55" s="113"/>
      <c r="C55" s="1117" t="s">
        <v>412</v>
      </c>
      <c r="D55" s="1117"/>
      <c r="E55" s="528" t="s">
        <v>792</v>
      </c>
      <c r="F55" s="114" t="s">
        <v>786</v>
      </c>
      <c r="G55" s="114" t="s">
        <v>793</v>
      </c>
      <c r="H55" s="114" t="s">
        <v>787</v>
      </c>
      <c r="I55" s="563" t="s">
        <v>2112</v>
      </c>
      <c r="J55" s="114" t="s">
        <v>789</v>
      </c>
      <c r="K55" s="529" t="s">
        <v>790</v>
      </c>
      <c r="L55" s="561"/>
      <c r="M55" s="471"/>
    </row>
    <row r="56" spans="1:13" s="6" customFormat="1" ht="16.5" thickBot="1">
      <c r="A56" s="194"/>
      <c r="B56" s="530"/>
      <c r="C56" s="1133"/>
      <c r="D56" s="1134"/>
      <c r="E56" s="356"/>
      <c r="F56" s="90" t="s">
        <v>225</v>
      </c>
      <c r="G56" s="90"/>
      <c r="H56" s="90" t="s">
        <v>225</v>
      </c>
      <c r="I56" s="530"/>
      <c r="J56" s="90" t="s">
        <v>225</v>
      </c>
      <c r="K56" s="560"/>
      <c r="L56" s="562"/>
      <c r="M56" s="471"/>
    </row>
    <row r="57" spans="1:13" s="6" customFormat="1" ht="16.5" thickBot="1">
      <c r="A57" s="194"/>
      <c r="B57" s="530"/>
      <c r="C57" s="1133"/>
      <c r="D57" s="1134"/>
      <c r="E57" s="356"/>
      <c r="F57" s="90" t="s">
        <v>225</v>
      </c>
      <c r="G57" s="90"/>
      <c r="H57" s="90" t="s">
        <v>225</v>
      </c>
      <c r="I57" s="530"/>
      <c r="J57" s="90" t="s">
        <v>225</v>
      </c>
      <c r="K57" s="560"/>
      <c r="L57" s="562"/>
      <c r="M57" s="471"/>
    </row>
    <row r="58" spans="1:13" s="6" customFormat="1" ht="16.5" thickBot="1">
      <c r="A58" s="470"/>
      <c r="B58" s="530"/>
      <c r="C58" s="1133"/>
      <c r="D58" s="1134"/>
      <c r="E58" s="356"/>
      <c r="F58" s="90" t="s">
        <v>225</v>
      </c>
      <c r="G58" s="90"/>
      <c r="H58" s="90" t="s">
        <v>225</v>
      </c>
      <c r="I58" s="530"/>
      <c r="J58" s="90" t="s">
        <v>225</v>
      </c>
      <c r="K58" s="560"/>
      <c r="L58" s="562"/>
      <c r="M58" s="471"/>
    </row>
    <row r="59" spans="1:13" s="6" customFormat="1" ht="16.5" thickBot="1">
      <c r="A59" s="470"/>
      <c r="B59" s="530"/>
      <c r="C59" s="1133"/>
      <c r="D59" s="1134"/>
      <c r="E59" s="356"/>
      <c r="F59" s="90" t="s">
        <v>225</v>
      </c>
      <c r="G59" s="90"/>
      <c r="H59" s="90" t="s">
        <v>225</v>
      </c>
      <c r="I59" s="530"/>
      <c r="J59" s="90" t="s">
        <v>225</v>
      </c>
      <c r="K59" s="560"/>
      <c r="L59" s="562"/>
      <c r="M59" s="471"/>
    </row>
    <row r="60" spans="1:13" s="6" customFormat="1" ht="16.5" thickBot="1">
      <c r="A60" s="470"/>
      <c r="B60" s="530"/>
      <c r="C60" s="530"/>
      <c r="D60" s="531"/>
      <c r="E60" s="356"/>
      <c r="F60" s="90" t="s">
        <v>225</v>
      </c>
      <c r="G60" s="90"/>
      <c r="H60" s="90" t="s">
        <v>225</v>
      </c>
      <c r="I60" s="530"/>
      <c r="J60" s="90" t="s">
        <v>225</v>
      </c>
      <c r="K60" s="560"/>
      <c r="L60" s="562"/>
      <c r="M60" s="471"/>
    </row>
    <row r="61" spans="1:13" s="6" customFormat="1" ht="16.5" thickBot="1">
      <c r="A61" s="470"/>
      <c r="B61" s="530"/>
      <c r="C61" s="530"/>
      <c r="D61" s="531"/>
      <c r="E61" s="356"/>
      <c r="F61" s="90" t="s">
        <v>225</v>
      </c>
      <c r="G61" s="90"/>
      <c r="H61" s="90" t="s">
        <v>225</v>
      </c>
      <c r="I61" s="530"/>
      <c r="J61" s="90" t="s">
        <v>225</v>
      </c>
      <c r="K61" s="560"/>
      <c r="L61" s="562"/>
      <c r="M61" s="471"/>
    </row>
    <row r="62" spans="1:13" s="6" customFormat="1" ht="16.5" thickBot="1">
      <c r="A62" s="470"/>
      <c r="B62" s="530"/>
      <c r="C62" s="530"/>
      <c r="D62" s="531"/>
      <c r="E62" s="356"/>
      <c r="F62" s="90" t="s">
        <v>225</v>
      </c>
      <c r="G62" s="90"/>
      <c r="H62" s="90" t="s">
        <v>225</v>
      </c>
      <c r="I62" s="530"/>
      <c r="J62" s="90" t="s">
        <v>225</v>
      </c>
      <c r="K62" s="560"/>
      <c r="L62" s="562"/>
      <c r="M62" s="471"/>
    </row>
    <row r="63" spans="1:13" s="6" customFormat="1" ht="16.5" thickBot="1">
      <c r="A63" s="470"/>
      <c r="B63" s="530"/>
      <c r="C63" s="530"/>
      <c r="D63" s="531"/>
      <c r="E63" s="356"/>
      <c r="F63" s="90" t="s">
        <v>225</v>
      </c>
      <c r="G63" s="90"/>
      <c r="H63" s="90" t="s">
        <v>225</v>
      </c>
      <c r="I63" s="530"/>
      <c r="J63" s="90" t="s">
        <v>225</v>
      </c>
      <c r="K63" s="560"/>
      <c r="L63" s="562"/>
      <c r="M63" s="471"/>
    </row>
    <row r="64" spans="1:13" s="6" customFormat="1" ht="16.5" thickBot="1">
      <c r="A64" s="470"/>
      <c r="B64" s="530"/>
      <c r="C64" s="1133"/>
      <c r="D64" s="1134"/>
      <c r="E64" s="356"/>
      <c r="F64" s="90" t="s">
        <v>225</v>
      </c>
      <c r="G64" s="90"/>
      <c r="H64" s="90" t="s">
        <v>225</v>
      </c>
      <c r="I64" s="530"/>
      <c r="J64" s="90" t="s">
        <v>225</v>
      </c>
      <c r="K64" s="560"/>
      <c r="L64" s="562"/>
      <c r="M64" s="471"/>
    </row>
    <row r="65" spans="1:13" ht="23.25" customHeight="1">
      <c r="A65" s="470"/>
      <c r="B65" s="492"/>
      <c r="C65" s="492"/>
      <c r="D65" s="492"/>
      <c r="E65" s="357"/>
      <c r="F65" s="227"/>
      <c r="G65" s="227"/>
      <c r="H65" s="227"/>
      <c r="I65" s="470"/>
      <c r="J65" s="470"/>
      <c r="K65" s="470"/>
      <c r="L65" s="227"/>
      <c r="M65" s="470"/>
    </row>
    <row r="66" spans="1:13" s="223" customFormat="1" ht="23.25" customHeight="1">
      <c r="A66" s="489"/>
      <c r="B66" s="1143" t="s">
        <v>378</v>
      </c>
      <c r="C66" s="1143"/>
      <c r="D66" s="1143"/>
      <c r="E66" s="1143"/>
      <c r="F66" s="1143"/>
      <c r="G66" s="1143"/>
      <c r="H66" s="1143"/>
      <c r="I66" s="1143"/>
      <c r="J66" s="1143"/>
      <c r="K66" s="1143"/>
      <c r="L66" s="60"/>
      <c r="M66" s="489"/>
    </row>
    <row r="67" spans="1:13" s="223" customFormat="1" ht="21" customHeight="1">
      <c r="A67" s="489"/>
      <c r="B67" s="1144" t="s">
        <v>794</v>
      </c>
      <c r="C67" s="1144"/>
      <c r="D67" s="1144"/>
      <c r="E67" s="1144"/>
      <c r="F67" s="1144"/>
      <c r="G67" s="1144"/>
      <c r="H67" s="1144"/>
      <c r="I67" s="1144"/>
      <c r="J67" s="1144"/>
      <c r="K67" s="1144"/>
      <c r="L67" s="60"/>
      <c r="M67" s="489"/>
    </row>
    <row r="68" spans="1:13" ht="18.75" customHeight="1" thickBot="1">
      <c r="A68" s="470"/>
      <c r="B68" s="1140" t="s">
        <v>795</v>
      </c>
      <c r="C68" s="1140"/>
      <c r="D68" s="1140"/>
      <c r="E68" s="1140"/>
      <c r="F68" s="1140"/>
      <c r="G68" s="1140"/>
      <c r="H68" s="1140"/>
      <c r="I68" s="1140"/>
      <c r="J68" s="1140"/>
      <c r="K68" s="1140"/>
      <c r="L68" s="59"/>
      <c r="M68" s="470"/>
    </row>
    <row r="69" spans="1:13" ht="48.75" customHeight="1" thickBot="1">
      <c r="A69" s="470"/>
      <c r="B69" s="528"/>
      <c r="C69" s="1135" t="s">
        <v>412</v>
      </c>
      <c r="D69" s="1135"/>
      <c r="E69" s="528" t="s">
        <v>792</v>
      </c>
      <c r="F69" s="528" t="s">
        <v>786</v>
      </c>
      <c r="G69" s="528" t="s">
        <v>793</v>
      </c>
      <c r="H69" s="114" t="s">
        <v>787</v>
      </c>
      <c r="I69" s="114" t="s">
        <v>1327</v>
      </c>
      <c r="J69" s="528" t="s">
        <v>796</v>
      </c>
      <c r="K69" s="528" t="s">
        <v>288</v>
      </c>
      <c r="L69"/>
      <c r="M69" s="470"/>
    </row>
    <row r="70" spans="1:13" ht="18.75" customHeight="1" thickBot="1">
      <c r="A70" s="470"/>
      <c r="B70" s="530">
        <v>1</v>
      </c>
      <c r="C70" s="1141"/>
      <c r="D70" s="1142"/>
      <c r="E70" s="356"/>
      <c r="F70" s="90" t="s">
        <v>225</v>
      </c>
      <c r="G70" s="90"/>
      <c r="H70" s="90" t="s">
        <v>225</v>
      </c>
      <c r="I70" s="530"/>
      <c r="J70" s="90" t="s">
        <v>225</v>
      </c>
      <c r="K70" s="530"/>
      <c r="L70"/>
      <c r="M70" s="470"/>
    </row>
    <row r="71" spans="1:13" ht="16.5" thickBot="1">
      <c r="A71" s="470"/>
      <c r="B71" s="530">
        <v>2</v>
      </c>
      <c r="C71" s="1133"/>
      <c r="D71" s="1134"/>
      <c r="E71" s="356"/>
      <c r="F71" s="90" t="s">
        <v>225</v>
      </c>
      <c r="G71" s="90"/>
      <c r="H71" s="90" t="s">
        <v>225</v>
      </c>
      <c r="I71" s="530"/>
      <c r="J71" s="90" t="s">
        <v>225</v>
      </c>
      <c r="K71" s="530"/>
      <c r="L71"/>
      <c r="M71" s="470"/>
    </row>
    <row r="72" spans="1:13" ht="16.5" thickBot="1">
      <c r="A72" s="470"/>
      <c r="B72" s="530">
        <v>3</v>
      </c>
      <c r="C72" s="1133"/>
      <c r="D72" s="1134"/>
      <c r="E72" s="356"/>
      <c r="F72" s="90" t="s">
        <v>225</v>
      </c>
      <c r="G72" s="90"/>
      <c r="H72" s="90" t="s">
        <v>225</v>
      </c>
      <c r="I72" s="530"/>
      <c r="J72" s="90" t="s">
        <v>225</v>
      </c>
      <c r="K72" s="530"/>
      <c r="L72"/>
      <c r="M72" s="470"/>
    </row>
    <row r="73" spans="1:13" ht="16.5" thickBot="1">
      <c r="A73" s="470"/>
      <c r="B73" s="530">
        <v>4</v>
      </c>
      <c r="C73" s="1133"/>
      <c r="D73" s="1134"/>
      <c r="E73" s="356"/>
      <c r="F73" s="90" t="s">
        <v>225</v>
      </c>
      <c r="G73" s="90"/>
      <c r="H73" s="90" t="s">
        <v>225</v>
      </c>
      <c r="I73" s="530"/>
      <c r="J73" s="90" t="s">
        <v>225</v>
      </c>
      <c r="K73" s="530"/>
      <c r="L73"/>
      <c r="M73" s="470"/>
    </row>
    <row r="74" spans="1:13" ht="16.5" thickBot="1">
      <c r="A74" s="470"/>
      <c r="B74" s="530">
        <v>5</v>
      </c>
      <c r="C74" s="1133"/>
      <c r="D74" s="1134"/>
      <c r="E74" s="356"/>
      <c r="F74" s="90" t="s">
        <v>225</v>
      </c>
      <c r="G74" s="90"/>
      <c r="H74" s="90" t="s">
        <v>225</v>
      </c>
      <c r="I74" s="530"/>
      <c r="J74" s="90" t="s">
        <v>225</v>
      </c>
      <c r="K74" s="530"/>
      <c r="L74"/>
      <c r="M74" s="470"/>
    </row>
    <row r="75" spans="1:13" ht="16.5" thickBot="1">
      <c r="A75" s="470"/>
      <c r="B75" s="530">
        <v>6</v>
      </c>
      <c r="C75" s="1133"/>
      <c r="D75" s="1134"/>
      <c r="E75" s="356"/>
      <c r="F75" s="90" t="s">
        <v>225</v>
      </c>
      <c r="G75" s="90"/>
      <c r="H75" s="90" t="s">
        <v>225</v>
      </c>
      <c r="I75" s="530"/>
      <c r="J75" s="90" t="s">
        <v>225</v>
      </c>
      <c r="K75" s="530"/>
      <c r="L75"/>
      <c r="M75" s="470"/>
    </row>
    <row r="76" spans="1:13" ht="16.5" thickBot="1">
      <c r="A76" s="470"/>
      <c r="B76" s="530">
        <v>7</v>
      </c>
      <c r="C76" s="1133"/>
      <c r="D76" s="1134"/>
      <c r="E76" s="356"/>
      <c r="F76" s="90" t="s">
        <v>225</v>
      </c>
      <c r="G76" s="90"/>
      <c r="H76" s="90" t="s">
        <v>225</v>
      </c>
      <c r="I76" s="530"/>
      <c r="J76" s="90" t="s">
        <v>225</v>
      </c>
      <c r="K76" s="530"/>
      <c r="L76"/>
      <c r="M76" s="470"/>
    </row>
    <row r="77" spans="1:13" ht="16.5" thickBot="1">
      <c r="A77" s="470"/>
      <c r="B77" s="530">
        <v>8</v>
      </c>
      <c r="C77" s="1133"/>
      <c r="D77" s="1134"/>
      <c r="E77" s="356"/>
      <c r="F77" s="90" t="s">
        <v>225</v>
      </c>
      <c r="G77" s="90"/>
      <c r="H77" s="90" t="s">
        <v>225</v>
      </c>
      <c r="I77" s="530"/>
      <c r="J77" s="90" t="s">
        <v>225</v>
      </c>
      <c r="K77" s="530"/>
      <c r="L77"/>
      <c r="M77" s="470"/>
    </row>
    <row r="78" spans="1:13" ht="16.5" thickBot="1">
      <c r="A78" s="470"/>
      <c r="B78" s="530">
        <v>9</v>
      </c>
      <c r="C78" s="1133"/>
      <c r="D78" s="1134"/>
      <c r="E78" s="356"/>
      <c r="F78" s="90" t="s">
        <v>225</v>
      </c>
      <c r="G78" s="90"/>
      <c r="H78" s="90" t="s">
        <v>225</v>
      </c>
      <c r="I78" s="530"/>
      <c r="J78" s="90" t="s">
        <v>225</v>
      </c>
      <c r="K78" s="530"/>
      <c r="L78"/>
      <c r="M78" s="470"/>
    </row>
    <row r="79" spans="1:13" ht="16.5" thickBot="1">
      <c r="A79" s="470"/>
      <c r="B79" s="530">
        <v>10</v>
      </c>
      <c r="C79" s="1133"/>
      <c r="D79" s="1134"/>
      <c r="E79" s="356"/>
      <c r="F79" s="90" t="s">
        <v>225</v>
      </c>
      <c r="G79" s="90"/>
      <c r="H79" s="90" t="s">
        <v>225</v>
      </c>
      <c r="I79" s="530"/>
      <c r="J79" s="90" t="s">
        <v>225</v>
      </c>
      <c r="K79" s="530"/>
      <c r="L79"/>
      <c r="M79" s="470"/>
    </row>
    <row r="80" spans="1:13" ht="0.75" customHeight="1" thickBot="1">
      <c r="A80" s="470"/>
      <c r="B80" s="470"/>
      <c r="C80" s="470"/>
      <c r="D80" s="470"/>
      <c r="E80" s="487"/>
      <c r="F80" s="90" t="s">
        <v>225</v>
      </c>
      <c r="G80" s="470"/>
      <c r="H80" s="488"/>
      <c r="I80" s="470"/>
      <c r="J80" s="470"/>
      <c r="K80" s="470"/>
      <c r="L80" s="470"/>
      <c r="M80" s="470"/>
    </row>
    <row r="81" spans="1:13" ht="15.75" customHeight="1">
      <c r="A81" s="470"/>
      <c r="B81" s="470"/>
      <c r="C81" s="470"/>
      <c r="D81" s="470"/>
      <c r="E81" s="487"/>
      <c r="F81" s="470"/>
      <c r="G81" s="470"/>
      <c r="H81" s="488"/>
      <c r="I81" s="470"/>
      <c r="J81" s="470"/>
      <c r="K81" s="470"/>
      <c r="L81" s="470"/>
      <c r="M81" s="470"/>
    </row>
    <row r="82" spans="1:13">
      <c r="A82" s="470"/>
      <c r="B82" s="470"/>
      <c r="C82" s="470"/>
      <c r="D82" s="470"/>
      <c r="E82" s="487"/>
      <c r="F82" s="470"/>
      <c r="G82" s="470"/>
      <c r="H82" s="488"/>
      <c r="I82" s="470"/>
      <c r="J82" s="470"/>
      <c r="K82" s="470"/>
      <c r="L82" s="470"/>
      <c r="M82" s="470"/>
    </row>
    <row r="83" spans="1:13" ht="24.95" customHeight="1" thickBot="1">
      <c r="A83" s="470"/>
      <c r="B83" s="1123" t="s">
        <v>797</v>
      </c>
      <c r="C83" s="1123"/>
      <c r="D83" s="1123"/>
      <c r="E83" s="1123"/>
      <c r="F83" s="1123"/>
      <c r="G83" s="1123"/>
      <c r="H83" s="1124"/>
      <c r="I83" s="1125" t="s">
        <v>225</v>
      </c>
      <c r="J83" s="1126"/>
      <c r="K83" s="1126"/>
      <c r="L83" s="470"/>
      <c r="M83" s="470"/>
    </row>
    <row r="84" spans="1:13" ht="20.25" customHeight="1">
      <c r="A84" s="470"/>
      <c r="B84" s="1127" t="str">
        <f>IF(I83="yes","Please provide any details below","")</f>
        <v/>
      </c>
      <c r="C84" s="1127"/>
      <c r="D84" s="1127"/>
      <c r="E84" s="1127"/>
      <c r="F84" s="1127"/>
      <c r="G84" s="1127"/>
      <c r="H84" s="1127"/>
      <c r="I84" s="1127"/>
      <c r="J84" s="1127"/>
      <c r="K84" s="1127"/>
      <c r="L84" s="470"/>
      <c r="M84" s="470"/>
    </row>
    <row r="85" spans="1:13" ht="63.75" customHeight="1">
      <c r="A85" s="470"/>
      <c r="B85" s="1128"/>
      <c r="C85" s="1128"/>
      <c r="D85" s="1128"/>
      <c r="E85" s="1128"/>
      <c r="F85" s="1128"/>
      <c r="G85" s="1128"/>
      <c r="H85" s="1128"/>
      <c r="I85" s="1128"/>
      <c r="J85" s="1128"/>
      <c r="K85" s="1128"/>
      <c r="L85" s="470"/>
      <c r="M85" s="470"/>
    </row>
    <row r="86" spans="1:13">
      <c r="A86" s="470"/>
      <c r="B86" s="470"/>
      <c r="C86" s="470"/>
      <c r="D86" s="470"/>
      <c r="E86" s="487"/>
      <c r="F86" s="470"/>
      <c r="G86" s="470"/>
      <c r="H86" s="488"/>
      <c r="I86" s="470"/>
      <c r="J86" s="470"/>
      <c r="K86" s="470"/>
      <c r="L86" s="470"/>
      <c r="M86" s="470"/>
    </row>
    <row r="87" spans="1:13" ht="23.1" customHeight="1" thickBot="1">
      <c r="A87" s="470"/>
      <c r="B87" s="1129"/>
      <c r="C87" s="1129"/>
      <c r="D87" s="1129"/>
      <c r="E87" s="1129"/>
      <c r="F87" s="1129"/>
      <c r="G87" s="1129"/>
      <c r="H87" s="1130"/>
      <c r="I87" s="1131"/>
      <c r="J87" s="1132"/>
      <c r="K87" s="1132"/>
      <c r="L87" s="470"/>
      <c r="M87" s="470"/>
    </row>
    <row r="88" spans="1:13">
      <c r="A88" s="470"/>
      <c r="B88" s="1121"/>
      <c r="C88" s="1121"/>
      <c r="D88" s="1121"/>
      <c r="E88" s="1121"/>
      <c r="F88" s="1121"/>
      <c r="G88" s="1121"/>
      <c r="H88" s="1121"/>
      <c r="I88" s="1121"/>
      <c r="J88" s="1121"/>
      <c r="K88" s="1121"/>
      <c r="L88" s="470"/>
      <c r="M88" s="470"/>
    </row>
    <row r="89" spans="1:13" ht="53.1" customHeight="1">
      <c r="A89" s="470"/>
      <c r="B89" s="1122"/>
      <c r="C89" s="1122"/>
      <c r="D89" s="1122"/>
      <c r="E89" s="1122"/>
      <c r="F89" s="1122"/>
      <c r="G89" s="1122"/>
      <c r="H89" s="1122"/>
      <c r="I89" s="1122"/>
      <c r="J89" s="1122"/>
      <c r="K89" s="1122"/>
      <c r="L89" s="470"/>
      <c r="M89" s="470"/>
    </row>
    <row r="90" spans="1:13">
      <c r="A90" s="470"/>
      <c r="B90" s="470"/>
      <c r="C90" s="470"/>
      <c r="D90" s="470"/>
      <c r="E90" s="487"/>
      <c r="F90" s="470"/>
      <c r="G90" s="470"/>
      <c r="H90" s="488"/>
      <c r="I90" s="470"/>
      <c r="J90" s="470"/>
      <c r="K90" s="470"/>
      <c r="L90" s="470"/>
      <c r="M90" s="470"/>
    </row>
    <row r="91" spans="1:13">
      <c r="A91" s="470"/>
      <c r="B91" s="470"/>
      <c r="C91" s="470"/>
      <c r="D91" s="470"/>
      <c r="E91" s="487"/>
      <c r="F91" s="470"/>
      <c r="G91" s="470"/>
      <c r="H91" s="488"/>
      <c r="I91" s="470"/>
      <c r="J91" s="470"/>
      <c r="K91" s="470"/>
      <c r="L91" s="470"/>
      <c r="M91" s="470"/>
    </row>
    <row r="92" spans="1:13">
      <c r="A92" s="470"/>
      <c r="B92" s="470"/>
      <c r="C92" s="470"/>
      <c r="D92" s="470"/>
      <c r="E92" s="487"/>
      <c r="F92" s="470"/>
      <c r="G92" s="470"/>
      <c r="H92" s="488"/>
      <c r="I92" s="470"/>
      <c r="J92" s="470"/>
      <c r="K92" s="470"/>
      <c r="L92" s="470"/>
      <c r="M92" s="470"/>
    </row>
    <row r="93" spans="1:13">
      <c r="A93" s="470"/>
      <c r="B93" s="470"/>
      <c r="C93" s="470"/>
      <c r="D93" s="470"/>
      <c r="E93" s="487"/>
      <c r="F93" s="470"/>
      <c r="G93" s="470"/>
      <c r="H93" s="488"/>
      <c r="I93" s="470"/>
      <c r="J93" s="470"/>
      <c r="K93" s="470"/>
      <c r="L93" s="470"/>
      <c r="M93" s="470"/>
    </row>
    <row r="94" spans="1:13"/>
    <row r="95" spans="1:13"/>
    <row r="96" spans="1:13"/>
    <row r="97"/>
    <row r="98"/>
    <row r="99"/>
    <row r="100"/>
    <row r="101"/>
    <row r="102"/>
    <row r="103"/>
    <row r="104"/>
    <row r="105"/>
    <row r="106"/>
    <row r="107"/>
    <row r="108"/>
    <row r="109"/>
    <row r="110"/>
    <row r="111"/>
    <row r="112"/>
    <row r="113"/>
    <row r="114"/>
    <row r="115"/>
    <row r="116"/>
    <row r="117"/>
    <row r="118"/>
    <row r="119"/>
    <row r="120"/>
    <row r="121"/>
  </sheetData>
  <sheetProtection selectLockedCells="1"/>
  <mergeCells count="100">
    <mergeCell ref="B2:D5"/>
    <mergeCell ref="B1:K1"/>
    <mergeCell ref="E2:K3"/>
    <mergeCell ref="E4:K4"/>
    <mergeCell ref="E5:K5"/>
    <mergeCell ref="B10:K10"/>
    <mergeCell ref="B15:K15"/>
    <mergeCell ref="E7:F7"/>
    <mergeCell ref="B14:K14"/>
    <mergeCell ref="G7:I7"/>
    <mergeCell ref="C11:K11"/>
    <mergeCell ref="C12:K12"/>
    <mergeCell ref="C57:D57"/>
    <mergeCell ref="B16:K16"/>
    <mergeCell ref="B17:K17"/>
    <mergeCell ref="J25:K25"/>
    <mergeCell ref="J26:K26"/>
    <mergeCell ref="J27:K27"/>
    <mergeCell ref="C28:D28"/>
    <mergeCell ref="C34:D34"/>
    <mergeCell ref="C21:D21"/>
    <mergeCell ref="C22:D22"/>
    <mergeCell ref="C23:D23"/>
    <mergeCell ref="J23:K23"/>
    <mergeCell ref="J24:K24"/>
    <mergeCell ref="J18:K18"/>
    <mergeCell ref="J19:K19"/>
    <mergeCell ref="J20:K20"/>
    <mergeCell ref="J21:K21"/>
    <mergeCell ref="J22:K22"/>
    <mergeCell ref="C74:D74"/>
    <mergeCell ref="C69:D69"/>
    <mergeCell ref="B68:K68"/>
    <mergeCell ref="C70:D70"/>
    <mergeCell ref="C71:D71"/>
    <mergeCell ref="C72:D72"/>
    <mergeCell ref="C73:D73"/>
    <mergeCell ref="B66:K66"/>
    <mergeCell ref="B67:K67"/>
    <mergeCell ref="J35:K35"/>
    <mergeCell ref="C58:D58"/>
    <mergeCell ref="C59:D59"/>
    <mergeCell ref="J36:K36"/>
    <mergeCell ref="J37:K37"/>
    <mergeCell ref="J44:K44"/>
    <mergeCell ref="J28:K28"/>
    <mergeCell ref="J29:K29"/>
    <mergeCell ref="J30:K30"/>
    <mergeCell ref="J31:K31"/>
    <mergeCell ref="J32:K32"/>
    <mergeCell ref="J33:K33"/>
    <mergeCell ref="J34:K34"/>
    <mergeCell ref="C18:D18"/>
    <mergeCell ref="C35:D35"/>
    <mergeCell ref="C36:D36"/>
    <mergeCell ref="C37:D37"/>
    <mergeCell ref="C38:D38"/>
    <mergeCell ref="C29:D29"/>
    <mergeCell ref="C30:D30"/>
    <mergeCell ref="C31:D31"/>
    <mergeCell ref="C32:D32"/>
    <mergeCell ref="C33:D33"/>
    <mergeCell ref="C24:D24"/>
    <mergeCell ref="C25:D25"/>
    <mergeCell ref="C26:D26"/>
    <mergeCell ref="C27:D27"/>
    <mergeCell ref="C19:D19"/>
    <mergeCell ref="C20:D20"/>
    <mergeCell ref="C52:D52"/>
    <mergeCell ref="B88:K88"/>
    <mergeCell ref="B89:K89"/>
    <mergeCell ref="B83:H83"/>
    <mergeCell ref="I83:K83"/>
    <mergeCell ref="B84:K84"/>
    <mergeCell ref="B85:K85"/>
    <mergeCell ref="B87:H87"/>
    <mergeCell ref="I87:K87"/>
    <mergeCell ref="C75:D75"/>
    <mergeCell ref="C76:D76"/>
    <mergeCell ref="C77:D77"/>
    <mergeCell ref="C78:D78"/>
    <mergeCell ref="C79:D79"/>
    <mergeCell ref="C64:D64"/>
    <mergeCell ref="C56:D56"/>
    <mergeCell ref="C53:D53"/>
    <mergeCell ref="C44:D44"/>
    <mergeCell ref="C55:D55"/>
    <mergeCell ref="C39:D39"/>
    <mergeCell ref="C40:D40"/>
    <mergeCell ref="C41:D41"/>
    <mergeCell ref="C42:D42"/>
    <mergeCell ref="C43:D43"/>
    <mergeCell ref="B54:K54"/>
    <mergeCell ref="C45:D45"/>
    <mergeCell ref="C46:D46"/>
    <mergeCell ref="C47:D47"/>
    <mergeCell ref="C48:D48"/>
    <mergeCell ref="C49:D49"/>
    <mergeCell ref="C50:D50"/>
    <mergeCell ref="C51:D51"/>
  </mergeCells>
  <conditionalFormatting sqref="B84:K84">
    <cfRule type="expression" dxfId="27" priority="2">
      <formula>$I$83="yes"</formula>
    </cfRule>
  </conditionalFormatting>
  <conditionalFormatting sqref="B88:K88">
    <cfRule type="expression" dxfId="26" priority="1">
      <formula>$I$83="yes"</formula>
    </cfRule>
  </conditionalFormatting>
  <dataValidations count="2">
    <dataValidation type="list" allowBlank="1" showInputMessage="1" showErrorMessage="1" sqref="G65" xr:uid="{1A6F2D35-1D81-4921-B47A-B4C060483E0B}">
      <formula1>$V$1:$V$5</formula1>
    </dataValidation>
    <dataValidation type="list" allowBlank="1" showInputMessage="1" showErrorMessage="1" sqref="H65" xr:uid="{A5C12227-04D5-4020-B36F-B6F44A5A1209}">
      <formula1>$W$1:$W$4</formula1>
    </dataValidation>
  </dataValidations>
  <pageMargins left="0.7" right="0.7" top="0.75" bottom="0.75" header="0.3" footer="0.3"/>
  <pageSetup scale="46" fitToHeight="0"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r:uid="{E8C6A8DB-20D5-4C6D-9DD4-2418CC367C81}">
          <x14:formula1>
            <xm:f>Source!$W$1:$W$5</xm:f>
          </x14:formula1>
          <xm:sqref>F70:F80 F56:F64</xm:sqref>
        </x14:dataValidation>
        <x14:dataValidation type="list" allowBlank="1" showInputMessage="1" showErrorMessage="1" xr:uid="{3661C3C0-2ED2-470D-B128-668B668F665D}">
          <x14:formula1>
            <xm:f>Source!$X$1:$X$4</xm:f>
          </x14:formula1>
          <xm:sqref>H69:H79 H56:H64</xm:sqref>
        </x14:dataValidation>
        <x14:dataValidation type="list" allowBlank="1" showInputMessage="1" showErrorMessage="1" xr:uid="{6B990701-6258-427D-ACDA-52E328B325AC}">
          <x14:formula1>
            <xm:f>Source!$I$1:$I$3</xm:f>
          </x14:formula1>
          <xm:sqref>K65</xm:sqref>
        </x14:dataValidation>
        <x14:dataValidation type="list" allowBlank="1" showInputMessage="1" showErrorMessage="1" xr:uid="{AB117CCD-DCC2-432E-9C19-679F3601BAA2}">
          <x14:formula1>
            <xm:f>Source!$A$1:$A$9</xm:f>
          </x14:formula1>
          <xm:sqref>I65:J65</xm:sqref>
        </x14:dataValidation>
        <x14:dataValidation type="list" allowBlank="1" showInputMessage="1" showErrorMessage="1" xr:uid="{9482B766-A80B-4EFB-B584-1C56195BB7E0}">
          <x14:formula1>
            <xm:f>Source!$X$2:$X$4</xm:f>
          </x14:formula1>
          <xm:sqref>H56:H64</xm:sqref>
        </x14:dataValidation>
        <x14:dataValidation type="list" allowBlank="1" showInputMessage="1" showErrorMessage="1" xr:uid="{A5B43D4B-FF9E-4DBE-A8DC-3B1CEF21EF9C}">
          <x14:formula1>
            <xm:f>Source!$T$1:$T$4</xm:f>
          </x14:formula1>
          <xm:sqref>I83:K83 I87:K87</xm:sqref>
        </x14:dataValidation>
        <x14:dataValidation type="list" allowBlank="1" showInputMessage="1" showErrorMessage="1" xr:uid="{B84D34D6-16A0-4481-A90D-ECB448C90EFB}">
          <x14:formula1>
            <xm:f>Source!$AB$1:$AB$5</xm:f>
          </x14:formula1>
          <xm:sqref>J70:J79 J56:J64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I2"/>
  <sheetViews>
    <sheetView workbookViewId="0">
      <selection activeCell="E23" sqref="E23"/>
    </sheetView>
  </sheetViews>
  <sheetFormatPr defaultColWidth="9.140625" defaultRowHeight="15"/>
  <cols>
    <col min="1" max="1" width="37" style="50" customWidth="1"/>
    <col min="2" max="3" width="20.28515625" bestFit="1" customWidth="1"/>
    <col min="4" max="4" width="11.42578125" style="45" bestFit="1" customWidth="1"/>
    <col min="5" max="5" width="37.42578125" bestFit="1" customWidth="1"/>
    <col min="6" max="6" width="31" customWidth="1"/>
    <col min="7" max="7" width="37.140625" customWidth="1"/>
    <col min="8" max="8" width="13.42578125" bestFit="1" customWidth="1"/>
    <col min="12" max="12" width="15.140625" customWidth="1"/>
    <col min="13" max="13" width="18.85546875" bestFit="1" customWidth="1"/>
    <col min="14" max="14" width="17.42578125" style="47" customWidth="1"/>
    <col min="15" max="15" width="16.7109375" style="48" bestFit="1" customWidth="1"/>
    <col min="16" max="16" width="19.7109375" bestFit="1" customWidth="1"/>
    <col min="18" max="18" width="16" bestFit="1" customWidth="1"/>
    <col min="21" max="21" width="17.7109375" style="48" customWidth="1"/>
    <col min="22" max="22" width="19.7109375" style="48" bestFit="1" customWidth="1"/>
    <col min="23" max="23" width="17.7109375" style="48" customWidth="1"/>
    <col min="24" max="24" width="9.140625" style="48"/>
    <col min="25" max="25" width="30.7109375" bestFit="1" customWidth="1"/>
    <col min="26" max="26" width="18.7109375" bestFit="1" customWidth="1"/>
    <col min="27" max="27" width="17.7109375" bestFit="1" customWidth="1"/>
    <col min="28" max="29" width="19.7109375" bestFit="1" customWidth="1"/>
    <col min="31" max="31" width="14.42578125" style="48" bestFit="1" customWidth="1"/>
    <col min="32" max="32" width="19.28515625" bestFit="1" customWidth="1"/>
    <col min="34" max="34" width="19.140625" bestFit="1" customWidth="1"/>
    <col min="36" max="36" width="40.28515625" bestFit="1" customWidth="1"/>
  </cols>
  <sheetData>
    <row r="1" spans="1:35" s="48" customFormat="1" ht="38.25">
      <c r="A1" s="52" t="s">
        <v>798</v>
      </c>
      <c r="B1" s="52" t="s">
        <v>286</v>
      </c>
      <c r="C1" s="52" t="s">
        <v>410</v>
      </c>
      <c r="D1" s="52" t="s">
        <v>799</v>
      </c>
      <c r="E1" s="52" t="s">
        <v>399</v>
      </c>
      <c r="F1" s="52" t="s">
        <v>720</v>
      </c>
      <c r="G1" s="52" t="s">
        <v>422</v>
      </c>
      <c r="H1" s="52" t="s">
        <v>415</v>
      </c>
      <c r="I1" s="52" t="s">
        <v>416</v>
      </c>
      <c r="J1" s="52" t="s">
        <v>800</v>
      </c>
      <c r="K1" s="52" t="s">
        <v>801</v>
      </c>
      <c r="L1" s="52" t="s">
        <v>802</v>
      </c>
      <c r="M1" s="52" t="s">
        <v>803</v>
      </c>
      <c r="N1" s="52" t="s">
        <v>804</v>
      </c>
      <c r="O1" s="52" t="s">
        <v>805</v>
      </c>
      <c r="P1" s="52" t="s">
        <v>796</v>
      </c>
      <c r="Q1" s="51" t="s">
        <v>806</v>
      </c>
      <c r="R1" s="51" t="s">
        <v>807</v>
      </c>
      <c r="S1" s="51" t="s">
        <v>808</v>
      </c>
      <c r="T1" s="51" t="s">
        <v>809</v>
      </c>
      <c r="U1" s="51" t="s">
        <v>786</v>
      </c>
      <c r="V1" s="51" t="s">
        <v>787</v>
      </c>
      <c r="W1" s="52" t="s">
        <v>810</v>
      </c>
      <c r="X1" s="52" t="s">
        <v>811</v>
      </c>
      <c r="Y1" s="52" t="s">
        <v>812</v>
      </c>
      <c r="Z1" s="52" t="s">
        <v>813</v>
      </c>
      <c r="AA1" s="52" t="s">
        <v>400</v>
      </c>
      <c r="AB1"/>
      <c r="AC1" s="46"/>
      <c r="AD1" s="46"/>
      <c r="AE1" s="46"/>
      <c r="AF1" s="46"/>
      <c r="AG1" s="46"/>
      <c r="AH1" s="46"/>
      <c r="AI1" s="46"/>
    </row>
    <row r="2" spans="1:35" s="291" customFormat="1">
      <c r="A2" s="288" t="str">
        <f>E2&amp;AA21</f>
        <v>Holyoke Comm. College</v>
      </c>
      <c r="B2" s="288" t="s">
        <v>814</v>
      </c>
      <c r="C2" s="288" t="s">
        <v>814</v>
      </c>
      <c r="D2" s="288" t="s">
        <v>815</v>
      </c>
      <c r="E2" s="288" t="s">
        <v>121</v>
      </c>
      <c r="F2" s="288" t="s">
        <v>816</v>
      </c>
      <c r="G2" s="288" t="s">
        <v>817</v>
      </c>
      <c r="H2" s="289" t="s">
        <v>733</v>
      </c>
      <c r="I2" s="289" t="s">
        <v>437</v>
      </c>
      <c r="J2" s="290" t="s">
        <v>818</v>
      </c>
      <c r="K2" s="289"/>
      <c r="L2" s="289"/>
      <c r="M2" s="289"/>
      <c r="N2" s="289" t="s">
        <v>819</v>
      </c>
      <c r="O2" s="289" t="s">
        <v>820</v>
      </c>
      <c r="P2" s="289" t="s">
        <v>821</v>
      </c>
      <c r="Q2" s="289"/>
      <c r="R2" s="289"/>
      <c r="S2" s="289"/>
      <c r="T2" s="289"/>
      <c r="U2" s="289" t="s">
        <v>822</v>
      </c>
      <c r="V2" s="289" t="s">
        <v>823</v>
      </c>
      <c r="W2" s="289">
        <v>2</v>
      </c>
      <c r="X2" s="288"/>
      <c r="Y2" s="288">
        <v>2020</v>
      </c>
      <c r="Z2" s="288"/>
      <c r="AA2" s="288">
        <v>1</v>
      </c>
      <c r="AB2" s="291" t="str">
        <f>VLOOKUP(E2,Source!F:F,1,FALSE)</f>
        <v>Holyoke Comm. College</v>
      </c>
      <c r="AC2" s="292"/>
      <c r="AD2" s="293"/>
      <c r="AE2" s="294"/>
      <c r="AF2" s="293"/>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0000000}">
          <x14:formula1>
            <xm:f>Source!$I$1:$I$3</xm:f>
          </x14:formula1>
          <xm:sqref>O2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258"/>
  <sheetViews>
    <sheetView zoomScale="80" zoomScaleNormal="80" workbookViewId="0">
      <selection activeCell="E132" sqref="E132:E155"/>
    </sheetView>
  </sheetViews>
  <sheetFormatPr defaultColWidth="9.140625" defaultRowHeight="15"/>
  <cols>
    <col min="1" max="1" width="41" customWidth="1"/>
    <col min="2" max="2" width="8.140625" customWidth="1"/>
    <col min="3" max="3" width="10" style="50" bestFit="1" customWidth="1"/>
    <col min="4" max="4" width="48" bestFit="1" customWidth="1"/>
    <col min="5" max="5" width="43.85546875" bestFit="1" customWidth="1"/>
    <col min="6" max="6" width="49.140625" style="45" bestFit="1" customWidth="1"/>
    <col min="7" max="7" width="52.42578125" bestFit="1" customWidth="1"/>
    <col min="8" max="8" width="14.5703125" bestFit="1" customWidth="1"/>
    <col min="9" max="9" width="6.28515625" bestFit="1" customWidth="1"/>
    <col min="10" max="10" width="11.85546875" bestFit="1" customWidth="1"/>
    <col min="11" max="11" width="6.140625" bestFit="1" customWidth="1"/>
    <col min="12" max="13" width="22.42578125" bestFit="1" customWidth="1"/>
    <col min="14" max="14" width="15.42578125" bestFit="1" customWidth="1"/>
    <col min="15" max="15" width="14.85546875" bestFit="1" customWidth="1"/>
    <col min="16" max="16" width="14.42578125" style="47" bestFit="1" customWidth="1"/>
    <col min="17" max="17" width="12.140625" style="48" bestFit="1" customWidth="1"/>
    <col min="18" max="18" width="15.140625" bestFit="1" customWidth="1"/>
    <col min="19" max="19" width="8.85546875" bestFit="1" customWidth="1"/>
    <col min="20" max="20" width="9.28515625" customWidth="1"/>
    <col min="21" max="21" width="9.85546875" bestFit="1" customWidth="1"/>
    <col min="22" max="22" width="23.5703125" customWidth="1"/>
  </cols>
  <sheetData>
    <row r="1" spans="1:22" s="48" customFormat="1">
      <c r="A1" s="559" t="s">
        <v>798</v>
      </c>
      <c r="B1" s="559" t="s">
        <v>400</v>
      </c>
      <c r="C1" s="559" t="s">
        <v>799</v>
      </c>
      <c r="D1" s="559" t="s">
        <v>979</v>
      </c>
      <c r="E1" s="559" t="s">
        <v>1139</v>
      </c>
      <c r="F1" s="559" t="s">
        <v>1140</v>
      </c>
      <c r="G1" s="559" t="s">
        <v>1141</v>
      </c>
      <c r="H1" s="559" t="s">
        <v>415</v>
      </c>
      <c r="I1" s="559" t="s">
        <v>800</v>
      </c>
      <c r="J1" s="559" t="s">
        <v>804</v>
      </c>
      <c r="K1" s="559" t="s">
        <v>805</v>
      </c>
      <c r="L1" s="559" t="s">
        <v>1142</v>
      </c>
      <c r="M1" s="559" t="s">
        <v>1143</v>
      </c>
      <c r="N1" s="559" t="s">
        <v>1144</v>
      </c>
      <c r="O1" s="559" t="s">
        <v>1145</v>
      </c>
      <c r="P1" s="559" t="s">
        <v>1146</v>
      </c>
      <c r="Q1" s="559" t="s">
        <v>1147</v>
      </c>
      <c r="R1" s="559" t="s">
        <v>1148</v>
      </c>
      <c r="S1" s="559" t="s">
        <v>810</v>
      </c>
      <c r="T1" s="559" t="s">
        <v>1149</v>
      </c>
      <c r="U1" s="559" t="s">
        <v>812</v>
      </c>
      <c r="V1" s="559" t="s">
        <v>787</v>
      </c>
    </row>
    <row r="2" spans="1:22">
      <c r="A2" s="17" t="str">
        <f t="shared" ref="A2:A43" si="0">D2&amp;B2</f>
        <v>Bridgewater State University1</v>
      </c>
      <c r="B2" s="17">
        <v>1</v>
      </c>
      <c r="C2" s="328" t="s">
        <v>438</v>
      </c>
      <c r="D2" s="754" t="s">
        <v>58</v>
      </c>
      <c r="E2" s="328" t="s">
        <v>824</v>
      </c>
      <c r="F2" s="328" t="s">
        <v>1173</v>
      </c>
      <c r="G2" s="328" t="s">
        <v>1174</v>
      </c>
      <c r="H2" s="328" t="s">
        <v>450</v>
      </c>
      <c r="I2" s="552" t="s">
        <v>825</v>
      </c>
      <c r="J2" s="328" t="s">
        <v>826</v>
      </c>
      <c r="K2" s="328" t="s">
        <v>820</v>
      </c>
      <c r="L2" s="328" t="s">
        <v>1231</v>
      </c>
      <c r="M2" s="328" t="s">
        <v>1232</v>
      </c>
      <c r="N2" s="328" t="s">
        <v>1154</v>
      </c>
      <c r="O2" s="761"/>
      <c r="P2" s="761">
        <v>3</v>
      </c>
      <c r="Q2" s="761"/>
      <c r="R2" s="761">
        <v>3</v>
      </c>
      <c r="S2" s="761">
        <v>6</v>
      </c>
      <c r="T2" s="328" t="s">
        <v>822</v>
      </c>
      <c r="U2" s="328">
        <v>2014</v>
      </c>
      <c r="V2" s="45" t="s">
        <v>1329</v>
      </c>
    </row>
    <row r="3" spans="1:22">
      <c r="A3" s="17" t="str">
        <f t="shared" si="0"/>
        <v>Bridgewater State University2</v>
      </c>
      <c r="B3" s="17">
        <v>2</v>
      </c>
      <c r="C3" s="328" t="s">
        <v>438</v>
      </c>
      <c r="D3" s="754" t="s">
        <v>58</v>
      </c>
      <c r="E3" s="328" t="s">
        <v>1297</v>
      </c>
      <c r="F3" s="328" t="s">
        <v>1298</v>
      </c>
      <c r="G3" s="328"/>
      <c r="H3" s="328" t="s">
        <v>450</v>
      </c>
      <c r="I3" s="552" t="s">
        <v>825</v>
      </c>
      <c r="J3" s="328"/>
      <c r="K3" s="328" t="s">
        <v>820</v>
      </c>
      <c r="L3" s="328" t="s">
        <v>1231</v>
      </c>
      <c r="M3" s="328" t="s">
        <v>1232</v>
      </c>
      <c r="N3" s="328"/>
      <c r="O3" s="761">
        <v>8</v>
      </c>
      <c r="P3" s="761"/>
      <c r="Q3" s="761"/>
      <c r="R3" s="761">
        <v>8</v>
      </c>
      <c r="S3" s="761">
        <v>16</v>
      </c>
      <c r="T3" s="328" t="s">
        <v>846</v>
      </c>
      <c r="U3" s="328">
        <v>2022</v>
      </c>
      <c r="V3" s="45" t="s">
        <v>1329</v>
      </c>
    </row>
    <row r="4" spans="1:22">
      <c r="A4" s="17" t="str">
        <f t="shared" si="0"/>
        <v>Bridgewater State University3</v>
      </c>
      <c r="B4" s="17">
        <v>3</v>
      </c>
      <c r="C4" s="328" t="s">
        <v>438</v>
      </c>
      <c r="D4" s="754" t="s">
        <v>58</v>
      </c>
      <c r="E4" s="328" t="s">
        <v>1299</v>
      </c>
      <c r="F4" s="328" t="s">
        <v>1300</v>
      </c>
      <c r="G4" s="328"/>
      <c r="H4" s="328" t="s">
        <v>450</v>
      </c>
      <c r="I4" s="552" t="s">
        <v>1301</v>
      </c>
      <c r="J4" s="328"/>
      <c r="K4" s="328" t="s">
        <v>820</v>
      </c>
      <c r="L4" s="328" t="s">
        <v>1231</v>
      </c>
      <c r="M4" s="328" t="s">
        <v>1232</v>
      </c>
      <c r="N4" s="328"/>
      <c r="O4" s="761">
        <v>2</v>
      </c>
      <c r="P4" s="761"/>
      <c r="Q4" s="761"/>
      <c r="R4" s="761">
        <v>2</v>
      </c>
      <c r="S4" s="761">
        <v>4</v>
      </c>
      <c r="T4" s="328" t="s">
        <v>846</v>
      </c>
      <c r="U4" s="328">
        <v>2022</v>
      </c>
      <c r="V4" t="s">
        <v>1329</v>
      </c>
    </row>
    <row r="5" spans="1:22">
      <c r="A5" s="17" t="str">
        <f t="shared" si="0"/>
        <v>Bridgewater State University4</v>
      </c>
      <c r="B5" s="17">
        <v>4</v>
      </c>
      <c r="C5" s="328" t="s">
        <v>438</v>
      </c>
      <c r="D5" s="754" t="s">
        <v>58</v>
      </c>
      <c r="E5" s="754" t="s">
        <v>58</v>
      </c>
      <c r="F5" s="328" t="s">
        <v>1956</v>
      </c>
      <c r="G5" s="328"/>
      <c r="H5" s="328" t="s">
        <v>450</v>
      </c>
      <c r="I5" s="552" t="s">
        <v>825</v>
      </c>
      <c r="J5" s="328"/>
      <c r="K5" s="328" t="s">
        <v>820</v>
      </c>
      <c r="L5" s="328" t="s">
        <v>857</v>
      </c>
      <c r="M5" s="328" t="s">
        <v>2043</v>
      </c>
      <c r="N5" s="328"/>
      <c r="O5" s="761"/>
      <c r="P5" s="761">
        <v>4</v>
      </c>
      <c r="Q5" s="761"/>
      <c r="R5" s="761">
        <v>4</v>
      </c>
      <c r="S5" s="761">
        <v>8</v>
      </c>
      <c r="T5" s="328" t="s">
        <v>822</v>
      </c>
      <c r="U5" s="328">
        <v>2024</v>
      </c>
      <c r="V5" s="45" t="s">
        <v>1329</v>
      </c>
    </row>
    <row r="6" spans="1:22">
      <c r="A6" s="17" t="str">
        <f t="shared" si="0"/>
        <v>Bristol Comm. College1</v>
      </c>
      <c r="B6" s="17">
        <v>1</v>
      </c>
      <c r="C6" s="328" t="s">
        <v>438</v>
      </c>
      <c r="D6" s="754" t="s">
        <v>27</v>
      </c>
      <c r="E6" s="328" t="s">
        <v>827</v>
      </c>
      <c r="F6" s="328" t="s">
        <v>455</v>
      </c>
      <c r="G6" s="328" t="s">
        <v>1175</v>
      </c>
      <c r="H6" s="328" t="s">
        <v>456</v>
      </c>
      <c r="I6" s="552" t="s">
        <v>828</v>
      </c>
      <c r="J6" s="328" t="s">
        <v>826</v>
      </c>
      <c r="K6" s="328" t="s">
        <v>820</v>
      </c>
      <c r="L6" s="328" t="s">
        <v>821</v>
      </c>
      <c r="M6" s="328" t="s">
        <v>821</v>
      </c>
      <c r="N6" s="328" t="s">
        <v>1154</v>
      </c>
      <c r="O6" s="761"/>
      <c r="P6" s="761">
        <v>1</v>
      </c>
      <c r="Q6" s="761"/>
      <c r="R6" s="761">
        <v>1</v>
      </c>
      <c r="S6" s="761">
        <v>2</v>
      </c>
      <c r="T6" s="328" t="s">
        <v>822</v>
      </c>
      <c r="U6" s="328">
        <v>2016</v>
      </c>
      <c r="V6" s="45" t="s">
        <v>1329</v>
      </c>
    </row>
    <row r="7" spans="1:22">
      <c r="A7" s="17" t="str">
        <f t="shared" si="0"/>
        <v>Bristol Comm. College2</v>
      </c>
      <c r="B7" s="17">
        <v>2</v>
      </c>
      <c r="C7" s="328" t="s">
        <v>438</v>
      </c>
      <c r="D7" s="754" t="s">
        <v>27</v>
      </c>
      <c r="E7" s="328" t="s">
        <v>827</v>
      </c>
      <c r="F7" s="328" t="s">
        <v>455</v>
      </c>
      <c r="G7" s="328" t="s">
        <v>1176</v>
      </c>
      <c r="H7" s="328" t="s">
        <v>456</v>
      </c>
      <c r="I7" s="552" t="s">
        <v>828</v>
      </c>
      <c r="J7" s="328" t="s">
        <v>826</v>
      </c>
      <c r="K7" s="328" t="s">
        <v>820</v>
      </c>
      <c r="L7" s="328" t="s">
        <v>821</v>
      </c>
      <c r="M7" s="328" t="s">
        <v>821</v>
      </c>
      <c r="N7" s="328" t="s">
        <v>1154</v>
      </c>
      <c r="O7" s="761"/>
      <c r="P7" s="761">
        <v>5</v>
      </c>
      <c r="Q7" s="761"/>
      <c r="R7" s="761">
        <v>5</v>
      </c>
      <c r="S7" s="761">
        <v>10</v>
      </c>
      <c r="T7" s="328" t="s">
        <v>822</v>
      </c>
      <c r="U7" s="328">
        <v>2020</v>
      </c>
      <c r="V7" s="45" t="s">
        <v>1329</v>
      </c>
    </row>
    <row r="8" spans="1:22">
      <c r="A8" s="17" t="str">
        <f t="shared" si="0"/>
        <v>Bristol Comm. College3</v>
      </c>
      <c r="B8" s="17">
        <v>3</v>
      </c>
      <c r="C8" s="328" t="s">
        <v>438</v>
      </c>
      <c r="D8" s="754" t="s">
        <v>27</v>
      </c>
      <c r="E8" s="328" t="s">
        <v>827</v>
      </c>
      <c r="F8" s="328" t="s">
        <v>455</v>
      </c>
      <c r="G8" s="328" t="s">
        <v>1177</v>
      </c>
      <c r="H8" s="328" t="s">
        <v>456</v>
      </c>
      <c r="I8" s="552" t="s">
        <v>828</v>
      </c>
      <c r="J8" s="328" t="s">
        <v>826</v>
      </c>
      <c r="K8" s="328" t="s">
        <v>820</v>
      </c>
      <c r="L8" s="328" t="s">
        <v>821</v>
      </c>
      <c r="M8" s="328" t="s">
        <v>821</v>
      </c>
      <c r="N8" s="328" t="s">
        <v>1154</v>
      </c>
      <c r="O8" s="761"/>
      <c r="P8" s="761">
        <v>5</v>
      </c>
      <c r="Q8" s="761"/>
      <c r="R8" s="761">
        <v>5</v>
      </c>
      <c r="S8" s="761">
        <v>10</v>
      </c>
      <c r="T8" s="328" t="s">
        <v>822</v>
      </c>
      <c r="U8" s="328">
        <v>2020</v>
      </c>
      <c r="V8" s="45" t="s">
        <v>1329</v>
      </c>
    </row>
    <row r="9" spans="1:22">
      <c r="A9" s="17" t="str">
        <f t="shared" si="0"/>
        <v>Bunker Hill Comm. College1</v>
      </c>
      <c r="B9" s="17">
        <v>1</v>
      </c>
      <c r="C9" s="328" t="s">
        <v>438</v>
      </c>
      <c r="D9" s="754" t="s">
        <v>73</v>
      </c>
      <c r="E9" s="754" t="s">
        <v>459</v>
      </c>
      <c r="F9" s="328" t="s">
        <v>2255</v>
      </c>
      <c r="G9" s="328"/>
      <c r="H9" s="328" t="s">
        <v>460</v>
      </c>
      <c r="I9" s="552" t="s">
        <v>885</v>
      </c>
      <c r="J9" s="328"/>
      <c r="K9" s="328" t="s">
        <v>820</v>
      </c>
      <c r="L9" s="328" t="s">
        <v>1232</v>
      </c>
      <c r="M9" s="328" t="s">
        <v>1232</v>
      </c>
      <c r="N9" s="328"/>
      <c r="O9" s="761"/>
      <c r="P9" s="761">
        <v>6</v>
      </c>
      <c r="Q9" s="761"/>
      <c r="R9" s="761">
        <v>6</v>
      </c>
      <c r="S9" s="761">
        <v>11</v>
      </c>
      <c r="T9" s="328" t="s">
        <v>822</v>
      </c>
      <c r="U9" s="328">
        <v>2024</v>
      </c>
      <c r="V9" s="45" t="s">
        <v>1329</v>
      </c>
    </row>
    <row r="10" spans="1:22">
      <c r="A10" s="17" t="str">
        <f t="shared" si="0"/>
        <v>Cape Cod Comm. College1</v>
      </c>
      <c r="B10" s="17">
        <v>1</v>
      </c>
      <c r="C10" s="328" t="s">
        <v>438</v>
      </c>
      <c r="D10" s="754" t="s">
        <v>79</v>
      </c>
      <c r="E10" s="328" t="s">
        <v>1150</v>
      </c>
      <c r="F10" s="328" t="s">
        <v>1151</v>
      </c>
      <c r="G10" s="328"/>
      <c r="H10" s="328" t="s">
        <v>1152</v>
      </c>
      <c r="I10" s="552" t="s">
        <v>1153</v>
      </c>
      <c r="J10" s="328" t="s">
        <v>837</v>
      </c>
      <c r="K10" s="328" t="s">
        <v>820</v>
      </c>
      <c r="L10" s="328" t="s">
        <v>821</v>
      </c>
      <c r="M10" s="328" t="s">
        <v>821</v>
      </c>
      <c r="N10" s="328" t="s">
        <v>1154</v>
      </c>
      <c r="O10" s="761"/>
      <c r="P10" s="761"/>
      <c r="Q10" s="761">
        <v>1</v>
      </c>
      <c r="R10" s="761">
        <v>1</v>
      </c>
      <c r="S10" s="761">
        <v>1</v>
      </c>
      <c r="T10" s="328" t="s">
        <v>844</v>
      </c>
      <c r="U10" s="328">
        <v>2016</v>
      </c>
      <c r="V10" t="s">
        <v>1328</v>
      </c>
    </row>
    <row r="11" spans="1:22">
      <c r="A11" s="17" t="str">
        <f t="shared" si="0"/>
        <v>Cape Cod Comm. College2</v>
      </c>
      <c r="B11" s="17">
        <v>2</v>
      </c>
      <c r="C11" s="328" t="s">
        <v>438</v>
      </c>
      <c r="D11" s="754" t="s">
        <v>79</v>
      </c>
      <c r="E11" s="332" t="s">
        <v>2030</v>
      </c>
      <c r="F11" s="328" t="s">
        <v>1151</v>
      </c>
      <c r="G11" s="332"/>
      <c r="H11" s="328" t="s">
        <v>1152</v>
      </c>
      <c r="I11" s="552" t="s">
        <v>1153</v>
      </c>
      <c r="J11" s="328" t="s">
        <v>837</v>
      </c>
      <c r="K11" s="328" t="s">
        <v>820</v>
      </c>
      <c r="L11" s="328" t="s">
        <v>821</v>
      </c>
      <c r="M11" s="328" t="s">
        <v>821</v>
      </c>
      <c r="N11" s="332"/>
      <c r="O11" s="332"/>
      <c r="P11" s="332">
        <v>2</v>
      </c>
      <c r="Q11" s="332"/>
      <c r="R11" s="761">
        <v>2</v>
      </c>
      <c r="S11" s="332">
        <v>4</v>
      </c>
      <c r="T11" s="328" t="s">
        <v>822</v>
      </c>
      <c r="U11" s="332">
        <v>2024</v>
      </c>
      <c r="V11" t="s">
        <v>1329</v>
      </c>
    </row>
    <row r="12" spans="1:22">
      <c r="A12" s="17" t="str">
        <f t="shared" si="0"/>
        <v>Cape Cod Comm. College3</v>
      </c>
      <c r="B12" s="17">
        <v>3</v>
      </c>
      <c r="C12" s="328" t="s">
        <v>438</v>
      </c>
      <c r="D12" s="754" t="s">
        <v>79</v>
      </c>
      <c r="E12" s="332" t="s">
        <v>2031</v>
      </c>
      <c r="F12" s="328" t="s">
        <v>1151</v>
      </c>
      <c r="G12" s="332"/>
      <c r="H12" s="328" t="s">
        <v>1152</v>
      </c>
      <c r="I12" s="552" t="s">
        <v>1153</v>
      </c>
      <c r="J12" s="328" t="s">
        <v>837</v>
      </c>
      <c r="K12" s="328" t="s">
        <v>820</v>
      </c>
      <c r="L12" s="328" t="s">
        <v>821</v>
      </c>
      <c r="M12" s="328" t="s">
        <v>821</v>
      </c>
      <c r="N12" s="332"/>
      <c r="O12" s="332"/>
      <c r="P12" s="332">
        <v>1</v>
      </c>
      <c r="Q12" s="332"/>
      <c r="R12" s="761">
        <v>1</v>
      </c>
      <c r="S12" s="332">
        <v>2</v>
      </c>
      <c r="T12" s="328" t="s">
        <v>822</v>
      </c>
      <c r="U12" s="332">
        <v>2024</v>
      </c>
      <c r="V12" s="45" t="s">
        <v>1329</v>
      </c>
    </row>
    <row r="13" spans="1:22" s="45" customFormat="1">
      <c r="A13" s="17" t="str">
        <f t="shared" si="0"/>
        <v>Cape Cod Regional Transit Authority1</v>
      </c>
      <c r="B13" s="17">
        <v>1</v>
      </c>
      <c r="C13" s="328" t="s">
        <v>1178</v>
      </c>
      <c r="D13" s="754" t="s">
        <v>1179</v>
      </c>
      <c r="E13" s="328" t="s">
        <v>1180</v>
      </c>
      <c r="F13" s="328" t="s">
        <v>1181</v>
      </c>
      <c r="G13" s="328"/>
      <c r="H13" s="328" t="s">
        <v>1182</v>
      </c>
      <c r="I13" s="552" t="s">
        <v>1183</v>
      </c>
      <c r="J13" s="328" t="s">
        <v>837</v>
      </c>
      <c r="K13" s="328" t="s">
        <v>820</v>
      </c>
      <c r="L13" s="328" t="s">
        <v>821</v>
      </c>
      <c r="M13" s="328" t="s">
        <v>821</v>
      </c>
      <c r="N13" s="328" t="s">
        <v>1154</v>
      </c>
      <c r="O13" s="761"/>
      <c r="P13" s="761">
        <v>1</v>
      </c>
      <c r="Q13" s="761"/>
      <c r="R13" s="761">
        <v>1</v>
      </c>
      <c r="S13" s="761">
        <v>2</v>
      </c>
      <c r="T13" s="328" t="s">
        <v>822</v>
      </c>
      <c r="U13" s="328">
        <v>2013</v>
      </c>
      <c r="V13" s="45" t="s">
        <v>1329</v>
      </c>
    </row>
    <row r="14" spans="1:22" s="45" customFormat="1">
      <c r="A14" s="17" t="str">
        <f t="shared" si="0"/>
        <v>Cape Cod Regional Transit Authority2</v>
      </c>
      <c r="B14" s="17">
        <v>2</v>
      </c>
      <c r="C14" s="328" t="s">
        <v>1178</v>
      </c>
      <c r="D14" s="754" t="s">
        <v>1179</v>
      </c>
      <c r="E14" s="328" t="s">
        <v>1180</v>
      </c>
      <c r="F14" s="328" t="s">
        <v>1181</v>
      </c>
      <c r="G14" s="328"/>
      <c r="H14" s="328" t="s">
        <v>1182</v>
      </c>
      <c r="I14" s="552" t="s">
        <v>1183</v>
      </c>
      <c r="J14" s="328" t="s">
        <v>837</v>
      </c>
      <c r="K14" s="328" t="s">
        <v>820</v>
      </c>
      <c r="L14" s="328" t="s">
        <v>821</v>
      </c>
      <c r="M14" s="328" t="s">
        <v>821</v>
      </c>
      <c r="N14" s="328" t="s">
        <v>1154</v>
      </c>
      <c r="O14" s="761"/>
      <c r="P14" s="761">
        <v>10</v>
      </c>
      <c r="Q14" s="761"/>
      <c r="R14" s="761">
        <v>10</v>
      </c>
      <c r="S14" s="761">
        <v>20</v>
      </c>
      <c r="T14" s="328" t="s">
        <v>822</v>
      </c>
      <c r="U14" s="328">
        <v>2019</v>
      </c>
      <c r="V14" s="45" t="s">
        <v>1329</v>
      </c>
    </row>
    <row r="15" spans="1:22" s="45" customFormat="1">
      <c r="A15" s="17" t="str">
        <f t="shared" si="0"/>
        <v>Div. of Capital Asset Management1</v>
      </c>
      <c r="B15" s="17">
        <v>1</v>
      </c>
      <c r="C15" s="328" t="s">
        <v>815</v>
      </c>
      <c r="D15" s="754" t="s">
        <v>105</v>
      </c>
      <c r="E15" s="328" t="s">
        <v>834</v>
      </c>
      <c r="F15" s="328" t="s">
        <v>835</v>
      </c>
      <c r="G15" s="328"/>
      <c r="H15" s="328" t="s">
        <v>613</v>
      </c>
      <c r="I15" s="552" t="s">
        <v>836</v>
      </c>
      <c r="J15" s="328" t="s">
        <v>837</v>
      </c>
      <c r="K15" s="328" t="s">
        <v>820</v>
      </c>
      <c r="L15" s="328" t="s">
        <v>350</v>
      </c>
      <c r="M15" s="328" t="s">
        <v>350</v>
      </c>
      <c r="N15" s="328"/>
      <c r="O15" s="761"/>
      <c r="P15" s="761">
        <v>1</v>
      </c>
      <c r="Q15" s="761"/>
      <c r="R15" s="761">
        <v>1</v>
      </c>
      <c r="S15" s="761">
        <v>2</v>
      </c>
      <c r="T15" s="328" t="s">
        <v>822</v>
      </c>
      <c r="U15" s="328">
        <v>2015</v>
      </c>
      <c r="V15" s="45" t="s">
        <v>1329</v>
      </c>
    </row>
    <row r="16" spans="1:22" s="45" customFormat="1">
      <c r="A16" s="17" t="str">
        <f t="shared" si="0"/>
        <v>Div. of Capital Asset Management2</v>
      </c>
      <c r="B16" s="558">
        <v>2</v>
      </c>
      <c r="C16" s="328" t="s">
        <v>815</v>
      </c>
      <c r="D16" s="754" t="s">
        <v>105</v>
      </c>
      <c r="E16" s="328" t="s">
        <v>1237</v>
      </c>
      <c r="F16" s="328" t="s">
        <v>838</v>
      </c>
      <c r="G16" s="328"/>
      <c r="H16" s="328" t="s">
        <v>460</v>
      </c>
      <c r="I16" s="552" t="s">
        <v>839</v>
      </c>
      <c r="J16" s="328" t="s">
        <v>837</v>
      </c>
      <c r="K16" s="328" t="s">
        <v>820</v>
      </c>
      <c r="L16" s="328" t="s">
        <v>821</v>
      </c>
      <c r="M16" s="328" t="s">
        <v>821</v>
      </c>
      <c r="N16" s="328" t="s">
        <v>1154</v>
      </c>
      <c r="O16" s="761"/>
      <c r="P16" s="761">
        <v>3</v>
      </c>
      <c r="Q16" s="761"/>
      <c r="R16" s="761">
        <v>3</v>
      </c>
      <c r="S16" s="761">
        <v>6</v>
      </c>
      <c r="T16" s="328" t="s">
        <v>822</v>
      </c>
      <c r="U16" s="328">
        <v>2019</v>
      </c>
      <c r="V16" s="45" t="s">
        <v>1329</v>
      </c>
    </row>
    <row r="17" spans="1:22" s="45" customFormat="1">
      <c r="A17" s="17" t="str">
        <f t="shared" si="0"/>
        <v>Div. of Capital Asset Management3</v>
      </c>
      <c r="B17" s="17">
        <v>3</v>
      </c>
      <c r="C17" s="332" t="s">
        <v>815</v>
      </c>
      <c r="D17" s="754" t="s">
        <v>105</v>
      </c>
      <c r="E17" s="332" t="s">
        <v>2040</v>
      </c>
      <c r="F17" s="332" t="s">
        <v>2041</v>
      </c>
      <c r="G17" s="332"/>
      <c r="H17" s="332" t="s">
        <v>478</v>
      </c>
      <c r="I17" s="552" t="s">
        <v>887</v>
      </c>
      <c r="J17" s="332"/>
      <c r="K17" s="332" t="s">
        <v>820</v>
      </c>
      <c r="L17" s="332" t="s">
        <v>857</v>
      </c>
      <c r="M17" s="332" t="s">
        <v>2043</v>
      </c>
      <c r="N17" s="332"/>
      <c r="O17" s="332"/>
      <c r="P17" s="332">
        <v>4</v>
      </c>
      <c r="Q17" s="332"/>
      <c r="R17" s="332">
        <v>4</v>
      </c>
      <c r="S17" s="332">
        <v>8</v>
      </c>
      <c r="T17" s="328" t="s">
        <v>822</v>
      </c>
      <c r="U17" s="332">
        <v>2024</v>
      </c>
      <c r="V17" s="45" t="s">
        <v>1329</v>
      </c>
    </row>
    <row r="18" spans="1:22" s="45" customFormat="1">
      <c r="A18" s="17" t="str">
        <f t="shared" si="0"/>
        <v>Div. of Capital Asset Management4</v>
      </c>
      <c r="B18" s="17">
        <v>4</v>
      </c>
      <c r="C18" s="332" t="s">
        <v>815</v>
      </c>
      <c r="D18" s="754" t="s">
        <v>105</v>
      </c>
      <c r="E18" s="328" t="s">
        <v>2256</v>
      </c>
      <c r="F18" s="332" t="s">
        <v>835</v>
      </c>
      <c r="G18" s="332"/>
      <c r="H18" s="332" t="s">
        <v>613</v>
      </c>
      <c r="I18" s="552" t="s">
        <v>836</v>
      </c>
      <c r="J18" s="332"/>
      <c r="K18" s="332" t="s">
        <v>820</v>
      </c>
      <c r="L18" s="332" t="s">
        <v>857</v>
      </c>
      <c r="M18" s="332" t="s">
        <v>2043</v>
      </c>
      <c r="N18" s="332"/>
      <c r="O18" s="332"/>
      <c r="P18" s="332">
        <v>3</v>
      </c>
      <c r="Q18" s="332"/>
      <c r="R18" s="332">
        <v>3</v>
      </c>
      <c r="S18" s="332">
        <v>6</v>
      </c>
      <c r="T18" s="328" t="s">
        <v>822</v>
      </c>
      <c r="U18" s="332">
        <v>2025</v>
      </c>
      <c r="V18" s="45" t="s">
        <v>1329</v>
      </c>
    </row>
    <row r="19" spans="1:22" s="45" customFormat="1">
      <c r="A19" s="17" t="str">
        <f t="shared" si="0"/>
        <v>Div. of Capital Asset Management5</v>
      </c>
      <c r="B19" s="17">
        <v>5</v>
      </c>
      <c r="C19" s="332" t="s">
        <v>815</v>
      </c>
      <c r="D19" s="754" t="s">
        <v>105</v>
      </c>
      <c r="E19" s="328" t="s">
        <v>2257</v>
      </c>
      <c r="F19" s="332" t="s">
        <v>2258</v>
      </c>
      <c r="G19" s="332"/>
      <c r="H19" s="332" t="s">
        <v>436</v>
      </c>
      <c r="I19" s="552" t="s">
        <v>2259</v>
      </c>
      <c r="J19" s="332"/>
      <c r="K19" s="332" t="s">
        <v>820</v>
      </c>
      <c r="L19" s="332" t="s">
        <v>857</v>
      </c>
      <c r="M19" s="332" t="s">
        <v>2043</v>
      </c>
      <c r="N19" s="332"/>
      <c r="O19" s="332"/>
      <c r="P19" s="332">
        <v>2</v>
      </c>
      <c r="Q19" s="332"/>
      <c r="R19" s="332">
        <v>2</v>
      </c>
      <c r="S19" s="332">
        <v>4</v>
      </c>
      <c r="T19" s="328" t="s">
        <v>822</v>
      </c>
      <c r="U19" s="332">
        <v>2025</v>
      </c>
      <c r="V19" s="45" t="s">
        <v>1329</v>
      </c>
    </row>
    <row r="20" spans="1:22">
      <c r="A20" s="17" t="str">
        <f t="shared" si="0"/>
        <v>Dept. of Conservation &amp; Recreation1</v>
      </c>
      <c r="B20" s="17">
        <v>1</v>
      </c>
      <c r="C20" s="328" t="s">
        <v>829</v>
      </c>
      <c r="D20" s="754" t="s">
        <v>2597</v>
      </c>
      <c r="E20" s="328" t="s">
        <v>1184</v>
      </c>
      <c r="F20" s="328" t="s">
        <v>488</v>
      </c>
      <c r="G20" s="328" t="s">
        <v>903</v>
      </c>
      <c r="H20" s="328" t="s">
        <v>489</v>
      </c>
      <c r="I20" s="552" t="s">
        <v>830</v>
      </c>
      <c r="J20" s="328" t="s">
        <v>819</v>
      </c>
      <c r="K20" s="328" t="s">
        <v>820</v>
      </c>
      <c r="L20" s="328" t="s">
        <v>821</v>
      </c>
      <c r="M20" s="328" t="s">
        <v>821</v>
      </c>
      <c r="N20" s="328" t="s">
        <v>1185</v>
      </c>
      <c r="O20" s="761"/>
      <c r="P20" s="761">
        <v>2</v>
      </c>
      <c r="Q20" s="761"/>
      <c r="R20" s="761">
        <v>2</v>
      </c>
      <c r="S20" s="761">
        <v>4</v>
      </c>
      <c r="T20" s="328" t="s">
        <v>822</v>
      </c>
      <c r="U20" s="328">
        <v>2016</v>
      </c>
      <c r="V20" t="s">
        <v>1329</v>
      </c>
    </row>
    <row r="21" spans="1:22">
      <c r="A21" s="17" t="str">
        <f t="shared" si="0"/>
        <v>Dept. of Conservation &amp; Recreation2</v>
      </c>
      <c r="B21" s="17">
        <v>2</v>
      </c>
      <c r="C21" s="328" t="s">
        <v>829</v>
      </c>
      <c r="D21" s="754" t="s">
        <v>2597</v>
      </c>
      <c r="E21" s="328" t="s">
        <v>1186</v>
      </c>
      <c r="F21" s="328" t="s">
        <v>1187</v>
      </c>
      <c r="G21" s="328"/>
      <c r="H21" s="328" t="s">
        <v>1188</v>
      </c>
      <c r="I21" s="552" t="s">
        <v>1189</v>
      </c>
      <c r="J21" s="328"/>
      <c r="K21" s="328" t="s">
        <v>820</v>
      </c>
      <c r="L21" s="328" t="s">
        <v>857</v>
      </c>
      <c r="M21" s="328" t="s">
        <v>2043</v>
      </c>
      <c r="N21" s="328"/>
      <c r="O21" s="761"/>
      <c r="P21" s="761">
        <v>3</v>
      </c>
      <c r="Q21" s="761"/>
      <c r="R21" s="761">
        <v>3</v>
      </c>
      <c r="S21" s="761">
        <v>6</v>
      </c>
      <c r="T21" s="328" t="s">
        <v>822</v>
      </c>
      <c r="U21" s="328">
        <v>2023</v>
      </c>
      <c r="V21" s="45" t="s">
        <v>1329</v>
      </c>
    </row>
    <row r="22" spans="1:22">
      <c r="A22" s="17" t="str">
        <f t="shared" si="0"/>
        <v>Dept. of Conservation &amp; Recreation3</v>
      </c>
      <c r="B22" s="17">
        <v>3</v>
      </c>
      <c r="C22" s="328" t="s">
        <v>829</v>
      </c>
      <c r="D22" s="754" t="s">
        <v>2597</v>
      </c>
      <c r="E22" s="328" t="s">
        <v>1309</v>
      </c>
      <c r="F22" s="328" t="s">
        <v>1310</v>
      </c>
      <c r="G22" s="328" t="s">
        <v>903</v>
      </c>
      <c r="H22" s="328" t="s">
        <v>534</v>
      </c>
      <c r="I22" s="552" t="s">
        <v>895</v>
      </c>
      <c r="J22" s="328"/>
      <c r="K22" s="328" t="s">
        <v>820</v>
      </c>
      <c r="L22" s="328" t="s">
        <v>821</v>
      </c>
      <c r="M22" s="328" t="s">
        <v>821</v>
      </c>
      <c r="N22" s="328"/>
      <c r="O22" s="761"/>
      <c r="P22" s="761">
        <v>1</v>
      </c>
      <c r="Q22" s="761"/>
      <c r="R22" s="761">
        <v>1</v>
      </c>
      <c r="S22" s="761">
        <v>1</v>
      </c>
      <c r="T22" s="328" t="s">
        <v>822</v>
      </c>
      <c r="U22" s="328">
        <v>2020</v>
      </c>
      <c r="V22" t="s">
        <v>1328</v>
      </c>
    </row>
    <row r="23" spans="1:22">
      <c r="A23" s="17" t="str">
        <f t="shared" si="0"/>
        <v>Dept. of Conservation &amp; Recreation4</v>
      </c>
      <c r="B23" s="17">
        <v>4</v>
      </c>
      <c r="C23" s="328" t="s">
        <v>829</v>
      </c>
      <c r="D23" s="754" t="s">
        <v>2597</v>
      </c>
      <c r="E23" s="754" t="s">
        <v>1978</v>
      </c>
      <c r="F23" s="328" t="s">
        <v>1979</v>
      </c>
      <c r="G23" s="328" t="s">
        <v>1980</v>
      </c>
      <c r="H23" s="328" t="s">
        <v>1188</v>
      </c>
      <c r="I23" s="552" t="s">
        <v>1189</v>
      </c>
      <c r="J23" s="328"/>
      <c r="K23" s="328" t="s">
        <v>820</v>
      </c>
      <c r="L23" s="328" t="s">
        <v>857</v>
      </c>
      <c r="M23" s="328" t="s">
        <v>2043</v>
      </c>
      <c r="N23" s="328"/>
      <c r="O23" s="761"/>
      <c r="P23" s="761">
        <v>1</v>
      </c>
      <c r="Q23" s="761"/>
      <c r="R23" s="761">
        <v>1</v>
      </c>
      <c r="S23" s="761">
        <v>3</v>
      </c>
      <c r="T23" s="328" t="s">
        <v>822</v>
      </c>
      <c r="U23" s="328">
        <v>2024</v>
      </c>
      <c r="V23" t="s">
        <v>1329</v>
      </c>
    </row>
    <row r="24" spans="1:22">
      <c r="A24" s="17" t="str">
        <f t="shared" si="0"/>
        <v>Dept. of Conservation &amp; Recreation5</v>
      </c>
      <c r="B24" s="17">
        <v>5</v>
      </c>
      <c r="C24" s="328" t="s">
        <v>829</v>
      </c>
      <c r="D24" s="754" t="s">
        <v>2597</v>
      </c>
      <c r="E24" s="754" t="s">
        <v>1981</v>
      </c>
      <c r="F24" s="328" t="s">
        <v>1982</v>
      </c>
      <c r="G24" s="328"/>
      <c r="H24" s="328" t="s">
        <v>1602</v>
      </c>
      <c r="I24" s="552" t="s">
        <v>1983</v>
      </c>
      <c r="J24" s="328"/>
      <c r="K24" s="328" t="s">
        <v>820</v>
      </c>
      <c r="L24" s="328" t="s">
        <v>857</v>
      </c>
      <c r="M24" s="328" t="s">
        <v>2043</v>
      </c>
      <c r="N24" s="328"/>
      <c r="O24" s="761"/>
      <c r="P24" s="761">
        <v>1</v>
      </c>
      <c r="Q24" s="761"/>
      <c r="R24" s="761">
        <v>1</v>
      </c>
      <c r="S24" s="761">
        <v>2</v>
      </c>
      <c r="T24" s="328" t="s">
        <v>822</v>
      </c>
      <c r="U24" s="328">
        <v>2024</v>
      </c>
      <c r="V24" t="s">
        <v>1329</v>
      </c>
    </row>
    <row r="25" spans="1:22">
      <c r="A25" s="17" t="str">
        <f t="shared" si="0"/>
        <v>Dept. of Conservation &amp; Recreation6</v>
      </c>
      <c r="B25" s="17">
        <v>6</v>
      </c>
      <c r="C25" s="328" t="s">
        <v>829</v>
      </c>
      <c r="D25" s="754" t="s">
        <v>2597</v>
      </c>
      <c r="E25" s="754" t="s">
        <v>1984</v>
      </c>
      <c r="F25" s="328" t="s">
        <v>1985</v>
      </c>
      <c r="G25" s="328"/>
      <c r="H25" s="328" t="s">
        <v>456</v>
      </c>
      <c r="I25" s="552" t="s">
        <v>828</v>
      </c>
      <c r="J25" s="328"/>
      <c r="K25" s="328" t="s">
        <v>820</v>
      </c>
      <c r="L25" s="328" t="s">
        <v>857</v>
      </c>
      <c r="M25" s="328" t="s">
        <v>2043</v>
      </c>
      <c r="N25" s="328"/>
      <c r="O25" s="761"/>
      <c r="P25" s="761">
        <v>1</v>
      </c>
      <c r="Q25" s="761"/>
      <c r="R25" s="761">
        <v>1</v>
      </c>
      <c r="S25" s="761">
        <v>3</v>
      </c>
      <c r="T25" s="328" t="s">
        <v>822</v>
      </c>
      <c r="U25" s="328">
        <v>2024</v>
      </c>
      <c r="V25" t="s">
        <v>1329</v>
      </c>
    </row>
    <row r="26" spans="1:22">
      <c r="A26" s="17" t="str">
        <f t="shared" si="0"/>
        <v>Dept. of Conservation &amp; Recreation7</v>
      </c>
      <c r="B26" s="17">
        <v>7</v>
      </c>
      <c r="C26" s="328" t="s">
        <v>829</v>
      </c>
      <c r="D26" s="754" t="s">
        <v>2597</v>
      </c>
      <c r="E26" s="754" t="s">
        <v>1986</v>
      </c>
      <c r="F26" s="328" t="s">
        <v>1987</v>
      </c>
      <c r="G26" s="328"/>
      <c r="H26" s="328" t="s">
        <v>483</v>
      </c>
      <c r="I26" s="552" t="s">
        <v>1988</v>
      </c>
      <c r="J26" s="328"/>
      <c r="K26" s="328" t="s">
        <v>820</v>
      </c>
      <c r="L26" s="328" t="s">
        <v>857</v>
      </c>
      <c r="M26" s="328" t="s">
        <v>2043</v>
      </c>
      <c r="N26" s="328"/>
      <c r="O26" s="761"/>
      <c r="P26" s="761">
        <v>1</v>
      </c>
      <c r="Q26" s="761"/>
      <c r="R26" s="761">
        <v>1</v>
      </c>
      <c r="S26" s="761">
        <v>3</v>
      </c>
      <c r="T26" s="328" t="s">
        <v>822</v>
      </c>
      <c r="U26" s="328">
        <v>2024</v>
      </c>
      <c r="V26" t="s">
        <v>1329</v>
      </c>
    </row>
    <row r="27" spans="1:22">
      <c r="A27" s="17" t="str">
        <f t="shared" si="0"/>
        <v>Dept. of Conservation &amp; Recreation8</v>
      </c>
      <c r="B27" s="17">
        <v>8</v>
      </c>
      <c r="C27" s="328" t="s">
        <v>829</v>
      </c>
      <c r="D27" s="754" t="s">
        <v>2597</v>
      </c>
      <c r="E27" s="332" t="s">
        <v>2260</v>
      </c>
      <c r="F27" s="328" t="s">
        <v>2267</v>
      </c>
      <c r="G27" s="332"/>
      <c r="H27" s="328" t="s">
        <v>460</v>
      </c>
      <c r="I27" s="552" t="s">
        <v>2274</v>
      </c>
      <c r="J27" s="328"/>
      <c r="K27" s="328" t="s">
        <v>820</v>
      </c>
      <c r="L27" s="328" t="s">
        <v>821</v>
      </c>
      <c r="M27" s="328" t="s">
        <v>821</v>
      </c>
      <c r="N27" s="328"/>
      <c r="O27" s="761"/>
      <c r="P27" s="332">
        <v>3</v>
      </c>
      <c r="Q27" s="332"/>
      <c r="R27" s="761">
        <v>3</v>
      </c>
      <c r="S27" s="332">
        <v>6</v>
      </c>
      <c r="T27" s="328" t="s">
        <v>822</v>
      </c>
      <c r="U27" s="332">
        <v>2025</v>
      </c>
      <c r="V27" t="s">
        <v>1329</v>
      </c>
    </row>
    <row r="28" spans="1:22">
      <c r="A28" s="17" t="str">
        <f t="shared" si="0"/>
        <v>Dept. of Conservation &amp; Recreation9</v>
      </c>
      <c r="B28" s="17">
        <v>9</v>
      </c>
      <c r="C28" s="328" t="s">
        <v>829</v>
      </c>
      <c r="D28" s="754" t="s">
        <v>2597</v>
      </c>
      <c r="E28" s="332" t="s">
        <v>2032</v>
      </c>
      <c r="F28" s="328" t="s">
        <v>2033</v>
      </c>
      <c r="G28" s="332" t="s">
        <v>2034</v>
      </c>
      <c r="H28" s="332" t="s">
        <v>460</v>
      </c>
      <c r="I28" s="552" t="s">
        <v>2035</v>
      </c>
      <c r="J28" s="328"/>
      <c r="K28" s="328" t="s">
        <v>820</v>
      </c>
      <c r="L28" s="328" t="s">
        <v>857</v>
      </c>
      <c r="M28" s="328" t="s">
        <v>2043</v>
      </c>
      <c r="N28" s="328"/>
      <c r="O28" s="761"/>
      <c r="P28" s="332">
        <v>1</v>
      </c>
      <c r="Q28" s="332"/>
      <c r="R28" s="761">
        <v>1</v>
      </c>
      <c r="S28" s="332">
        <v>1</v>
      </c>
      <c r="T28" s="328" t="s">
        <v>822</v>
      </c>
      <c r="U28" s="332">
        <v>2024</v>
      </c>
      <c r="V28" s="45" t="s">
        <v>1329</v>
      </c>
    </row>
    <row r="29" spans="1:22">
      <c r="A29" s="17" t="str">
        <f t="shared" si="0"/>
        <v>Dept. of Conservation &amp; Recreation10</v>
      </c>
      <c r="B29" s="17">
        <v>10</v>
      </c>
      <c r="C29" s="328" t="s">
        <v>829</v>
      </c>
      <c r="D29" s="754" t="s">
        <v>2597</v>
      </c>
      <c r="E29" s="332" t="s">
        <v>2261</v>
      </c>
      <c r="F29" s="332" t="s">
        <v>2268</v>
      </c>
      <c r="G29" s="332" t="s">
        <v>1263</v>
      </c>
      <c r="H29" s="332" t="s">
        <v>1606</v>
      </c>
      <c r="I29" s="552" t="s">
        <v>2275</v>
      </c>
      <c r="J29" s="328"/>
      <c r="K29" s="328" t="s">
        <v>820</v>
      </c>
      <c r="L29" s="328" t="s">
        <v>857</v>
      </c>
      <c r="M29" s="328" t="s">
        <v>2043</v>
      </c>
      <c r="N29" s="328"/>
      <c r="O29" s="761"/>
      <c r="P29" s="332">
        <v>3</v>
      </c>
      <c r="Q29" s="332"/>
      <c r="R29" s="761">
        <v>3</v>
      </c>
      <c r="S29" s="332">
        <v>6</v>
      </c>
      <c r="T29" s="328" t="s">
        <v>822</v>
      </c>
      <c r="U29" s="324">
        <v>2025</v>
      </c>
      <c r="V29" t="s">
        <v>1329</v>
      </c>
    </row>
    <row r="30" spans="1:22">
      <c r="A30" s="17" t="str">
        <f t="shared" si="0"/>
        <v>Dept. of Conservation &amp; Recreation11</v>
      </c>
      <c r="B30" s="17">
        <v>11</v>
      </c>
      <c r="C30" s="328" t="s">
        <v>829</v>
      </c>
      <c r="D30" s="754" t="s">
        <v>2597</v>
      </c>
      <c r="E30" s="332" t="s">
        <v>2262</v>
      </c>
      <c r="F30" s="332" t="s">
        <v>2269</v>
      </c>
      <c r="G30" s="332"/>
      <c r="H30" s="332" t="s">
        <v>514</v>
      </c>
      <c r="I30" s="552" t="s">
        <v>2038</v>
      </c>
      <c r="J30" s="328"/>
      <c r="K30" s="328" t="s">
        <v>820</v>
      </c>
      <c r="L30" s="328" t="s">
        <v>857</v>
      </c>
      <c r="M30" s="328" t="s">
        <v>2043</v>
      </c>
      <c r="N30" s="328"/>
      <c r="O30" s="761"/>
      <c r="P30" s="332">
        <v>1</v>
      </c>
      <c r="Q30" s="332"/>
      <c r="R30" s="761">
        <v>1</v>
      </c>
      <c r="S30" s="332">
        <v>1</v>
      </c>
      <c r="T30" s="328" t="s">
        <v>822</v>
      </c>
      <c r="U30" s="324">
        <v>2025</v>
      </c>
      <c r="V30" t="s">
        <v>1329</v>
      </c>
    </row>
    <row r="31" spans="1:22">
      <c r="A31" s="17" t="str">
        <f t="shared" si="0"/>
        <v>Dept. of Conservation &amp; Recreation12</v>
      </c>
      <c r="B31" s="17">
        <v>12</v>
      </c>
      <c r="C31" s="328" t="s">
        <v>829</v>
      </c>
      <c r="D31" s="754" t="s">
        <v>2597</v>
      </c>
      <c r="E31" s="328" t="s">
        <v>2263</v>
      </c>
      <c r="F31" s="332" t="s">
        <v>2270</v>
      </c>
      <c r="G31" s="332" t="s">
        <v>2273</v>
      </c>
      <c r="H31" s="332" t="s">
        <v>707</v>
      </c>
      <c r="I31" s="552" t="s">
        <v>875</v>
      </c>
      <c r="J31" s="328"/>
      <c r="K31" s="328" t="s">
        <v>820</v>
      </c>
      <c r="L31" s="332" t="s">
        <v>857</v>
      </c>
      <c r="M31" s="328" t="s">
        <v>2043</v>
      </c>
      <c r="N31" s="328"/>
      <c r="O31" s="761"/>
      <c r="P31" s="332">
        <v>1</v>
      </c>
      <c r="Q31" s="332"/>
      <c r="R31" s="761">
        <v>1</v>
      </c>
      <c r="S31" s="332">
        <v>1</v>
      </c>
      <c r="T31" s="328" t="s">
        <v>822</v>
      </c>
      <c r="U31" s="324">
        <v>2025</v>
      </c>
      <c r="V31" t="s">
        <v>1329</v>
      </c>
    </row>
    <row r="32" spans="1:22">
      <c r="A32" s="17" t="str">
        <f t="shared" si="0"/>
        <v>Dept. of Conservation &amp; Recreation13</v>
      </c>
      <c r="B32" s="17">
        <v>13</v>
      </c>
      <c r="C32" s="328" t="s">
        <v>829</v>
      </c>
      <c r="D32" s="754" t="s">
        <v>2597</v>
      </c>
      <c r="E32" s="328" t="s">
        <v>2264</v>
      </c>
      <c r="F32" s="332" t="s">
        <v>2264</v>
      </c>
      <c r="G32" s="332" t="s">
        <v>2273</v>
      </c>
      <c r="H32" s="332" t="s">
        <v>2276</v>
      </c>
      <c r="I32" s="552" t="s">
        <v>2277</v>
      </c>
      <c r="J32" s="328"/>
      <c r="K32" s="328" t="s">
        <v>820</v>
      </c>
      <c r="L32" s="332" t="s">
        <v>857</v>
      </c>
      <c r="M32" s="328" t="s">
        <v>2043</v>
      </c>
      <c r="N32" s="328"/>
      <c r="O32" s="761"/>
      <c r="P32" s="332">
        <v>1</v>
      </c>
      <c r="Q32" s="332"/>
      <c r="R32" s="761">
        <v>1</v>
      </c>
      <c r="S32" s="332">
        <v>1</v>
      </c>
      <c r="T32" s="328" t="s">
        <v>822</v>
      </c>
      <c r="U32" s="324">
        <v>2025</v>
      </c>
      <c r="V32" t="s">
        <v>1329</v>
      </c>
    </row>
    <row r="33" spans="1:22">
      <c r="A33" s="17" t="str">
        <f t="shared" si="0"/>
        <v>Dept. of Conservation &amp; Recreation14</v>
      </c>
      <c r="B33" s="17">
        <v>14</v>
      </c>
      <c r="C33" s="328" t="s">
        <v>829</v>
      </c>
      <c r="D33" s="754" t="s">
        <v>2597</v>
      </c>
      <c r="E33" s="328" t="s">
        <v>2265</v>
      </c>
      <c r="F33" s="332" t="s">
        <v>2271</v>
      </c>
      <c r="G33" s="332"/>
      <c r="H33" s="332" t="s">
        <v>2278</v>
      </c>
      <c r="I33" s="552" t="s">
        <v>2279</v>
      </c>
      <c r="J33" s="328"/>
      <c r="K33" s="328" t="s">
        <v>820</v>
      </c>
      <c r="L33" s="332" t="s">
        <v>857</v>
      </c>
      <c r="M33" s="328" t="s">
        <v>2043</v>
      </c>
      <c r="N33" s="328"/>
      <c r="O33" s="761"/>
      <c r="P33" s="332">
        <v>1</v>
      </c>
      <c r="Q33" s="332"/>
      <c r="R33" s="761">
        <v>1</v>
      </c>
      <c r="S33" s="332">
        <v>1</v>
      </c>
      <c r="T33" s="328" t="s">
        <v>822</v>
      </c>
      <c r="U33" s="324">
        <v>2025</v>
      </c>
      <c r="V33" t="s">
        <v>1329</v>
      </c>
    </row>
    <row r="34" spans="1:22" ht="30">
      <c r="A34" s="17" t="str">
        <f t="shared" si="0"/>
        <v>Dept. of Conservation &amp; Recreation15</v>
      </c>
      <c r="B34" s="17">
        <v>15</v>
      </c>
      <c r="C34" s="328" t="s">
        <v>829</v>
      </c>
      <c r="D34" s="754" t="s">
        <v>2597</v>
      </c>
      <c r="E34" s="754" t="s">
        <v>1957</v>
      </c>
      <c r="F34" s="328" t="s">
        <v>1958</v>
      </c>
      <c r="G34" s="328"/>
      <c r="H34" s="328" t="s">
        <v>616</v>
      </c>
      <c r="I34" s="552" t="s">
        <v>1959</v>
      </c>
      <c r="J34" s="332"/>
      <c r="K34" s="328" t="s">
        <v>820</v>
      </c>
      <c r="L34" s="328" t="s">
        <v>857</v>
      </c>
      <c r="M34" s="328" t="s">
        <v>2043</v>
      </c>
      <c r="N34" s="332"/>
      <c r="O34" s="332"/>
      <c r="P34" s="761">
        <v>1</v>
      </c>
      <c r="Q34" s="761"/>
      <c r="R34" s="761">
        <v>1</v>
      </c>
      <c r="S34" s="761">
        <v>3</v>
      </c>
      <c r="T34" s="328" t="s">
        <v>822</v>
      </c>
      <c r="U34" s="328">
        <v>2024</v>
      </c>
      <c r="V34" t="s">
        <v>1328</v>
      </c>
    </row>
    <row r="35" spans="1:22" ht="30">
      <c r="A35" s="17" t="str">
        <f t="shared" si="0"/>
        <v>Dept. of Conservation &amp; Recreation16</v>
      </c>
      <c r="B35" s="17">
        <v>16</v>
      </c>
      <c r="C35" s="328" t="s">
        <v>829</v>
      </c>
      <c r="D35" s="754" t="s">
        <v>2597</v>
      </c>
      <c r="E35" s="754" t="s">
        <v>1960</v>
      </c>
      <c r="F35" s="328" t="s">
        <v>1961</v>
      </c>
      <c r="G35" s="328"/>
      <c r="H35" s="328" t="s">
        <v>695</v>
      </c>
      <c r="I35" s="552" t="s">
        <v>1962</v>
      </c>
      <c r="J35" s="332"/>
      <c r="K35" s="328" t="s">
        <v>820</v>
      </c>
      <c r="L35" s="328" t="s">
        <v>857</v>
      </c>
      <c r="M35" s="328" t="s">
        <v>2043</v>
      </c>
      <c r="N35" s="332"/>
      <c r="O35" s="332"/>
      <c r="P35" s="761">
        <v>1</v>
      </c>
      <c r="Q35" s="761"/>
      <c r="R35" s="761">
        <v>1</v>
      </c>
      <c r="S35" s="761">
        <v>2</v>
      </c>
      <c r="T35" s="328" t="s">
        <v>822</v>
      </c>
      <c r="U35" s="328">
        <v>2024</v>
      </c>
      <c r="V35" t="s">
        <v>1329</v>
      </c>
    </row>
    <row r="36" spans="1:22">
      <c r="A36" s="17" t="str">
        <f t="shared" si="0"/>
        <v>Dept. of Conservation &amp; Recreation17</v>
      </c>
      <c r="B36" s="17">
        <v>17</v>
      </c>
      <c r="C36" s="328" t="s">
        <v>829</v>
      </c>
      <c r="D36" s="754" t="s">
        <v>2597</v>
      </c>
      <c r="E36" s="754" t="s">
        <v>1963</v>
      </c>
      <c r="F36" s="328" t="s">
        <v>1964</v>
      </c>
      <c r="G36" s="328"/>
      <c r="H36" s="328" t="s">
        <v>576</v>
      </c>
      <c r="I36" s="552" t="s">
        <v>1965</v>
      </c>
      <c r="J36" s="332"/>
      <c r="K36" s="328" t="s">
        <v>820</v>
      </c>
      <c r="L36" s="328" t="s">
        <v>857</v>
      </c>
      <c r="M36" s="328" t="s">
        <v>2043</v>
      </c>
      <c r="N36" s="332"/>
      <c r="O36" s="332"/>
      <c r="P36" s="761">
        <v>1</v>
      </c>
      <c r="Q36" s="761"/>
      <c r="R36" s="761">
        <v>1</v>
      </c>
      <c r="S36" s="761">
        <v>2</v>
      </c>
      <c r="T36" s="328" t="s">
        <v>822</v>
      </c>
      <c r="U36" s="328">
        <v>2024</v>
      </c>
      <c r="V36" t="s">
        <v>1329</v>
      </c>
    </row>
    <row r="37" spans="1:22">
      <c r="A37" s="17" t="str">
        <f t="shared" si="0"/>
        <v>Dept. of Conservation &amp; Recreation18</v>
      </c>
      <c r="B37" s="17">
        <v>18</v>
      </c>
      <c r="C37" s="328" t="s">
        <v>829</v>
      </c>
      <c r="D37" s="754" t="s">
        <v>2597</v>
      </c>
      <c r="E37" s="754" t="s">
        <v>1966</v>
      </c>
      <c r="F37" s="328" t="s">
        <v>1967</v>
      </c>
      <c r="G37" s="328" t="s">
        <v>534</v>
      </c>
      <c r="H37" s="328" t="s">
        <v>534</v>
      </c>
      <c r="I37" s="552" t="s">
        <v>1968</v>
      </c>
      <c r="J37" s="332"/>
      <c r="K37" s="328" t="s">
        <v>820</v>
      </c>
      <c r="L37" s="328" t="s">
        <v>857</v>
      </c>
      <c r="M37" s="328" t="s">
        <v>2043</v>
      </c>
      <c r="N37" s="332"/>
      <c r="O37" s="332"/>
      <c r="P37" s="761">
        <v>1</v>
      </c>
      <c r="Q37" s="761"/>
      <c r="R37" s="761">
        <v>1</v>
      </c>
      <c r="S37" s="761">
        <v>2</v>
      </c>
      <c r="T37" s="328" t="s">
        <v>822</v>
      </c>
      <c r="U37" s="328">
        <v>2024</v>
      </c>
      <c r="V37" t="s">
        <v>1329</v>
      </c>
    </row>
    <row r="38" spans="1:22">
      <c r="A38" s="17" t="str">
        <f t="shared" si="0"/>
        <v>Dept. of Conservation &amp; Recreation19</v>
      </c>
      <c r="B38" s="17">
        <v>19</v>
      </c>
      <c r="C38" s="328" t="s">
        <v>829</v>
      </c>
      <c r="D38" s="754" t="s">
        <v>2597</v>
      </c>
      <c r="E38" s="754" t="s">
        <v>1969</v>
      </c>
      <c r="F38" s="328" t="s">
        <v>1970</v>
      </c>
      <c r="G38" s="328" t="s">
        <v>1971</v>
      </c>
      <c r="H38" s="328" t="s">
        <v>1971</v>
      </c>
      <c r="I38" s="552" t="s">
        <v>1972</v>
      </c>
      <c r="J38" s="332"/>
      <c r="K38" s="328" t="s">
        <v>820</v>
      </c>
      <c r="L38" s="328" t="s">
        <v>857</v>
      </c>
      <c r="M38" s="328" t="s">
        <v>2043</v>
      </c>
      <c r="N38" s="332"/>
      <c r="O38" s="332"/>
      <c r="P38" s="761">
        <v>1</v>
      </c>
      <c r="Q38" s="761"/>
      <c r="R38" s="761">
        <v>1</v>
      </c>
      <c r="S38" s="761">
        <v>3</v>
      </c>
      <c r="T38" s="328" t="s">
        <v>822</v>
      </c>
      <c r="U38" s="328">
        <v>2024</v>
      </c>
      <c r="V38" t="s">
        <v>1329</v>
      </c>
    </row>
    <row r="39" spans="1:22" ht="30">
      <c r="A39" s="17" t="str">
        <f t="shared" si="0"/>
        <v>Dept. of Conservation &amp; Recreation20</v>
      </c>
      <c r="B39" s="17">
        <v>20</v>
      </c>
      <c r="C39" s="328" t="s">
        <v>829</v>
      </c>
      <c r="D39" s="754" t="s">
        <v>2597</v>
      </c>
      <c r="E39" s="754" t="s">
        <v>988</v>
      </c>
      <c r="F39" s="328" t="s">
        <v>1973</v>
      </c>
      <c r="G39" s="328"/>
      <c r="H39" s="328" t="s">
        <v>1846</v>
      </c>
      <c r="I39" s="552" t="s">
        <v>1974</v>
      </c>
      <c r="J39" s="332"/>
      <c r="K39" s="328" t="s">
        <v>820</v>
      </c>
      <c r="L39" s="328" t="s">
        <v>857</v>
      </c>
      <c r="M39" s="328" t="s">
        <v>2043</v>
      </c>
      <c r="N39" s="332"/>
      <c r="O39" s="332"/>
      <c r="P39" s="761">
        <v>1</v>
      </c>
      <c r="Q39" s="761"/>
      <c r="R39" s="761">
        <v>1</v>
      </c>
      <c r="S39" s="761">
        <v>1</v>
      </c>
      <c r="T39" s="328" t="s">
        <v>822</v>
      </c>
      <c r="U39" s="328">
        <v>2024</v>
      </c>
      <c r="V39" t="s">
        <v>1328</v>
      </c>
    </row>
    <row r="40" spans="1:22">
      <c r="A40" s="17" t="str">
        <f t="shared" si="0"/>
        <v>Dept. of Conservation &amp; Recreation21</v>
      </c>
      <c r="B40" s="17">
        <v>21</v>
      </c>
      <c r="C40" s="328" t="s">
        <v>829</v>
      </c>
      <c r="D40" s="754" t="s">
        <v>2597</v>
      </c>
      <c r="E40" s="754" t="s">
        <v>1975</v>
      </c>
      <c r="F40" s="328" t="s">
        <v>1976</v>
      </c>
      <c r="G40" s="328"/>
      <c r="H40" s="328" t="s">
        <v>609</v>
      </c>
      <c r="I40" s="552" t="s">
        <v>1977</v>
      </c>
      <c r="J40" s="332"/>
      <c r="K40" s="328" t="s">
        <v>820</v>
      </c>
      <c r="L40" s="328" t="s">
        <v>857</v>
      </c>
      <c r="M40" s="328" t="s">
        <v>2043</v>
      </c>
      <c r="N40" s="332"/>
      <c r="O40" s="332"/>
      <c r="P40" s="761">
        <v>1</v>
      </c>
      <c r="Q40" s="761"/>
      <c r="R40" s="761">
        <v>1</v>
      </c>
      <c r="S40" s="761">
        <v>3</v>
      </c>
      <c r="T40" s="328" t="s">
        <v>822</v>
      </c>
      <c r="U40" s="328">
        <v>2024</v>
      </c>
      <c r="V40" t="s">
        <v>1329</v>
      </c>
    </row>
    <row r="41" spans="1:22">
      <c r="A41" s="17" t="str">
        <f t="shared" si="0"/>
        <v>Dept. of Conservation &amp; Recreation22</v>
      </c>
      <c r="B41" s="17">
        <v>22</v>
      </c>
      <c r="C41" s="328" t="s">
        <v>829</v>
      </c>
      <c r="D41" s="754" t="s">
        <v>2597</v>
      </c>
      <c r="E41" s="328" t="s">
        <v>2266</v>
      </c>
      <c r="F41" s="332" t="s">
        <v>2272</v>
      </c>
      <c r="G41" s="332"/>
      <c r="H41" s="332" t="s">
        <v>1821</v>
      </c>
      <c r="I41" s="552" t="s">
        <v>2280</v>
      </c>
      <c r="J41" s="332"/>
      <c r="K41" s="328" t="s">
        <v>820</v>
      </c>
      <c r="L41" s="332" t="s">
        <v>857</v>
      </c>
      <c r="M41" s="328" t="s">
        <v>2043</v>
      </c>
      <c r="N41" s="332"/>
      <c r="O41" s="332"/>
      <c r="P41" s="332">
        <v>1</v>
      </c>
      <c r="Q41" s="332"/>
      <c r="R41" s="761">
        <v>1</v>
      </c>
      <c r="S41" s="332">
        <v>1</v>
      </c>
      <c r="T41" s="328" t="s">
        <v>822</v>
      </c>
      <c r="U41" s="324">
        <v>2025</v>
      </c>
      <c r="V41" t="s">
        <v>1328</v>
      </c>
    </row>
    <row r="42" spans="1:22">
      <c r="A42" s="17" t="str">
        <f t="shared" si="0"/>
        <v>Dept. of Correction1</v>
      </c>
      <c r="B42" s="17">
        <v>1</v>
      </c>
      <c r="C42" s="328" t="s">
        <v>1290</v>
      </c>
      <c r="D42" s="754" t="s">
        <v>93</v>
      </c>
      <c r="E42" s="328" t="s">
        <v>1291</v>
      </c>
      <c r="F42" s="328" t="s">
        <v>1292</v>
      </c>
      <c r="G42" s="328"/>
      <c r="H42" s="328" t="s">
        <v>489</v>
      </c>
      <c r="I42" s="552" t="s">
        <v>830</v>
      </c>
      <c r="J42" s="328"/>
      <c r="K42" s="328" t="s">
        <v>820</v>
      </c>
      <c r="L42" s="328" t="s">
        <v>857</v>
      </c>
      <c r="M42" s="328" t="s">
        <v>2043</v>
      </c>
      <c r="N42" s="328"/>
      <c r="O42" s="761"/>
      <c r="P42" s="761">
        <v>1</v>
      </c>
      <c r="Q42" s="761"/>
      <c r="R42" s="761">
        <v>1</v>
      </c>
      <c r="S42" s="761">
        <v>2</v>
      </c>
      <c r="T42" s="328" t="s">
        <v>822</v>
      </c>
      <c r="U42" s="328">
        <v>2023</v>
      </c>
      <c r="V42" s="45" t="s">
        <v>1329</v>
      </c>
    </row>
    <row r="43" spans="1:22">
      <c r="A43" s="17" t="str">
        <f t="shared" si="0"/>
        <v>Dept. of Correction2</v>
      </c>
      <c r="B43" s="17">
        <v>2</v>
      </c>
      <c r="C43" s="328" t="s">
        <v>1290</v>
      </c>
      <c r="D43" s="754" t="s">
        <v>93</v>
      </c>
      <c r="E43" s="328" t="s">
        <v>1293</v>
      </c>
      <c r="F43" s="328" t="s">
        <v>1294</v>
      </c>
      <c r="G43" s="328"/>
      <c r="H43" s="328" t="s">
        <v>1295</v>
      </c>
      <c r="I43" s="552" t="s">
        <v>1296</v>
      </c>
      <c r="J43" s="328"/>
      <c r="K43" s="328" t="s">
        <v>820</v>
      </c>
      <c r="L43" s="328" t="s">
        <v>857</v>
      </c>
      <c r="M43" s="328" t="s">
        <v>2043</v>
      </c>
      <c r="N43" s="328"/>
      <c r="O43" s="761"/>
      <c r="P43" s="761">
        <v>1</v>
      </c>
      <c r="Q43" s="761"/>
      <c r="R43" s="761">
        <v>1</v>
      </c>
      <c r="S43" s="761">
        <v>2</v>
      </c>
      <c r="T43" s="328" t="s">
        <v>822</v>
      </c>
      <c r="U43" s="328">
        <v>2023</v>
      </c>
      <c r="V43" s="45" t="s">
        <v>1329</v>
      </c>
    </row>
    <row r="44" spans="1:22">
      <c r="A44" s="17" t="str">
        <f t="shared" ref="A44:A97" si="1">D44&amp;B44</f>
        <v>Dept. of Correction3</v>
      </c>
      <c r="B44" s="17">
        <v>3</v>
      </c>
      <c r="C44" s="328" t="s">
        <v>1290</v>
      </c>
      <c r="D44" s="754" t="s">
        <v>93</v>
      </c>
      <c r="E44" s="328" t="s">
        <v>1293</v>
      </c>
      <c r="F44" s="332" t="s">
        <v>2285</v>
      </c>
      <c r="G44" s="328" t="s">
        <v>2286</v>
      </c>
      <c r="H44" s="328" t="s">
        <v>1295</v>
      </c>
      <c r="I44" s="552" t="s">
        <v>1296</v>
      </c>
      <c r="J44" s="328"/>
      <c r="K44" s="328" t="s">
        <v>820</v>
      </c>
      <c r="L44" s="328" t="s">
        <v>857</v>
      </c>
      <c r="M44" s="328" t="s">
        <v>2043</v>
      </c>
      <c r="N44" s="328"/>
      <c r="O44" s="761"/>
      <c r="P44" s="761">
        <v>2</v>
      </c>
      <c r="Q44" s="761"/>
      <c r="R44" s="761">
        <v>2</v>
      </c>
      <c r="S44" s="761">
        <v>4</v>
      </c>
      <c r="T44" s="328" t="s">
        <v>822</v>
      </c>
      <c r="U44" s="328">
        <v>2024</v>
      </c>
      <c r="V44" s="45" t="s">
        <v>1329</v>
      </c>
    </row>
    <row r="45" spans="1:22">
      <c r="A45" s="17" t="str">
        <f t="shared" si="1"/>
        <v>Dept. of Correction4</v>
      </c>
      <c r="B45" s="17">
        <v>4</v>
      </c>
      <c r="C45" s="328" t="s">
        <v>1290</v>
      </c>
      <c r="D45" s="754" t="s">
        <v>93</v>
      </c>
      <c r="E45" s="328" t="s">
        <v>1293</v>
      </c>
      <c r="F45" s="332" t="s">
        <v>2285</v>
      </c>
      <c r="G45" s="328" t="s">
        <v>2287</v>
      </c>
      <c r="H45" s="328" t="s">
        <v>1295</v>
      </c>
      <c r="I45" s="552" t="s">
        <v>1296</v>
      </c>
      <c r="J45" s="328"/>
      <c r="K45" s="328" t="s">
        <v>820</v>
      </c>
      <c r="L45" s="328" t="s">
        <v>857</v>
      </c>
      <c r="M45" s="328" t="s">
        <v>2043</v>
      </c>
      <c r="N45" s="328"/>
      <c r="O45" s="761"/>
      <c r="P45" s="761">
        <v>2</v>
      </c>
      <c r="Q45" s="761"/>
      <c r="R45" s="761">
        <v>2</v>
      </c>
      <c r="S45" s="761">
        <v>4</v>
      </c>
      <c r="T45" s="328" t="s">
        <v>822</v>
      </c>
      <c r="U45" s="328">
        <v>2024</v>
      </c>
      <c r="V45" s="45" t="s">
        <v>1329</v>
      </c>
    </row>
    <row r="46" spans="1:22">
      <c r="A46" s="17" t="str">
        <f t="shared" si="1"/>
        <v>Dept. of Correction5</v>
      </c>
      <c r="B46" s="17">
        <v>5</v>
      </c>
      <c r="C46" s="328" t="s">
        <v>1290</v>
      </c>
      <c r="D46" s="754" t="s">
        <v>93</v>
      </c>
      <c r="E46" s="328" t="s">
        <v>1293</v>
      </c>
      <c r="F46" s="332" t="s">
        <v>2285</v>
      </c>
      <c r="G46" s="328" t="s">
        <v>2288</v>
      </c>
      <c r="H46" s="328" t="s">
        <v>1295</v>
      </c>
      <c r="I46" s="552" t="s">
        <v>1296</v>
      </c>
      <c r="J46" s="328"/>
      <c r="K46" s="328" t="s">
        <v>820</v>
      </c>
      <c r="L46" s="328" t="s">
        <v>857</v>
      </c>
      <c r="M46" s="328" t="s">
        <v>2043</v>
      </c>
      <c r="N46" s="328"/>
      <c r="O46" s="761"/>
      <c r="P46" s="761">
        <v>2</v>
      </c>
      <c r="Q46" s="761"/>
      <c r="R46" s="761">
        <v>2</v>
      </c>
      <c r="S46" s="761">
        <v>2</v>
      </c>
      <c r="T46" s="328" t="s">
        <v>822</v>
      </c>
      <c r="U46" s="328">
        <v>2023</v>
      </c>
      <c r="V46" t="s">
        <v>1328</v>
      </c>
    </row>
    <row r="47" spans="1:22">
      <c r="A47" s="17" t="str">
        <f t="shared" si="1"/>
        <v>Dept. of Correction6</v>
      </c>
      <c r="B47" s="17">
        <v>6</v>
      </c>
      <c r="C47" s="328" t="s">
        <v>1290</v>
      </c>
      <c r="D47" s="754" t="s">
        <v>93</v>
      </c>
      <c r="E47" s="754" t="s">
        <v>2009</v>
      </c>
      <c r="F47" s="328" t="s">
        <v>2010</v>
      </c>
      <c r="G47" s="328"/>
      <c r="H47" s="328" t="s">
        <v>498</v>
      </c>
      <c r="I47" s="552" t="s">
        <v>2011</v>
      </c>
      <c r="J47" s="328"/>
      <c r="K47" s="328" t="s">
        <v>820</v>
      </c>
      <c r="L47" s="328" t="s">
        <v>857</v>
      </c>
      <c r="M47" s="328" t="s">
        <v>2043</v>
      </c>
      <c r="N47" s="328"/>
      <c r="O47" s="761"/>
      <c r="P47" s="761">
        <v>2</v>
      </c>
      <c r="Q47" s="761"/>
      <c r="R47" s="761">
        <v>2</v>
      </c>
      <c r="S47" s="761">
        <v>4</v>
      </c>
      <c r="T47" s="328" t="s">
        <v>822</v>
      </c>
      <c r="U47" s="328">
        <v>2023</v>
      </c>
      <c r="V47" s="45" t="s">
        <v>1329</v>
      </c>
    </row>
    <row r="48" spans="1:22">
      <c r="A48" s="17" t="str">
        <f t="shared" si="1"/>
        <v>Dept. of Correction7</v>
      </c>
      <c r="B48" s="17">
        <v>7</v>
      </c>
      <c r="C48" s="328" t="s">
        <v>1290</v>
      </c>
      <c r="D48" s="754" t="s">
        <v>93</v>
      </c>
      <c r="E48" s="754" t="s">
        <v>2012</v>
      </c>
      <c r="F48" s="328" t="s">
        <v>2013</v>
      </c>
      <c r="G48" s="328"/>
      <c r="H48" s="328" t="s">
        <v>450</v>
      </c>
      <c r="I48" s="552" t="s">
        <v>825</v>
      </c>
      <c r="J48" s="328"/>
      <c r="K48" s="328" t="s">
        <v>820</v>
      </c>
      <c r="L48" s="328" t="s">
        <v>857</v>
      </c>
      <c r="M48" s="328" t="s">
        <v>2043</v>
      </c>
      <c r="N48" s="328"/>
      <c r="O48" s="761"/>
      <c r="P48" s="761">
        <v>1</v>
      </c>
      <c r="Q48" s="761"/>
      <c r="R48" s="761">
        <v>1</v>
      </c>
      <c r="S48" s="761">
        <v>2</v>
      </c>
      <c r="T48" s="328" t="s">
        <v>822</v>
      </c>
      <c r="U48" s="328">
        <v>2023</v>
      </c>
      <c r="V48" s="45" t="s">
        <v>1329</v>
      </c>
    </row>
    <row r="49" spans="1:22">
      <c r="A49" s="17" t="str">
        <f t="shared" si="1"/>
        <v>Dept. of Correction8</v>
      </c>
      <c r="B49" s="17">
        <v>8</v>
      </c>
      <c r="C49" s="328" t="s">
        <v>1290</v>
      </c>
      <c r="D49" s="754" t="s">
        <v>93</v>
      </c>
      <c r="E49" s="754" t="s">
        <v>2014</v>
      </c>
      <c r="F49" s="328" t="s">
        <v>1645</v>
      </c>
      <c r="G49" s="328"/>
      <c r="H49" s="328" t="s">
        <v>495</v>
      </c>
      <c r="I49" s="552" t="s">
        <v>2015</v>
      </c>
      <c r="J49" s="328"/>
      <c r="K49" s="328" t="s">
        <v>820</v>
      </c>
      <c r="L49" s="328" t="s">
        <v>857</v>
      </c>
      <c r="M49" s="328" t="s">
        <v>2043</v>
      </c>
      <c r="N49" s="328"/>
      <c r="O49" s="761"/>
      <c r="P49" s="761">
        <v>1</v>
      </c>
      <c r="Q49" s="761"/>
      <c r="R49" s="761">
        <v>1</v>
      </c>
      <c r="S49" s="761">
        <v>2</v>
      </c>
      <c r="T49" s="328" t="s">
        <v>822</v>
      </c>
      <c r="U49" s="328">
        <v>2024</v>
      </c>
      <c r="V49" s="45" t="s">
        <v>1329</v>
      </c>
    </row>
    <row r="50" spans="1:22">
      <c r="A50" s="17" t="str">
        <f t="shared" si="1"/>
        <v>Dept. of Correction9</v>
      </c>
      <c r="B50" s="17">
        <v>9</v>
      </c>
      <c r="C50" s="328" t="s">
        <v>1290</v>
      </c>
      <c r="D50" s="754" t="s">
        <v>93</v>
      </c>
      <c r="E50" s="754" t="s">
        <v>2014</v>
      </c>
      <c r="F50" s="328" t="s">
        <v>2289</v>
      </c>
      <c r="G50" s="328"/>
      <c r="H50" s="328" t="s">
        <v>495</v>
      </c>
      <c r="I50" s="552" t="s">
        <v>2015</v>
      </c>
      <c r="J50" s="328"/>
      <c r="K50" s="328" t="s">
        <v>820</v>
      </c>
      <c r="L50" s="328" t="s">
        <v>857</v>
      </c>
      <c r="M50" s="328" t="s">
        <v>2043</v>
      </c>
      <c r="N50" s="328"/>
      <c r="O50" s="761">
        <v>2</v>
      </c>
      <c r="Q50" s="761"/>
      <c r="R50" s="761">
        <v>2</v>
      </c>
      <c r="S50" s="761">
        <v>4</v>
      </c>
      <c r="T50" s="328" t="s">
        <v>846</v>
      </c>
      <c r="U50" s="328">
        <v>2024</v>
      </c>
      <c r="V50" s="45" t="s">
        <v>1329</v>
      </c>
    </row>
    <row r="51" spans="1:22">
      <c r="A51" s="17" t="str">
        <f t="shared" si="1"/>
        <v>Dept. of Correction10</v>
      </c>
      <c r="B51" s="17">
        <v>10</v>
      </c>
      <c r="C51" s="328" t="s">
        <v>1290</v>
      </c>
      <c r="D51" s="754" t="s">
        <v>93</v>
      </c>
      <c r="E51" s="328" t="s">
        <v>2281</v>
      </c>
      <c r="F51" s="332" t="s">
        <v>2290</v>
      </c>
      <c r="G51" s="332" t="s">
        <v>2291</v>
      </c>
      <c r="H51" s="332" t="s">
        <v>498</v>
      </c>
      <c r="I51" s="552" t="s">
        <v>2011</v>
      </c>
      <c r="J51" s="328"/>
      <c r="K51" s="328" t="s">
        <v>820</v>
      </c>
      <c r="L51" s="332" t="s">
        <v>857</v>
      </c>
      <c r="M51" s="328" t="s">
        <v>2043</v>
      </c>
      <c r="N51" s="328"/>
      <c r="O51" s="761"/>
      <c r="P51" s="332">
        <v>2</v>
      </c>
      <c r="Q51" s="332"/>
      <c r="R51" s="761">
        <v>2</v>
      </c>
      <c r="S51" s="332">
        <v>2</v>
      </c>
      <c r="T51" s="328" t="s">
        <v>822</v>
      </c>
      <c r="U51" s="324">
        <v>2024</v>
      </c>
      <c r="V51" s="45" t="s">
        <v>1328</v>
      </c>
    </row>
    <row r="52" spans="1:22">
      <c r="A52" s="17" t="str">
        <f t="shared" si="1"/>
        <v>Dept. of Correction11</v>
      </c>
      <c r="B52" s="17">
        <v>11</v>
      </c>
      <c r="C52" s="328" t="s">
        <v>1290</v>
      </c>
      <c r="D52" s="754" t="s">
        <v>93</v>
      </c>
      <c r="E52" s="328" t="s">
        <v>2281</v>
      </c>
      <c r="F52" s="332" t="s">
        <v>2290</v>
      </c>
      <c r="G52" s="332" t="s">
        <v>2292</v>
      </c>
      <c r="H52" s="332" t="s">
        <v>498</v>
      </c>
      <c r="I52" s="552" t="s">
        <v>2011</v>
      </c>
      <c r="J52" s="328"/>
      <c r="K52" s="328" t="s">
        <v>820</v>
      </c>
      <c r="L52" s="332" t="s">
        <v>857</v>
      </c>
      <c r="M52" s="328" t="s">
        <v>2043</v>
      </c>
      <c r="N52" s="328"/>
      <c r="O52" s="761"/>
      <c r="P52" s="332">
        <v>4</v>
      </c>
      <c r="Q52" s="332"/>
      <c r="R52" s="761">
        <v>4</v>
      </c>
      <c r="S52" s="332">
        <v>8</v>
      </c>
      <c r="T52" s="328" t="s">
        <v>822</v>
      </c>
      <c r="U52" s="324">
        <v>2025</v>
      </c>
      <c r="V52" s="45" t="s">
        <v>1329</v>
      </c>
    </row>
    <row r="53" spans="1:22">
      <c r="A53" s="17" t="str">
        <f t="shared" si="1"/>
        <v>Dept. of Correction12</v>
      </c>
      <c r="B53" s="17">
        <v>12</v>
      </c>
      <c r="C53" s="328" t="s">
        <v>1290</v>
      </c>
      <c r="D53" s="754" t="s">
        <v>93</v>
      </c>
      <c r="E53" s="328" t="s">
        <v>2282</v>
      </c>
      <c r="F53" s="332" t="s">
        <v>2293</v>
      </c>
      <c r="G53" s="332"/>
      <c r="H53" s="332" t="s">
        <v>450</v>
      </c>
      <c r="I53" s="552" t="s">
        <v>825</v>
      </c>
      <c r="J53" s="328"/>
      <c r="K53" s="328" t="s">
        <v>820</v>
      </c>
      <c r="L53" s="332" t="s">
        <v>857</v>
      </c>
      <c r="M53" s="328" t="s">
        <v>2043</v>
      </c>
      <c r="N53" s="328"/>
      <c r="O53" s="761"/>
      <c r="P53" s="332">
        <v>3</v>
      </c>
      <c r="Q53" s="332"/>
      <c r="R53" s="761">
        <v>3</v>
      </c>
      <c r="S53" s="332">
        <v>6</v>
      </c>
      <c r="T53" s="328" t="s">
        <v>822</v>
      </c>
      <c r="U53" s="324">
        <v>2025</v>
      </c>
      <c r="V53" s="45" t="s">
        <v>1329</v>
      </c>
    </row>
    <row r="54" spans="1:22">
      <c r="A54" s="17" t="str">
        <f t="shared" si="1"/>
        <v>Dept. of Correction13</v>
      </c>
      <c r="B54" s="17">
        <v>13</v>
      </c>
      <c r="C54" s="328" t="s">
        <v>1290</v>
      </c>
      <c r="D54" s="754" t="s">
        <v>93</v>
      </c>
      <c r="E54" s="328" t="s">
        <v>2283</v>
      </c>
      <c r="F54" s="332" t="s">
        <v>2294</v>
      </c>
      <c r="G54" s="332"/>
      <c r="H54" s="332" t="s">
        <v>509</v>
      </c>
      <c r="I54" s="552" t="s">
        <v>1194</v>
      </c>
      <c r="J54" s="328"/>
      <c r="K54" s="328" t="s">
        <v>820</v>
      </c>
      <c r="L54" s="332" t="s">
        <v>857</v>
      </c>
      <c r="M54" s="328" t="s">
        <v>2043</v>
      </c>
      <c r="N54" s="328"/>
      <c r="O54" s="761"/>
      <c r="P54" s="332">
        <v>3</v>
      </c>
      <c r="Q54" s="332"/>
      <c r="R54" s="761">
        <v>3</v>
      </c>
      <c r="S54" s="332">
        <v>6</v>
      </c>
      <c r="T54" s="328" t="s">
        <v>822</v>
      </c>
      <c r="U54" s="324">
        <v>2025</v>
      </c>
      <c r="V54" s="45" t="s">
        <v>1329</v>
      </c>
    </row>
    <row r="55" spans="1:22">
      <c r="A55" s="17" t="str">
        <f t="shared" si="1"/>
        <v>Dept. of Correction14</v>
      </c>
      <c r="B55" s="17">
        <v>14</v>
      </c>
      <c r="C55" s="328" t="s">
        <v>1290</v>
      </c>
      <c r="D55" s="754" t="s">
        <v>93</v>
      </c>
      <c r="E55" s="328" t="s">
        <v>2284</v>
      </c>
      <c r="F55" s="332" t="s">
        <v>2295</v>
      </c>
      <c r="G55" s="332"/>
      <c r="H55" s="332" t="s">
        <v>514</v>
      </c>
      <c r="I55" s="552" t="s">
        <v>2038</v>
      </c>
      <c r="J55" s="328"/>
      <c r="K55" s="328" t="s">
        <v>820</v>
      </c>
      <c r="L55" s="332" t="s">
        <v>857</v>
      </c>
      <c r="M55" s="328" t="s">
        <v>2043</v>
      </c>
      <c r="N55" s="328"/>
      <c r="O55" s="761"/>
      <c r="P55" s="332">
        <v>3</v>
      </c>
      <c r="Q55" s="332"/>
      <c r="R55" s="761">
        <v>3</v>
      </c>
      <c r="S55" s="332">
        <v>6</v>
      </c>
      <c r="T55" s="328" t="s">
        <v>822</v>
      </c>
      <c r="U55" s="324">
        <v>2025</v>
      </c>
      <c r="V55" s="45" t="s">
        <v>1329</v>
      </c>
    </row>
    <row r="56" spans="1:22">
      <c r="A56" s="17" t="str">
        <f t="shared" si="1"/>
        <v>Dept. of Developmental Services1</v>
      </c>
      <c r="B56" s="17">
        <v>1</v>
      </c>
      <c r="C56" s="328" t="s">
        <v>1651</v>
      </c>
      <c r="D56" s="754" t="s">
        <v>98</v>
      </c>
      <c r="E56" s="332" t="s">
        <v>2296</v>
      </c>
      <c r="F56" s="332" t="s">
        <v>2302</v>
      </c>
      <c r="G56" s="332" t="s">
        <v>2305</v>
      </c>
      <c r="H56" s="332" t="s">
        <v>654</v>
      </c>
      <c r="I56" s="332" t="s">
        <v>654</v>
      </c>
      <c r="J56" s="328"/>
      <c r="K56" s="328" t="s">
        <v>820</v>
      </c>
      <c r="L56" s="328" t="s">
        <v>857</v>
      </c>
      <c r="M56" s="328" t="s">
        <v>2043</v>
      </c>
      <c r="N56" s="328"/>
      <c r="O56" s="761"/>
      <c r="P56" s="332">
        <v>10</v>
      </c>
      <c r="Q56" s="332"/>
      <c r="R56" s="332">
        <v>10</v>
      </c>
      <c r="S56" s="332">
        <v>10</v>
      </c>
      <c r="T56" s="328" t="s">
        <v>822</v>
      </c>
      <c r="U56" s="328">
        <v>2025</v>
      </c>
      <c r="V56" s="45" t="s">
        <v>1328</v>
      </c>
    </row>
    <row r="57" spans="1:22">
      <c r="A57" s="17" t="str">
        <f t="shared" si="1"/>
        <v>Dept. of Developmental Services2</v>
      </c>
      <c r="B57" s="17">
        <v>2</v>
      </c>
      <c r="C57" s="328" t="s">
        <v>1651</v>
      </c>
      <c r="D57" s="754" t="s">
        <v>98</v>
      </c>
      <c r="E57" s="332" t="s">
        <v>2297</v>
      </c>
      <c r="F57" s="332" t="s">
        <v>2302</v>
      </c>
      <c r="G57" s="332" t="s">
        <v>2305</v>
      </c>
      <c r="H57" s="332" t="s">
        <v>654</v>
      </c>
      <c r="I57" s="332" t="s">
        <v>654</v>
      </c>
      <c r="J57" s="328"/>
      <c r="K57" s="328" t="s">
        <v>820</v>
      </c>
      <c r="L57" s="328" t="s">
        <v>857</v>
      </c>
      <c r="M57" s="328" t="s">
        <v>2043</v>
      </c>
      <c r="N57" s="328"/>
      <c r="O57" s="761"/>
      <c r="P57" s="332">
        <v>6</v>
      </c>
      <c r="Q57" s="332"/>
      <c r="R57" s="332">
        <v>6</v>
      </c>
      <c r="S57" s="332">
        <v>6</v>
      </c>
      <c r="T57" s="328" t="s">
        <v>822</v>
      </c>
      <c r="U57" s="328">
        <v>2025</v>
      </c>
      <c r="V57" s="45" t="s">
        <v>1328</v>
      </c>
    </row>
    <row r="58" spans="1:22">
      <c r="A58" s="17" t="str">
        <f t="shared" si="1"/>
        <v>Dept. of Developmental Services3</v>
      </c>
      <c r="B58" s="17">
        <v>3</v>
      </c>
      <c r="C58" s="328" t="s">
        <v>1651</v>
      </c>
      <c r="D58" s="754" t="s">
        <v>98</v>
      </c>
      <c r="E58" s="332" t="s">
        <v>2298</v>
      </c>
      <c r="F58" s="332" t="s">
        <v>2302</v>
      </c>
      <c r="G58" s="332" t="s">
        <v>2305</v>
      </c>
      <c r="H58" s="332" t="s">
        <v>654</v>
      </c>
      <c r="I58" s="332" t="s">
        <v>654</v>
      </c>
      <c r="J58" s="328"/>
      <c r="K58" s="328" t="s">
        <v>820</v>
      </c>
      <c r="L58" s="328" t="s">
        <v>857</v>
      </c>
      <c r="M58" s="328" t="s">
        <v>2043</v>
      </c>
      <c r="N58" s="328"/>
      <c r="O58" s="761"/>
      <c r="P58" s="332">
        <v>7</v>
      </c>
      <c r="Q58" s="332"/>
      <c r="R58" s="332">
        <v>7</v>
      </c>
      <c r="S58" s="332">
        <v>7</v>
      </c>
      <c r="T58" s="328" t="s">
        <v>822</v>
      </c>
      <c r="U58" s="328">
        <v>2025</v>
      </c>
      <c r="V58" s="45" t="s">
        <v>1328</v>
      </c>
    </row>
    <row r="59" spans="1:22">
      <c r="A59" s="17" t="str">
        <f t="shared" si="1"/>
        <v>Dept. of Developmental Services4</v>
      </c>
      <c r="B59" s="17">
        <v>4</v>
      </c>
      <c r="C59" s="328" t="s">
        <v>1651</v>
      </c>
      <c r="D59" s="754" t="s">
        <v>98</v>
      </c>
      <c r="E59" s="332" t="s">
        <v>2299</v>
      </c>
      <c r="F59" s="332" t="s">
        <v>2302</v>
      </c>
      <c r="G59" s="332" t="s">
        <v>2305</v>
      </c>
      <c r="H59" s="332" t="s">
        <v>654</v>
      </c>
      <c r="I59" s="332" t="s">
        <v>654</v>
      </c>
      <c r="J59" s="328"/>
      <c r="K59" s="328" t="s">
        <v>820</v>
      </c>
      <c r="L59" s="328" t="s">
        <v>857</v>
      </c>
      <c r="M59" s="328" t="s">
        <v>2043</v>
      </c>
      <c r="N59" s="328"/>
      <c r="O59" s="761"/>
      <c r="P59" s="332">
        <v>13</v>
      </c>
      <c r="Q59" s="332"/>
      <c r="R59" s="332">
        <v>13</v>
      </c>
      <c r="S59" s="332">
        <v>13</v>
      </c>
      <c r="T59" s="328" t="s">
        <v>822</v>
      </c>
      <c r="U59" s="328">
        <v>2025</v>
      </c>
      <c r="V59" s="45" t="s">
        <v>1328</v>
      </c>
    </row>
    <row r="60" spans="1:22">
      <c r="A60" s="17" t="str">
        <f t="shared" si="1"/>
        <v>Dept. of Developmental Services5</v>
      </c>
      <c r="B60" s="17">
        <v>5</v>
      </c>
      <c r="C60" s="328" t="s">
        <v>1651</v>
      </c>
      <c r="D60" s="754" t="s">
        <v>98</v>
      </c>
      <c r="E60" s="332" t="s">
        <v>2300</v>
      </c>
      <c r="F60" s="332" t="s">
        <v>2302</v>
      </c>
      <c r="G60" s="332" t="s">
        <v>2305</v>
      </c>
      <c r="H60" s="332" t="s">
        <v>654</v>
      </c>
      <c r="I60" s="332" t="s">
        <v>654</v>
      </c>
      <c r="J60" s="328"/>
      <c r="K60" s="328" t="s">
        <v>820</v>
      </c>
      <c r="L60" s="328" t="s">
        <v>857</v>
      </c>
      <c r="M60" s="328" t="s">
        <v>2043</v>
      </c>
      <c r="N60" s="328"/>
      <c r="O60" s="761"/>
      <c r="P60" s="332">
        <v>10</v>
      </c>
      <c r="Q60" s="332"/>
      <c r="R60" s="332">
        <v>10</v>
      </c>
      <c r="S60" s="332">
        <v>10</v>
      </c>
      <c r="T60" s="328" t="s">
        <v>822</v>
      </c>
      <c r="U60" s="328">
        <v>2025</v>
      </c>
      <c r="V60" s="45" t="s">
        <v>1328</v>
      </c>
    </row>
    <row r="61" spans="1:22">
      <c r="A61" s="17" t="str">
        <f t="shared" si="1"/>
        <v>Dept. of Developmental Services6</v>
      </c>
      <c r="B61" s="17">
        <v>6</v>
      </c>
      <c r="C61" s="328" t="s">
        <v>1651</v>
      </c>
      <c r="D61" s="754" t="s">
        <v>98</v>
      </c>
      <c r="E61" s="754" t="s">
        <v>1989</v>
      </c>
      <c r="F61" s="328" t="s">
        <v>1990</v>
      </c>
      <c r="G61" s="754" t="s">
        <v>1991</v>
      </c>
      <c r="H61" s="328" t="s">
        <v>523</v>
      </c>
      <c r="I61" s="552" t="s">
        <v>1992</v>
      </c>
      <c r="J61" s="328"/>
      <c r="K61" s="328" t="s">
        <v>820</v>
      </c>
      <c r="L61" s="328" t="s">
        <v>857</v>
      </c>
      <c r="M61" s="328" t="s">
        <v>2043</v>
      </c>
      <c r="N61" s="328"/>
      <c r="O61" s="761"/>
      <c r="P61" s="761">
        <v>4</v>
      </c>
      <c r="Q61" s="761"/>
      <c r="R61" s="761">
        <v>4</v>
      </c>
      <c r="S61" s="761">
        <v>8</v>
      </c>
      <c r="T61" s="328" t="s">
        <v>822</v>
      </c>
      <c r="U61" s="328">
        <v>2025</v>
      </c>
      <c r="V61" s="45" t="s">
        <v>1329</v>
      </c>
    </row>
    <row r="62" spans="1:22">
      <c r="A62" s="17" t="str">
        <f t="shared" si="1"/>
        <v>Dept. of Developmental Services7</v>
      </c>
      <c r="B62" s="17">
        <v>7</v>
      </c>
      <c r="C62" s="328" t="s">
        <v>1651</v>
      </c>
      <c r="D62" s="754" t="s">
        <v>98</v>
      </c>
      <c r="E62" s="754" t="s">
        <v>1989</v>
      </c>
      <c r="F62" s="328" t="s">
        <v>2303</v>
      </c>
      <c r="G62" s="328" t="s">
        <v>1993</v>
      </c>
      <c r="H62" s="328" t="s">
        <v>1993</v>
      </c>
      <c r="I62" s="552" t="s">
        <v>1994</v>
      </c>
      <c r="J62" s="328"/>
      <c r="K62" s="328" t="s">
        <v>820</v>
      </c>
      <c r="L62" s="328" t="s">
        <v>857</v>
      </c>
      <c r="M62" s="328" t="s">
        <v>2043</v>
      </c>
      <c r="N62" s="328"/>
      <c r="O62" s="761"/>
      <c r="P62" s="761">
        <v>2</v>
      </c>
      <c r="Q62" s="761"/>
      <c r="R62" s="761">
        <v>2</v>
      </c>
      <c r="S62" s="761">
        <v>4</v>
      </c>
      <c r="T62" s="328" t="s">
        <v>822</v>
      </c>
      <c r="U62" s="328">
        <v>2025</v>
      </c>
      <c r="V62" s="45" t="s">
        <v>1329</v>
      </c>
    </row>
    <row r="63" spans="1:22">
      <c r="A63" s="17" t="str">
        <f t="shared" si="1"/>
        <v>Dept. of Developmental Services8</v>
      </c>
      <c r="B63" s="17">
        <v>8</v>
      </c>
      <c r="C63" s="328" t="s">
        <v>1651</v>
      </c>
      <c r="D63" s="754" t="s">
        <v>98</v>
      </c>
      <c r="E63" s="754" t="s">
        <v>1989</v>
      </c>
      <c r="F63" s="328" t="s">
        <v>1995</v>
      </c>
      <c r="G63" s="754" t="s">
        <v>1996</v>
      </c>
      <c r="H63" s="328" t="s">
        <v>1997</v>
      </c>
      <c r="I63" s="552" t="s">
        <v>1998</v>
      </c>
      <c r="J63" s="328"/>
      <c r="K63" s="328" t="s">
        <v>820</v>
      </c>
      <c r="L63" s="328" t="s">
        <v>857</v>
      </c>
      <c r="M63" s="328" t="s">
        <v>2043</v>
      </c>
      <c r="N63" s="328"/>
      <c r="O63" s="761"/>
      <c r="P63" s="761">
        <v>2</v>
      </c>
      <c r="Q63" s="761"/>
      <c r="R63" s="761">
        <v>2</v>
      </c>
      <c r="S63" s="761">
        <v>4</v>
      </c>
      <c r="T63" s="328" t="s">
        <v>822</v>
      </c>
      <c r="U63" s="328">
        <v>2025</v>
      </c>
      <c r="V63" s="45" t="s">
        <v>1329</v>
      </c>
    </row>
    <row r="64" spans="1:22">
      <c r="A64" s="17" t="str">
        <f t="shared" si="1"/>
        <v>Dept. of Developmental Services9</v>
      </c>
      <c r="B64" s="17">
        <v>9</v>
      </c>
      <c r="C64" s="328" t="s">
        <v>1651</v>
      </c>
      <c r="D64" s="754" t="s">
        <v>98</v>
      </c>
      <c r="E64" s="332" t="s">
        <v>2301</v>
      </c>
      <c r="F64" s="332" t="s">
        <v>2302</v>
      </c>
      <c r="G64" s="332" t="s">
        <v>2305</v>
      </c>
      <c r="H64" s="332" t="s">
        <v>654</v>
      </c>
      <c r="I64" s="332" t="s">
        <v>654</v>
      </c>
      <c r="J64" s="328"/>
      <c r="K64" s="328" t="s">
        <v>820</v>
      </c>
      <c r="L64" s="328" t="s">
        <v>857</v>
      </c>
      <c r="M64" s="328" t="s">
        <v>2043</v>
      </c>
      <c r="N64" s="328"/>
      <c r="O64" s="761"/>
      <c r="P64" s="332">
        <v>10</v>
      </c>
      <c r="Q64" s="332"/>
      <c r="R64" s="761">
        <v>10</v>
      </c>
      <c r="S64" s="332">
        <v>11</v>
      </c>
      <c r="T64" s="328" t="s">
        <v>822</v>
      </c>
      <c r="U64" s="328">
        <v>2025</v>
      </c>
      <c r="V64" s="45" t="s">
        <v>1328</v>
      </c>
    </row>
    <row r="65" spans="1:22">
      <c r="A65" s="17" t="str">
        <f t="shared" si="1"/>
        <v>Dept. of Developmental Services10</v>
      </c>
      <c r="B65" s="17">
        <v>10</v>
      </c>
      <c r="C65" s="328" t="s">
        <v>1651</v>
      </c>
      <c r="D65" s="754" t="s">
        <v>98</v>
      </c>
      <c r="E65" s="328" t="s">
        <v>1697</v>
      </c>
      <c r="F65" s="332" t="s">
        <v>2304</v>
      </c>
      <c r="G65" s="332" t="s">
        <v>2306</v>
      </c>
      <c r="H65" s="332" t="s">
        <v>643</v>
      </c>
      <c r="I65" s="552" t="s">
        <v>1924</v>
      </c>
      <c r="J65" s="328"/>
      <c r="K65" s="328" t="s">
        <v>820</v>
      </c>
      <c r="L65" s="328" t="s">
        <v>857</v>
      </c>
      <c r="M65" s="328" t="s">
        <v>2043</v>
      </c>
      <c r="N65" s="328"/>
      <c r="O65" s="761"/>
      <c r="P65" s="332">
        <v>4</v>
      </c>
      <c r="Q65" s="332"/>
      <c r="R65" s="761">
        <v>4</v>
      </c>
      <c r="S65" s="332">
        <v>8</v>
      </c>
      <c r="T65" s="328" t="s">
        <v>822</v>
      </c>
      <c r="U65" s="328">
        <v>2025</v>
      </c>
      <c r="V65" s="45" t="s">
        <v>1329</v>
      </c>
    </row>
    <row r="66" spans="1:22">
      <c r="A66" s="17" t="str">
        <f t="shared" si="1"/>
        <v>Dept. of Fire Services1</v>
      </c>
      <c r="B66" s="17">
        <v>1</v>
      </c>
      <c r="C66" s="328" t="s">
        <v>1948</v>
      </c>
      <c r="D66" s="754" t="s">
        <v>99</v>
      </c>
      <c r="E66" s="754" t="s">
        <v>1949</v>
      </c>
      <c r="F66" s="328" t="s">
        <v>1950</v>
      </c>
      <c r="G66" s="328"/>
      <c r="H66" s="553" t="s">
        <v>613</v>
      </c>
      <c r="I66" s="552" t="s">
        <v>1951</v>
      </c>
      <c r="J66" s="328"/>
      <c r="K66" s="328" t="s">
        <v>820</v>
      </c>
      <c r="L66" s="328" t="s">
        <v>857</v>
      </c>
      <c r="M66" s="328" t="s">
        <v>2043</v>
      </c>
      <c r="N66" s="328"/>
      <c r="O66" s="761"/>
      <c r="P66" s="761">
        <v>1</v>
      </c>
      <c r="Q66" s="761"/>
      <c r="R66" s="761">
        <v>1</v>
      </c>
      <c r="S66" s="761">
        <v>2</v>
      </c>
      <c r="T66" s="328" t="s">
        <v>822</v>
      </c>
      <c r="U66" s="328">
        <v>2024</v>
      </c>
      <c r="V66" s="45" t="s">
        <v>1329</v>
      </c>
    </row>
    <row r="67" spans="1:22">
      <c r="A67" s="17" t="str">
        <f t="shared" si="1"/>
        <v>Dept. of Fire Services2</v>
      </c>
      <c r="B67" s="17">
        <v>2</v>
      </c>
      <c r="C67" s="328" t="s">
        <v>1948</v>
      </c>
      <c r="D67" s="754" t="s">
        <v>99</v>
      </c>
      <c r="E67" s="754" t="s">
        <v>1949</v>
      </c>
      <c r="F67" s="328" t="s">
        <v>526</v>
      </c>
      <c r="G67" s="328"/>
      <c r="H67" s="553" t="s">
        <v>527</v>
      </c>
      <c r="I67" s="552" t="s">
        <v>1952</v>
      </c>
      <c r="J67" s="328"/>
      <c r="K67" s="328" t="s">
        <v>820</v>
      </c>
      <c r="L67" s="328" t="s">
        <v>857</v>
      </c>
      <c r="M67" s="328" t="s">
        <v>2043</v>
      </c>
      <c r="N67" s="328"/>
      <c r="O67" s="761"/>
      <c r="P67" s="761">
        <v>4</v>
      </c>
      <c r="Q67" s="761"/>
      <c r="R67" s="761">
        <v>4</v>
      </c>
      <c r="S67" s="761">
        <v>4</v>
      </c>
      <c r="T67" s="328" t="s">
        <v>822</v>
      </c>
      <c r="U67" s="328">
        <v>2024</v>
      </c>
      <c r="V67" s="45" t="s">
        <v>1328</v>
      </c>
    </row>
    <row r="68" spans="1:22">
      <c r="A68" s="17" t="str">
        <f t="shared" si="1"/>
        <v>Dept. of Fish &amp; Game1</v>
      </c>
      <c r="B68" s="17">
        <v>1</v>
      </c>
      <c r="C68" s="328" t="s">
        <v>2307</v>
      </c>
      <c r="D68" s="754" t="s">
        <v>1638</v>
      </c>
      <c r="E68" s="328" t="s">
        <v>1906</v>
      </c>
      <c r="F68" s="328" t="s">
        <v>1907</v>
      </c>
      <c r="G68" s="328"/>
      <c r="H68" s="328" t="s">
        <v>1908</v>
      </c>
      <c r="I68" s="552" t="s">
        <v>1909</v>
      </c>
      <c r="J68" s="328"/>
      <c r="K68" s="328" t="s">
        <v>820</v>
      </c>
      <c r="L68" s="328" t="s">
        <v>857</v>
      </c>
      <c r="M68" s="328" t="s">
        <v>2043</v>
      </c>
      <c r="N68" s="328"/>
      <c r="O68" s="761"/>
      <c r="P68" s="761">
        <v>2</v>
      </c>
      <c r="Q68" s="761"/>
      <c r="R68" s="761">
        <v>2</v>
      </c>
      <c r="S68" s="761">
        <v>4</v>
      </c>
      <c r="T68" s="328" t="s">
        <v>822</v>
      </c>
      <c r="U68" s="328">
        <v>2024</v>
      </c>
      <c r="V68" t="s">
        <v>1329</v>
      </c>
    </row>
    <row r="69" spans="1:22" s="47" customFormat="1">
      <c r="A69" s="17" t="str">
        <f t="shared" si="1"/>
        <v>Dept. of Fish &amp; Game2</v>
      </c>
      <c r="B69" s="17">
        <v>2</v>
      </c>
      <c r="C69" s="328" t="s">
        <v>1652</v>
      </c>
      <c r="D69" s="754" t="s">
        <v>1638</v>
      </c>
      <c r="E69" s="328" t="s">
        <v>1916</v>
      </c>
      <c r="F69" s="328" t="s">
        <v>529</v>
      </c>
      <c r="G69" s="328"/>
      <c r="H69" s="328" t="s">
        <v>530</v>
      </c>
      <c r="I69" s="552" t="s">
        <v>1917</v>
      </c>
      <c r="J69" s="328"/>
      <c r="K69" s="328" t="s">
        <v>820</v>
      </c>
      <c r="L69" s="328" t="s">
        <v>857</v>
      </c>
      <c r="M69" s="328" t="s">
        <v>2043</v>
      </c>
      <c r="N69" s="328"/>
      <c r="O69" s="761"/>
      <c r="P69" s="761">
        <v>2</v>
      </c>
      <c r="Q69" s="761"/>
      <c r="R69" s="761">
        <v>2</v>
      </c>
      <c r="S69" s="761">
        <v>4</v>
      </c>
      <c r="T69" s="328" t="s">
        <v>822</v>
      </c>
      <c r="U69" s="328">
        <v>2024</v>
      </c>
      <c r="V69" t="s">
        <v>1329</v>
      </c>
    </row>
    <row r="70" spans="1:22" s="47" customFormat="1">
      <c r="A70" s="17" t="str">
        <f t="shared" si="1"/>
        <v>Dept. of Fish &amp; Game3</v>
      </c>
      <c r="B70" s="17">
        <v>3</v>
      </c>
      <c r="C70" s="328" t="s">
        <v>1652</v>
      </c>
      <c r="D70" s="754" t="s">
        <v>1638</v>
      </c>
      <c r="E70" s="328" t="s">
        <v>2310</v>
      </c>
      <c r="F70" s="328" t="s">
        <v>2308</v>
      </c>
      <c r="G70" s="328"/>
      <c r="H70" s="328" t="s">
        <v>1606</v>
      </c>
      <c r="I70" s="552" t="s">
        <v>2275</v>
      </c>
      <c r="J70" s="328"/>
      <c r="K70" s="328" t="s">
        <v>820</v>
      </c>
      <c r="L70" s="328" t="s">
        <v>857</v>
      </c>
      <c r="M70" s="328" t="s">
        <v>2043</v>
      </c>
      <c r="N70" s="328"/>
      <c r="O70" s="761"/>
      <c r="P70" s="761">
        <v>2</v>
      </c>
      <c r="Q70" s="761"/>
      <c r="R70" s="761">
        <v>2</v>
      </c>
      <c r="S70" s="761">
        <v>2</v>
      </c>
      <c r="T70" s="328" t="s">
        <v>822</v>
      </c>
      <c r="U70" s="328">
        <v>2025</v>
      </c>
      <c r="V70" s="45" t="s">
        <v>1328</v>
      </c>
    </row>
    <row r="71" spans="1:22" s="47" customFormat="1">
      <c r="A71" s="17" t="str">
        <f t="shared" si="1"/>
        <v>Dept. of Fish &amp; Game4</v>
      </c>
      <c r="B71" s="17">
        <v>4</v>
      </c>
      <c r="C71" s="328" t="s">
        <v>1652</v>
      </c>
      <c r="D71" s="754" t="s">
        <v>1638</v>
      </c>
      <c r="E71" s="328" t="s">
        <v>2311</v>
      </c>
      <c r="F71" s="328" t="s">
        <v>2309</v>
      </c>
      <c r="G71" s="328"/>
      <c r="H71" s="328" t="s">
        <v>2312</v>
      </c>
      <c r="I71" s="552" t="s">
        <v>2313</v>
      </c>
      <c r="J71" s="328"/>
      <c r="K71" s="328" t="s">
        <v>820</v>
      </c>
      <c r="L71" s="328" t="s">
        <v>857</v>
      </c>
      <c r="M71" s="328" t="s">
        <v>2043</v>
      </c>
      <c r="N71" s="328"/>
      <c r="O71" s="761"/>
      <c r="P71" s="761">
        <v>2</v>
      </c>
      <c r="Q71" s="761"/>
      <c r="R71" s="761">
        <v>2</v>
      </c>
      <c r="S71" s="761">
        <v>4</v>
      </c>
      <c r="T71" s="328" t="s">
        <v>822</v>
      </c>
      <c r="U71" s="328">
        <v>2025</v>
      </c>
      <c r="V71" t="s">
        <v>1329</v>
      </c>
    </row>
    <row r="72" spans="1:22">
      <c r="A72" s="17" t="str">
        <f t="shared" si="1"/>
        <v>Dept. of Public Health1</v>
      </c>
      <c r="B72" s="558">
        <v>1</v>
      </c>
      <c r="C72" s="328" t="s">
        <v>815</v>
      </c>
      <c r="D72" s="754" t="s">
        <v>102</v>
      </c>
      <c r="E72" s="328" t="s">
        <v>831</v>
      </c>
      <c r="F72" s="328" t="s">
        <v>1253</v>
      </c>
      <c r="G72" s="328" t="s">
        <v>1254</v>
      </c>
      <c r="H72" s="328" t="s">
        <v>832</v>
      </c>
      <c r="I72" s="552" t="s">
        <v>833</v>
      </c>
      <c r="J72" s="328" t="s">
        <v>826</v>
      </c>
      <c r="K72" s="328" t="s">
        <v>820</v>
      </c>
      <c r="L72" s="328" t="s">
        <v>821</v>
      </c>
      <c r="M72" s="328" t="s">
        <v>821</v>
      </c>
      <c r="N72" s="328" t="s">
        <v>1154</v>
      </c>
      <c r="O72" s="761"/>
      <c r="P72" s="761">
        <v>3</v>
      </c>
      <c r="Q72" s="761"/>
      <c r="R72" s="761">
        <v>3</v>
      </c>
      <c r="S72" s="761">
        <v>6</v>
      </c>
      <c r="T72" s="328" t="s">
        <v>822</v>
      </c>
      <c r="U72" s="328">
        <v>2016</v>
      </c>
      <c r="V72" s="45" t="s">
        <v>1329</v>
      </c>
    </row>
    <row r="73" spans="1:22">
      <c r="A73" s="17" t="str">
        <f t="shared" si="1"/>
        <v>Dept. of Public Health2</v>
      </c>
      <c r="B73" s="558">
        <v>2</v>
      </c>
      <c r="C73" s="328" t="s">
        <v>2314</v>
      </c>
      <c r="D73" s="754" t="s">
        <v>102</v>
      </c>
      <c r="E73" s="328" t="s">
        <v>2317</v>
      </c>
      <c r="F73" s="328" t="s">
        <v>2315</v>
      </c>
      <c r="G73" s="328"/>
      <c r="H73" s="553" t="s">
        <v>460</v>
      </c>
      <c r="I73" s="552" t="s">
        <v>2320</v>
      </c>
      <c r="J73" s="328"/>
      <c r="K73" s="328" t="s">
        <v>820</v>
      </c>
      <c r="L73" s="328" t="s">
        <v>857</v>
      </c>
      <c r="M73" s="328" t="s">
        <v>2043</v>
      </c>
      <c r="N73" s="328"/>
      <c r="O73" s="761"/>
      <c r="P73" s="761">
        <v>1</v>
      </c>
      <c r="Q73" s="761"/>
      <c r="R73" s="761">
        <f t="shared" ref="R73:R75" si="2">SUM(O73:Q73)</f>
        <v>1</v>
      </c>
      <c r="S73" s="761">
        <v>2</v>
      </c>
      <c r="T73" s="328" t="s">
        <v>822</v>
      </c>
      <c r="U73" s="328">
        <v>2024</v>
      </c>
      <c r="V73" s="45" t="s">
        <v>1329</v>
      </c>
    </row>
    <row r="74" spans="1:22">
      <c r="A74" s="17" t="str">
        <f t="shared" si="1"/>
        <v>Dept. of Public Health3</v>
      </c>
      <c r="B74" s="558">
        <v>3</v>
      </c>
      <c r="C74" s="328" t="s">
        <v>2314</v>
      </c>
      <c r="D74" s="754" t="s">
        <v>102</v>
      </c>
      <c r="E74" s="328" t="s">
        <v>2318</v>
      </c>
      <c r="F74" s="328" t="s">
        <v>2316</v>
      </c>
      <c r="G74" s="328"/>
      <c r="H74" s="328" t="s">
        <v>538</v>
      </c>
      <c r="I74" s="552" t="s">
        <v>2321</v>
      </c>
      <c r="J74" s="328"/>
      <c r="K74" s="328" t="s">
        <v>820</v>
      </c>
      <c r="L74" s="328" t="s">
        <v>857</v>
      </c>
      <c r="M74" s="328" t="s">
        <v>2043</v>
      </c>
      <c r="N74" s="328"/>
      <c r="O74" s="761"/>
      <c r="P74" s="761">
        <v>1</v>
      </c>
      <c r="Q74" s="761"/>
      <c r="R74" s="761">
        <f t="shared" si="2"/>
        <v>1</v>
      </c>
      <c r="S74" s="761">
        <v>2</v>
      </c>
      <c r="T74" s="328" t="s">
        <v>822</v>
      </c>
      <c r="U74" s="328">
        <v>2024</v>
      </c>
      <c r="V74" s="45" t="s">
        <v>1329</v>
      </c>
    </row>
    <row r="75" spans="1:22">
      <c r="A75" s="17" t="str">
        <f t="shared" si="1"/>
        <v>Dept. of Public Health4</v>
      </c>
      <c r="B75" s="558">
        <v>4</v>
      </c>
      <c r="C75" s="328" t="s">
        <v>2314</v>
      </c>
      <c r="D75" s="754" t="s">
        <v>102</v>
      </c>
      <c r="E75" s="328" t="s">
        <v>2319</v>
      </c>
      <c r="F75" s="328" t="s">
        <v>1253</v>
      </c>
      <c r="G75" s="328"/>
      <c r="H75" s="328" t="s">
        <v>832</v>
      </c>
      <c r="I75" s="552" t="s">
        <v>833</v>
      </c>
      <c r="J75" s="328"/>
      <c r="K75" s="328" t="s">
        <v>820</v>
      </c>
      <c r="L75" s="328" t="s">
        <v>857</v>
      </c>
      <c r="M75" s="328" t="s">
        <v>2043</v>
      </c>
      <c r="N75" s="328"/>
      <c r="O75" s="761"/>
      <c r="P75" s="761">
        <v>2</v>
      </c>
      <c r="Q75" s="761"/>
      <c r="R75" s="761">
        <f t="shared" si="2"/>
        <v>2</v>
      </c>
      <c r="S75" s="761">
        <v>2</v>
      </c>
      <c r="T75" s="328" t="s">
        <v>822</v>
      </c>
      <c r="U75" s="328">
        <v>2025</v>
      </c>
      <c r="V75" s="45" t="s">
        <v>1328</v>
      </c>
    </row>
    <row r="76" spans="1:22">
      <c r="A76" s="17" t="str">
        <f t="shared" si="1"/>
        <v>Dept. of State Police1</v>
      </c>
      <c r="B76" s="17">
        <v>1</v>
      </c>
      <c r="C76" s="332" t="s">
        <v>1654</v>
      </c>
      <c r="D76" s="760" t="s">
        <v>103</v>
      </c>
      <c r="E76" s="332" t="s">
        <v>2022</v>
      </c>
      <c r="F76" s="332" t="s">
        <v>2023</v>
      </c>
      <c r="G76" s="332"/>
      <c r="H76" s="332" t="s">
        <v>2024</v>
      </c>
      <c r="I76" s="552" t="s">
        <v>2025</v>
      </c>
      <c r="J76" s="332"/>
      <c r="K76" s="332" t="s">
        <v>820</v>
      </c>
      <c r="L76" s="332" t="s">
        <v>857</v>
      </c>
      <c r="M76" s="328" t="s">
        <v>2043</v>
      </c>
      <c r="N76" s="332"/>
      <c r="O76" s="332"/>
      <c r="P76" s="332">
        <v>1</v>
      </c>
      <c r="Q76" s="332"/>
      <c r="R76" s="332">
        <v>1</v>
      </c>
      <c r="S76" s="332">
        <v>1</v>
      </c>
      <c r="T76" s="328" t="s">
        <v>822</v>
      </c>
      <c r="U76" s="332">
        <v>2023</v>
      </c>
      <c r="V76" t="s">
        <v>1328</v>
      </c>
    </row>
    <row r="77" spans="1:22">
      <c r="A77" s="17" t="str">
        <f t="shared" si="1"/>
        <v>Dept. of State Police2</v>
      </c>
      <c r="B77" s="17">
        <v>2</v>
      </c>
      <c r="C77" s="332" t="s">
        <v>1654</v>
      </c>
      <c r="D77" s="760" t="s">
        <v>103</v>
      </c>
      <c r="E77" s="332" t="s">
        <v>2026</v>
      </c>
      <c r="F77" s="332" t="s">
        <v>2027</v>
      </c>
      <c r="G77" s="332"/>
      <c r="H77" s="332" t="s">
        <v>2028</v>
      </c>
      <c r="I77" s="552" t="s">
        <v>2029</v>
      </c>
      <c r="J77" s="332"/>
      <c r="K77" s="332" t="s">
        <v>820</v>
      </c>
      <c r="L77" s="332" t="s">
        <v>857</v>
      </c>
      <c r="M77" s="328" t="s">
        <v>2043</v>
      </c>
      <c r="N77" s="332"/>
      <c r="O77" s="332"/>
      <c r="P77" s="332">
        <v>1</v>
      </c>
      <c r="Q77" s="332"/>
      <c r="R77" s="332">
        <v>1</v>
      </c>
      <c r="S77" s="332">
        <v>1</v>
      </c>
      <c r="T77" s="328" t="s">
        <v>822</v>
      </c>
      <c r="U77" s="332">
        <v>2023</v>
      </c>
      <c r="V77" t="s">
        <v>1328</v>
      </c>
    </row>
    <row r="78" spans="1:22">
      <c r="A78" s="17" t="str">
        <f t="shared" si="1"/>
        <v>Dept. of State Police3</v>
      </c>
      <c r="B78" s="17">
        <v>3</v>
      </c>
      <c r="C78" s="332" t="s">
        <v>1654</v>
      </c>
      <c r="D78" s="760" t="s">
        <v>103</v>
      </c>
      <c r="E78" s="328" t="s">
        <v>2322</v>
      </c>
      <c r="F78" s="328" t="s">
        <v>2323</v>
      </c>
      <c r="G78" s="332"/>
      <c r="H78" s="328" t="s">
        <v>2326</v>
      </c>
      <c r="I78" s="552" t="s">
        <v>2327</v>
      </c>
      <c r="J78" s="332"/>
      <c r="K78" s="332" t="s">
        <v>820</v>
      </c>
      <c r="L78" s="332" t="s">
        <v>857</v>
      </c>
      <c r="M78" s="328" t="s">
        <v>2043</v>
      </c>
      <c r="N78" s="332"/>
      <c r="O78" s="332"/>
      <c r="P78" s="761">
        <v>1</v>
      </c>
      <c r="Q78" s="761"/>
      <c r="R78" s="761">
        <v>1</v>
      </c>
      <c r="S78" s="761">
        <v>1</v>
      </c>
      <c r="T78" s="328" t="s">
        <v>822</v>
      </c>
      <c r="U78" s="332">
        <v>2024</v>
      </c>
      <c r="V78" t="s">
        <v>1328</v>
      </c>
    </row>
    <row r="79" spans="1:22">
      <c r="A79" s="17" t="str">
        <f t="shared" si="1"/>
        <v>Dept. of State Police4</v>
      </c>
      <c r="B79" s="17">
        <v>4</v>
      </c>
      <c r="C79" s="332" t="s">
        <v>1654</v>
      </c>
      <c r="D79" s="760" t="s">
        <v>103</v>
      </c>
      <c r="E79" s="328" t="s">
        <v>2324</v>
      </c>
      <c r="F79" s="332" t="s">
        <v>2325</v>
      </c>
      <c r="G79" s="332"/>
      <c r="H79" s="332" t="s">
        <v>509</v>
      </c>
      <c r="I79" s="552" t="s">
        <v>1194</v>
      </c>
      <c r="J79" s="332"/>
      <c r="K79" s="332" t="s">
        <v>820</v>
      </c>
      <c r="L79" s="332" t="s">
        <v>857</v>
      </c>
      <c r="M79" s="328" t="s">
        <v>2043</v>
      </c>
      <c r="N79" s="332"/>
      <c r="O79" s="332"/>
      <c r="P79" s="332">
        <v>1</v>
      </c>
      <c r="Q79" s="332"/>
      <c r="R79" s="761">
        <v>1</v>
      </c>
      <c r="S79" s="332">
        <v>1</v>
      </c>
      <c r="T79" s="328" t="s">
        <v>822</v>
      </c>
      <c r="U79" s="324">
        <v>2025</v>
      </c>
      <c r="V79" t="s">
        <v>1328</v>
      </c>
    </row>
    <row r="80" spans="1:22" s="45" customFormat="1">
      <c r="A80" s="17" t="str">
        <f t="shared" si="1"/>
        <v>Division of Standards1</v>
      </c>
      <c r="B80" s="17">
        <v>1</v>
      </c>
      <c r="C80" s="328" t="s">
        <v>1910</v>
      </c>
      <c r="D80" s="754" t="s">
        <v>1911</v>
      </c>
      <c r="E80" s="328" t="s">
        <v>1912</v>
      </c>
      <c r="F80" s="754" t="s">
        <v>1913</v>
      </c>
      <c r="G80" s="756"/>
      <c r="H80" s="754" t="s">
        <v>1914</v>
      </c>
      <c r="I80" s="552" t="s">
        <v>1915</v>
      </c>
      <c r="J80" s="328"/>
      <c r="K80" s="328" t="s">
        <v>820</v>
      </c>
      <c r="L80" s="328" t="s">
        <v>857</v>
      </c>
      <c r="M80" s="328" t="s">
        <v>2043</v>
      </c>
      <c r="N80" s="328"/>
      <c r="O80" s="761"/>
      <c r="P80" s="761">
        <v>2</v>
      </c>
      <c r="Q80" s="761"/>
      <c r="R80" s="761">
        <v>2</v>
      </c>
      <c r="S80" s="761">
        <v>2</v>
      </c>
      <c r="T80" s="328" t="s">
        <v>822</v>
      </c>
      <c r="U80" s="328">
        <v>2024</v>
      </c>
      <c r="V80" s="45" t="s">
        <v>1328</v>
      </c>
    </row>
    <row r="81" spans="1:22" s="45" customFormat="1">
      <c r="A81" s="17" t="str">
        <f t="shared" si="1"/>
        <v>Fitchburg State University1</v>
      </c>
      <c r="B81" s="558">
        <v>1</v>
      </c>
      <c r="C81" s="328" t="s">
        <v>438</v>
      </c>
      <c r="D81" s="754" t="s">
        <v>107</v>
      </c>
      <c r="E81" s="328" t="s">
        <v>1190</v>
      </c>
      <c r="F81" s="328" t="s">
        <v>544</v>
      </c>
      <c r="G81" s="328"/>
      <c r="H81" s="328" t="s">
        <v>545</v>
      </c>
      <c r="I81" s="552" t="s">
        <v>1191</v>
      </c>
      <c r="J81" s="328"/>
      <c r="K81" s="328" t="s">
        <v>820</v>
      </c>
      <c r="L81" s="328" t="s">
        <v>821</v>
      </c>
      <c r="M81" s="328" t="s">
        <v>821</v>
      </c>
      <c r="N81" s="328" t="s">
        <v>1154</v>
      </c>
      <c r="O81" s="761"/>
      <c r="P81" s="761">
        <v>1</v>
      </c>
      <c r="Q81" s="761"/>
      <c r="R81" s="761">
        <v>1</v>
      </c>
      <c r="S81" s="761">
        <v>2</v>
      </c>
      <c r="T81" s="328" t="s">
        <v>822</v>
      </c>
      <c r="U81" s="328">
        <v>2019</v>
      </c>
      <c r="V81" s="45" t="s">
        <v>1329</v>
      </c>
    </row>
    <row r="82" spans="1:22" s="45" customFormat="1">
      <c r="A82" s="17" t="str">
        <f t="shared" si="1"/>
        <v>Framingham State University1</v>
      </c>
      <c r="B82" s="17">
        <v>1</v>
      </c>
      <c r="C82" s="328" t="s">
        <v>438</v>
      </c>
      <c r="D82" s="754" t="s">
        <v>35</v>
      </c>
      <c r="E82" s="754" t="s">
        <v>35</v>
      </c>
      <c r="F82" s="328" t="s">
        <v>1192</v>
      </c>
      <c r="G82" s="328" t="s">
        <v>1193</v>
      </c>
      <c r="H82" s="328" t="s">
        <v>509</v>
      </c>
      <c r="I82" s="552" t="s">
        <v>1194</v>
      </c>
      <c r="J82" s="328" t="s">
        <v>837</v>
      </c>
      <c r="K82" s="328" t="s">
        <v>820</v>
      </c>
      <c r="L82" s="328" t="s">
        <v>821</v>
      </c>
      <c r="M82" s="328" t="s">
        <v>821</v>
      </c>
      <c r="N82" s="328" t="s">
        <v>1154</v>
      </c>
      <c r="O82" s="761"/>
      <c r="P82" s="761">
        <v>1</v>
      </c>
      <c r="Q82" s="761"/>
      <c r="R82" s="761">
        <v>1</v>
      </c>
      <c r="S82" s="761">
        <v>2</v>
      </c>
      <c r="T82" s="328" t="s">
        <v>822</v>
      </c>
      <c r="U82" s="328">
        <v>2012</v>
      </c>
      <c r="V82" s="45" t="s">
        <v>1329</v>
      </c>
    </row>
    <row r="83" spans="1:22" s="45" customFormat="1">
      <c r="A83" s="17" t="str">
        <f t="shared" si="1"/>
        <v>Framingham State University2</v>
      </c>
      <c r="B83" s="17">
        <v>2</v>
      </c>
      <c r="C83" s="328" t="s">
        <v>438</v>
      </c>
      <c r="D83" s="754" t="s">
        <v>35</v>
      </c>
      <c r="E83" s="754" t="s">
        <v>35</v>
      </c>
      <c r="F83" s="328" t="s">
        <v>550</v>
      </c>
      <c r="G83" s="328" t="s">
        <v>1195</v>
      </c>
      <c r="H83" s="328" t="s">
        <v>509</v>
      </c>
      <c r="I83" s="552" t="s">
        <v>840</v>
      </c>
      <c r="J83" s="328" t="s">
        <v>837</v>
      </c>
      <c r="K83" s="328" t="s">
        <v>820</v>
      </c>
      <c r="L83" s="328" t="s">
        <v>821</v>
      </c>
      <c r="M83" s="328" t="s">
        <v>821</v>
      </c>
      <c r="N83" s="328" t="s">
        <v>1154</v>
      </c>
      <c r="O83" s="761"/>
      <c r="P83" s="761">
        <v>1</v>
      </c>
      <c r="Q83" s="761"/>
      <c r="R83" s="761">
        <v>1</v>
      </c>
      <c r="S83" s="761">
        <v>2</v>
      </c>
      <c r="T83" s="328" t="s">
        <v>822</v>
      </c>
      <c r="U83" s="328">
        <v>2019</v>
      </c>
      <c r="V83" s="45" t="s">
        <v>1329</v>
      </c>
    </row>
    <row r="84" spans="1:22" s="45" customFormat="1">
      <c r="A84" s="17" t="str">
        <f t="shared" si="1"/>
        <v>Framingham State University3</v>
      </c>
      <c r="B84" s="17">
        <v>3</v>
      </c>
      <c r="C84" s="332" t="s">
        <v>438</v>
      </c>
      <c r="D84" s="760" t="s">
        <v>35</v>
      </c>
      <c r="E84" s="332" t="s">
        <v>35</v>
      </c>
      <c r="F84" s="332" t="s">
        <v>2042</v>
      </c>
      <c r="G84" s="332"/>
      <c r="H84" s="332" t="s">
        <v>509</v>
      </c>
      <c r="I84" s="552" t="s">
        <v>1194</v>
      </c>
      <c r="J84" s="332"/>
      <c r="K84" s="332" t="s">
        <v>820</v>
      </c>
      <c r="L84" s="332" t="s">
        <v>821</v>
      </c>
      <c r="M84" s="332" t="s">
        <v>821</v>
      </c>
      <c r="N84" s="332"/>
      <c r="O84" s="332"/>
      <c r="P84" s="332">
        <v>2</v>
      </c>
      <c r="Q84" s="332"/>
      <c r="R84" s="332">
        <v>2</v>
      </c>
      <c r="S84" s="332">
        <v>4</v>
      </c>
      <c r="T84" s="328" t="s">
        <v>822</v>
      </c>
      <c r="U84" s="332">
        <v>2025</v>
      </c>
      <c r="V84" t="s">
        <v>1329</v>
      </c>
    </row>
    <row r="85" spans="1:22" s="45" customFormat="1">
      <c r="A85" s="17" t="str">
        <f t="shared" si="1"/>
        <v>Franklin County Sheriff's Office1</v>
      </c>
      <c r="B85" s="17">
        <v>1</v>
      </c>
      <c r="C85" s="324" t="s">
        <v>1196</v>
      </c>
      <c r="D85" s="323" t="s">
        <v>1197</v>
      </c>
      <c r="E85" s="324" t="s">
        <v>1198</v>
      </c>
      <c r="F85" s="324" t="s">
        <v>1199</v>
      </c>
      <c r="G85" s="324" t="s">
        <v>1200</v>
      </c>
      <c r="H85" s="324" t="s">
        <v>556</v>
      </c>
      <c r="I85" s="555" t="s">
        <v>1201</v>
      </c>
      <c r="J85" s="324" t="s">
        <v>837</v>
      </c>
      <c r="K85" s="324" t="s">
        <v>820</v>
      </c>
      <c r="L85" s="324" t="s">
        <v>821</v>
      </c>
      <c r="M85" s="328" t="s">
        <v>821</v>
      </c>
      <c r="N85" s="324" t="s">
        <v>1154</v>
      </c>
      <c r="O85" s="762"/>
      <c r="P85" s="762">
        <v>2</v>
      </c>
      <c r="Q85" s="762"/>
      <c r="R85" s="761">
        <v>2</v>
      </c>
      <c r="S85" s="762">
        <v>4</v>
      </c>
      <c r="T85" s="328" t="s">
        <v>822</v>
      </c>
      <c r="U85" s="328">
        <v>2018</v>
      </c>
      <c r="V85" t="s">
        <v>1329</v>
      </c>
    </row>
    <row r="86" spans="1:22" s="45" customFormat="1">
      <c r="A86" s="17" t="str">
        <f t="shared" si="1"/>
        <v>Greenfield Comm. College1</v>
      </c>
      <c r="B86" s="17">
        <v>1</v>
      </c>
      <c r="C86" s="328" t="s">
        <v>815</v>
      </c>
      <c r="D86" s="754" t="s">
        <v>116</v>
      </c>
      <c r="E86" s="328" t="s">
        <v>841</v>
      </c>
      <c r="F86" s="328" t="s">
        <v>842</v>
      </c>
      <c r="G86" s="328"/>
      <c r="H86" s="328" t="s">
        <v>556</v>
      </c>
      <c r="I86" s="552" t="s">
        <v>843</v>
      </c>
      <c r="J86" s="328" t="s">
        <v>837</v>
      </c>
      <c r="K86" s="328" t="s">
        <v>820</v>
      </c>
      <c r="L86" s="328" t="s">
        <v>821</v>
      </c>
      <c r="M86" s="328" t="s">
        <v>821</v>
      </c>
      <c r="N86" s="328" t="s">
        <v>1154</v>
      </c>
      <c r="O86" s="761"/>
      <c r="P86" s="761"/>
      <c r="Q86" s="761">
        <v>1</v>
      </c>
      <c r="R86" s="761">
        <v>1</v>
      </c>
      <c r="S86" s="761">
        <v>1</v>
      </c>
      <c r="T86" s="328" t="s">
        <v>844</v>
      </c>
      <c r="U86" s="328">
        <v>2020</v>
      </c>
      <c r="V86" t="s">
        <v>1328</v>
      </c>
    </row>
    <row r="87" spans="1:22" s="45" customFormat="1">
      <c r="A87" s="17" t="str">
        <f t="shared" si="1"/>
        <v>Greenfield Comm. College2</v>
      </c>
      <c r="B87" s="17">
        <v>2</v>
      </c>
      <c r="C87" s="328" t="s">
        <v>815</v>
      </c>
      <c r="D87" s="754" t="s">
        <v>116</v>
      </c>
      <c r="E87" s="328" t="s">
        <v>841</v>
      </c>
      <c r="F87" s="328" t="s">
        <v>842</v>
      </c>
      <c r="G87" s="328"/>
      <c r="H87" s="328" t="s">
        <v>556</v>
      </c>
      <c r="I87" s="552" t="s">
        <v>843</v>
      </c>
      <c r="J87" s="328" t="s">
        <v>837</v>
      </c>
      <c r="K87" s="328" t="s">
        <v>820</v>
      </c>
      <c r="L87" s="328" t="s">
        <v>821</v>
      </c>
      <c r="M87" s="328" t="s">
        <v>821</v>
      </c>
      <c r="N87" s="328" t="s">
        <v>1154</v>
      </c>
      <c r="O87" s="761"/>
      <c r="P87" s="761">
        <v>1</v>
      </c>
      <c r="Q87" s="761"/>
      <c r="R87" s="761">
        <v>1</v>
      </c>
      <c r="S87" s="761">
        <v>1</v>
      </c>
      <c r="T87" s="328" t="s">
        <v>822</v>
      </c>
      <c r="U87" s="328">
        <v>2015</v>
      </c>
      <c r="V87" t="s">
        <v>1328</v>
      </c>
    </row>
    <row r="88" spans="1:22" s="45" customFormat="1">
      <c r="A88" s="17" t="str">
        <f t="shared" si="1"/>
        <v>Holyoke Comm. College1</v>
      </c>
      <c r="B88" s="17">
        <v>1</v>
      </c>
      <c r="C88" s="328" t="s">
        <v>438</v>
      </c>
      <c r="D88" s="754" t="s">
        <v>121</v>
      </c>
      <c r="E88" s="328" t="s">
        <v>1861</v>
      </c>
      <c r="F88" s="328" t="s">
        <v>1203</v>
      </c>
      <c r="G88" s="328" t="s">
        <v>1204</v>
      </c>
      <c r="H88" s="328" t="s">
        <v>733</v>
      </c>
      <c r="I88" s="552" t="s">
        <v>818</v>
      </c>
      <c r="J88" s="328" t="s">
        <v>819</v>
      </c>
      <c r="K88" s="328" t="s">
        <v>820</v>
      </c>
      <c r="L88" s="328" t="s">
        <v>821</v>
      </c>
      <c r="M88" s="328" t="s">
        <v>821</v>
      </c>
      <c r="N88" s="328" t="s">
        <v>1154</v>
      </c>
      <c r="O88" s="761"/>
      <c r="P88" s="761">
        <v>2</v>
      </c>
      <c r="Q88" s="761"/>
      <c r="R88" s="761">
        <v>2</v>
      </c>
      <c r="S88" s="761">
        <v>2</v>
      </c>
      <c r="T88" s="328" t="s">
        <v>822</v>
      </c>
      <c r="U88" s="328">
        <v>2022</v>
      </c>
      <c r="V88" s="45" t="s">
        <v>1328</v>
      </c>
    </row>
    <row r="89" spans="1:22" s="45" customFormat="1">
      <c r="A89" s="17" t="str">
        <f t="shared" si="1"/>
        <v>Holyoke Comm. College2</v>
      </c>
      <c r="B89" s="17">
        <v>2</v>
      </c>
      <c r="C89" s="328" t="s">
        <v>815</v>
      </c>
      <c r="D89" s="754" t="s">
        <v>121</v>
      </c>
      <c r="E89" s="328" t="s">
        <v>1862</v>
      </c>
      <c r="F89" s="328" t="s">
        <v>1205</v>
      </c>
      <c r="G89" s="328" t="s">
        <v>1863</v>
      </c>
      <c r="H89" s="328" t="s">
        <v>733</v>
      </c>
      <c r="I89" s="552" t="s">
        <v>818</v>
      </c>
      <c r="J89" s="328" t="s">
        <v>819</v>
      </c>
      <c r="K89" s="328" t="s">
        <v>820</v>
      </c>
      <c r="L89" s="328" t="s">
        <v>821</v>
      </c>
      <c r="M89" s="328" t="s">
        <v>821</v>
      </c>
      <c r="N89" s="328" t="s">
        <v>1154</v>
      </c>
      <c r="O89" s="761"/>
      <c r="P89" s="761">
        <v>1</v>
      </c>
      <c r="Q89" s="761"/>
      <c r="R89" s="761">
        <v>1</v>
      </c>
      <c r="S89" s="761">
        <v>2</v>
      </c>
      <c r="T89" s="328" t="s">
        <v>822</v>
      </c>
      <c r="U89" s="328">
        <v>2016</v>
      </c>
      <c r="V89" s="45" t="s">
        <v>1329</v>
      </c>
    </row>
    <row r="90" spans="1:22" s="45" customFormat="1">
      <c r="A90" s="17" t="str">
        <f t="shared" si="1"/>
        <v>Mass. College of Art &amp; Design1</v>
      </c>
      <c r="B90" s="17">
        <v>1</v>
      </c>
      <c r="C90" s="328" t="s">
        <v>438</v>
      </c>
      <c r="D90" s="754" t="s">
        <v>132</v>
      </c>
      <c r="E90" s="754" t="s">
        <v>1171</v>
      </c>
      <c r="F90" s="328" t="s">
        <v>1860</v>
      </c>
      <c r="G90" s="328" t="s">
        <v>1172</v>
      </c>
      <c r="H90" s="328" t="s">
        <v>460</v>
      </c>
      <c r="I90" s="552" t="s">
        <v>845</v>
      </c>
      <c r="J90" s="328" t="s">
        <v>837</v>
      </c>
      <c r="K90" s="328" t="s">
        <v>820</v>
      </c>
      <c r="L90" s="328" t="s">
        <v>821</v>
      </c>
      <c r="M90" s="328" t="s">
        <v>821</v>
      </c>
      <c r="N90" s="328" t="s">
        <v>1154</v>
      </c>
      <c r="O90" s="761">
        <v>6</v>
      </c>
      <c r="P90" s="761"/>
      <c r="Q90" s="761"/>
      <c r="R90" s="761">
        <v>6</v>
      </c>
      <c r="S90" s="761">
        <v>6</v>
      </c>
      <c r="T90" s="328" t="s">
        <v>846</v>
      </c>
      <c r="U90" s="328">
        <v>2014</v>
      </c>
      <c r="V90" s="45" t="s">
        <v>1328</v>
      </c>
    </row>
    <row r="91" spans="1:22" s="45" customFormat="1" ht="30">
      <c r="A91" s="17" t="str">
        <f t="shared" si="1"/>
        <v>Mass. Convention Center Authority1</v>
      </c>
      <c r="B91" s="17">
        <v>1</v>
      </c>
      <c r="C91" s="328" t="s">
        <v>1206</v>
      </c>
      <c r="D91" s="754" t="s">
        <v>2598</v>
      </c>
      <c r="E91" s="328" t="s">
        <v>1207</v>
      </c>
      <c r="F91" s="754" t="s">
        <v>1864</v>
      </c>
      <c r="G91" s="754" t="s">
        <v>1208</v>
      </c>
      <c r="H91" s="328" t="s">
        <v>460</v>
      </c>
      <c r="I91" s="552" t="s">
        <v>1209</v>
      </c>
      <c r="J91" s="328" t="s">
        <v>837</v>
      </c>
      <c r="K91" s="328" t="s">
        <v>820</v>
      </c>
      <c r="L91" s="328" t="s">
        <v>821</v>
      </c>
      <c r="M91" s="328" t="s">
        <v>821</v>
      </c>
      <c r="N91" s="328"/>
      <c r="O91" s="761"/>
      <c r="P91" s="761">
        <v>1</v>
      </c>
      <c r="Q91" s="761"/>
      <c r="R91" s="761">
        <v>1</v>
      </c>
      <c r="S91" s="761">
        <v>2</v>
      </c>
      <c r="T91" s="328" t="s">
        <v>822</v>
      </c>
      <c r="U91" s="328">
        <v>2016</v>
      </c>
      <c r="V91" s="45" t="s">
        <v>1329</v>
      </c>
    </row>
    <row r="92" spans="1:22" s="45" customFormat="1" ht="30">
      <c r="A92" s="17" t="str">
        <f t="shared" si="1"/>
        <v>Mass. Convention Center Authority2</v>
      </c>
      <c r="B92" s="17">
        <v>2</v>
      </c>
      <c r="C92" s="328" t="s">
        <v>1206</v>
      </c>
      <c r="D92" s="754" t="s">
        <v>2598</v>
      </c>
      <c r="E92" s="328" t="s">
        <v>1207</v>
      </c>
      <c r="F92" s="754" t="s">
        <v>1864</v>
      </c>
      <c r="G92" s="754" t="s">
        <v>1210</v>
      </c>
      <c r="H92" s="328" t="s">
        <v>460</v>
      </c>
      <c r="I92" s="552" t="s">
        <v>1211</v>
      </c>
      <c r="J92" s="328" t="s">
        <v>837</v>
      </c>
      <c r="K92" s="328" t="s">
        <v>820</v>
      </c>
      <c r="L92" s="328" t="s">
        <v>821</v>
      </c>
      <c r="M92" s="328" t="s">
        <v>821</v>
      </c>
      <c r="N92" s="328"/>
      <c r="O92" s="761"/>
      <c r="P92" s="761">
        <v>1</v>
      </c>
      <c r="Q92" s="761"/>
      <c r="R92" s="761">
        <v>1</v>
      </c>
      <c r="S92" s="761">
        <v>2</v>
      </c>
      <c r="T92" s="328" t="s">
        <v>822</v>
      </c>
      <c r="U92" s="328">
        <v>2016</v>
      </c>
      <c r="V92" s="45" t="s">
        <v>1329</v>
      </c>
    </row>
    <row r="93" spans="1:22" s="45" customFormat="1">
      <c r="A93" s="17" t="str">
        <f t="shared" si="1"/>
        <v>Mass. College of Liberal Arts1</v>
      </c>
      <c r="B93" s="17">
        <v>1</v>
      </c>
      <c r="C93" s="328" t="s">
        <v>438</v>
      </c>
      <c r="D93" s="754" t="s">
        <v>134</v>
      </c>
      <c r="E93" s="328" t="s">
        <v>847</v>
      </c>
      <c r="F93" s="328" t="s">
        <v>1865</v>
      </c>
      <c r="G93" s="328" t="s">
        <v>1212</v>
      </c>
      <c r="H93" s="328" t="s">
        <v>558</v>
      </c>
      <c r="I93" s="552" t="s">
        <v>848</v>
      </c>
      <c r="J93" s="328" t="s">
        <v>826</v>
      </c>
      <c r="K93" s="328" t="s">
        <v>820</v>
      </c>
      <c r="L93" s="328" t="s">
        <v>821</v>
      </c>
      <c r="M93" s="328" t="s">
        <v>821</v>
      </c>
      <c r="N93" s="328" t="s">
        <v>1154</v>
      </c>
      <c r="O93" s="761"/>
      <c r="P93" s="761">
        <v>1</v>
      </c>
      <c r="Q93" s="761"/>
      <c r="R93" s="761">
        <v>1</v>
      </c>
      <c r="S93" s="761">
        <v>1</v>
      </c>
      <c r="T93" s="328" t="s">
        <v>822</v>
      </c>
      <c r="U93" s="328">
        <v>2012</v>
      </c>
      <c r="V93" t="s">
        <v>1328</v>
      </c>
    </row>
    <row r="94" spans="1:22" s="45" customFormat="1">
      <c r="A94" s="17" t="str">
        <f t="shared" si="1"/>
        <v>Mass. Bay Comm. College1</v>
      </c>
      <c r="B94" s="17">
        <v>1</v>
      </c>
      <c r="C94" s="328" t="s">
        <v>438</v>
      </c>
      <c r="D94" s="754" t="s">
        <v>128</v>
      </c>
      <c r="E94" s="328" t="s">
        <v>1317</v>
      </c>
      <c r="F94" s="328" t="s">
        <v>1318</v>
      </c>
      <c r="G94" s="328" t="s">
        <v>1904</v>
      </c>
      <c r="H94" s="328" t="s">
        <v>1320</v>
      </c>
      <c r="I94" s="552" t="s">
        <v>1321</v>
      </c>
      <c r="J94" s="328" t="s">
        <v>819</v>
      </c>
      <c r="K94" s="328" t="s">
        <v>820</v>
      </c>
      <c r="L94" s="328" t="s">
        <v>821</v>
      </c>
      <c r="M94" s="328" t="s">
        <v>821</v>
      </c>
      <c r="N94" s="328"/>
      <c r="O94" s="761"/>
      <c r="P94" s="761">
        <v>3</v>
      </c>
      <c r="Q94" s="761"/>
      <c r="R94" s="761">
        <f t="shared" ref="R94:R97" si="3">SUM(O94:Q94)</f>
        <v>3</v>
      </c>
      <c r="S94" s="761">
        <v>6</v>
      </c>
      <c r="T94" s="328" t="s">
        <v>822</v>
      </c>
      <c r="U94" s="328">
        <v>2022</v>
      </c>
      <c r="V94" s="45" t="s">
        <v>1329</v>
      </c>
    </row>
    <row r="95" spans="1:22" s="45" customFormat="1">
      <c r="A95" s="17" t="str">
        <f t="shared" si="1"/>
        <v>Mass. Bay Comm. College2</v>
      </c>
      <c r="B95" s="17">
        <v>2</v>
      </c>
      <c r="C95" s="328" t="s">
        <v>438</v>
      </c>
      <c r="D95" s="754" t="s">
        <v>128</v>
      </c>
      <c r="E95" s="328" t="s">
        <v>1317</v>
      </c>
      <c r="F95" s="328" t="s">
        <v>1318</v>
      </c>
      <c r="G95" s="328" t="s">
        <v>1905</v>
      </c>
      <c r="H95" s="328" t="s">
        <v>1320</v>
      </c>
      <c r="I95" s="552" t="s">
        <v>1321</v>
      </c>
      <c r="J95" s="328" t="s">
        <v>819</v>
      </c>
      <c r="K95" s="328" t="s">
        <v>820</v>
      </c>
      <c r="L95" s="328" t="s">
        <v>821</v>
      </c>
      <c r="M95" s="328" t="s">
        <v>821</v>
      </c>
      <c r="N95" s="328"/>
      <c r="O95" s="761"/>
      <c r="P95" s="761">
        <v>1</v>
      </c>
      <c r="Q95" s="761"/>
      <c r="R95" s="761">
        <f t="shared" si="3"/>
        <v>1</v>
      </c>
      <c r="S95" s="761">
        <v>2</v>
      </c>
      <c r="T95" s="328" t="s">
        <v>822</v>
      </c>
      <c r="U95" s="328">
        <v>2022</v>
      </c>
      <c r="V95" s="45" t="s">
        <v>1329</v>
      </c>
    </row>
    <row r="96" spans="1:22" s="45" customFormat="1">
      <c r="A96" s="17" t="str">
        <f t="shared" si="1"/>
        <v>Mass. Bay Comm. College3</v>
      </c>
      <c r="B96" s="17">
        <v>3</v>
      </c>
      <c r="C96" s="328" t="s">
        <v>438</v>
      </c>
      <c r="D96" s="754" t="s">
        <v>128</v>
      </c>
      <c r="E96" s="328" t="s">
        <v>1317</v>
      </c>
      <c r="F96" s="328" t="s">
        <v>1318</v>
      </c>
      <c r="G96" s="328" t="s">
        <v>1319</v>
      </c>
      <c r="H96" s="328" t="s">
        <v>1320</v>
      </c>
      <c r="I96" s="552" t="s">
        <v>1321</v>
      </c>
      <c r="J96" s="328" t="s">
        <v>819</v>
      </c>
      <c r="K96" s="328" t="s">
        <v>820</v>
      </c>
      <c r="L96" s="328" t="s">
        <v>915</v>
      </c>
      <c r="M96" s="328" t="s">
        <v>915</v>
      </c>
      <c r="N96" s="328"/>
      <c r="O96" s="761"/>
      <c r="P96" s="761">
        <v>5</v>
      </c>
      <c r="Q96" s="761"/>
      <c r="R96" s="761">
        <f t="shared" si="3"/>
        <v>5</v>
      </c>
      <c r="S96" s="761">
        <v>10</v>
      </c>
      <c r="T96" s="328" t="s">
        <v>822</v>
      </c>
      <c r="U96" s="328">
        <v>2024</v>
      </c>
      <c r="V96" s="45" t="s">
        <v>1329</v>
      </c>
    </row>
    <row r="97" spans="1:22" s="45" customFormat="1">
      <c r="A97" s="17" t="str">
        <f t="shared" si="1"/>
        <v>Mass. Bay Comm. College4</v>
      </c>
      <c r="B97" s="17">
        <v>4</v>
      </c>
      <c r="C97" s="328" t="s">
        <v>438</v>
      </c>
      <c r="D97" s="754" t="s">
        <v>128</v>
      </c>
      <c r="E97" s="328" t="s">
        <v>1317</v>
      </c>
      <c r="F97" s="328" t="s">
        <v>2328</v>
      </c>
      <c r="G97" s="328"/>
      <c r="H97" s="328" t="s">
        <v>509</v>
      </c>
      <c r="I97" s="552" t="s">
        <v>1194</v>
      </c>
      <c r="J97" s="328"/>
      <c r="K97" s="328" t="s">
        <v>820</v>
      </c>
      <c r="L97" s="328" t="s">
        <v>821</v>
      </c>
      <c r="M97" s="328" t="s">
        <v>821</v>
      </c>
      <c r="N97" s="328"/>
      <c r="O97" s="761"/>
      <c r="P97" s="761">
        <v>6</v>
      </c>
      <c r="Q97" s="761"/>
      <c r="R97" s="761">
        <f t="shared" si="3"/>
        <v>6</v>
      </c>
      <c r="S97" s="761">
        <v>12</v>
      </c>
      <c r="T97" s="328" t="s">
        <v>822</v>
      </c>
      <c r="U97" s="328">
        <v>2024</v>
      </c>
      <c r="V97" s="45" t="s">
        <v>1329</v>
      </c>
    </row>
    <row r="98" spans="1:22" s="45" customFormat="1">
      <c r="A98" s="17" t="str">
        <f t="shared" ref="A98:A129" si="4">D98&amp;B98</f>
        <v>MassDEP - owned1</v>
      </c>
      <c r="B98" s="17">
        <v>1</v>
      </c>
      <c r="C98" s="328" t="s">
        <v>849</v>
      </c>
      <c r="D98" s="754" t="s">
        <v>165</v>
      </c>
      <c r="E98" s="328" t="s">
        <v>1213</v>
      </c>
      <c r="F98" s="328" t="s">
        <v>1214</v>
      </c>
      <c r="G98" s="328"/>
      <c r="H98" s="328" t="s">
        <v>1215</v>
      </c>
      <c r="I98" s="552" t="s">
        <v>1216</v>
      </c>
      <c r="J98" s="328" t="s">
        <v>837</v>
      </c>
      <c r="K98" s="328" t="s">
        <v>820</v>
      </c>
      <c r="L98" s="328" t="s">
        <v>857</v>
      </c>
      <c r="M98" s="328" t="s">
        <v>2043</v>
      </c>
      <c r="N98" s="328"/>
      <c r="O98" s="761"/>
      <c r="P98" s="762">
        <v>4</v>
      </c>
      <c r="Q98" s="761"/>
      <c r="R98" s="761">
        <v>4</v>
      </c>
      <c r="S98" s="761">
        <v>8</v>
      </c>
      <c r="T98" s="328" t="s">
        <v>822</v>
      </c>
      <c r="U98" s="328">
        <v>2022</v>
      </c>
      <c r="V98" s="45" t="s">
        <v>1329</v>
      </c>
    </row>
    <row r="99" spans="1:22" s="45" customFormat="1">
      <c r="A99" s="17" t="str">
        <f t="shared" si="4"/>
        <v>MassDEP - owned2</v>
      </c>
      <c r="B99" s="17">
        <v>2</v>
      </c>
      <c r="C99" s="328" t="s">
        <v>849</v>
      </c>
      <c r="D99" s="754" t="s">
        <v>165</v>
      </c>
      <c r="E99" s="328" t="s">
        <v>853</v>
      </c>
      <c r="F99" s="328" t="s">
        <v>854</v>
      </c>
      <c r="G99" s="328"/>
      <c r="H99" s="328" t="s">
        <v>855</v>
      </c>
      <c r="I99" s="552" t="s">
        <v>856</v>
      </c>
      <c r="J99" s="328" t="s">
        <v>819</v>
      </c>
      <c r="K99" s="328" t="s">
        <v>820</v>
      </c>
      <c r="L99" s="328" t="s">
        <v>821</v>
      </c>
      <c r="M99" s="328" t="s">
        <v>821</v>
      </c>
      <c r="N99" s="328" t="s">
        <v>1154</v>
      </c>
      <c r="O99" s="761"/>
      <c r="P99" s="761">
        <v>1</v>
      </c>
      <c r="Q99" s="761"/>
      <c r="R99" s="761">
        <v>1</v>
      </c>
      <c r="S99" s="761">
        <v>2</v>
      </c>
      <c r="T99" s="328" t="s">
        <v>822</v>
      </c>
      <c r="U99" s="328">
        <v>2016</v>
      </c>
      <c r="V99" s="45" t="s">
        <v>1329</v>
      </c>
    </row>
    <row r="100" spans="1:22" s="45" customFormat="1">
      <c r="A100" s="17" t="str">
        <f t="shared" si="4"/>
        <v>MassDEP - owned3</v>
      </c>
      <c r="B100" s="17">
        <v>3</v>
      </c>
      <c r="C100" s="328" t="s">
        <v>849</v>
      </c>
      <c r="D100" s="754" t="s">
        <v>165</v>
      </c>
      <c r="E100" s="328" t="s">
        <v>850</v>
      </c>
      <c r="F100" s="328" t="s">
        <v>851</v>
      </c>
      <c r="G100" s="328"/>
      <c r="H100" s="328" t="s">
        <v>534</v>
      </c>
      <c r="I100" s="552" t="s">
        <v>852</v>
      </c>
      <c r="J100" s="328" t="s">
        <v>826</v>
      </c>
      <c r="K100" s="328" t="s">
        <v>820</v>
      </c>
      <c r="L100" s="328" t="s">
        <v>821</v>
      </c>
      <c r="M100" s="328" t="s">
        <v>821</v>
      </c>
      <c r="N100" s="328" t="s">
        <v>1154</v>
      </c>
      <c r="O100" s="761"/>
      <c r="P100" s="761">
        <v>2</v>
      </c>
      <c r="Q100" s="761"/>
      <c r="R100" s="761">
        <v>2</v>
      </c>
      <c r="S100" s="761">
        <v>4</v>
      </c>
      <c r="T100" s="328" t="s">
        <v>822</v>
      </c>
      <c r="U100" s="328">
        <v>2014</v>
      </c>
      <c r="V100" t="s">
        <v>1329</v>
      </c>
    </row>
    <row r="101" spans="1:22" s="45" customFormat="1">
      <c r="A101" s="17" t="str">
        <f t="shared" si="4"/>
        <v>MassDOT - Highway &amp; Turnpike Divisions1</v>
      </c>
      <c r="B101" s="17">
        <v>1</v>
      </c>
      <c r="C101" s="328" t="s">
        <v>617</v>
      </c>
      <c r="D101" s="754" t="s">
        <v>166</v>
      </c>
      <c r="E101" s="328" t="s">
        <v>1156</v>
      </c>
      <c r="F101" s="328" t="s">
        <v>1157</v>
      </c>
      <c r="G101" s="328" t="s">
        <v>1853</v>
      </c>
      <c r="H101" s="328" t="s">
        <v>450</v>
      </c>
      <c r="I101" s="552" t="s">
        <v>825</v>
      </c>
      <c r="J101" s="328"/>
      <c r="K101" s="328" t="s">
        <v>820</v>
      </c>
      <c r="L101" s="328" t="s">
        <v>821</v>
      </c>
      <c r="M101" s="328" t="s">
        <v>821</v>
      </c>
      <c r="N101" s="328" t="s">
        <v>1154</v>
      </c>
      <c r="O101" s="761"/>
      <c r="P101" s="761"/>
      <c r="Q101" s="761">
        <v>2</v>
      </c>
      <c r="R101" s="761">
        <v>2</v>
      </c>
      <c r="S101" s="761">
        <v>4</v>
      </c>
      <c r="T101" s="328" t="s">
        <v>844</v>
      </c>
      <c r="U101" s="328">
        <v>2021</v>
      </c>
      <c r="V101" t="s">
        <v>1329</v>
      </c>
    </row>
    <row r="102" spans="1:22" s="45" customFormat="1">
      <c r="A102" s="17" t="str">
        <f t="shared" si="4"/>
        <v>MassDOT - Highway &amp; Turnpike Divisions2</v>
      </c>
      <c r="B102" s="17">
        <v>2</v>
      </c>
      <c r="C102" s="328" t="s">
        <v>617</v>
      </c>
      <c r="D102" s="754" t="s">
        <v>166</v>
      </c>
      <c r="E102" s="328" t="s">
        <v>1156</v>
      </c>
      <c r="F102" s="328" t="s">
        <v>1158</v>
      </c>
      <c r="G102" s="328" t="s">
        <v>1854</v>
      </c>
      <c r="H102" s="328" t="s">
        <v>450</v>
      </c>
      <c r="I102" s="552" t="s">
        <v>1855</v>
      </c>
      <c r="J102" s="328"/>
      <c r="K102" s="328" t="s">
        <v>820</v>
      </c>
      <c r="L102" s="328" t="s">
        <v>821</v>
      </c>
      <c r="M102" s="328" t="s">
        <v>821</v>
      </c>
      <c r="N102" s="328" t="s">
        <v>1154</v>
      </c>
      <c r="O102" s="761"/>
      <c r="P102" s="761"/>
      <c r="Q102" s="761">
        <v>2</v>
      </c>
      <c r="R102" s="761">
        <v>2</v>
      </c>
      <c r="S102" s="761">
        <v>4</v>
      </c>
      <c r="T102" s="328" t="s">
        <v>844</v>
      </c>
      <c r="U102" s="328">
        <v>2021</v>
      </c>
      <c r="V102" t="s">
        <v>1329</v>
      </c>
    </row>
    <row r="103" spans="1:22" s="45" customFormat="1">
      <c r="A103" s="17" t="str">
        <f t="shared" si="4"/>
        <v>MassDOT - Highway &amp; Turnpike Divisions3</v>
      </c>
      <c r="B103" s="17">
        <v>3</v>
      </c>
      <c r="C103" s="328" t="s">
        <v>617</v>
      </c>
      <c r="D103" s="754" t="s">
        <v>166</v>
      </c>
      <c r="E103" s="328" t="s">
        <v>1159</v>
      </c>
      <c r="F103" s="328" t="s">
        <v>1160</v>
      </c>
      <c r="G103" s="328" t="s">
        <v>1161</v>
      </c>
      <c r="H103" s="328" t="s">
        <v>556</v>
      </c>
      <c r="I103" s="552" t="s">
        <v>843</v>
      </c>
      <c r="J103" s="328"/>
      <c r="K103" s="328" t="s">
        <v>820</v>
      </c>
      <c r="L103" s="328" t="s">
        <v>821</v>
      </c>
      <c r="M103" s="328" t="s">
        <v>821</v>
      </c>
      <c r="N103" s="328" t="s">
        <v>1154</v>
      </c>
      <c r="O103" s="761"/>
      <c r="P103" s="761"/>
      <c r="Q103" s="761">
        <v>1</v>
      </c>
      <c r="R103" s="761">
        <v>1</v>
      </c>
      <c r="S103" s="761">
        <v>2</v>
      </c>
      <c r="T103" s="328" t="s">
        <v>844</v>
      </c>
      <c r="U103" s="328">
        <v>2022</v>
      </c>
      <c r="V103" t="s">
        <v>1329</v>
      </c>
    </row>
    <row r="104" spans="1:22" s="45" customFormat="1" ht="30">
      <c r="A104" s="17" t="str">
        <f t="shared" si="4"/>
        <v>MassDOT - Highway &amp; Turnpike Divisions4</v>
      </c>
      <c r="B104" s="17">
        <v>4</v>
      </c>
      <c r="C104" s="328" t="s">
        <v>617</v>
      </c>
      <c r="D104" s="754" t="s">
        <v>166</v>
      </c>
      <c r="E104" s="328" t="s">
        <v>1162</v>
      </c>
      <c r="F104" s="328" t="s">
        <v>876</v>
      </c>
      <c r="G104" s="328"/>
      <c r="H104" s="328" t="s">
        <v>877</v>
      </c>
      <c r="I104" s="552" t="s">
        <v>878</v>
      </c>
      <c r="J104" s="328" t="s">
        <v>837</v>
      </c>
      <c r="K104" s="754" t="s">
        <v>820</v>
      </c>
      <c r="L104" s="328" t="s">
        <v>821</v>
      </c>
      <c r="M104" s="328" t="s">
        <v>821</v>
      </c>
      <c r="N104" s="328" t="s">
        <v>1154</v>
      </c>
      <c r="O104" s="761"/>
      <c r="P104" s="761"/>
      <c r="Q104" s="761">
        <v>1</v>
      </c>
      <c r="R104" s="761">
        <v>1</v>
      </c>
      <c r="S104" s="761">
        <v>2</v>
      </c>
      <c r="T104" s="328" t="s">
        <v>844</v>
      </c>
      <c r="U104" s="328">
        <v>2017</v>
      </c>
      <c r="V104" t="s">
        <v>1329</v>
      </c>
    </row>
    <row r="105" spans="1:22" s="45" customFormat="1" ht="30">
      <c r="A105" s="17" t="str">
        <f t="shared" si="4"/>
        <v>MassDOT - Highway &amp; Turnpike Divisions5</v>
      </c>
      <c r="B105" s="17">
        <v>5</v>
      </c>
      <c r="C105" s="328" t="s">
        <v>617</v>
      </c>
      <c r="D105" s="754" t="s">
        <v>166</v>
      </c>
      <c r="E105" s="328" t="s">
        <v>1163</v>
      </c>
      <c r="F105" s="328" t="s">
        <v>879</v>
      </c>
      <c r="G105" s="328"/>
      <c r="H105" s="328" t="s">
        <v>877</v>
      </c>
      <c r="I105" s="552" t="s">
        <v>880</v>
      </c>
      <c r="J105" s="328" t="s">
        <v>837</v>
      </c>
      <c r="K105" s="754" t="s">
        <v>820</v>
      </c>
      <c r="L105" s="328" t="s">
        <v>821</v>
      </c>
      <c r="M105" s="328" t="s">
        <v>821</v>
      </c>
      <c r="N105" s="328" t="s">
        <v>1154</v>
      </c>
      <c r="O105" s="761"/>
      <c r="P105" s="761"/>
      <c r="Q105" s="761">
        <v>1</v>
      </c>
      <c r="R105" s="761">
        <v>1</v>
      </c>
      <c r="S105" s="761">
        <v>2</v>
      </c>
      <c r="T105" s="328" t="s">
        <v>844</v>
      </c>
      <c r="U105" s="328">
        <v>2017</v>
      </c>
      <c r="V105" t="s">
        <v>1329</v>
      </c>
    </row>
    <row r="106" spans="1:22" s="45" customFormat="1" ht="30">
      <c r="A106" s="17" t="str">
        <f t="shared" si="4"/>
        <v>MassDOT - Highway &amp; Turnpike Divisions6</v>
      </c>
      <c r="B106" s="17">
        <v>6</v>
      </c>
      <c r="C106" s="324" t="s">
        <v>617</v>
      </c>
      <c r="D106" s="754" t="s">
        <v>166</v>
      </c>
      <c r="E106" s="324" t="s">
        <v>1164</v>
      </c>
      <c r="F106" s="324" t="s">
        <v>1165</v>
      </c>
      <c r="G106" s="324"/>
      <c r="H106" s="324" t="s">
        <v>1166</v>
      </c>
      <c r="I106" s="555" t="s">
        <v>881</v>
      </c>
      <c r="J106" s="324" t="s">
        <v>826</v>
      </c>
      <c r="K106" s="754" t="s">
        <v>820</v>
      </c>
      <c r="L106" s="324" t="s">
        <v>873</v>
      </c>
      <c r="M106" s="328" t="s">
        <v>821</v>
      </c>
      <c r="N106" s="324" t="s">
        <v>1154</v>
      </c>
      <c r="O106" s="762"/>
      <c r="P106" s="762"/>
      <c r="Q106" s="762">
        <v>1</v>
      </c>
      <c r="R106" s="761">
        <v>1</v>
      </c>
      <c r="S106" s="762">
        <v>2</v>
      </c>
      <c r="T106" s="328" t="s">
        <v>844</v>
      </c>
      <c r="U106" s="328">
        <v>2018</v>
      </c>
      <c r="V106" t="s">
        <v>1329</v>
      </c>
    </row>
    <row r="107" spans="1:22" s="45" customFormat="1" ht="30">
      <c r="A107" s="17" t="str">
        <f t="shared" si="4"/>
        <v>MassDOT - Highway &amp; Turnpike Divisions7</v>
      </c>
      <c r="B107" s="17">
        <v>7</v>
      </c>
      <c r="C107" s="324" t="s">
        <v>617</v>
      </c>
      <c r="D107" s="754" t="s">
        <v>166</v>
      </c>
      <c r="E107" s="324" t="s">
        <v>1167</v>
      </c>
      <c r="F107" s="324" t="s">
        <v>1168</v>
      </c>
      <c r="G107" s="324"/>
      <c r="H107" s="324" t="s">
        <v>1166</v>
      </c>
      <c r="I107" s="555" t="s">
        <v>882</v>
      </c>
      <c r="J107" s="324" t="s">
        <v>826</v>
      </c>
      <c r="K107" s="754" t="s">
        <v>820</v>
      </c>
      <c r="L107" s="324" t="s">
        <v>873</v>
      </c>
      <c r="M107" s="328" t="s">
        <v>821</v>
      </c>
      <c r="N107" s="324" t="s">
        <v>1154</v>
      </c>
      <c r="O107" s="762"/>
      <c r="P107" s="762"/>
      <c r="Q107" s="762">
        <v>1</v>
      </c>
      <c r="R107" s="761">
        <v>1</v>
      </c>
      <c r="S107" s="762">
        <v>2</v>
      </c>
      <c r="T107" s="328" t="s">
        <v>844</v>
      </c>
      <c r="U107" s="328">
        <v>2018</v>
      </c>
      <c r="V107" t="s">
        <v>1329</v>
      </c>
    </row>
    <row r="108" spans="1:22" s="45" customFormat="1" ht="30">
      <c r="A108" s="17" t="str">
        <f t="shared" si="4"/>
        <v>MassDOT - Highway &amp; Turnpike Divisions8</v>
      </c>
      <c r="B108" s="17">
        <v>8</v>
      </c>
      <c r="C108" s="328" t="s">
        <v>617</v>
      </c>
      <c r="D108" s="754" t="s">
        <v>166</v>
      </c>
      <c r="E108" s="328" t="s">
        <v>1856</v>
      </c>
      <c r="F108" s="328" t="s">
        <v>1857</v>
      </c>
      <c r="G108" s="328"/>
      <c r="H108" s="328" t="s">
        <v>619</v>
      </c>
      <c r="I108" s="552" t="s">
        <v>1858</v>
      </c>
      <c r="J108" s="328" t="s">
        <v>837</v>
      </c>
      <c r="K108" s="754" t="s">
        <v>820</v>
      </c>
      <c r="L108" s="328" t="s">
        <v>873</v>
      </c>
      <c r="M108" s="328" t="s">
        <v>821</v>
      </c>
      <c r="N108" s="328" t="s">
        <v>1154</v>
      </c>
      <c r="O108" s="761"/>
      <c r="P108" s="761"/>
      <c r="Q108" s="761">
        <v>1</v>
      </c>
      <c r="R108" s="761">
        <v>1</v>
      </c>
      <c r="S108" s="761">
        <v>2</v>
      </c>
      <c r="T108" s="328" t="s">
        <v>844</v>
      </c>
      <c r="U108" s="328">
        <v>2017</v>
      </c>
      <c r="V108" t="s">
        <v>1329</v>
      </c>
    </row>
    <row r="109" spans="1:22" s="45" customFormat="1" ht="30">
      <c r="A109" s="17" t="str">
        <f t="shared" si="4"/>
        <v>MassDOT - Highway &amp; Turnpike Divisions9</v>
      </c>
      <c r="B109" s="17">
        <v>9</v>
      </c>
      <c r="C109" s="328" t="s">
        <v>617</v>
      </c>
      <c r="D109" s="754" t="s">
        <v>166</v>
      </c>
      <c r="E109" s="328" t="s">
        <v>1169</v>
      </c>
      <c r="F109" s="328" t="s">
        <v>874</v>
      </c>
      <c r="G109" s="328"/>
      <c r="H109" s="328" t="s">
        <v>509</v>
      </c>
      <c r="I109" s="552" t="s">
        <v>840</v>
      </c>
      <c r="J109" s="328" t="s">
        <v>837</v>
      </c>
      <c r="K109" s="754" t="s">
        <v>820</v>
      </c>
      <c r="L109" s="328" t="s">
        <v>873</v>
      </c>
      <c r="M109" s="328" t="s">
        <v>821</v>
      </c>
      <c r="N109" s="328" t="s">
        <v>1154</v>
      </c>
      <c r="O109" s="761"/>
      <c r="P109" s="761"/>
      <c r="Q109" s="761">
        <v>1</v>
      </c>
      <c r="R109" s="761">
        <v>1</v>
      </c>
      <c r="S109" s="761">
        <v>2</v>
      </c>
      <c r="T109" s="328" t="s">
        <v>844</v>
      </c>
      <c r="U109" s="328">
        <v>2017</v>
      </c>
      <c r="V109" t="s">
        <v>1329</v>
      </c>
    </row>
    <row r="110" spans="1:22" s="45" customFormat="1">
      <c r="A110" s="17" t="str">
        <f t="shared" si="4"/>
        <v>MassDOT - Highway &amp; Turnpike Divisions10</v>
      </c>
      <c r="B110" s="17">
        <v>10</v>
      </c>
      <c r="C110" s="328" t="s">
        <v>617</v>
      </c>
      <c r="D110" s="754" t="s">
        <v>166</v>
      </c>
      <c r="E110" s="328" t="s">
        <v>1217</v>
      </c>
      <c r="F110" s="328" t="s">
        <v>1866</v>
      </c>
      <c r="G110" s="328"/>
      <c r="H110" s="328" t="s">
        <v>707</v>
      </c>
      <c r="I110" s="552" t="s">
        <v>875</v>
      </c>
      <c r="J110" s="328" t="s">
        <v>837</v>
      </c>
      <c r="K110" s="328" t="s">
        <v>820</v>
      </c>
      <c r="L110" s="328" t="s">
        <v>857</v>
      </c>
      <c r="M110" s="328" t="s">
        <v>2043</v>
      </c>
      <c r="N110" s="328"/>
      <c r="O110" s="761"/>
      <c r="P110" s="761">
        <v>1</v>
      </c>
      <c r="Q110" s="761"/>
      <c r="R110" s="761">
        <v>1</v>
      </c>
      <c r="S110" s="761">
        <v>2</v>
      </c>
      <c r="T110" s="328" t="s">
        <v>822</v>
      </c>
      <c r="U110" s="328">
        <v>2017</v>
      </c>
      <c r="V110" s="45" t="s">
        <v>1329</v>
      </c>
    </row>
    <row r="111" spans="1:22" s="45" customFormat="1">
      <c r="A111" s="17" t="str">
        <f t="shared" si="4"/>
        <v>MassDOT - Highway &amp; Turnpike Divisions11</v>
      </c>
      <c r="B111" s="17">
        <v>11</v>
      </c>
      <c r="C111" s="328" t="s">
        <v>617</v>
      </c>
      <c r="D111" s="754" t="s">
        <v>166</v>
      </c>
      <c r="E111" s="328" t="s">
        <v>1217</v>
      </c>
      <c r="F111" s="328" t="s">
        <v>1866</v>
      </c>
      <c r="G111" s="328"/>
      <c r="H111" s="328" t="s">
        <v>707</v>
      </c>
      <c r="I111" s="552" t="s">
        <v>875</v>
      </c>
      <c r="J111" s="328" t="s">
        <v>837</v>
      </c>
      <c r="K111" s="328" t="s">
        <v>820</v>
      </c>
      <c r="L111" s="328" t="s">
        <v>857</v>
      </c>
      <c r="M111" s="328" t="s">
        <v>2043</v>
      </c>
      <c r="N111" s="328"/>
      <c r="O111" s="761"/>
      <c r="P111" s="761">
        <v>1</v>
      </c>
      <c r="Q111" s="761"/>
      <c r="R111" s="761">
        <v>1</v>
      </c>
      <c r="S111" s="761">
        <v>2</v>
      </c>
      <c r="T111" s="328" t="s">
        <v>822</v>
      </c>
      <c r="U111" s="328">
        <v>2017</v>
      </c>
      <c r="V111" s="45" t="s">
        <v>1329</v>
      </c>
    </row>
    <row r="112" spans="1:22" s="45" customFormat="1">
      <c r="A112" s="17" t="str">
        <f t="shared" si="4"/>
        <v>MassDOT - Highway &amp; Turnpike Divisions12</v>
      </c>
      <c r="B112" s="17">
        <v>12</v>
      </c>
      <c r="C112" s="328" t="s">
        <v>617</v>
      </c>
      <c r="D112" s="754" t="s">
        <v>166</v>
      </c>
      <c r="E112" s="328" t="s">
        <v>1159</v>
      </c>
      <c r="F112" s="328" t="s">
        <v>1160</v>
      </c>
      <c r="G112" s="328" t="s">
        <v>1161</v>
      </c>
      <c r="H112" s="328" t="s">
        <v>556</v>
      </c>
      <c r="I112" s="552" t="s">
        <v>843</v>
      </c>
      <c r="J112" s="328"/>
      <c r="K112" s="328" t="s">
        <v>820</v>
      </c>
      <c r="L112" s="328" t="s">
        <v>821</v>
      </c>
      <c r="M112" s="328" t="s">
        <v>821</v>
      </c>
      <c r="N112" s="328" t="s">
        <v>1154</v>
      </c>
      <c r="O112" s="761"/>
      <c r="P112" s="761">
        <v>2</v>
      </c>
      <c r="Q112" s="761"/>
      <c r="R112" s="761">
        <v>2</v>
      </c>
      <c r="S112" s="761">
        <v>4</v>
      </c>
      <c r="T112" s="328" t="s">
        <v>822</v>
      </c>
      <c r="U112" s="328">
        <v>2022</v>
      </c>
      <c r="V112" t="s">
        <v>1329</v>
      </c>
    </row>
    <row r="113" spans="1:22" s="45" customFormat="1">
      <c r="A113" s="17" t="str">
        <f t="shared" si="4"/>
        <v>MassDOT - Highway &amp; Turnpike Divisions13</v>
      </c>
      <c r="B113" s="17">
        <v>13</v>
      </c>
      <c r="C113" s="328" t="s">
        <v>617</v>
      </c>
      <c r="D113" s="754" t="s">
        <v>166</v>
      </c>
      <c r="E113" s="328" t="s">
        <v>1218</v>
      </c>
      <c r="F113" s="328" t="s">
        <v>1219</v>
      </c>
      <c r="G113" s="328" t="s">
        <v>1220</v>
      </c>
      <c r="H113" s="328" t="s">
        <v>1221</v>
      </c>
      <c r="I113" s="552" t="s">
        <v>1222</v>
      </c>
      <c r="J113" s="328"/>
      <c r="K113" s="328" t="s">
        <v>820</v>
      </c>
      <c r="L113" s="328" t="s">
        <v>821</v>
      </c>
      <c r="M113" s="328" t="s">
        <v>821</v>
      </c>
      <c r="N113" s="328" t="s">
        <v>1154</v>
      </c>
      <c r="O113" s="761"/>
      <c r="P113" s="761">
        <v>2</v>
      </c>
      <c r="Q113" s="761"/>
      <c r="R113" s="761">
        <v>2</v>
      </c>
      <c r="S113" s="761">
        <v>4</v>
      </c>
      <c r="T113" s="328" t="s">
        <v>822</v>
      </c>
      <c r="U113" s="328">
        <v>2021</v>
      </c>
      <c r="V113" t="s">
        <v>1329</v>
      </c>
    </row>
    <row r="114" spans="1:22" s="45" customFormat="1">
      <c r="A114" s="17" t="str">
        <f t="shared" si="4"/>
        <v>MassDOT - Highway &amp; Turnpike Divisions14</v>
      </c>
      <c r="B114" s="17">
        <v>14</v>
      </c>
      <c r="C114" s="328" t="s">
        <v>617</v>
      </c>
      <c r="D114" s="754" t="s">
        <v>166</v>
      </c>
      <c r="E114" s="328" t="s">
        <v>858</v>
      </c>
      <c r="F114" s="328" t="s">
        <v>1867</v>
      </c>
      <c r="G114" s="328"/>
      <c r="H114" s="328" t="s">
        <v>859</v>
      </c>
      <c r="I114" s="552" t="s">
        <v>860</v>
      </c>
      <c r="J114" s="328" t="s">
        <v>837</v>
      </c>
      <c r="K114" s="328" t="s">
        <v>820</v>
      </c>
      <c r="L114" s="328" t="s">
        <v>857</v>
      </c>
      <c r="M114" s="328" t="s">
        <v>2043</v>
      </c>
      <c r="N114" s="328"/>
      <c r="O114" s="761"/>
      <c r="P114" s="761">
        <v>1</v>
      </c>
      <c r="Q114" s="761"/>
      <c r="R114" s="761">
        <v>1</v>
      </c>
      <c r="S114" s="761">
        <v>1</v>
      </c>
      <c r="T114" s="328" t="s">
        <v>822</v>
      </c>
      <c r="U114" s="328">
        <v>2012</v>
      </c>
      <c r="V114" t="s">
        <v>1328</v>
      </c>
    </row>
    <row r="115" spans="1:22" s="45" customFormat="1">
      <c r="A115" s="17" t="str">
        <f t="shared" si="4"/>
        <v>MassDOT - Highway &amp; Turnpike Divisions15</v>
      </c>
      <c r="B115" s="17">
        <v>15</v>
      </c>
      <c r="C115" s="328" t="s">
        <v>617</v>
      </c>
      <c r="D115" s="754" t="s">
        <v>166</v>
      </c>
      <c r="E115" s="328" t="s">
        <v>858</v>
      </c>
      <c r="F115" s="328" t="s">
        <v>1867</v>
      </c>
      <c r="G115" s="328"/>
      <c r="H115" s="328" t="s">
        <v>859</v>
      </c>
      <c r="I115" s="552" t="s">
        <v>860</v>
      </c>
      <c r="J115" s="328" t="s">
        <v>837</v>
      </c>
      <c r="K115" s="328" t="s">
        <v>820</v>
      </c>
      <c r="L115" s="328" t="s">
        <v>857</v>
      </c>
      <c r="M115" s="328" t="s">
        <v>2043</v>
      </c>
      <c r="N115" s="328"/>
      <c r="O115" s="761"/>
      <c r="P115" s="761">
        <v>1</v>
      </c>
      <c r="Q115" s="761"/>
      <c r="R115" s="761">
        <v>1</v>
      </c>
      <c r="S115" s="761">
        <v>1</v>
      </c>
      <c r="T115" s="328" t="s">
        <v>822</v>
      </c>
      <c r="U115" s="328">
        <v>2012</v>
      </c>
      <c r="V115" t="s">
        <v>1328</v>
      </c>
    </row>
    <row r="116" spans="1:22" s="45" customFormat="1">
      <c r="A116" s="17" t="str">
        <f t="shared" si="4"/>
        <v>MassDOT - Highway &amp; Turnpike Divisions16</v>
      </c>
      <c r="B116" s="17">
        <v>16</v>
      </c>
      <c r="C116" s="328" t="s">
        <v>617</v>
      </c>
      <c r="D116" s="754" t="s">
        <v>166</v>
      </c>
      <c r="E116" s="328" t="s">
        <v>1223</v>
      </c>
      <c r="F116" s="328" t="s">
        <v>1868</v>
      </c>
      <c r="G116" s="754" t="s">
        <v>1869</v>
      </c>
      <c r="H116" s="328" t="s">
        <v>582</v>
      </c>
      <c r="I116" s="552" t="s">
        <v>1870</v>
      </c>
      <c r="J116" s="328" t="s">
        <v>837</v>
      </c>
      <c r="K116" s="328" t="s">
        <v>820</v>
      </c>
      <c r="L116" s="328" t="s">
        <v>857</v>
      </c>
      <c r="M116" s="328" t="s">
        <v>2043</v>
      </c>
      <c r="N116" s="328"/>
      <c r="O116" s="761"/>
      <c r="P116" s="761">
        <v>1</v>
      </c>
      <c r="Q116" s="761"/>
      <c r="R116" s="761">
        <v>1</v>
      </c>
      <c r="S116" s="761">
        <v>2</v>
      </c>
      <c r="T116" s="328" t="s">
        <v>822</v>
      </c>
      <c r="U116" s="328">
        <v>2013</v>
      </c>
      <c r="V116" s="45" t="s">
        <v>1329</v>
      </c>
    </row>
    <row r="117" spans="1:22" s="45" customFormat="1">
      <c r="A117" s="17" t="str">
        <f t="shared" si="4"/>
        <v>MassDOT - Highway &amp; Turnpike Divisions17</v>
      </c>
      <c r="B117" s="17">
        <v>17</v>
      </c>
      <c r="C117" s="328" t="s">
        <v>617</v>
      </c>
      <c r="D117" s="754" t="s">
        <v>166</v>
      </c>
      <c r="E117" s="328" t="s">
        <v>871</v>
      </c>
      <c r="F117" s="328" t="s">
        <v>1333</v>
      </c>
      <c r="G117" s="328"/>
      <c r="H117" s="328" t="s">
        <v>534</v>
      </c>
      <c r="I117" s="552" t="s">
        <v>872</v>
      </c>
      <c r="J117" s="328" t="s">
        <v>826</v>
      </c>
      <c r="K117" s="328" t="s">
        <v>820</v>
      </c>
      <c r="L117" s="328" t="s">
        <v>821</v>
      </c>
      <c r="M117" s="328" t="s">
        <v>821</v>
      </c>
      <c r="N117" s="328" t="s">
        <v>1154</v>
      </c>
      <c r="O117" s="761"/>
      <c r="P117" s="761">
        <v>4</v>
      </c>
      <c r="Q117" s="761"/>
      <c r="R117" s="761">
        <v>4</v>
      </c>
      <c r="S117" s="761">
        <v>4</v>
      </c>
      <c r="T117" s="328" t="s">
        <v>822</v>
      </c>
      <c r="U117" s="328">
        <v>2021</v>
      </c>
      <c r="V117" s="45" t="s">
        <v>1328</v>
      </c>
    </row>
    <row r="118" spans="1:22" s="45" customFormat="1">
      <c r="A118" s="17" t="str">
        <f t="shared" si="4"/>
        <v>MassDOT - Highway &amp; Turnpike Divisions18</v>
      </c>
      <c r="B118" s="17">
        <v>18</v>
      </c>
      <c r="C118" s="328" t="s">
        <v>617</v>
      </c>
      <c r="D118" s="754" t="s">
        <v>166</v>
      </c>
      <c r="E118" s="328" t="s">
        <v>871</v>
      </c>
      <c r="F118" s="328" t="s">
        <v>1333</v>
      </c>
      <c r="G118" s="328"/>
      <c r="H118" s="328" t="s">
        <v>534</v>
      </c>
      <c r="I118" s="552" t="s">
        <v>872</v>
      </c>
      <c r="J118" s="328" t="s">
        <v>826</v>
      </c>
      <c r="K118" s="328" t="s">
        <v>820</v>
      </c>
      <c r="L118" s="328" t="s">
        <v>857</v>
      </c>
      <c r="M118" s="328" t="s">
        <v>2043</v>
      </c>
      <c r="N118" s="328"/>
      <c r="O118" s="761"/>
      <c r="P118" s="761">
        <v>4</v>
      </c>
      <c r="Q118" s="761"/>
      <c r="R118" s="761">
        <v>4</v>
      </c>
      <c r="S118" s="761">
        <v>4</v>
      </c>
      <c r="T118" s="328" t="s">
        <v>822</v>
      </c>
      <c r="U118" s="328">
        <v>2021</v>
      </c>
      <c r="V118" s="45" t="s">
        <v>1328</v>
      </c>
    </row>
    <row r="119" spans="1:22">
      <c r="A119" s="17" t="str">
        <f t="shared" si="4"/>
        <v>MassDOT - Highway &amp; Turnpike Divisions19</v>
      </c>
      <c r="B119" s="17">
        <v>19</v>
      </c>
      <c r="C119" s="328" t="s">
        <v>617</v>
      </c>
      <c r="D119" s="754" t="s">
        <v>166</v>
      </c>
      <c r="E119" s="328" t="s">
        <v>864</v>
      </c>
      <c r="F119" s="328" t="s">
        <v>865</v>
      </c>
      <c r="G119" s="328"/>
      <c r="H119" s="328" t="s">
        <v>460</v>
      </c>
      <c r="I119" s="552" t="s">
        <v>866</v>
      </c>
      <c r="J119" s="328" t="s">
        <v>837</v>
      </c>
      <c r="K119" s="328" t="s">
        <v>820</v>
      </c>
      <c r="L119" s="328" t="s">
        <v>857</v>
      </c>
      <c r="M119" s="328" t="s">
        <v>2043</v>
      </c>
      <c r="N119" s="328"/>
      <c r="O119" s="761"/>
      <c r="P119" s="761">
        <v>1</v>
      </c>
      <c r="Q119" s="761"/>
      <c r="R119" s="761">
        <v>1</v>
      </c>
      <c r="S119" s="761">
        <v>1</v>
      </c>
      <c r="T119" s="328" t="s">
        <v>822</v>
      </c>
      <c r="U119" s="328">
        <v>2013</v>
      </c>
      <c r="V119" t="s">
        <v>1328</v>
      </c>
    </row>
    <row r="120" spans="1:22">
      <c r="A120" s="17" t="str">
        <f t="shared" si="4"/>
        <v>MassDOT - Highway &amp; Turnpike Divisions20</v>
      </c>
      <c r="B120" s="17">
        <v>20</v>
      </c>
      <c r="C120" s="328" t="s">
        <v>617</v>
      </c>
      <c r="D120" s="754" t="s">
        <v>166</v>
      </c>
      <c r="E120" s="328" t="s">
        <v>864</v>
      </c>
      <c r="F120" s="328" t="s">
        <v>865</v>
      </c>
      <c r="G120" s="328"/>
      <c r="H120" s="328" t="s">
        <v>460</v>
      </c>
      <c r="I120" s="552" t="s">
        <v>866</v>
      </c>
      <c r="J120" s="328" t="s">
        <v>837</v>
      </c>
      <c r="K120" s="328" t="s">
        <v>820</v>
      </c>
      <c r="L120" s="328" t="s">
        <v>857</v>
      </c>
      <c r="M120" s="328" t="s">
        <v>2043</v>
      </c>
      <c r="N120" s="328"/>
      <c r="O120" s="761"/>
      <c r="P120" s="761">
        <v>1</v>
      </c>
      <c r="Q120" s="761"/>
      <c r="R120" s="761">
        <v>1</v>
      </c>
      <c r="S120" s="761">
        <v>1</v>
      </c>
      <c r="T120" s="328" t="s">
        <v>822</v>
      </c>
      <c r="U120" s="328">
        <v>2013</v>
      </c>
      <c r="V120" t="s">
        <v>1328</v>
      </c>
    </row>
    <row r="121" spans="1:22">
      <c r="A121" s="17" t="str">
        <f t="shared" si="4"/>
        <v>MassDOT - Highway &amp; Turnpike Divisions21</v>
      </c>
      <c r="B121" s="17">
        <v>21</v>
      </c>
      <c r="C121" s="328" t="s">
        <v>617</v>
      </c>
      <c r="D121" s="754" t="s">
        <v>166</v>
      </c>
      <c r="E121" s="328" t="s">
        <v>864</v>
      </c>
      <c r="F121" s="328" t="s">
        <v>865</v>
      </c>
      <c r="G121" s="328"/>
      <c r="H121" s="328" t="s">
        <v>460</v>
      </c>
      <c r="I121" s="552" t="s">
        <v>866</v>
      </c>
      <c r="J121" s="328" t="s">
        <v>837</v>
      </c>
      <c r="K121" s="328" t="s">
        <v>820</v>
      </c>
      <c r="L121" s="328" t="s">
        <v>857</v>
      </c>
      <c r="M121" s="328" t="s">
        <v>2043</v>
      </c>
      <c r="N121" s="328"/>
      <c r="O121" s="761"/>
      <c r="P121" s="761">
        <v>1</v>
      </c>
      <c r="Q121" s="761"/>
      <c r="R121" s="761">
        <v>1</v>
      </c>
      <c r="S121" s="761">
        <v>1</v>
      </c>
      <c r="T121" s="328" t="s">
        <v>822</v>
      </c>
      <c r="U121" s="328">
        <v>2013</v>
      </c>
      <c r="V121" t="s">
        <v>1328</v>
      </c>
    </row>
    <row r="122" spans="1:22">
      <c r="A122" s="17" t="str">
        <f t="shared" si="4"/>
        <v>MassDOT - Highway &amp; Turnpike Divisions22</v>
      </c>
      <c r="B122" s="17">
        <v>22</v>
      </c>
      <c r="C122" s="328" t="s">
        <v>617</v>
      </c>
      <c r="D122" s="754" t="s">
        <v>166</v>
      </c>
      <c r="E122" s="328" t="s">
        <v>864</v>
      </c>
      <c r="F122" s="328" t="s">
        <v>865</v>
      </c>
      <c r="G122" s="328"/>
      <c r="H122" s="328" t="s">
        <v>460</v>
      </c>
      <c r="I122" s="552" t="s">
        <v>866</v>
      </c>
      <c r="J122" s="328" t="s">
        <v>837</v>
      </c>
      <c r="K122" s="328" t="s">
        <v>820</v>
      </c>
      <c r="L122" s="328" t="s">
        <v>857</v>
      </c>
      <c r="M122" s="328" t="s">
        <v>2043</v>
      </c>
      <c r="N122" s="328"/>
      <c r="O122" s="761"/>
      <c r="P122" s="761">
        <v>1</v>
      </c>
      <c r="Q122" s="761"/>
      <c r="R122" s="761">
        <v>1</v>
      </c>
      <c r="S122" s="761">
        <v>1</v>
      </c>
      <c r="T122" s="328" t="s">
        <v>822</v>
      </c>
      <c r="U122" s="328">
        <v>2013</v>
      </c>
      <c r="V122" t="s">
        <v>1328</v>
      </c>
    </row>
    <row r="123" spans="1:22" ht="18" customHeight="1">
      <c r="A123" s="17" t="str">
        <f t="shared" si="4"/>
        <v>MassDOT - Highway &amp; Turnpike Divisions23</v>
      </c>
      <c r="B123" s="17">
        <v>23</v>
      </c>
      <c r="C123" s="328" t="s">
        <v>617</v>
      </c>
      <c r="D123" s="754" t="s">
        <v>166</v>
      </c>
      <c r="E123" s="328" t="s">
        <v>864</v>
      </c>
      <c r="F123" s="328" t="s">
        <v>865</v>
      </c>
      <c r="G123" s="328"/>
      <c r="H123" s="328" t="s">
        <v>460</v>
      </c>
      <c r="I123" s="552" t="s">
        <v>866</v>
      </c>
      <c r="J123" s="328" t="s">
        <v>837</v>
      </c>
      <c r="K123" s="328" t="s">
        <v>820</v>
      </c>
      <c r="L123" s="328" t="s">
        <v>857</v>
      </c>
      <c r="M123" s="328" t="s">
        <v>2043</v>
      </c>
      <c r="N123" s="328"/>
      <c r="O123" s="761"/>
      <c r="P123" s="761">
        <v>1</v>
      </c>
      <c r="Q123" s="761"/>
      <c r="R123" s="761">
        <v>1</v>
      </c>
      <c r="S123" s="761">
        <v>1</v>
      </c>
      <c r="T123" s="328" t="s">
        <v>822</v>
      </c>
      <c r="U123" s="328">
        <v>2013</v>
      </c>
      <c r="V123" t="s">
        <v>1328</v>
      </c>
    </row>
    <row r="124" spans="1:22" ht="18" customHeight="1">
      <c r="A124" s="17" t="str">
        <f t="shared" si="4"/>
        <v>MassDOT - Highway &amp; Turnpike Divisions24</v>
      </c>
      <c r="B124" s="17">
        <v>24</v>
      </c>
      <c r="C124" s="328" t="s">
        <v>617</v>
      </c>
      <c r="D124" s="754" t="s">
        <v>166</v>
      </c>
      <c r="E124" s="328" t="s">
        <v>867</v>
      </c>
      <c r="F124" s="328" t="s">
        <v>868</v>
      </c>
      <c r="G124" s="328"/>
      <c r="H124" s="328" t="s">
        <v>869</v>
      </c>
      <c r="I124" s="552" t="s">
        <v>870</v>
      </c>
      <c r="J124" s="328" t="s">
        <v>819</v>
      </c>
      <c r="K124" s="328" t="s">
        <v>820</v>
      </c>
      <c r="L124" s="328" t="s">
        <v>857</v>
      </c>
      <c r="M124" s="328" t="s">
        <v>2043</v>
      </c>
      <c r="N124" s="328"/>
      <c r="O124" s="761"/>
      <c r="P124" s="761">
        <v>1</v>
      </c>
      <c r="Q124" s="761"/>
      <c r="R124" s="761">
        <v>1</v>
      </c>
      <c r="S124" s="761">
        <v>1</v>
      </c>
      <c r="T124" s="328" t="s">
        <v>822</v>
      </c>
      <c r="U124" s="328">
        <v>2013</v>
      </c>
      <c r="V124" t="s">
        <v>1328</v>
      </c>
    </row>
    <row r="125" spans="1:22" ht="18" customHeight="1">
      <c r="A125" s="17" t="str">
        <f t="shared" si="4"/>
        <v>MassDOT - Highway &amp; Turnpike Divisions25</v>
      </c>
      <c r="B125" s="17">
        <v>25</v>
      </c>
      <c r="C125" s="328" t="s">
        <v>617</v>
      </c>
      <c r="D125" s="754" t="s">
        <v>166</v>
      </c>
      <c r="E125" s="328" t="s">
        <v>867</v>
      </c>
      <c r="F125" s="328" t="s">
        <v>868</v>
      </c>
      <c r="G125" s="328"/>
      <c r="H125" s="328" t="s">
        <v>869</v>
      </c>
      <c r="I125" s="552" t="s">
        <v>870</v>
      </c>
      <c r="J125" s="328" t="s">
        <v>819</v>
      </c>
      <c r="K125" s="328" t="s">
        <v>820</v>
      </c>
      <c r="L125" s="328" t="s">
        <v>857</v>
      </c>
      <c r="M125" s="328" t="s">
        <v>2043</v>
      </c>
      <c r="N125" s="328"/>
      <c r="O125" s="761"/>
      <c r="P125" s="761">
        <v>1</v>
      </c>
      <c r="Q125" s="761"/>
      <c r="R125" s="761">
        <v>1</v>
      </c>
      <c r="S125" s="761">
        <v>1</v>
      </c>
      <c r="T125" s="328" t="s">
        <v>822</v>
      </c>
      <c r="U125" s="328">
        <v>2013</v>
      </c>
      <c r="V125" t="s">
        <v>1328</v>
      </c>
    </row>
    <row r="126" spans="1:22" ht="18" customHeight="1">
      <c r="A126" s="17" t="str">
        <f t="shared" si="4"/>
        <v>MassDOT - Highway &amp; Turnpike Divisions26</v>
      </c>
      <c r="B126" s="17">
        <v>26</v>
      </c>
      <c r="C126" s="328" t="s">
        <v>617</v>
      </c>
      <c r="D126" s="754" t="s">
        <v>166</v>
      </c>
      <c r="E126" s="328" t="s">
        <v>861</v>
      </c>
      <c r="F126" s="328" t="s">
        <v>862</v>
      </c>
      <c r="G126" s="328"/>
      <c r="H126" s="328" t="s">
        <v>460</v>
      </c>
      <c r="I126" s="552" t="s">
        <v>863</v>
      </c>
      <c r="J126" s="328" t="s">
        <v>837</v>
      </c>
      <c r="K126" s="328" t="s">
        <v>820</v>
      </c>
      <c r="L126" s="328" t="s">
        <v>857</v>
      </c>
      <c r="M126" s="328" t="s">
        <v>2043</v>
      </c>
      <c r="N126" s="328"/>
      <c r="O126" s="761"/>
      <c r="P126" s="761">
        <v>1</v>
      </c>
      <c r="Q126" s="761"/>
      <c r="R126" s="761">
        <v>1</v>
      </c>
      <c r="S126" s="761">
        <v>2</v>
      </c>
      <c r="T126" s="328" t="s">
        <v>822</v>
      </c>
      <c r="U126" s="328">
        <v>2013</v>
      </c>
      <c r="V126" s="45" t="s">
        <v>1329</v>
      </c>
    </row>
    <row r="127" spans="1:22">
      <c r="A127" s="17" t="str">
        <f t="shared" si="4"/>
        <v>MassDOT - Highway &amp; Turnpike Divisions27</v>
      </c>
      <c r="B127" s="17">
        <v>27</v>
      </c>
      <c r="C127" s="328" t="s">
        <v>617</v>
      </c>
      <c r="D127" s="754" t="s">
        <v>166</v>
      </c>
      <c r="E127" s="328" t="s">
        <v>1224</v>
      </c>
      <c r="F127" s="328" t="s">
        <v>1871</v>
      </c>
      <c r="G127" s="328" t="s">
        <v>1872</v>
      </c>
      <c r="H127" s="328" t="s">
        <v>1225</v>
      </c>
      <c r="I127" s="552" t="s">
        <v>1226</v>
      </c>
      <c r="J127" s="328" t="s">
        <v>837</v>
      </c>
      <c r="K127" s="328" t="s">
        <v>820</v>
      </c>
      <c r="L127" s="328" t="s">
        <v>821</v>
      </c>
      <c r="M127" s="328" t="s">
        <v>821</v>
      </c>
      <c r="N127" s="328" t="s">
        <v>1154</v>
      </c>
      <c r="O127" s="761"/>
      <c r="P127" s="761">
        <v>2</v>
      </c>
      <c r="Q127" s="761"/>
      <c r="R127" s="761">
        <v>2</v>
      </c>
      <c r="S127" s="761">
        <v>4</v>
      </c>
      <c r="T127" s="328" t="s">
        <v>822</v>
      </c>
      <c r="U127" s="328">
        <v>2021</v>
      </c>
      <c r="V127" t="s">
        <v>1329</v>
      </c>
    </row>
    <row r="128" spans="1:22">
      <c r="A128" s="17" t="str">
        <f t="shared" si="4"/>
        <v>MassDOT - Highway &amp; Turnpike Divisions28</v>
      </c>
      <c r="B128" s="17">
        <v>28</v>
      </c>
      <c r="C128" s="328" t="s">
        <v>617</v>
      </c>
      <c r="D128" s="754" t="s">
        <v>166</v>
      </c>
      <c r="E128" s="328" t="s">
        <v>1227</v>
      </c>
      <c r="F128" s="754" t="s">
        <v>1873</v>
      </c>
      <c r="G128" s="328" t="s">
        <v>1874</v>
      </c>
      <c r="H128" s="328" t="s">
        <v>909</v>
      </c>
      <c r="I128" s="552" t="s">
        <v>1228</v>
      </c>
      <c r="J128" s="328" t="s">
        <v>837</v>
      </c>
      <c r="K128" s="328" t="s">
        <v>820</v>
      </c>
      <c r="L128" s="328" t="s">
        <v>821</v>
      </c>
      <c r="M128" s="328" t="s">
        <v>821</v>
      </c>
      <c r="N128" s="328" t="s">
        <v>1154</v>
      </c>
      <c r="O128" s="761"/>
      <c r="P128" s="761">
        <v>4</v>
      </c>
      <c r="Q128" s="761"/>
      <c r="R128" s="761">
        <v>4</v>
      </c>
      <c r="S128" s="761">
        <v>8</v>
      </c>
      <c r="T128" s="328" t="s">
        <v>822</v>
      </c>
      <c r="U128" s="328">
        <v>2021</v>
      </c>
      <c r="V128" s="45" t="s">
        <v>1329</v>
      </c>
    </row>
    <row r="129" spans="1:22">
      <c r="A129" s="17" t="str">
        <f t="shared" si="4"/>
        <v>MassDOT - Highway &amp; Turnpike Divisions29</v>
      </c>
      <c r="B129" s="17">
        <v>29</v>
      </c>
      <c r="C129" s="328" t="s">
        <v>617</v>
      </c>
      <c r="D129" s="754" t="s">
        <v>166</v>
      </c>
      <c r="E129" s="328" t="s">
        <v>1229</v>
      </c>
      <c r="F129" s="328" t="s">
        <v>1875</v>
      </c>
      <c r="G129" s="328" t="s">
        <v>1230</v>
      </c>
      <c r="H129" s="328" t="s">
        <v>1876</v>
      </c>
      <c r="I129" s="552" t="s">
        <v>1877</v>
      </c>
      <c r="J129" s="328"/>
      <c r="K129" s="328" t="s">
        <v>820</v>
      </c>
      <c r="L129" s="328" t="s">
        <v>821</v>
      </c>
      <c r="M129" s="328" t="s">
        <v>821</v>
      </c>
      <c r="N129" s="328"/>
      <c r="O129" s="761"/>
      <c r="P129" s="761">
        <v>5</v>
      </c>
      <c r="Q129" s="761"/>
      <c r="R129" s="761">
        <v>5</v>
      </c>
      <c r="S129" s="761">
        <v>10</v>
      </c>
      <c r="T129" s="328" t="s">
        <v>822</v>
      </c>
      <c r="U129" s="328">
        <v>2021</v>
      </c>
      <c r="V129" s="45" t="s">
        <v>1329</v>
      </c>
    </row>
    <row r="130" spans="1:22">
      <c r="A130" s="17" t="str">
        <f t="shared" ref="A130:A176" si="5">D130&amp;B130</f>
        <v>MassDOT - Highway &amp; Turnpike Divisions30</v>
      </c>
      <c r="B130" s="17">
        <v>30</v>
      </c>
      <c r="C130" s="328" t="s">
        <v>617</v>
      </c>
      <c r="D130" s="754" t="s">
        <v>166</v>
      </c>
      <c r="E130" s="328" t="s">
        <v>1311</v>
      </c>
      <c r="F130" s="328" t="s">
        <v>1312</v>
      </c>
      <c r="G130" s="328"/>
      <c r="H130" s="328" t="s">
        <v>1313</v>
      </c>
      <c r="I130" s="552" t="s">
        <v>1903</v>
      </c>
      <c r="J130" s="328"/>
      <c r="K130" s="328" t="s">
        <v>820</v>
      </c>
      <c r="L130" s="328" t="s">
        <v>821</v>
      </c>
      <c r="M130" s="328" t="s">
        <v>821</v>
      </c>
      <c r="N130" s="328"/>
      <c r="O130" s="761"/>
      <c r="P130" s="761"/>
      <c r="Q130" s="761">
        <v>2</v>
      </c>
      <c r="R130" s="761">
        <v>2</v>
      </c>
      <c r="S130" s="761">
        <v>4</v>
      </c>
      <c r="T130" s="328" t="s">
        <v>844</v>
      </c>
      <c r="U130" s="328">
        <v>2022</v>
      </c>
      <c r="V130" t="s">
        <v>1329</v>
      </c>
    </row>
    <row r="131" spans="1:22">
      <c r="A131" s="17" t="str">
        <f t="shared" si="5"/>
        <v>MassDOT - Highway &amp; Turnpike Divisions31</v>
      </c>
      <c r="B131" s="17">
        <v>31</v>
      </c>
      <c r="C131" s="328" t="s">
        <v>617</v>
      </c>
      <c r="D131" s="754" t="s">
        <v>166</v>
      </c>
      <c r="E131" s="328" t="s">
        <v>1314</v>
      </c>
      <c r="F131" s="328" t="s">
        <v>1315</v>
      </c>
      <c r="G131" s="328"/>
      <c r="H131" s="328" t="s">
        <v>1316</v>
      </c>
      <c r="I131" s="552" t="s">
        <v>1222</v>
      </c>
      <c r="J131" s="328"/>
      <c r="K131" s="328" t="s">
        <v>820</v>
      </c>
      <c r="L131" s="328" t="s">
        <v>821</v>
      </c>
      <c r="M131" s="328" t="s">
        <v>821</v>
      </c>
      <c r="N131" s="328"/>
      <c r="O131" s="761"/>
      <c r="P131" s="761">
        <v>2</v>
      </c>
      <c r="Q131" s="761"/>
      <c r="R131" s="761">
        <v>2</v>
      </c>
      <c r="S131" s="761">
        <v>4</v>
      </c>
      <c r="T131" s="328" t="s">
        <v>822</v>
      </c>
      <c r="U131" s="328">
        <v>2021</v>
      </c>
      <c r="V131" t="s">
        <v>1329</v>
      </c>
    </row>
    <row r="132" spans="1:22">
      <c r="A132" s="17" t="str">
        <f t="shared" si="5"/>
        <v>MassPort Authority1</v>
      </c>
      <c r="B132" s="17">
        <v>1</v>
      </c>
      <c r="C132" s="328" t="s">
        <v>883</v>
      </c>
      <c r="D132" s="328" t="s">
        <v>167</v>
      </c>
      <c r="E132" s="17" t="s">
        <v>654</v>
      </c>
      <c r="F132" s="332" t="s">
        <v>631</v>
      </c>
      <c r="G132" s="332"/>
      <c r="H132" s="332" t="s">
        <v>460</v>
      </c>
      <c r="I132" s="552" t="s">
        <v>884</v>
      </c>
      <c r="J132" s="328" t="s">
        <v>837</v>
      </c>
      <c r="K132" s="328" t="s">
        <v>820</v>
      </c>
      <c r="L132" s="332" t="s">
        <v>2334</v>
      </c>
      <c r="M132" s="332" t="s">
        <v>1232</v>
      </c>
      <c r="N132" s="328" t="s">
        <v>1154</v>
      </c>
      <c r="O132" s="761"/>
      <c r="P132" s="332">
        <v>4</v>
      </c>
      <c r="Q132" s="332"/>
      <c r="R132" s="761">
        <f t="shared" ref="R132:R155" si="6">SUM(O132:Q132)</f>
        <v>4</v>
      </c>
      <c r="S132" s="332">
        <v>8</v>
      </c>
      <c r="T132" s="328" t="s">
        <v>822</v>
      </c>
      <c r="U132" s="332">
        <v>2020</v>
      </c>
      <c r="V132" s="45" t="s">
        <v>1328</v>
      </c>
    </row>
    <row r="133" spans="1:22">
      <c r="A133" s="17" t="str">
        <f t="shared" si="5"/>
        <v>MassPort Authority2</v>
      </c>
      <c r="B133" s="17">
        <v>2</v>
      </c>
      <c r="C133" s="328" t="s">
        <v>883</v>
      </c>
      <c r="D133" s="328" t="s">
        <v>167</v>
      </c>
      <c r="E133" s="17" t="s">
        <v>654</v>
      </c>
      <c r="F133" s="332" t="s">
        <v>631</v>
      </c>
      <c r="G133" s="332"/>
      <c r="H133" s="332" t="s">
        <v>460</v>
      </c>
      <c r="I133" s="552" t="s">
        <v>884</v>
      </c>
      <c r="J133" s="328" t="s">
        <v>837</v>
      </c>
      <c r="K133" s="328" t="s">
        <v>820</v>
      </c>
      <c r="L133" s="332" t="s">
        <v>857</v>
      </c>
      <c r="M133" s="328" t="s">
        <v>2043</v>
      </c>
      <c r="N133" s="328" t="s">
        <v>1154</v>
      </c>
      <c r="O133" s="761"/>
      <c r="P133" s="332">
        <v>8</v>
      </c>
      <c r="Q133" s="332"/>
      <c r="R133" s="761">
        <f t="shared" si="6"/>
        <v>8</v>
      </c>
      <c r="S133" s="332">
        <v>8</v>
      </c>
      <c r="T133" s="328" t="s">
        <v>822</v>
      </c>
      <c r="U133" s="332">
        <v>2019</v>
      </c>
      <c r="V133" s="45" t="s">
        <v>1328</v>
      </c>
    </row>
    <row r="134" spans="1:22">
      <c r="A134" s="17" t="str">
        <f t="shared" si="5"/>
        <v>MassPort Authority3</v>
      </c>
      <c r="B134" s="17">
        <v>3</v>
      </c>
      <c r="C134" s="328" t="s">
        <v>883</v>
      </c>
      <c r="D134" s="328" t="s">
        <v>167</v>
      </c>
      <c r="E134" s="17" t="s">
        <v>654</v>
      </c>
      <c r="F134" s="332" t="s">
        <v>631</v>
      </c>
      <c r="G134" s="332"/>
      <c r="H134" s="332" t="s">
        <v>460</v>
      </c>
      <c r="I134" s="552" t="s">
        <v>884</v>
      </c>
      <c r="J134" s="328" t="s">
        <v>837</v>
      </c>
      <c r="K134" s="328" t="s">
        <v>820</v>
      </c>
      <c r="L134" s="332" t="s">
        <v>857</v>
      </c>
      <c r="M134" s="328" t="s">
        <v>2043</v>
      </c>
      <c r="N134" s="328" t="s">
        <v>1154</v>
      </c>
      <c r="O134" s="761"/>
      <c r="P134" s="332">
        <v>6</v>
      </c>
      <c r="Q134" s="332"/>
      <c r="R134" s="761">
        <f t="shared" si="6"/>
        <v>6</v>
      </c>
      <c r="S134" s="332">
        <v>6</v>
      </c>
      <c r="T134" s="328" t="s">
        <v>822</v>
      </c>
      <c r="U134" s="332">
        <v>2020</v>
      </c>
      <c r="V134" s="45" t="s">
        <v>1328</v>
      </c>
    </row>
    <row r="135" spans="1:22">
      <c r="A135" s="17" t="str">
        <f t="shared" si="5"/>
        <v>MassPort Authority4</v>
      </c>
      <c r="B135" s="17">
        <v>4</v>
      </c>
      <c r="C135" s="328" t="s">
        <v>883</v>
      </c>
      <c r="D135" s="328" t="s">
        <v>167</v>
      </c>
      <c r="E135" s="17" t="s">
        <v>654</v>
      </c>
      <c r="F135" s="332" t="s">
        <v>631</v>
      </c>
      <c r="G135" s="332"/>
      <c r="H135" s="332" t="s">
        <v>460</v>
      </c>
      <c r="I135" s="552" t="s">
        <v>884</v>
      </c>
      <c r="J135" s="328" t="s">
        <v>837</v>
      </c>
      <c r="K135" s="328" t="s">
        <v>820</v>
      </c>
      <c r="L135" s="332" t="s">
        <v>821</v>
      </c>
      <c r="M135" s="332" t="s">
        <v>821</v>
      </c>
      <c r="N135" s="328" t="s">
        <v>1154</v>
      </c>
      <c r="O135" s="761"/>
      <c r="P135" s="332">
        <v>2</v>
      </c>
      <c r="Q135" s="332"/>
      <c r="R135" s="761">
        <f t="shared" si="6"/>
        <v>2</v>
      </c>
      <c r="S135" s="332">
        <v>4</v>
      </c>
      <c r="T135" s="328" t="s">
        <v>822</v>
      </c>
      <c r="U135" s="332">
        <v>2020</v>
      </c>
      <c r="V135" t="s">
        <v>1329</v>
      </c>
    </row>
    <row r="136" spans="1:22">
      <c r="A136" s="17" t="str">
        <f t="shared" si="5"/>
        <v>MassPort Authority5</v>
      </c>
      <c r="B136" s="17">
        <v>5</v>
      </c>
      <c r="C136" s="328" t="s">
        <v>883</v>
      </c>
      <c r="D136" s="328" t="s">
        <v>167</v>
      </c>
      <c r="E136" s="17" t="s">
        <v>654</v>
      </c>
      <c r="F136" s="332" t="s">
        <v>2329</v>
      </c>
      <c r="G136" s="332"/>
      <c r="H136" s="332" t="s">
        <v>460</v>
      </c>
      <c r="I136" s="552" t="s">
        <v>884</v>
      </c>
      <c r="J136" s="328" t="s">
        <v>837</v>
      </c>
      <c r="K136" s="328" t="s">
        <v>820</v>
      </c>
      <c r="L136" s="332" t="s">
        <v>821</v>
      </c>
      <c r="M136" s="332" t="s">
        <v>821</v>
      </c>
      <c r="N136" s="328" t="s">
        <v>1154</v>
      </c>
      <c r="O136" s="761"/>
      <c r="P136" s="332"/>
      <c r="Q136" s="332">
        <v>2</v>
      </c>
      <c r="R136" s="761">
        <f t="shared" si="6"/>
        <v>2</v>
      </c>
      <c r="S136" s="332">
        <v>2</v>
      </c>
      <c r="T136" s="328" t="s">
        <v>844</v>
      </c>
      <c r="U136" s="332">
        <v>2020</v>
      </c>
      <c r="V136" s="45" t="s">
        <v>1328</v>
      </c>
    </row>
    <row r="137" spans="1:22">
      <c r="A137" s="17" t="str">
        <f t="shared" si="5"/>
        <v>MassPort Authority6</v>
      </c>
      <c r="B137" s="17">
        <v>6</v>
      </c>
      <c r="C137" s="328" t="s">
        <v>883</v>
      </c>
      <c r="D137" s="328" t="s">
        <v>167</v>
      </c>
      <c r="E137" s="17" t="s">
        <v>654</v>
      </c>
      <c r="F137" s="332" t="s">
        <v>2329</v>
      </c>
      <c r="G137" s="332"/>
      <c r="H137" s="332" t="s">
        <v>460</v>
      </c>
      <c r="I137" s="552" t="s">
        <v>884</v>
      </c>
      <c r="J137" s="328" t="s">
        <v>837</v>
      </c>
      <c r="K137" s="328" t="s">
        <v>820</v>
      </c>
      <c r="L137" s="332" t="s">
        <v>821</v>
      </c>
      <c r="M137" s="332" t="s">
        <v>821</v>
      </c>
      <c r="N137" s="328" t="s">
        <v>1154</v>
      </c>
      <c r="O137" s="761"/>
      <c r="P137" s="332">
        <v>2</v>
      </c>
      <c r="Q137" s="332"/>
      <c r="R137" s="761">
        <f t="shared" si="6"/>
        <v>2</v>
      </c>
      <c r="S137" s="332">
        <v>2</v>
      </c>
      <c r="T137" s="328" t="s">
        <v>822</v>
      </c>
      <c r="U137" s="332">
        <v>2023</v>
      </c>
      <c r="V137" s="45" t="s">
        <v>1328</v>
      </c>
    </row>
    <row r="138" spans="1:22">
      <c r="A138" s="17" t="str">
        <f t="shared" si="5"/>
        <v>MassPort Authority7</v>
      </c>
      <c r="B138" s="17">
        <v>7</v>
      </c>
      <c r="C138" s="328" t="s">
        <v>883</v>
      </c>
      <c r="D138" s="328" t="s">
        <v>167</v>
      </c>
      <c r="E138" s="17" t="s">
        <v>654</v>
      </c>
      <c r="F138" s="332" t="s">
        <v>2329</v>
      </c>
      <c r="G138" s="332" t="s">
        <v>2330</v>
      </c>
      <c r="H138" s="332" t="s">
        <v>460</v>
      </c>
      <c r="I138" s="552" t="s">
        <v>884</v>
      </c>
      <c r="J138" s="328" t="s">
        <v>837</v>
      </c>
      <c r="K138" s="328" t="s">
        <v>820</v>
      </c>
      <c r="L138" s="332" t="s">
        <v>821</v>
      </c>
      <c r="M138" s="332" t="s">
        <v>821</v>
      </c>
      <c r="N138" s="328" t="s">
        <v>1154</v>
      </c>
      <c r="O138" s="761"/>
      <c r="P138" s="328"/>
      <c r="Q138" s="825">
        <v>1</v>
      </c>
      <c r="R138" s="761">
        <f t="shared" si="6"/>
        <v>1</v>
      </c>
      <c r="S138" s="332">
        <v>1</v>
      </c>
      <c r="T138" s="328" t="s">
        <v>844</v>
      </c>
      <c r="U138" s="332">
        <v>2023</v>
      </c>
      <c r="V138" s="45" t="s">
        <v>1328</v>
      </c>
    </row>
    <row r="139" spans="1:22">
      <c r="A139" s="17" t="str">
        <f t="shared" si="5"/>
        <v>MassPort Authority8</v>
      </c>
      <c r="B139" s="17">
        <v>8</v>
      </c>
      <c r="C139" s="328" t="s">
        <v>883</v>
      </c>
      <c r="D139" s="328" t="s">
        <v>167</v>
      </c>
      <c r="E139" s="17" t="s">
        <v>654</v>
      </c>
      <c r="F139" s="332" t="s">
        <v>2329</v>
      </c>
      <c r="G139" s="332" t="s">
        <v>2330</v>
      </c>
      <c r="H139" s="332" t="s">
        <v>460</v>
      </c>
      <c r="I139" s="552" t="s">
        <v>884</v>
      </c>
      <c r="J139" s="328" t="s">
        <v>837</v>
      </c>
      <c r="K139" s="328" t="s">
        <v>820</v>
      </c>
      <c r="L139" s="332" t="s">
        <v>821</v>
      </c>
      <c r="M139" s="332" t="s">
        <v>821</v>
      </c>
      <c r="N139" s="328" t="s">
        <v>1154</v>
      </c>
      <c r="O139" s="761"/>
      <c r="P139" s="328"/>
      <c r="Q139" s="825">
        <v>1</v>
      </c>
      <c r="R139" s="761">
        <f t="shared" si="6"/>
        <v>1</v>
      </c>
      <c r="S139" s="332">
        <v>1</v>
      </c>
      <c r="T139" s="328" t="s">
        <v>844</v>
      </c>
      <c r="U139" s="332">
        <v>2023</v>
      </c>
      <c r="V139" t="s">
        <v>1328</v>
      </c>
    </row>
    <row r="140" spans="1:22">
      <c r="A140" s="17" t="str">
        <f t="shared" si="5"/>
        <v>MassPort Authority9</v>
      </c>
      <c r="B140" s="17">
        <v>9</v>
      </c>
      <c r="C140" s="328" t="s">
        <v>883</v>
      </c>
      <c r="D140" s="328" t="s">
        <v>167</v>
      </c>
      <c r="E140" s="17" t="s">
        <v>654</v>
      </c>
      <c r="F140" s="332" t="s">
        <v>2329</v>
      </c>
      <c r="G140" s="332" t="s">
        <v>2330</v>
      </c>
      <c r="H140" s="332" t="s">
        <v>460</v>
      </c>
      <c r="I140" s="552" t="s">
        <v>884</v>
      </c>
      <c r="J140" s="328" t="s">
        <v>837</v>
      </c>
      <c r="K140" s="328" t="s">
        <v>820</v>
      </c>
      <c r="L140" s="332" t="s">
        <v>821</v>
      </c>
      <c r="M140" s="332" t="s">
        <v>821</v>
      </c>
      <c r="N140" s="328" t="s">
        <v>1154</v>
      </c>
      <c r="O140" s="761"/>
      <c r="P140" s="328"/>
      <c r="Q140" s="825">
        <v>1</v>
      </c>
      <c r="R140" s="761">
        <f t="shared" si="6"/>
        <v>1</v>
      </c>
      <c r="S140" s="332">
        <v>1</v>
      </c>
      <c r="T140" s="328" t="s">
        <v>844</v>
      </c>
      <c r="U140" s="332">
        <v>2023</v>
      </c>
      <c r="V140" t="s">
        <v>1328</v>
      </c>
    </row>
    <row r="141" spans="1:22">
      <c r="A141" s="17" t="str">
        <f t="shared" si="5"/>
        <v>MassPort Authority10</v>
      </c>
      <c r="B141" s="17">
        <v>10</v>
      </c>
      <c r="C141" s="328" t="s">
        <v>883</v>
      </c>
      <c r="D141" s="328" t="s">
        <v>167</v>
      </c>
      <c r="E141" s="17" t="s">
        <v>654</v>
      </c>
      <c r="F141" s="332" t="s">
        <v>2329</v>
      </c>
      <c r="G141" s="332" t="s">
        <v>2330</v>
      </c>
      <c r="H141" s="332" t="s">
        <v>460</v>
      </c>
      <c r="I141" s="552" t="s">
        <v>884</v>
      </c>
      <c r="J141" s="328" t="s">
        <v>837</v>
      </c>
      <c r="K141" s="328" t="s">
        <v>820</v>
      </c>
      <c r="L141" s="332" t="s">
        <v>821</v>
      </c>
      <c r="M141" s="332" t="s">
        <v>821</v>
      </c>
      <c r="N141" s="328" t="s">
        <v>1154</v>
      </c>
      <c r="O141" s="761"/>
      <c r="P141" s="328"/>
      <c r="Q141" s="825">
        <v>1</v>
      </c>
      <c r="R141" s="761">
        <f t="shared" si="6"/>
        <v>1</v>
      </c>
      <c r="S141" s="332">
        <v>1</v>
      </c>
      <c r="T141" s="328" t="s">
        <v>844</v>
      </c>
      <c r="U141" s="332">
        <v>2023</v>
      </c>
      <c r="V141" t="s">
        <v>1328</v>
      </c>
    </row>
    <row r="142" spans="1:22">
      <c r="A142" s="17" t="str">
        <f t="shared" si="5"/>
        <v>MassPort Authority11</v>
      </c>
      <c r="B142" s="17">
        <v>11</v>
      </c>
      <c r="C142" s="328" t="s">
        <v>883</v>
      </c>
      <c r="D142" s="328" t="s">
        <v>167</v>
      </c>
      <c r="E142" s="17" t="s">
        <v>654</v>
      </c>
      <c r="F142" s="332" t="s">
        <v>2329</v>
      </c>
      <c r="G142" s="332" t="s">
        <v>2330</v>
      </c>
      <c r="H142" s="332" t="s">
        <v>460</v>
      </c>
      <c r="I142" s="552" t="s">
        <v>884</v>
      </c>
      <c r="J142" s="328" t="s">
        <v>837</v>
      </c>
      <c r="K142" s="328" t="s">
        <v>820</v>
      </c>
      <c r="L142" s="332" t="s">
        <v>821</v>
      </c>
      <c r="M142" s="332" t="s">
        <v>821</v>
      </c>
      <c r="N142" s="328" t="s">
        <v>1154</v>
      </c>
      <c r="O142" s="761"/>
      <c r="P142" s="825">
        <v>1</v>
      </c>
      <c r="Q142" s="332"/>
      <c r="R142" s="761">
        <f t="shared" si="6"/>
        <v>1</v>
      </c>
      <c r="S142" s="332">
        <v>1</v>
      </c>
      <c r="T142" s="328" t="s">
        <v>822</v>
      </c>
      <c r="U142" s="332">
        <v>2023</v>
      </c>
      <c r="V142" t="s">
        <v>1328</v>
      </c>
    </row>
    <row r="143" spans="1:22">
      <c r="A143" s="17" t="str">
        <f t="shared" si="5"/>
        <v>MassPort Authority12</v>
      </c>
      <c r="B143" s="17">
        <v>12</v>
      </c>
      <c r="C143" s="328" t="s">
        <v>883</v>
      </c>
      <c r="D143" s="328" t="s">
        <v>167</v>
      </c>
      <c r="E143" s="17" t="s">
        <v>654</v>
      </c>
      <c r="F143" s="332" t="s">
        <v>2329</v>
      </c>
      <c r="G143" s="332" t="s">
        <v>2330</v>
      </c>
      <c r="H143" s="332" t="s">
        <v>460</v>
      </c>
      <c r="I143" s="552" t="s">
        <v>884</v>
      </c>
      <c r="J143" s="328" t="s">
        <v>837</v>
      </c>
      <c r="K143" s="328" t="s">
        <v>820</v>
      </c>
      <c r="L143" s="332" t="s">
        <v>821</v>
      </c>
      <c r="M143" s="332" t="s">
        <v>821</v>
      </c>
      <c r="N143" s="328" t="s">
        <v>1154</v>
      </c>
      <c r="O143" s="761"/>
      <c r="P143" s="825">
        <v>1</v>
      </c>
      <c r="Q143" s="332"/>
      <c r="R143" s="761">
        <f t="shared" si="6"/>
        <v>1</v>
      </c>
      <c r="S143" s="332">
        <v>1</v>
      </c>
      <c r="T143" s="328" t="s">
        <v>822</v>
      </c>
      <c r="U143" s="332">
        <v>2023</v>
      </c>
      <c r="V143" t="s">
        <v>1328</v>
      </c>
    </row>
    <row r="144" spans="1:22">
      <c r="A144" s="17" t="str">
        <f t="shared" si="5"/>
        <v>MassPort Authority13</v>
      </c>
      <c r="B144" s="17">
        <v>13</v>
      </c>
      <c r="C144" s="328" t="s">
        <v>883</v>
      </c>
      <c r="D144" s="328" t="s">
        <v>167</v>
      </c>
      <c r="E144" s="17" t="s">
        <v>654</v>
      </c>
      <c r="F144" s="332" t="s">
        <v>2329</v>
      </c>
      <c r="G144" s="332" t="s">
        <v>2330</v>
      </c>
      <c r="H144" s="332" t="s">
        <v>460</v>
      </c>
      <c r="I144" s="552" t="s">
        <v>884</v>
      </c>
      <c r="J144" s="328" t="s">
        <v>837</v>
      </c>
      <c r="K144" s="328" t="s">
        <v>820</v>
      </c>
      <c r="L144" s="332" t="s">
        <v>821</v>
      </c>
      <c r="M144" s="332" t="s">
        <v>821</v>
      </c>
      <c r="N144" s="328" t="s">
        <v>1154</v>
      </c>
      <c r="O144" s="761"/>
      <c r="P144" s="328"/>
      <c r="Q144" s="825">
        <v>1</v>
      </c>
      <c r="R144" s="761">
        <f t="shared" si="6"/>
        <v>1</v>
      </c>
      <c r="S144" s="332">
        <v>1</v>
      </c>
      <c r="T144" s="328" t="s">
        <v>844</v>
      </c>
      <c r="U144" s="332">
        <v>2020</v>
      </c>
      <c r="V144" t="s">
        <v>1328</v>
      </c>
    </row>
    <row r="145" spans="1:22">
      <c r="A145" s="17" t="str">
        <f t="shared" si="5"/>
        <v>MassPort Authority14</v>
      </c>
      <c r="B145" s="17">
        <v>14</v>
      </c>
      <c r="C145" s="328" t="s">
        <v>883</v>
      </c>
      <c r="D145" s="328" t="s">
        <v>167</v>
      </c>
      <c r="E145" s="17" t="s">
        <v>654</v>
      </c>
      <c r="F145" s="332" t="s">
        <v>2329</v>
      </c>
      <c r="G145" s="332" t="s">
        <v>2330</v>
      </c>
      <c r="H145" s="332" t="s">
        <v>460</v>
      </c>
      <c r="I145" s="552" t="s">
        <v>884</v>
      </c>
      <c r="J145" s="328" t="s">
        <v>837</v>
      </c>
      <c r="K145" s="328" t="s">
        <v>820</v>
      </c>
      <c r="L145" s="332" t="s">
        <v>821</v>
      </c>
      <c r="M145" s="332" t="s">
        <v>821</v>
      </c>
      <c r="N145" s="328" t="s">
        <v>1154</v>
      </c>
      <c r="O145" s="761"/>
      <c r="P145" s="328"/>
      <c r="Q145" s="825">
        <v>1</v>
      </c>
      <c r="R145" s="761">
        <f t="shared" si="6"/>
        <v>1</v>
      </c>
      <c r="S145" s="332">
        <v>1</v>
      </c>
      <c r="T145" s="328" t="s">
        <v>844</v>
      </c>
      <c r="U145" s="332">
        <v>2020</v>
      </c>
      <c r="V145" t="s">
        <v>1328</v>
      </c>
    </row>
    <row r="146" spans="1:22">
      <c r="A146" s="17" t="str">
        <f t="shared" si="5"/>
        <v>MassPort Authority15</v>
      </c>
      <c r="B146" s="17">
        <v>15</v>
      </c>
      <c r="C146" s="328" t="s">
        <v>883</v>
      </c>
      <c r="D146" s="328" t="s">
        <v>167</v>
      </c>
      <c r="E146" s="17" t="s">
        <v>654</v>
      </c>
      <c r="F146" s="332" t="s">
        <v>2331</v>
      </c>
      <c r="G146" s="332"/>
      <c r="H146" s="332" t="s">
        <v>460</v>
      </c>
      <c r="I146" s="552" t="s">
        <v>884</v>
      </c>
      <c r="J146" s="328" t="s">
        <v>837</v>
      </c>
      <c r="K146" s="328" t="s">
        <v>820</v>
      </c>
      <c r="L146" s="332" t="s">
        <v>821</v>
      </c>
      <c r="M146" s="332" t="s">
        <v>821</v>
      </c>
      <c r="N146" s="328" t="s">
        <v>1154</v>
      </c>
      <c r="O146" s="761"/>
      <c r="P146" s="332">
        <v>5</v>
      </c>
      <c r="Q146" s="332"/>
      <c r="R146" s="761">
        <f t="shared" si="6"/>
        <v>5</v>
      </c>
      <c r="S146" s="332">
        <v>10</v>
      </c>
      <c r="T146" s="328" t="s">
        <v>822</v>
      </c>
      <c r="U146" s="332">
        <v>2020</v>
      </c>
      <c r="V146" t="s">
        <v>1329</v>
      </c>
    </row>
    <row r="147" spans="1:22">
      <c r="A147" s="17" t="str">
        <f t="shared" si="5"/>
        <v>MassPort Authority16</v>
      </c>
      <c r="B147" s="17">
        <v>16</v>
      </c>
      <c r="C147" s="328" t="s">
        <v>883</v>
      </c>
      <c r="D147" s="328" t="s">
        <v>167</v>
      </c>
      <c r="E147" s="17" t="s">
        <v>654</v>
      </c>
      <c r="F147" s="332" t="s">
        <v>631</v>
      </c>
      <c r="G147" s="332" t="s">
        <v>2332</v>
      </c>
      <c r="H147" s="332" t="s">
        <v>460</v>
      </c>
      <c r="I147" s="552" t="s">
        <v>884</v>
      </c>
      <c r="J147" s="328" t="s">
        <v>837</v>
      </c>
      <c r="K147" s="328" t="s">
        <v>820</v>
      </c>
      <c r="L147" s="332" t="s">
        <v>821</v>
      </c>
      <c r="M147" s="332" t="s">
        <v>821</v>
      </c>
      <c r="N147" s="328" t="s">
        <v>1154</v>
      </c>
      <c r="O147" s="761"/>
      <c r="P147" s="332">
        <v>5</v>
      </c>
      <c r="Q147" s="332"/>
      <c r="R147" s="761">
        <f t="shared" si="6"/>
        <v>5</v>
      </c>
      <c r="S147" s="332">
        <v>10</v>
      </c>
      <c r="T147" s="328" t="s">
        <v>822</v>
      </c>
      <c r="U147" s="332">
        <v>2020</v>
      </c>
      <c r="V147" s="45" t="s">
        <v>1329</v>
      </c>
    </row>
    <row r="148" spans="1:22">
      <c r="A148" s="17" t="str">
        <f t="shared" si="5"/>
        <v>MassPort Authority17</v>
      </c>
      <c r="B148" s="17">
        <v>17</v>
      </c>
      <c r="C148" s="328" t="s">
        <v>883</v>
      </c>
      <c r="D148" s="328" t="s">
        <v>167</v>
      </c>
      <c r="E148" s="17" t="s">
        <v>654</v>
      </c>
      <c r="F148" s="332" t="s">
        <v>631</v>
      </c>
      <c r="G148" s="332" t="s">
        <v>2332</v>
      </c>
      <c r="H148" s="332" t="s">
        <v>460</v>
      </c>
      <c r="I148" s="552" t="s">
        <v>884</v>
      </c>
      <c r="J148" s="328" t="s">
        <v>837</v>
      </c>
      <c r="K148" s="328" t="s">
        <v>820</v>
      </c>
      <c r="L148" s="332" t="s">
        <v>821</v>
      </c>
      <c r="M148" s="332" t="s">
        <v>821</v>
      </c>
      <c r="N148" s="328" t="s">
        <v>1154</v>
      </c>
      <c r="O148" s="761"/>
      <c r="P148" s="332">
        <v>1</v>
      </c>
      <c r="Q148" s="332"/>
      <c r="R148" s="761">
        <f t="shared" si="6"/>
        <v>1</v>
      </c>
      <c r="S148" s="332">
        <v>2</v>
      </c>
      <c r="T148" s="328" t="s">
        <v>822</v>
      </c>
      <c r="U148" s="332">
        <v>2020</v>
      </c>
      <c r="V148" s="45" t="s">
        <v>1329</v>
      </c>
    </row>
    <row r="149" spans="1:22">
      <c r="A149" s="17" t="str">
        <f t="shared" si="5"/>
        <v>MassPort Authority18</v>
      </c>
      <c r="B149" s="17">
        <v>18</v>
      </c>
      <c r="C149" s="328" t="s">
        <v>883</v>
      </c>
      <c r="D149" s="328" t="s">
        <v>167</v>
      </c>
      <c r="E149" s="17" t="s">
        <v>654</v>
      </c>
      <c r="F149" s="332" t="s">
        <v>631</v>
      </c>
      <c r="G149" s="332" t="s">
        <v>2333</v>
      </c>
      <c r="H149" s="332" t="s">
        <v>460</v>
      </c>
      <c r="I149" s="552" t="s">
        <v>884</v>
      </c>
      <c r="J149" s="328" t="s">
        <v>837</v>
      </c>
      <c r="K149" s="328" t="s">
        <v>820</v>
      </c>
      <c r="L149" s="332" t="s">
        <v>821</v>
      </c>
      <c r="M149" s="332" t="s">
        <v>821</v>
      </c>
      <c r="N149" s="328" t="s">
        <v>1154</v>
      </c>
      <c r="O149" s="761"/>
      <c r="P149" s="332">
        <v>9</v>
      </c>
      <c r="Q149" s="332"/>
      <c r="R149" s="761">
        <f t="shared" si="6"/>
        <v>9</v>
      </c>
      <c r="S149" s="332">
        <v>18</v>
      </c>
      <c r="T149" s="328" t="s">
        <v>822</v>
      </c>
      <c r="U149" s="332">
        <v>2020</v>
      </c>
      <c r="V149" s="45" t="s">
        <v>1329</v>
      </c>
    </row>
    <row r="150" spans="1:22">
      <c r="A150" s="17" t="str">
        <f t="shared" si="5"/>
        <v>MassPort Authority19</v>
      </c>
      <c r="B150" s="17">
        <v>19</v>
      </c>
      <c r="C150" s="328" t="s">
        <v>883</v>
      </c>
      <c r="D150" s="328" t="s">
        <v>167</v>
      </c>
      <c r="E150" s="17" t="s">
        <v>654</v>
      </c>
      <c r="F150" s="332" t="s">
        <v>631</v>
      </c>
      <c r="G150" s="332" t="s">
        <v>2332</v>
      </c>
      <c r="H150" s="332" t="s">
        <v>460</v>
      </c>
      <c r="I150" s="552" t="s">
        <v>884</v>
      </c>
      <c r="J150" s="328" t="s">
        <v>837</v>
      </c>
      <c r="K150" s="328" t="s">
        <v>820</v>
      </c>
      <c r="L150" s="332" t="s">
        <v>821</v>
      </c>
      <c r="M150" s="332" t="s">
        <v>821</v>
      </c>
      <c r="N150" s="328" t="s">
        <v>1154</v>
      </c>
      <c r="O150" s="761"/>
      <c r="P150" s="332">
        <v>1</v>
      </c>
      <c r="Q150" s="332"/>
      <c r="R150" s="761">
        <f t="shared" si="6"/>
        <v>1</v>
      </c>
      <c r="S150" s="332">
        <v>2</v>
      </c>
      <c r="T150" s="328" t="s">
        <v>822</v>
      </c>
      <c r="U150" s="332">
        <v>2020</v>
      </c>
      <c r="V150" t="s">
        <v>1329</v>
      </c>
    </row>
    <row r="151" spans="1:22">
      <c r="A151" s="17" t="str">
        <f t="shared" si="5"/>
        <v>MassPort Authority20</v>
      </c>
      <c r="B151" s="17">
        <v>20</v>
      </c>
      <c r="C151" s="328" t="s">
        <v>883</v>
      </c>
      <c r="D151" s="328" t="s">
        <v>167</v>
      </c>
      <c r="E151" s="17" t="s">
        <v>654</v>
      </c>
      <c r="F151" s="332" t="s">
        <v>631</v>
      </c>
      <c r="G151" s="332" t="s">
        <v>2333</v>
      </c>
      <c r="H151" s="332" t="s">
        <v>460</v>
      </c>
      <c r="I151" s="552" t="s">
        <v>884</v>
      </c>
      <c r="J151" s="328" t="s">
        <v>837</v>
      </c>
      <c r="K151" s="328" t="s">
        <v>820</v>
      </c>
      <c r="L151" s="332" t="s">
        <v>821</v>
      </c>
      <c r="M151" s="332" t="s">
        <v>821</v>
      </c>
      <c r="N151" s="328" t="s">
        <v>1154</v>
      </c>
      <c r="O151" s="761"/>
      <c r="P151" s="332">
        <v>8</v>
      </c>
      <c r="Q151" s="332"/>
      <c r="R151" s="761">
        <f t="shared" si="6"/>
        <v>8</v>
      </c>
      <c r="S151" s="332">
        <v>16</v>
      </c>
      <c r="T151" s="328" t="s">
        <v>822</v>
      </c>
      <c r="U151" s="332">
        <v>2020</v>
      </c>
      <c r="V151" t="s">
        <v>1329</v>
      </c>
    </row>
    <row r="152" spans="1:22">
      <c r="A152" s="17" t="str">
        <f t="shared" si="5"/>
        <v>MassPort Authority21</v>
      </c>
      <c r="B152" s="17">
        <v>21</v>
      </c>
      <c r="C152" s="328" t="s">
        <v>883</v>
      </c>
      <c r="D152" s="328" t="s">
        <v>167</v>
      </c>
      <c r="E152" s="17" t="s">
        <v>654</v>
      </c>
      <c r="F152" s="332" t="s">
        <v>631</v>
      </c>
      <c r="G152" s="332"/>
      <c r="H152" s="332" t="s">
        <v>460</v>
      </c>
      <c r="I152" s="552" t="s">
        <v>884</v>
      </c>
      <c r="J152" s="328" t="s">
        <v>837</v>
      </c>
      <c r="K152" s="328" t="s">
        <v>820</v>
      </c>
      <c r="L152" s="332" t="s">
        <v>857</v>
      </c>
      <c r="M152" s="328" t="s">
        <v>2043</v>
      </c>
      <c r="N152" s="328"/>
      <c r="O152" s="761"/>
      <c r="P152" s="332">
        <v>2</v>
      </c>
      <c r="Q152" s="332"/>
      <c r="R152" s="761">
        <f t="shared" si="6"/>
        <v>2</v>
      </c>
      <c r="S152" s="332">
        <v>2</v>
      </c>
      <c r="T152" s="328" t="s">
        <v>822</v>
      </c>
      <c r="U152" s="332">
        <v>2019</v>
      </c>
      <c r="V152" s="45" t="s">
        <v>1328</v>
      </c>
    </row>
    <row r="153" spans="1:22">
      <c r="A153" s="17" t="str">
        <f t="shared" si="5"/>
        <v>MassPort Authority22</v>
      </c>
      <c r="B153" s="17">
        <v>22</v>
      </c>
      <c r="C153" s="328" t="s">
        <v>883</v>
      </c>
      <c r="D153" s="328" t="s">
        <v>167</v>
      </c>
      <c r="E153" s="17" t="s">
        <v>654</v>
      </c>
      <c r="F153" s="332" t="s">
        <v>631</v>
      </c>
      <c r="G153" s="332"/>
      <c r="H153" s="332" t="s">
        <v>460</v>
      </c>
      <c r="I153" s="552" t="s">
        <v>884</v>
      </c>
      <c r="J153" s="328" t="s">
        <v>837</v>
      </c>
      <c r="K153" s="328" t="s">
        <v>820</v>
      </c>
      <c r="L153" s="332" t="s">
        <v>857</v>
      </c>
      <c r="M153" s="328" t="s">
        <v>2043</v>
      </c>
      <c r="N153" s="328"/>
      <c r="O153" s="761"/>
      <c r="P153" s="332">
        <v>1</v>
      </c>
      <c r="Q153" s="332"/>
      <c r="R153" s="761">
        <f t="shared" si="6"/>
        <v>1</v>
      </c>
      <c r="S153" s="332">
        <v>2</v>
      </c>
      <c r="T153" s="328" t="s">
        <v>822</v>
      </c>
      <c r="U153" s="332">
        <v>2024</v>
      </c>
      <c r="V153" s="45" t="s">
        <v>1329</v>
      </c>
    </row>
    <row r="154" spans="1:22">
      <c r="A154" s="17" t="str">
        <f t="shared" si="5"/>
        <v>MassPort Authority23</v>
      </c>
      <c r="B154" s="17">
        <v>23</v>
      </c>
      <c r="C154" s="328" t="s">
        <v>883</v>
      </c>
      <c r="D154" s="328" t="s">
        <v>167</v>
      </c>
      <c r="E154" s="17" t="s">
        <v>654</v>
      </c>
      <c r="F154" s="332" t="s">
        <v>631</v>
      </c>
      <c r="G154" s="332"/>
      <c r="H154" s="332" t="s">
        <v>460</v>
      </c>
      <c r="I154" s="552" t="s">
        <v>884</v>
      </c>
      <c r="J154" s="328" t="s">
        <v>837</v>
      </c>
      <c r="K154" s="328" t="s">
        <v>820</v>
      </c>
      <c r="L154" s="332" t="s">
        <v>857</v>
      </c>
      <c r="M154" s="328" t="s">
        <v>2043</v>
      </c>
      <c r="N154" s="328"/>
      <c r="O154" s="761"/>
      <c r="P154" s="332">
        <v>1</v>
      </c>
      <c r="Q154" s="332"/>
      <c r="R154" s="761">
        <f t="shared" si="6"/>
        <v>1</v>
      </c>
      <c r="S154" s="332">
        <v>2</v>
      </c>
      <c r="T154" s="328" t="s">
        <v>822</v>
      </c>
      <c r="U154" s="332">
        <v>2024</v>
      </c>
      <c r="V154" s="45" t="s">
        <v>1329</v>
      </c>
    </row>
    <row r="155" spans="1:22">
      <c r="A155" s="17" t="str">
        <f t="shared" si="5"/>
        <v>MassPort Authority24</v>
      </c>
      <c r="B155" s="17">
        <v>24</v>
      </c>
      <c r="C155" s="328" t="s">
        <v>883</v>
      </c>
      <c r="D155" s="328" t="s">
        <v>167</v>
      </c>
      <c r="E155" s="17" t="s">
        <v>654</v>
      </c>
      <c r="F155" s="332" t="s">
        <v>631</v>
      </c>
      <c r="G155" s="332"/>
      <c r="H155" s="332" t="s">
        <v>460</v>
      </c>
      <c r="I155" s="552" t="s">
        <v>884</v>
      </c>
      <c r="J155" s="328" t="s">
        <v>837</v>
      </c>
      <c r="K155" s="328" t="s">
        <v>820</v>
      </c>
      <c r="L155" s="332" t="s">
        <v>857</v>
      </c>
      <c r="M155" s="328" t="s">
        <v>2043</v>
      </c>
      <c r="N155" s="328"/>
      <c r="O155" s="761"/>
      <c r="P155" s="332">
        <v>2</v>
      </c>
      <c r="Q155" s="332"/>
      <c r="R155" s="761">
        <f t="shared" si="6"/>
        <v>2</v>
      </c>
      <c r="S155" s="332">
        <v>4</v>
      </c>
      <c r="T155" s="328" t="s">
        <v>822</v>
      </c>
      <c r="U155" s="332">
        <v>2024</v>
      </c>
      <c r="V155" s="45" t="s">
        <v>1329</v>
      </c>
    </row>
    <row r="156" spans="1:22">
      <c r="A156" s="17" t="str">
        <f t="shared" si="5"/>
        <v>MBTA1</v>
      </c>
      <c r="B156" s="558">
        <v>1</v>
      </c>
      <c r="C156" s="328" t="s">
        <v>1233</v>
      </c>
      <c r="D156" s="754" t="s">
        <v>1233</v>
      </c>
      <c r="E156" s="328" t="s">
        <v>1234</v>
      </c>
      <c r="F156" s="754" t="s">
        <v>1878</v>
      </c>
      <c r="G156" s="754" t="s">
        <v>1235</v>
      </c>
      <c r="H156" s="328" t="s">
        <v>904</v>
      </c>
      <c r="I156" s="552" t="s">
        <v>1236</v>
      </c>
      <c r="J156" s="328" t="s">
        <v>837</v>
      </c>
      <c r="K156" s="328" t="s">
        <v>820</v>
      </c>
      <c r="L156" s="328" t="s">
        <v>821</v>
      </c>
      <c r="M156" s="328" t="s">
        <v>821</v>
      </c>
      <c r="N156" s="328" t="s">
        <v>1154</v>
      </c>
      <c r="O156" s="761"/>
      <c r="P156" s="761">
        <v>1</v>
      </c>
      <c r="Q156" s="761"/>
      <c r="R156" s="761">
        <v>1</v>
      </c>
      <c r="S156" s="761">
        <v>1</v>
      </c>
      <c r="T156" s="328" t="s">
        <v>822</v>
      </c>
      <c r="U156" s="328">
        <v>2013</v>
      </c>
      <c r="V156" t="s">
        <v>1328</v>
      </c>
    </row>
    <row r="157" spans="1:22">
      <c r="A157" s="17" t="str">
        <f t="shared" si="5"/>
        <v>MBTA2</v>
      </c>
      <c r="B157" s="558">
        <v>2</v>
      </c>
      <c r="C157" s="328" t="s">
        <v>1233</v>
      </c>
      <c r="D157" s="754" t="s">
        <v>1233</v>
      </c>
      <c r="E157" s="332" t="s">
        <v>2335</v>
      </c>
      <c r="F157" s="332" t="s">
        <v>2336</v>
      </c>
      <c r="G157" s="332"/>
      <c r="H157" s="332" t="s">
        <v>456</v>
      </c>
      <c r="I157" s="552" t="s">
        <v>828</v>
      </c>
      <c r="J157" s="328"/>
      <c r="K157" s="328" t="s">
        <v>820</v>
      </c>
      <c r="L157" s="328" t="s">
        <v>821</v>
      </c>
      <c r="M157" s="328" t="s">
        <v>821</v>
      </c>
      <c r="N157" s="328"/>
      <c r="O157" s="761"/>
      <c r="P157" s="332">
        <v>1</v>
      </c>
      <c r="Q157" s="332"/>
      <c r="R157" s="332">
        <v>1</v>
      </c>
      <c r="S157" s="332">
        <v>2</v>
      </c>
      <c r="T157" s="328" t="s">
        <v>822</v>
      </c>
      <c r="U157" s="332">
        <v>2023</v>
      </c>
      <c r="V157" s="45" t="s">
        <v>1329</v>
      </c>
    </row>
    <row r="158" spans="1:22">
      <c r="A158" s="17" t="str">
        <f t="shared" si="5"/>
        <v>MBTA3</v>
      </c>
      <c r="B158" s="558">
        <v>3</v>
      </c>
      <c r="C158" s="328" t="s">
        <v>1233</v>
      </c>
      <c r="D158" s="754" t="s">
        <v>1233</v>
      </c>
      <c r="E158" s="332" t="s">
        <v>2335</v>
      </c>
      <c r="F158" s="332" t="s">
        <v>2337</v>
      </c>
      <c r="G158" s="332"/>
      <c r="H158" s="332" t="s">
        <v>456</v>
      </c>
      <c r="I158" s="552" t="s">
        <v>828</v>
      </c>
      <c r="J158" s="328"/>
      <c r="K158" s="328" t="s">
        <v>820</v>
      </c>
      <c r="L158" s="328" t="s">
        <v>821</v>
      </c>
      <c r="M158" s="328" t="s">
        <v>821</v>
      </c>
      <c r="N158" s="328"/>
      <c r="O158" s="761"/>
      <c r="P158" s="332">
        <v>1</v>
      </c>
      <c r="Q158" s="332"/>
      <c r="R158" s="332">
        <v>1</v>
      </c>
      <c r="S158" s="332">
        <v>1</v>
      </c>
      <c r="T158" s="328" t="s">
        <v>822</v>
      </c>
      <c r="U158" s="332">
        <v>2023</v>
      </c>
      <c r="V158" s="45" t="s">
        <v>1328</v>
      </c>
    </row>
    <row r="159" spans="1:22">
      <c r="A159" s="17" t="str">
        <f t="shared" si="5"/>
        <v>MBTA4</v>
      </c>
      <c r="B159" s="558">
        <v>4</v>
      </c>
      <c r="C159" s="328" t="s">
        <v>1233</v>
      </c>
      <c r="D159" s="754" t="s">
        <v>1233</v>
      </c>
      <c r="E159" s="332" t="s">
        <v>2338</v>
      </c>
      <c r="F159" s="332" t="s">
        <v>2339</v>
      </c>
      <c r="G159" s="332"/>
      <c r="H159" s="332" t="s">
        <v>2351</v>
      </c>
      <c r="I159" s="552" t="s">
        <v>2352</v>
      </c>
      <c r="J159" s="328"/>
      <c r="K159" s="328" t="s">
        <v>820</v>
      </c>
      <c r="L159" s="328" t="s">
        <v>821</v>
      </c>
      <c r="M159" s="328" t="s">
        <v>821</v>
      </c>
      <c r="N159" s="328"/>
      <c r="O159" s="761"/>
      <c r="P159" s="332">
        <v>2</v>
      </c>
      <c r="Q159" s="332"/>
      <c r="R159" s="332">
        <v>2</v>
      </c>
      <c r="S159" s="332">
        <v>2</v>
      </c>
      <c r="T159" s="328" t="s">
        <v>822</v>
      </c>
      <c r="U159" s="332">
        <v>2023</v>
      </c>
      <c r="V159" s="45" t="s">
        <v>1328</v>
      </c>
    </row>
    <row r="160" spans="1:22">
      <c r="A160" s="17" t="str">
        <f t="shared" si="5"/>
        <v>MBTA5</v>
      </c>
      <c r="B160" s="558">
        <v>5</v>
      </c>
      <c r="C160" s="328" t="s">
        <v>1233</v>
      </c>
      <c r="D160" s="754" t="s">
        <v>1233</v>
      </c>
      <c r="E160" s="332" t="s">
        <v>2340</v>
      </c>
      <c r="F160" s="332" t="s">
        <v>2341</v>
      </c>
      <c r="G160" s="332"/>
      <c r="H160" s="332" t="s">
        <v>2353</v>
      </c>
      <c r="I160" s="552" t="s">
        <v>2327</v>
      </c>
      <c r="J160" s="328"/>
      <c r="K160" s="328" t="s">
        <v>820</v>
      </c>
      <c r="L160" s="328" t="s">
        <v>821</v>
      </c>
      <c r="M160" s="328" t="s">
        <v>821</v>
      </c>
      <c r="N160" s="328"/>
      <c r="O160" s="761"/>
      <c r="P160" s="332">
        <v>3</v>
      </c>
      <c r="Q160" s="332"/>
      <c r="R160" s="332">
        <v>3</v>
      </c>
      <c r="S160" s="332">
        <v>6</v>
      </c>
      <c r="T160" s="328" t="s">
        <v>822</v>
      </c>
      <c r="U160" s="332">
        <v>2024</v>
      </c>
      <c r="V160" s="45" t="s">
        <v>1329</v>
      </c>
    </row>
    <row r="161" spans="1:22">
      <c r="A161" s="17" t="str">
        <f t="shared" si="5"/>
        <v>MBTA6</v>
      </c>
      <c r="B161" s="558">
        <v>6</v>
      </c>
      <c r="C161" s="328" t="s">
        <v>1233</v>
      </c>
      <c r="D161" s="754" t="s">
        <v>1233</v>
      </c>
      <c r="E161" s="332" t="s">
        <v>2342</v>
      </c>
      <c r="F161" s="332" t="s">
        <v>2343</v>
      </c>
      <c r="G161" s="332" t="s">
        <v>2344</v>
      </c>
      <c r="H161" s="332" t="s">
        <v>909</v>
      </c>
      <c r="I161" s="552" t="s">
        <v>2354</v>
      </c>
      <c r="J161" s="328"/>
      <c r="K161" s="328" t="s">
        <v>820</v>
      </c>
      <c r="L161" s="328" t="s">
        <v>821</v>
      </c>
      <c r="M161" s="328" t="s">
        <v>821</v>
      </c>
      <c r="N161" s="328"/>
      <c r="O161" s="761"/>
      <c r="P161" s="332">
        <v>2</v>
      </c>
      <c r="Q161" s="332"/>
      <c r="R161" s="332">
        <v>2</v>
      </c>
      <c r="S161" s="332">
        <v>4</v>
      </c>
      <c r="T161" s="328" t="s">
        <v>822</v>
      </c>
      <c r="U161" s="332">
        <v>2025</v>
      </c>
      <c r="V161" s="45" t="s">
        <v>1329</v>
      </c>
    </row>
    <row r="162" spans="1:22">
      <c r="A162" s="17" t="str">
        <f t="shared" si="5"/>
        <v>MBTA7</v>
      </c>
      <c r="B162" s="558">
        <v>7</v>
      </c>
      <c r="C162" s="328" t="s">
        <v>1233</v>
      </c>
      <c r="D162" s="754" t="s">
        <v>1233</v>
      </c>
      <c r="E162" s="332" t="s">
        <v>2345</v>
      </c>
      <c r="F162" s="332" t="s">
        <v>2346</v>
      </c>
      <c r="G162" s="332" t="s">
        <v>2347</v>
      </c>
      <c r="H162" s="332" t="s">
        <v>909</v>
      </c>
      <c r="I162" s="552" t="s">
        <v>2355</v>
      </c>
      <c r="J162" s="328"/>
      <c r="K162" s="328" t="s">
        <v>820</v>
      </c>
      <c r="L162" s="328" t="s">
        <v>821</v>
      </c>
      <c r="M162" s="328" t="s">
        <v>821</v>
      </c>
      <c r="N162" s="328"/>
      <c r="O162" s="761"/>
      <c r="P162" s="332">
        <v>3</v>
      </c>
      <c r="Q162" s="332"/>
      <c r="R162" s="332">
        <v>3</v>
      </c>
      <c r="S162" s="332">
        <v>6</v>
      </c>
      <c r="T162" s="328" t="s">
        <v>822</v>
      </c>
      <c r="U162" s="332">
        <v>2025</v>
      </c>
      <c r="V162" s="45" t="s">
        <v>1329</v>
      </c>
    </row>
    <row r="163" spans="1:22">
      <c r="A163" s="17" t="str">
        <f t="shared" si="5"/>
        <v>MBTA8</v>
      </c>
      <c r="B163" s="558">
        <v>8</v>
      </c>
      <c r="C163" s="328" t="s">
        <v>1233</v>
      </c>
      <c r="D163" s="754" t="s">
        <v>1233</v>
      </c>
      <c r="E163" s="332" t="s">
        <v>2345</v>
      </c>
      <c r="F163" s="332" t="s">
        <v>2346</v>
      </c>
      <c r="G163" s="332" t="s">
        <v>2347</v>
      </c>
      <c r="H163" s="332" t="s">
        <v>909</v>
      </c>
      <c r="I163" s="552" t="s">
        <v>2355</v>
      </c>
      <c r="J163" s="328"/>
      <c r="K163" s="328" t="s">
        <v>820</v>
      </c>
      <c r="L163" s="328" t="s">
        <v>821</v>
      </c>
      <c r="M163" s="328" t="s">
        <v>821</v>
      </c>
      <c r="N163" s="328"/>
      <c r="O163" s="761"/>
      <c r="P163" s="332">
        <v>1</v>
      </c>
      <c r="Q163" s="332"/>
      <c r="R163" s="332">
        <v>1</v>
      </c>
      <c r="S163" s="332">
        <v>2</v>
      </c>
      <c r="T163" s="328" t="s">
        <v>822</v>
      </c>
      <c r="U163" s="332">
        <v>2025</v>
      </c>
      <c r="V163" s="45" t="s">
        <v>1329</v>
      </c>
    </row>
    <row r="164" spans="1:22">
      <c r="A164" s="17" t="str">
        <f t="shared" si="5"/>
        <v>MBTA9</v>
      </c>
      <c r="B164" s="558">
        <v>9</v>
      </c>
      <c r="C164" s="328" t="s">
        <v>1233</v>
      </c>
      <c r="D164" s="754" t="s">
        <v>1233</v>
      </c>
      <c r="E164" s="332" t="s">
        <v>2348</v>
      </c>
      <c r="F164" s="332" t="s">
        <v>2349</v>
      </c>
      <c r="G164" s="332"/>
      <c r="H164" s="332" t="s">
        <v>869</v>
      </c>
      <c r="I164" s="552" t="s">
        <v>870</v>
      </c>
      <c r="J164" s="328"/>
      <c r="K164" s="328" t="s">
        <v>820</v>
      </c>
      <c r="L164" s="328" t="s">
        <v>821</v>
      </c>
      <c r="M164" s="328" t="s">
        <v>821</v>
      </c>
      <c r="N164" s="328"/>
      <c r="O164" s="761"/>
      <c r="P164" s="332">
        <v>2</v>
      </c>
      <c r="Q164" s="332"/>
      <c r="R164" s="332">
        <v>2</v>
      </c>
      <c r="S164" s="332">
        <v>4</v>
      </c>
      <c r="T164" s="328" t="s">
        <v>822</v>
      </c>
      <c r="U164" s="332">
        <v>2025</v>
      </c>
      <c r="V164" s="45" t="s">
        <v>1329</v>
      </c>
    </row>
    <row r="165" spans="1:22">
      <c r="A165" s="17" t="str">
        <f t="shared" si="5"/>
        <v>MBTA10</v>
      </c>
      <c r="B165" s="558">
        <v>10</v>
      </c>
      <c r="C165" s="328" t="s">
        <v>1233</v>
      </c>
      <c r="D165" s="754" t="s">
        <v>1233</v>
      </c>
      <c r="E165" s="332" t="s">
        <v>2348</v>
      </c>
      <c r="F165" s="332" t="s">
        <v>2350</v>
      </c>
      <c r="G165" s="332"/>
      <c r="H165" s="332" t="s">
        <v>869</v>
      </c>
      <c r="I165" s="552" t="s">
        <v>870</v>
      </c>
      <c r="J165" s="328"/>
      <c r="K165" s="328" t="s">
        <v>820</v>
      </c>
      <c r="L165" s="328" t="s">
        <v>821</v>
      </c>
      <c r="M165" s="328" t="s">
        <v>821</v>
      </c>
      <c r="N165" s="328"/>
      <c r="O165" s="761"/>
      <c r="P165" s="332">
        <v>1</v>
      </c>
      <c r="Q165" s="332"/>
      <c r="R165" s="332">
        <v>1</v>
      </c>
      <c r="S165" s="332">
        <v>2</v>
      </c>
      <c r="T165" s="328" t="s">
        <v>822</v>
      </c>
      <c r="U165" s="332">
        <v>2025</v>
      </c>
      <c r="V165" s="45" t="s">
        <v>1329</v>
      </c>
    </row>
    <row r="166" spans="1:22">
      <c r="A166" s="17" t="str">
        <f t="shared" si="5"/>
        <v>MetroWest Regional Transit Authority1</v>
      </c>
      <c r="B166" s="558">
        <v>1</v>
      </c>
      <c r="C166" s="328" t="s">
        <v>1238</v>
      </c>
      <c r="D166" s="754" t="s">
        <v>1239</v>
      </c>
      <c r="E166" s="328" t="s">
        <v>1240</v>
      </c>
      <c r="F166" s="328" t="s">
        <v>1241</v>
      </c>
      <c r="G166" s="328"/>
      <c r="H166" s="328" t="s">
        <v>509</v>
      </c>
      <c r="I166" s="552" t="s">
        <v>1194</v>
      </c>
      <c r="J166" s="328" t="s">
        <v>837</v>
      </c>
      <c r="K166" s="328" t="s">
        <v>820</v>
      </c>
      <c r="L166" s="328" t="s">
        <v>857</v>
      </c>
      <c r="M166" s="328" t="s">
        <v>2043</v>
      </c>
      <c r="N166" s="328" t="s">
        <v>1154</v>
      </c>
      <c r="O166" s="761"/>
      <c r="P166" s="761">
        <v>1</v>
      </c>
      <c r="Q166" s="761"/>
      <c r="R166" s="761">
        <v>1</v>
      </c>
      <c r="S166" s="761">
        <v>2</v>
      </c>
      <c r="T166" s="328" t="s">
        <v>822</v>
      </c>
      <c r="U166" s="328">
        <v>2018</v>
      </c>
      <c r="V166" s="45" t="s">
        <v>1329</v>
      </c>
    </row>
    <row r="167" spans="1:22">
      <c r="A167" s="17" t="str">
        <f t="shared" si="5"/>
        <v>Military Division1</v>
      </c>
      <c r="B167" s="17">
        <v>1</v>
      </c>
      <c r="C167" s="328" t="s">
        <v>1925</v>
      </c>
      <c r="D167" s="754" t="s">
        <v>173</v>
      </c>
      <c r="E167" s="328" t="s">
        <v>1926</v>
      </c>
      <c r="F167" s="328" t="s">
        <v>1927</v>
      </c>
      <c r="G167" s="328"/>
      <c r="H167" s="328" t="s">
        <v>1928</v>
      </c>
      <c r="I167" s="552" t="s">
        <v>1929</v>
      </c>
      <c r="J167" s="328"/>
      <c r="K167" s="328" t="s">
        <v>820</v>
      </c>
      <c r="L167" s="328" t="s">
        <v>857</v>
      </c>
      <c r="M167" s="328" t="s">
        <v>2043</v>
      </c>
      <c r="N167" s="328"/>
      <c r="O167" s="761"/>
      <c r="P167" s="761">
        <v>2</v>
      </c>
      <c r="Q167" s="761"/>
      <c r="R167" s="761">
        <v>2</v>
      </c>
      <c r="S167" s="761">
        <v>4</v>
      </c>
      <c r="T167" s="328" t="s">
        <v>822</v>
      </c>
      <c r="U167" s="328">
        <v>2024</v>
      </c>
      <c r="V167" t="s">
        <v>1329</v>
      </c>
    </row>
    <row r="168" spans="1:22">
      <c r="A168" s="17" t="str">
        <f t="shared" si="5"/>
        <v>Mosquito Control Board1</v>
      </c>
      <c r="B168" s="17">
        <v>1</v>
      </c>
      <c r="C168" s="328" t="s">
        <v>1999</v>
      </c>
      <c r="D168" s="754" t="s">
        <v>2000</v>
      </c>
      <c r="E168" s="754" t="s">
        <v>2001</v>
      </c>
      <c r="F168" s="328" t="s">
        <v>2002</v>
      </c>
      <c r="G168" s="328" t="s">
        <v>2003</v>
      </c>
      <c r="H168" s="328" t="s">
        <v>2004</v>
      </c>
      <c r="I168" s="552" t="s">
        <v>2005</v>
      </c>
      <c r="J168" s="328"/>
      <c r="K168" s="328" t="s">
        <v>820</v>
      </c>
      <c r="L168" s="328" t="s">
        <v>857</v>
      </c>
      <c r="M168" s="328" t="s">
        <v>2043</v>
      </c>
      <c r="N168" s="328"/>
      <c r="O168" s="761"/>
      <c r="P168" s="761">
        <v>3</v>
      </c>
      <c r="Q168" s="761"/>
      <c r="R168" s="761">
        <v>3</v>
      </c>
      <c r="S168" s="761">
        <v>4</v>
      </c>
      <c r="T168" s="328" t="s">
        <v>822</v>
      </c>
      <c r="U168" s="328">
        <v>2024</v>
      </c>
      <c r="V168" t="s">
        <v>2045</v>
      </c>
    </row>
    <row r="169" spans="1:22">
      <c r="A169" s="17" t="str">
        <f t="shared" si="5"/>
        <v>Mosquito Control Board2</v>
      </c>
      <c r="B169" s="17">
        <v>2</v>
      </c>
      <c r="C169" s="328" t="s">
        <v>1999</v>
      </c>
      <c r="D169" s="754" t="s">
        <v>2000</v>
      </c>
      <c r="E169" s="328" t="s">
        <v>2006</v>
      </c>
      <c r="F169" s="328" t="s">
        <v>2007</v>
      </c>
      <c r="G169" s="328" t="s">
        <v>620</v>
      </c>
      <c r="H169" s="553" t="s">
        <v>620</v>
      </c>
      <c r="I169" s="552" t="s">
        <v>2008</v>
      </c>
      <c r="J169" s="328"/>
      <c r="K169" s="328" t="s">
        <v>820</v>
      </c>
      <c r="L169" s="328" t="s">
        <v>857</v>
      </c>
      <c r="M169" s="328" t="s">
        <v>2043</v>
      </c>
      <c r="N169" s="328"/>
      <c r="O169" s="761"/>
      <c r="P169" s="761">
        <v>8</v>
      </c>
      <c r="Q169" s="761"/>
      <c r="R169" s="761">
        <v>8</v>
      </c>
      <c r="S169" s="761">
        <v>8</v>
      </c>
      <c r="T169" s="328" t="s">
        <v>822</v>
      </c>
      <c r="U169" s="328">
        <v>2024</v>
      </c>
      <c r="V169" s="45" t="s">
        <v>1328</v>
      </c>
    </row>
    <row r="170" spans="1:22">
      <c r="A170" s="17" t="str">
        <f t="shared" si="5"/>
        <v>Mosquito Control Board3</v>
      </c>
      <c r="B170" s="17">
        <v>3</v>
      </c>
      <c r="C170" s="328" t="s">
        <v>1999</v>
      </c>
      <c r="D170" s="754" t="s">
        <v>2000</v>
      </c>
      <c r="E170" s="328" t="s">
        <v>2356</v>
      </c>
      <c r="F170" s="332" t="s">
        <v>2357</v>
      </c>
      <c r="G170" s="328"/>
      <c r="H170" s="553" t="s">
        <v>1609</v>
      </c>
      <c r="I170" s="552" t="s">
        <v>2358</v>
      </c>
      <c r="J170" s="328"/>
      <c r="K170" s="328" t="s">
        <v>820</v>
      </c>
      <c r="L170" s="328" t="s">
        <v>857</v>
      </c>
      <c r="M170" s="328" t="s">
        <v>2043</v>
      </c>
      <c r="N170" s="328"/>
      <c r="O170" s="761"/>
      <c r="P170" s="761">
        <v>8</v>
      </c>
      <c r="Q170" s="761"/>
      <c r="R170" s="761">
        <v>8</v>
      </c>
      <c r="S170" s="761">
        <v>8</v>
      </c>
      <c r="T170" s="328" t="s">
        <v>822</v>
      </c>
      <c r="U170" s="328">
        <v>2024</v>
      </c>
      <c r="V170" s="45" t="s">
        <v>1328</v>
      </c>
    </row>
    <row r="171" spans="1:22">
      <c r="A171" s="17" t="str">
        <f t="shared" si="5"/>
        <v>Mt. Wachusett Comm. College1</v>
      </c>
      <c r="B171" s="17">
        <v>1</v>
      </c>
      <c r="C171" s="332" t="s">
        <v>438</v>
      </c>
      <c r="D171" s="760" t="s">
        <v>2036</v>
      </c>
      <c r="E171" s="332" t="s">
        <v>2037</v>
      </c>
      <c r="F171" s="332" t="s">
        <v>635</v>
      </c>
      <c r="G171" s="332"/>
      <c r="H171" s="332" t="s">
        <v>514</v>
      </c>
      <c r="I171" s="552" t="s">
        <v>2038</v>
      </c>
      <c r="J171" s="332"/>
      <c r="K171" s="332" t="s">
        <v>820</v>
      </c>
      <c r="L171" s="332" t="s">
        <v>821</v>
      </c>
      <c r="M171" s="332" t="s">
        <v>821</v>
      </c>
      <c r="N171" s="332"/>
      <c r="O171" s="332"/>
      <c r="P171" s="332">
        <v>3</v>
      </c>
      <c r="Q171" s="332"/>
      <c r="R171" s="332">
        <v>3</v>
      </c>
      <c r="S171" s="332">
        <v>6</v>
      </c>
      <c r="T171" s="328" t="s">
        <v>822</v>
      </c>
      <c r="U171" s="332">
        <v>2020</v>
      </c>
      <c r="V171" s="45" t="s">
        <v>1329</v>
      </c>
    </row>
    <row r="172" spans="1:22">
      <c r="A172" s="17" t="str">
        <f t="shared" si="5"/>
        <v>Municipal Police Training Committee1</v>
      </c>
      <c r="B172" s="17">
        <v>1</v>
      </c>
      <c r="C172" s="328" t="s">
        <v>2016</v>
      </c>
      <c r="D172" s="754" t="s">
        <v>2017</v>
      </c>
      <c r="E172" s="328" t="s">
        <v>2018</v>
      </c>
      <c r="F172" s="328" t="s">
        <v>2019</v>
      </c>
      <c r="G172" s="328"/>
      <c r="H172" s="328" t="s">
        <v>2020</v>
      </c>
      <c r="I172" s="552" t="s">
        <v>2021</v>
      </c>
      <c r="J172" s="328"/>
      <c r="K172" s="328" t="s">
        <v>820</v>
      </c>
      <c r="L172" s="328" t="s">
        <v>857</v>
      </c>
      <c r="M172" s="328" t="s">
        <v>2043</v>
      </c>
      <c r="N172" s="328"/>
      <c r="O172" s="761"/>
      <c r="P172" s="761">
        <v>1</v>
      </c>
      <c r="Q172" s="761"/>
      <c r="R172" s="761">
        <v>1</v>
      </c>
      <c r="S172" s="761">
        <v>2</v>
      </c>
      <c r="T172" s="328" t="s">
        <v>822</v>
      </c>
      <c r="U172" s="328">
        <v>2024</v>
      </c>
      <c r="V172" s="45" t="s">
        <v>1329</v>
      </c>
    </row>
    <row r="173" spans="1:22">
      <c r="A173" s="17" t="str">
        <f t="shared" si="5"/>
        <v>Municipal Police Training Committee2</v>
      </c>
      <c r="B173" s="17">
        <v>2</v>
      </c>
      <c r="C173" s="328" t="s">
        <v>2016</v>
      </c>
      <c r="D173" s="754" t="s">
        <v>2017</v>
      </c>
      <c r="E173" s="328" t="s">
        <v>2359</v>
      </c>
      <c r="F173" s="328" t="s">
        <v>2360</v>
      </c>
      <c r="G173" s="328"/>
      <c r="H173" s="328" t="s">
        <v>733</v>
      </c>
      <c r="I173" s="552" t="s">
        <v>818</v>
      </c>
      <c r="J173" s="328"/>
      <c r="K173" s="328" t="s">
        <v>820</v>
      </c>
      <c r="L173" s="328" t="s">
        <v>857</v>
      </c>
      <c r="M173" s="328" t="s">
        <v>2043</v>
      </c>
      <c r="N173" s="328"/>
      <c r="O173" s="761"/>
      <c r="P173" s="761">
        <v>2</v>
      </c>
      <c r="Q173" s="761"/>
      <c r="R173" s="761">
        <f t="shared" ref="R173" si="7">SUM(O173:Q173)</f>
        <v>2</v>
      </c>
      <c r="S173" s="761">
        <v>2</v>
      </c>
      <c r="T173" s="328" t="s">
        <v>822</v>
      </c>
      <c r="U173" s="328">
        <v>2025</v>
      </c>
      <c r="V173" s="45" t="s">
        <v>1328</v>
      </c>
    </row>
    <row r="174" spans="1:22">
      <c r="A174" s="17" t="str">
        <f t="shared" si="5"/>
        <v>Mass. Water Resources Authority1</v>
      </c>
      <c r="B174" s="558">
        <v>1</v>
      </c>
      <c r="C174" s="328" t="s">
        <v>736</v>
      </c>
      <c r="D174" s="754" t="s">
        <v>145</v>
      </c>
      <c r="E174" s="328" t="s">
        <v>889</v>
      </c>
      <c r="F174" s="328" t="s">
        <v>890</v>
      </c>
      <c r="G174" s="328"/>
      <c r="H174" s="328" t="s">
        <v>571</v>
      </c>
      <c r="I174" s="552" t="s">
        <v>1879</v>
      </c>
      <c r="J174" s="328" t="s">
        <v>837</v>
      </c>
      <c r="K174" s="328" t="s">
        <v>820</v>
      </c>
      <c r="L174" s="328" t="s">
        <v>857</v>
      </c>
      <c r="M174" s="328" t="s">
        <v>2043</v>
      </c>
      <c r="N174" s="328" t="s">
        <v>1154</v>
      </c>
      <c r="O174" s="761"/>
      <c r="P174" s="761">
        <v>2</v>
      </c>
      <c r="Q174" s="761"/>
      <c r="R174" s="761">
        <v>2</v>
      </c>
      <c r="S174" s="761">
        <v>2</v>
      </c>
      <c r="T174" s="328" t="s">
        <v>822</v>
      </c>
      <c r="U174" s="328">
        <v>2019</v>
      </c>
      <c r="V174" s="45" t="s">
        <v>1328</v>
      </c>
    </row>
    <row r="175" spans="1:22">
      <c r="A175" s="17" t="str">
        <f t="shared" si="5"/>
        <v>Mass. Water Resources Authority2</v>
      </c>
      <c r="B175" s="558">
        <v>2</v>
      </c>
      <c r="C175" s="328" t="s">
        <v>736</v>
      </c>
      <c r="D175" s="754" t="s">
        <v>145</v>
      </c>
      <c r="E175" s="328" t="s">
        <v>1242</v>
      </c>
      <c r="F175" s="328" t="s">
        <v>1243</v>
      </c>
      <c r="G175" s="328"/>
      <c r="H175" s="328" t="s">
        <v>888</v>
      </c>
      <c r="I175" s="552" t="s">
        <v>1244</v>
      </c>
      <c r="J175" s="328" t="s">
        <v>826</v>
      </c>
      <c r="K175" s="328" t="s">
        <v>820</v>
      </c>
      <c r="L175" s="328" t="s">
        <v>857</v>
      </c>
      <c r="M175" s="328" t="s">
        <v>2043</v>
      </c>
      <c r="N175" s="328" t="s">
        <v>1154</v>
      </c>
      <c r="O175" s="761"/>
      <c r="P175" s="761">
        <v>2</v>
      </c>
      <c r="Q175" s="761"/>
      <c r="R175" s="761">
        <v>2</v>
      </c>
      <c r="S175" s="761">
        <v>2</v>
      </c>
      <c r="T175" s="328" t="s">
        <v>822</v>
      </c>
      <c r="U175" s="328">
        <v>2019</v>
      </c>
      <c r="V175" s="45" t="s">
        <v>1328</v>
      </c>
    </row>
    <row r="176" spans="1:22">
      <c r="A176" s="17" t="str">
        <f t="shared" si="5"/>
        <v>Mass. Water Resources Authority3</v>
      </c>
      <c r="B176" s="558">
        <v>3</v>
      </c>
      <c r="C176" s="328" t="s">
        <v>736</v>
      </c>
      <c r="D176" s="754" t="s">
        <v>145</v>
      </c>
      <c r="E176" s="328" t="s">
        <v>1245</v>
      </c>
      <c r="F176" s="328" t="s">
        <v>886</v>
      </c>
      <c r="G176" s="328"/>
      <c r="H176" s="328" t="s">
        <v>478</v>
      </c>
      <c r="I176" s="552" t="s">
        <v>887</v>
      </c>
      <c r="J176" s="328" t="s">
        <v>837</v>
      </c>
      <c r="K176" s="328" t="s">
        <v>820</v>
      </c>
      <c r="L176" s="328" t="s">
        <v>857</v>
      </c>
      <c r="M176" s="328" t="s">
        <v>2043</v>
      </c>
      <c r="N176" s="328" t="s">
        <v>1154</v>
      </c>
      <c r="O176" s="761"/>
      <c r="P176" s="761">
        <v>2</v>
      </c>
      <c r="Q176" s="761"/>
      <c r="R176" s="761">
        <v>2</v>
      </c>
      <c r="S176" s="761">
        <v>4</v>
      </c>
      <c r="T176" s="328" t="s">
        <v>822</v>
      </c>
      <c r="U176" s="328">
        <v>2018</v>
      </c>
      <c r="V176" t="s">
        <v>1329</v>
      </c>
    </row>
    <row r="177" spans="1:22">
      <c r="A177" s="17" t="str">
        <f t="shared" ref="A177:A211" si="8">D177&amp;B177</f>
        <v>Mass. Water Resources Authority4</v>
      </c>
      <c r="B177" s="558">
        <v>4</v>
      </c>
      <c r="C177" s="328" t="s">
        <v>736</v>
      </c>
      <c r="D177" s="754" t="s">
        <v>145</v>
      </c>
      <c r="E177" s="328" t="s">
        <v>1245</v>
      </c>
      <c r="F177" s="328" t="s">
        <v>886</v>
      </c>
      <c r="G177" s="328"/>
      <c r="H177" s="328" t="s">
        <v>478</v>
      </c>
      <c r="I177" s="552" t="s">
        <v>887</v>
      </c>
      <c r="J177" s="328" t="s">
        <v>837</v>
      </c>
      <c r="K177" s="328" t="s">
        <v>820</v>
      </c>
      <c r="L177" s="328" t="s">
        <v>857</v>
      </c>
      <c r="M177" s="328" t="s">
        <v>2043</v>
      </c>
      <c r="N177" s="328" t="s">
        <v>1154</v>
      </c>
      <c r="O177" s="761"/>
      <c r="P177" s="761">
        <v>2</v>
      </c>
      <c r="Q177" s="761"/>
      <c r="R177" s="761">
        <v>2</v>
      </c>
      <c r="S177" s="761">
        <v>2</v>
      </c>
      <c r="T177" s="328" t="s">
        <v>822</v>
      </c>
      <c r="U177" s="328">
        <v>2020</v>
      </c>
      <c r="V177" s="45" t="s">
        <v>1328</v>
      </c>
    </row>
    <row r="178" spans="1:22">
      <c r="A178" s="17" t="str">
        <f t="shared" si="8"/>
        <v>Mass. Water Resources Authority5</v>
      </c>
      <c r="B178" s="558">
        <v>5</v>
      </c>
      <c r="C178" s="328" t="s">
        <v>736</v>
      </c>
      <c r="D178" s="754" t="s">
        <v>145</v>
      </c>
      <c r="E178" s="328" t="s">
        <v>1246</v>
      </c>
      <c r="F178" s="328" t="s">
        <v>891</v>
      </c>
      <c r="G178" s="328"/>
      <c r="H178" s="328" t="s">
        <v>589</v>
      </c>
      <c r="I178" s="552" t="s">
        <v>1880</v>
      </c>
      <c r="J178" s="328" t="s">
        <v>826</v>
      </c>
      <c r="K178" s="328" t="s">
        <v>820</v>
      </c>
      <c r="L178" s="328" t="s">
        <v>857</v>
      </c>
      <c r="M178" s="328" t="s">
        <v>2043</v>
      </c>
      <c r="N178" s="328" t="s">
        <v>1154</v>
      </c>
      <c r="O178" s="761"/>
      <c r="P178" s="761">
        <v>1</v>
      </c>
      <c r="Q178" s="761"/>
      <c r="R178" s="761">
        <v>1</v>
      </c>
      <c r="S178" s="761">
        <v>1</v>
      </c>
      <c r="T178" s="328" t="s">
        <v>822</v>
      </c>
      <c r="U178" s="328">
        <v>2019</v>
      </c>
      <c r="V178" t="s">
        <v>1328</v>
      </c>
    </row>
    <row r="179" spans="1:22">
      <c r="A179" s="17" t="str">
        <f t="shared" si="8"/>
        <v>Mass. Water Resources Authority6</v>
      </c>
      <c r="B179" s="558">
        <v>6</v>
      </c>
      <c r="C179" s="328" t="s">
        <v>736</v>
      </c>
      <c r="D179" s="754" t="s">
        <v>145</v>
      </c>
      <c r="E179" s="328" t="s">
        <v>1245</v>
      </c>
      <c r="F179" s="328" t="s">
        <v>886</v>
      </c>
      <c r="G179" s="332"/>
      <c r="H179" s="328" t="s">
        <v>478</v>
      </c>
      <c r="I179" s="552" t="s">
        <v>887</v>
      </c>
      <c r="J179" s="328" t="s">
        <v>837</v>
      </c>
      <c r="K179" s="328" t="s">
        <v>820</v>
      </c>
      <c r="L179" s="332" t="s">
        <v>857</v>
      </c>
      <c r="M179" s="328" t="s">
        <v>2043</v>
      </c>
      <c r="N179" s="332"/>
      <c r="O179" s="332"/>
      <c r="P179" s="332">
        <v>4</v>
      </c>
      <c r="Q179" s="332"/>
      <c r="R179" s="761">
        <v>4</v>
      </c>
      <c r="S179" s="332">
        <v>8</v>
      </c>
      <c r="T179" s="328" t="s">
        <v>822</v>
      </c>
      <c r="U179" s="332">
        <v>2022</v>
      </c>
      <c r="V179" s="45" t="s">
        <v>1329</v>
      </c>
    </row>
    <row r="180" spans="1:22">
      <c r="A180" s="17" t="str">
        <f t="shared" si="8"/>
        <v>Mass. Water Resources Authority7</v>
      </c>
      <c r="B180" s="558">
        <v>7</v>
      </c>
      <c r="C180" s="328" t="s">
        <v>736</v>
      </c>
      <c r="D180" s="754" t="s">
        <v>145</v>
      </c>
      <c r="E180" s="332" t="s">
        <v>2361</v>
      </c>
      <c r="F180" s="332" t="s">
        <v>2362</v>
      </c>
      <c r="G180" s="332"/>
      <c r="H180" s="332" t="s">
        <v>1605</v>
      </c>
      <c r="I180" s="552" t="s">
        <v>2363</v>
      </c>
      <c r="J180" s="328"/>
      <c r="K180" s="328" t="s">
        <v>820</v>
      </c>
      <c r="L180" s="332" t="s">
        <v>857</v>
      </c>
      <c r="M180" s="328" t="s">
        <v>2043</v>
      </c>
      <c r="N180" s="332"/>
      <c r="O180" s="332"/>
      <c r="P180" s="332">
        <v>2</v>
      </c>
      <c r="Q180" s="332"/>
      <c r="R180" s="761">
        <v>2</v>
      </c>
      <c r="S180" s="332">
        <v>4</v>
      </c>
      <c r="T180" s="328" t="s">
        <v>822</v>
      </c>
      <c r="U180" s="332">
        <v>2025</v>
      </c>
      <c r="V180" s="45" t="s">
        <v>1329</v>
      </c>
    </row>
    <row r="181" spans="1:22">
      <c r="A181" s="17" t="str">
        <f t="shared" si="8"/>
        <v>North Shore Comm. College1</v>
      </c>
      <c r="B181" s="17">
        <v>1</v>
      </c>
      <c r="C181" s="328" t="s">
        <v>438</v>
      </c>
      <c r="D181" s="323" t="s">
        <v>177</v>
      </c>
      <c r="E181" s="328" t="s">
        <v>1918</v>
      </c>
      <c r="F181" s="328" t="s">
        <v>1919</v>
      </c>
      <c r="G181" s="328" t="s">
        <v>1920</v>
      </c>
      <c r="H181" s="328" t="s">
        <v>1608</v>
      </c>
      <c r="I181" s="552" t="s">
        <v>1921</v>
      </c>
      <c r="J181" s="328"/>
      <c r="K181" s="328" t="s">
        <v>820</v>
      </c>
      <c r="L181" s="328" t="s">
        <v>821</v>
      </c>
      <c r="M181" s="328" t="s">
        <v>821</v>
      </c>
      <c r="N181" s="328"/>
      <c r="O181" s="761"/>
      <c r="P181" s="761">
        <v>2</v>
      </c>
      <c r="Q181" s="761"/>
      <c r="R181" s="761">
        <v>2</v>
      </c>
      <c r="S181" s="761">
        <v>4</v>
      </c>
      <c r="T181" s="328" t="s">
        <v>822</v>
      </c>
      <c r="U181" s="328">
        <v>2023</v>
      </c>
      <c r="V181" t="s">
        <v>1329</v>
      </c>
    </row>
    <row r="182" spans="1:22">
      <c r="A182" s="17" t="str">
        <f t="shared" si="8"/>
        <v>North Shore Comm. College2</v>
      </c>
      <c r="B182" s="17">
        <v>2</v>
      </c>
      <c r="C182" s="328" t="s">
        <v>438</v>
      </c>
      <c r="D182" s="323" t="s">
        <v>177</v>
      </c>
      <c r="E182" s="328" t="s">
        <v>1922</v>
      </c>
      <c r="F182" s="328" t="s">
        <v>642</v>
      </c>
      <c r="G182" s="328" t="s">
        <v>1923</v>
      </c>
      <c r="H182" s="328" t="s">
        <v>643</v>
      </c>
      <c r="I182" s="552" t="s">
        <v>1924</v>
      </c>
      <c r="J182" s="328"/>
      <c r="K182" s="328" t="s">
        <v>820</v>
      </c>
      <c r="L182" s="328" t="s">
        <v>821</v>
      </c>
      <c r="M182" s="328" t="s">
        <v>821</v>
      </c>
      <c r="N182" s="328"/>
      <c r="O182" s="761"/>
      <c r="P182" s="761">
        <v>2</v>
      </c>
      <c r="Q182" s="761"/>
      <c r="R182" s="761">
        <v>2</v>
      </c>
      <c r="S182" s="761">
        <v>4</v>
      </c>
      <c r="T182" s="328" t="s">
        <v>822</v>
      </c>
      <c r="U182" s="328">
        <v>2023</v>
      </c>
      <c r="V182" t="s">
        <v>1329</v>
      </c>
    </row>
    <row r="183" spans="1:22">
      <c r="A183" s="17" t="str">
        <f t="shared" si="8"/>
        <v>North Shore Comm. College3</v>
      </c>
      <c r="B183" s="17">
        <v>3</v>
      </c>
      <c r="C183" s="757" t="s">
        <v>438</v>
      </c>
      <c r="D183" s="323" t="s">
        <v>177</v>
      </c>
      <c r="E183" s="757" t="s">
        <v>1930</v>
      </c>
      <c r="F183" s="757" t="s">
        <v>1931</v>
      </c>
      <c r="G183" s="328"/>
      <c r="H183" s="757" t="s">
        <v>1608</v>
      </c>
      <c r="I183" s="758" t="s">
        <v>1921</v>
      </c>
      <c r="J183" s="757"/>
      <c r="K183" s="757" t="s">
        <v>820</v>
      </c>
      <c r="L183" s="757" t="s">
        <v>821</v>
      </c>
      <c r="M183" s="757" t="s">
        <v>821</v>
      </c>
      <c r="N183" s="757"/>
      <c r="O183" s="763"/>
      <c r="P183" s="763">
        <v>2</v>
      </c>
      <c r="Q183" s="763"/>
      <c r="R183" s="761">
        <v>2</v>
      </c>
      <c r="S183" s="763">
        <v>4</v>
      </c>
      <c r="T183" s="328" t="s">
        <v>822</v>
      </c>
      <c r="U183" s="757">
        <v>2024</v>
      </c>
      <c r="V183" t="s">
        <v>1329</v>
      </c>
    </row>
    <row r="184" spans="1:22">
      <c r="A184" s="17" t="str">
        <f t="shared" si="8"/>
        <v>North Shore Comm. College4</v>
      </c>
      <c r="B184" s="17">
        <v>4</v>
      </c>
      <c r="C184" s="757" t="s">
        <v>438</v>
      </c>
      <c r="D184" s="323" t="s">
        <v>177</v>
      </c>
      <c r="E184" s="757" t="s">
        <v>1932</v>
      </c>
      <c r="F184" s="757" t="s">
        <v>642</v>
      </c>
      <c r="G184" s="328"/>
      <c r="H184" s="757" t="s">
        <v>643</v>
      </c>
      <c r="I184" s="758" t="s">
        <v>1924</v>
      </c>
      <c r="J184" s="757"/>
      <c r="K184" s="757" t="s">
        <v>820</v>
      </c>
      <c r="L184" s="757" t="s">
        <v>821</v>
      </c>
      <c r="M184" s="757" t="s">
        <v>821</v>
      </c>
      <c r="N184" s="757"/>
      <c r="O184" s="763"/>
      <c r="P184" s="763">
        <v>2</v>
      </c>
      <c r="Q184" s="763"/>
      <c r="R184" s="761">
        <v>2</v>
      </c>
      <c r="S184" s="763">
        <v>4</v>
      </c>
      <c r="T184" s="328" t="s">
        <v>822</v>
      </c>
      <c r="U184" s="757">
        <v>2024</v>
      </c>
      <c r="V184" t="s">
        <v>1329</v>
      </c>
    </row>
    <row r="185" spans="1:22">
      <c r="A185" s="17" t="str">
        <f t="shared" si="8"/>
        <v>North Shore Comm. College5</v>
      </c>
      <c r="B185" s="17">
        <v>5</v>
      </c>
      <c r="C185" s="757" t="s">
        <v>438</v>
      </c>
      <c r="D185" s="323" t="s">
        <v>177</v>
      </c>
      <c r="E185" s="757" t="s">
        <v>1930</v>
      </c>
      <c r="F185" s="757" t="s">
        <v>1931</v>
      </c>
      <c r="G185" s="328"/>
      <c r="H185" s="757" t="s">
        <v>1608</v>
      </c>
      <c r="I185" s="758" t="s">
        <v>1921</v>
      </c>
      <c r="J185" s="757"/>
      <c r="K185" s="757" t="s">
        <v>820</v>
      </c>
      <c r="L185" s="757" t="s">
        <v>857</v>
      </c>
      <c r="M185" s="328" t="s">
        <v>2043</v>
      </c>
      <c r="N185" s="757"/>
      <c r="O185" s="763"/>
      <c r="P185" s="332">
        <v>2</v>
      </c>
      <c r="Q185" s="332"/>
      <c r="R185" s="761">
        <f t="shared" ref="R185:R186" si="9">SUM(O185:Q185)</f>
        <v>2</v>
      </c>
      <c r="S185" s="332">
        <v>4</v>
      </c>
      <c r="T185" s="328" t="s">
        <v>822</v>
      </c>
      <c r="U185" s="332">
        <v>2025</v>
      </c>
      <c r="V185" t="s">
        <v>1329</v>
      </c>
    </row>
    <row r="186" spans="1:22">
      <c r="A186" s="17" t="str">
        <f t="shared" si="8"/>
        <v>North Shore Comm. College6</v>
      </c>
      <c r="B186" s="17">
        <v>6</v>
      </c>
      <c r="C186" s="757" t="s">
        <v>438</v>
      </c>
      <c r="D186" s="323" t="s">
        <v>177</v>
      </c>
      <c r="E186" s="757" t="s">
        <v>1932</v>
      </c>
      <c r="F186" s="757" t="s">
        <v>642</v>
      </c>
      <c r="G186" s="328"/>
      <c r="H186" s="757" t="s">
        <v>643</v>
      </c>
      <c r="I186" s="758" t="s">
        <v>1924</v>
      </c>
      <c r="J186" s="757"/>
      <c r="K186" s="757" t="s">
        <v>820</v>
      </c>
      <c r="L186" s="757" t="s">
        <v>857</v>
      </c>
      <c r="M186" s="328" t="s">
        <v>2043</v>
      </c>
      <c r="N186" s="757"/>
      <c r="O186" s="763"/>
      <c r="P186" s="332">
        <v>2</v>
      </c>
      <c r="Q186" s="332"/>
      <c r="R186" s="761">
        <f t="shared" si="9"/>
        <v>2</v>
      </c>
      <c r="S186" s="332">
        <v>4</v>
      </c>
      <c r="T186" s="328" t="s">
        <v>822</v>
      </c>
      <c r="U186" s="332">
        <v>2025</v>
      </c>
      <c r="V186" t="s">
        <v>1329</v>
      </c>
    </row>
    <row r="187" spans="1:22">
      <c r="A187" s="17" t="str">
        <f t="shared" si="8"/>
        <v>Quinsigamond Comm. College1</v>
      </c>
      <c r="B187" s="558">
        <v>1</v>
      </c>
      <c r="C187" s="328" t="s">
        <v>438</v>
      </c>
      <c r="D187" s="754" t="s">
        <v>183</v>
      </c>
      <c r="E187" s="328" t="s">
        <v>892</v>
      </c>
      <c r="F187" s="328" t="s">
        <v>1881</v>
      </c>
      <c r="G187" s="754" t="s">
        <v>894</v>
      </c>
      <c r="H187" s="328" t="s">
        <v>534</v>
      </c>
      <c r="I187" s="552" t="s">
        <v>895</v>
      </c>
      <c r="J187" s="328" t="s">
        <v>826</v>
      </c>
      <c r="K187" s="328" t="s">
        <v>820</v>
      </c>
      <c r="L187" s="328" t="s">
        <v>821</v>
      </c>
      <c r="M187" s="328" t="s">
        <v>821</v>
      </c>
      <c r="N187" s="328" t="s">
        <v>1154</v>
      </c>
      <c r="O187" s="761"/>
      <c r="P187" s="761">
        <v>1</v>
      </c>
      <c r="Q187" s="761"/>
      <c r="R187" s="761">
        <v>1</v>
      </c>
      <c r="S187" s="761">
        <v>2</v>
      </c>
      <c r="T187" s="328" t="s">
        <v>822</v>
      </c>
      <c r="U187" s="328">
        <v>2013</v>
      </c>
      <c r="V187" s="45" t="s">
        <v>1329</v>
      </c>
    </row>
    <row r="188" spans="1:22">
      <c r="A188" s="17" t="str">
        <f t="shared" si="8"/>
        <v>Quinsigamond Comm. College2</v>
      </c>
      <c r="B188" s="558">
        <v>2</v>
      </c>
      <c r="C188" s="328" t="s">
        <v>438</v>
      </c>
      <c r="D188" s="754" t="s">
        <v>183</v>
      </c>
      <c r="E188" s="328" t="s">
        <v>892</v>
      </c>
      <c r="F188" s="328" t="s">
        <v>1881</v>
      </c>
      <c r="G188" s="754" t="s">
        <v>893</v>
      </c>
      <c r="H188" s="328" t="s">
        <v>534</v>
      </c>
      <c r="I188" s="552" t="s">
        <v>852</v>
      </c>
      <c r="J188" s="328" t="s">
        <v>826</v>
      </c>
      <c r="K188" s="328" t="s">
        <v>820</v>
      </c>
      <c r="L188" s="328" t="s">
        <v>821</v>
      </c>
      <c r="M188" s="328" t="s">
        <v>821</v>
      </c>
      <c r="N188" s="328" t="s">
        <v>1154</v>
      </c>
      <c r="O188" s="761"/>
      <c r="P188" s="761">
        <v>1</v>
      </c>
      <c r="Q188" s="761"/>
      <c r="R188" s="761">
        <v>1</v>
      </c>
      <c r="S188" s="761">
        <v>2</v>
      </c>
      <c r="T188" s="328" t="s">
        <v>822</v>
      </c>
      <c r="U188" s="328">
        <v>2014</v>
      </c>
      <c r="V188" s="45" t="s">
        <v>1329</v>
      </c>
    </row>
    <row r="189" spans="1:22">
      <c r="A189" s="17" t="str">
        <f t="shared" si="8"/>
        <v>Roxbury Comm. College1</v>
      </c>
      <c r="B189" s="558">
        <v>1</v>
      </c>
      <c r="C189" s="328" t="s">
        <v>438</v>
      </c>
      <c r="D189" s="754" t="s">
        <v>188</v>
      </c>
      <c r="E189" s="328" t="s">
        <v>896</v>
      </c>
      <c r="F189" s="754" t="s">
        <v>647</v>
      </c>
      <c r="G189" s="754" t="s">
        <v>1248</v>
      </c>
      <c r="H189" s="328" t="s">
        <v>460</v>
      </c>
      <c r="I189" s="552" t="s">
        <v>897</v>
      </c>
      <c r="J189" s="328" t="s">
        <v>837</v>
      </c>
      <c r="K189" s="328" t="s">
        <v>820</v>
      </c>
      <c r="L189" s="328" t="s">
        <v>821</v>
      </c>
      <c r="M189" s="328" t="s">
        <v>821</v>
      </c>
      <c r="N189" s="328" t="s">
        <v>1154</v>
      </c>
      <c r="O189" s="761"/>
      <c r="P189" s="761">
        <v>3</v>
      </c>
      <c r="Q189" s="761"/>
      <c r="R189" s="761">
        <v>3</v>
      </c>
      <c r="S189" s="761">
        <v>6</v>
      </c>
      <c r="T189" s="328" t="s">
        <v>822</v>
      </c>
      <c r="U189" s="328">
        <v>2017</v>
      </c>
      <c r="V189" s="45" t="s">
        <v>1329</v>
      </c>
    </row>
    <row r="190" spans="1:22">
      <c r="A190" s="17" t="str">
        <f t="shared" si="8"/>
        <v>Salem State University1</v>
      </c>
      <c r="B190" s="558">
        <v>1</v>
      </c>
      <c r="C190" s="328" t="s">
        <v>438</v>
      </c>
      <c r="D190" s="754" t="s">
        <v>190</v>
      </c>
      <c r="E190" s="328" t="s">
        <v>898</v>
      </c>
      <c r="F190" s="754" t="s">
        <v>1249</v>
      </c>
      <c r="G190" s="754" t="s">
        <v>1250</v>
      </c>
      <c r="H190" s="328" t="s">
        <v>651</v>
      </c>
      <c r="I190" s="552" t="s">
        <v>899</v>
      </c>
      <c r="J190" s="328" t="s">
        <v>826</v>
      </c>
      <c r="K190" s="328" t="s">
        <v>820</v>
      </c>
      <c r="L190" s="328" t="s">
        <v>821</v>
      </c>
      <c r="M190" s="328" t="s">
        <v>821</v>
      </c>
      <c r="N190" s="328" t="s">
        <v>1154</v>
      </c>
      <c r="O190" s="761"/>
      <c r="P190" s="761">
        <v>6</v>
      </c>
      <c r="Q190" s="761"/>
      <c r="R190" s="761">
        <v>6</v>
      </c>
      <c r="S190" s="761">
        <v>12</v>
      </c>
      <c r="T190" s="328" t="s">
        <v>822</v>
      </c>
      <c r="U190" s="328">
        <v>2020</v>
      </c>
      <c r="V190" s="45" t="s">
        <v>1329</v>
      </c>
    </row>
    <row r="191" spans="1:22">
      <c r="A191" s="17" t="str">
        <f t="shared" si="8"/>
        <v>Salem State University2</v>
      </c>
      <c r="B191" s="45">
        <v>2</v>
      </c>
      <c r="C191" s="328" t="s">
        <v>438</v>
      </c>
      <c r="D191" s="754" t="s">
        <v>190</v>
      </c>
      <c r="E191" s="328" t="s">
        <v>898</v>
      </c>
      <c r="F191" s="754" t="s">
        <v>1251</v>
      </c>
      <c r="G191" s="754" t="s">
        <v>1252</v>
      </c>
      <c r="H191" s="328" t="s">
        <v>651</v>
      </c>
      <c r="I191" s="552" t="s">
        <v>899</v>
      </c>
      <c r="J191" s="328" t="s">
        <v>826</v>
      </c>
      <c r="K191" s="328" t="s">
        <v>820</v>
      </c>
      <c r="L191" s="328" t="s">
        <v>821</v>
      </c>
      <c r="M191" s="328" t="s">
        <v>821</v>
      </c>
      <c r="N191" s="328" t="s">
        <v>1154</v>
      </c>
      <c r="O191" s="761"/>
      <c r="P191" s="761">
        <v>2</v>
      </c>
      <c r="Q191" s="761"/>
      <c r="R191" s="761">
        <v>2</v>
      </c>
      <c r="S191" s="761">
        <v>4</v>
      </c>
      <c r="T191" s="328" t="s">
        <v>822</v>
      </c>
      <c r="U191" s="328">
        <v>2015</v>
      </c>
      <c r="V191" t="s">
        <v>1329</v>
      </c>
    </row>
    <row r="192" spans="1:22">
      <c r="A192" s="17" t="str">
        <f t="shared" si="8"/>
        <v>Salem State University3</v>
      </c>
      <c r="B192" s="45">
        <v>3</v>
      </c>
      <c r="C192" s="328" t="s">
        <v>438</v>
      </c>
      <c r="D192" s="754" t="s">
        <v>190</v>
      </c>
      <c r="E192" s="328" t="s">
        <v>898</v>
      </c>
      <c r="F192" s="754" t="s">
        <v>1251</v>
      </c>
      <c r="G192" s="754" t="s">
        <v>1252</v>
      </c>
      <c r="H192" s="328" t="s">
        <v>651</v>
      </c>
      <c r="I192" s="552" t="s">
        <v>899</v>
      </c>
      <c r="J192" s="328" t="s">
        <v>826</v>
      </c>
      <c r="K192" s="328" t="s">
        <v>820</v>
      </c>
      <c r="L192" s="328" t="s">
        <v>821</v>
      </c>
      <c r="M192" s="328" t="s">
        <v>821</v>
      </c>
      <c r="N192" s="328" t="s">
        <v>1154</v>
      </c>
      <c r="O192" s="761"/>
      <c r="P192" s="761">
        <v>1</v>
      </c>
      <c r="Q192" s="761"/>
      <c r="R192" s="761">
        <v>1</v>
      </c>
      <c r="S192" s="761">
        <v>1</v>
      </c>
      <c r="T192" s="328" t="s">
        <v>822</v>
      </c>
      <c r="U192" s="328">
        <v>2016</v>
      </c>
      <c r="V192" t="s">
        <v>1328</v>
      </c>
    </row>
    <row r="193" spans="1:22">
      <c r="A193" s="17" t="str">
        <f t="shared" si="8"/>
        <v>Salem State University4</v>
      </c>
      <c r="B193">
        <v>4</v>
      </c>
      <c r="C193" s="328" t="s">
        <v>438</v>
      </c>
      <c r="D193" s="754" t="s">
        <v>190</v>
      </c>
      <c r="E193" s="328" t="s">
        <v>898</v>
      </c>
      <c r="F193" s="328" t="s">
        <v>653</v>
      </c>
      <c r="G193" s="328" t="s">
        <v>1302</v>
      </c>
      <c r="H193" s="328" t="s">
        <v>651</v>
      </c>
      <c r="I193" s="552" t="s">
        <v>899</v>
      </c>
      <c r="J193" s="328" t="s">
        <v>826</v>
      </c>
      <c r="K193" s="328" t="s">
        <v>820</v>
      </c>
      <c r="L193" s="328" t="s">
        <v>1170</v>
      </c>
      <c r="M193" s="328" t="s">
        <v>915</v>
      </c>
      <c r="N193" s="328" t="s">
        <v>2044</v>
      </c>
      <c r="O193" s="761"/>
      <c r="P193" s="761">
        <v>3</v>
      </c>
      <c r="Q193" s="761"/>
      <c r="R193" s="761">
        <v>3</v>
      </c>
      <c r="S193" s="761">
        <v>6</v>
      </c>
      <c r="T193" s="328" t="s">
        <v>822</v>
      </c>
      <c r="U193" s="328">
        <v>2022</v>
      </c>
      <c r="V193" s="45" t="s">
        <v>1329</v>
      </c>
    </row>
    <row r="194" spans="1:22">
      <c r="A194" s="17" t="str">
        <f t="shared" si="8"/>
        <v>Springfield Tech Comm. College1</v>
      </c>
      <c r="B194" s="45">
        <v>1</v>
      </c>
      <c r="C194" s="328" t="s">
        <v>438</v>
      </c>
      <c r="D194" s="754" t="s">
        <v>1322</v>
      </c>
      <c r="E194" s="328" t="s">
        <v>1323</v>
      </c>
      <c r="F194" s="328" t="s">
        <v>1324</v>
      </c>
      <c r="G194" s="328" t="s">
        <v>1325</v>
      </c>
      <c r="H194" s="328" t="s">
        <v>613</v>
      </c>
      <c r="I194" s="552" t="s">
        <v>1326</v>
      </c>
      <c r="J194" s="328"/>
      <c r="K194" s="328" t="s">
        <v>820</v>
      </c>
      <c r="L194" s="328" t="s">
        <v>821</v>
      </c>
      <c r="M194" s="328" t="s">
        <v>821</v>
      </c>
      <c r="N194" s="328"/>
      <c r="O194" s="761"/>
      <c r="P194" s="761">
        <v>2</v>
      </c>
      <c r="Q194" s="761"/>
      <c r="R194" s="761">
        <v>2</v>
      </c>
      <c r="S194" s="761">
        <v>4</v>
      </c>
      <c r="T194" s="328" t="s">
        <v>822</v>
      </c>
      <c r="U194" s="328">
        <v>2020</v>
      </c>
      <c r="V194" t="s">
        <v>1329</v>
      </c>
    </row>
    <row r="195" spans="1:22">
      <c r="A195" s="17" t="str">
        <f t="shared" si="8"/>
        <v>UMass Amherst1</v>
      </c>
      <c r="B195">
        <v>1</v>
      </c>
      <c r="C195" s="328" t="s">
        <v>661</v>
      </c>
      <c r="D195" s="754" t="s">
        <v>201</v>
      </c>
      <c r="E195" s="328" t="s">
        <v>900</v>
      </c>
      <c r="F195" s="754" t="s">
        <v>659</v>
      </c>
      <c r="G195" s="754" t="s">
        <v>1859</v>
      </c>
      <c r="H195" s="328" t="s">
        <v>660</v>
      </c>
      <c r="I195" s="552" t="s">
        <v>901</v>
      </c>
      <c r="J195" s="328" t="s">
        <v>837</v>
      </c>
      <c r="K195" s="328" t="s">
        <v>820</v>
      </c>
      <c r="L195" s="328" t="s">
        <v>821</v>
      </c>
      <c r="M195" s="328" t="s">
        <v>821</v>
      </c>
      <c r="N195" s="328" t="s">
        <v>1154</v>
      </c>
      <c r="O195" s="761"/>
      <c r="P195" s="761"/>
      <c r="Q195" s="761">
        <v>1</v>
      </c>
      <c r="R195" s="761">
        <v>1</v>
      </c>
      <c r="S195" s="761">
        <v>1</v>
      </c>
      <c r="T195" s="328" t="s">
        <v>844</v>
      </c>
      <c r="U195" s="328">
        <v>2016</v>
      </c>
      <c r="V195" t="s">
        <v>1328</v>
      </c>
    </row>
    <row r="196" spans="1:22">
      <c r="A196" s="17" t="str">
        <f t="shared" si="8"/>
        <v>UMass Amherst2</v>
      </c>
      <c r="B196" s="45">
        <v>2</v>
      </c>
      <c r="C196" s="328" t="s">
        <v>661</v>
      </c>
      <c r="D196" s="754" t="s">
        <v>201</v>
      </c>
      <c r="E196" s="328" t="s">
        <v>900</v>
      </c>
      <c r="F196" s="328" t="s">
        <v>1882</v>
      </c>
      <c r="G196" s="754" t="s">
        <v>1256</v>
      </c>
      <c r="H196" s="328" t="s">
        <v>660</v>
      </c>
      <c r="I196" s="552" t="s">
        <v>901</v>
      </c>
      <c r="J196" s="328" t="s">
        <v>837</v>
      </c>
      <c r="K196" s="328" t="s">
        <v>820</v>
      </c>
      <c r="L196" s="328" t="s">
        <v>821</v>
      </c>
      <c r="M196" s="328" t="s">
        <v>821</v>
      </c>
      <c r="N196" s="328" t="s">
        <v>1154</v>
      </c>
      <c r="O196" s="761"/>
      <c r="P196" s="761">
        <v>2</v>
      </c>
      <c r="Q196" s="761"/>
      <c r="R196" s="761">
        <v>2</v>
      </c>
      <c r="S196" s="761">
        <v>4</v>
      </c>
      <c r="T196" s="328" t="s">
        <v>822</v>
      </c>
      <c r="U196" s="328">
        <v>2014</v>
      </c>
      <c r="V196" t="s">
        <v>1329</v>
      </c>
    </row>
    <row r="197" spans="1:22">
      <c r="A197" s="17" t="str">
        <f t="shared" si="8"/>
        <v>UMass Amherst3</v>
      </c>
      <c r="B197" s="45">
        <v>3</v>
      </c>
      <c r="C197" s="328" t="s">
        <v>661</v>
      </c>
      <c r="D197" s="754" t="s">
        <v>201</v>
      </c>
      <c r="E197" s="328" t="s">
        <v>900</v>
      </c>
      <c r="F197" s="328" t="s">
        <v>1883</v>
      </c>
      <c r="G197" s="328" t="s">
        <v>1884</v>
      </c>
      <c r="H197" s="328" t="s">
        <v>660</v>
      </c>
      <c r="I197" s="552" t="s">
        <v>901</v>
      </c>
      <c r="J197" s="328" t="s">
        <v>837</v>
      </c>
      <c r="K197" s="328" t="s">
        <v>820</v>
      </c>
      <c r="L197" s="328" t="s">
        <v>821</v>
      </c>
      <c r="M197" s="328" t="s">
        <v>821</v>
      </c>
      <c r="N197" s="328" t="s">
        <v>1154</v>
      </c>
      <c r="O197" s="761"/>
      <c r="P197" s="761">
        <v>1</v>
      </c>
      <c r="Q197" s="761"/>
      <c r="R197" s="761">
        <v>1</v>
      </c>
      <c r="S197" s="761">
        <v>2</v>
      </c>
      <c r="T197" s="328" t="s">
        <v>822</v>
      </c>
      <c r="U197" s="328">
        <v>2019</v>
      </c>
      <c r="V197" s="45" t="s">
        <v>1329</v>
      </c>
    </row>
    <row r="198" spans="1:22">
      <c r="A198" s="17" t="str">
        <f t="shared" si="8"/>
        <v>UMass Amherst4</v>
      </c>
      <c r="B198">
        <v>4</v>
      </c>
      <c r="C198" s="328" t="s">
        <v>661</v>
      </c>
      <c r="D198" s="754" t="s">
        <v>201</v>
      </c>
      <c r="E198" s="328" t="s">
        <v>900</v>
      </c>
      <c r="F198" s="754" t="s">
        <v>1257</v>
      </c>
      <c r="G198" s="754" t="s">
        <v>1885</v>
      </c>
      <c r="H198" s="328" t="s">
        <v>660</v>
      </c>
      <c r="I198" s="552" t="s">
        <v>901</v>
      </c>
      <c r="J198" s="328" t="s">
        <v>837</v>
      </c>
      <c r="K198" s="328" t="s">
        <v>820</v>
      </c>
      <c r="L198" s="328" t="s">
        <v>821</v>
      </c>
      <c r="M198" s="328" t="s">
        <v>821</v>
      </c>
      <c r="N198" s="328" t="s">
        <v>1154</v>
      </c>
      <c r="O198" s="761"/>
      <c r="P198" s="761">
        <v>2</v>
      </c>
      <c r="Q198" s="761"/>
      <c r="R198" s="761">
        <v>2</v>
      </c>
      <c r="S198" s="761">
        <v>4</v>
      </c>
      <c r="T198" s="328" t="s">
        <v>822</v>
      </c>
      <c r="U198" s="328">
        <v>2014</v>
      </c>
      <c r="V198" t="s">
        <v>1329</v>
      </c>
    </row>
    <row r="199" spans="1:22">
      <c r="A199" s="17" t="str">
        <f t="shared" si="8"/>
        <v>UMass Amherst5</v>
      </c>
      <c r="B199" s="45">
        <v>5</v>
      </c>
      <c r="C199" s="328" t="s">
        <v>661</v>
      </c>
      <c r="D199" s="754" t="s">
        <v>201</v>
      </c>
      <c r="E199" s="328" t="s">
        <v>900</v>
      </c>
      <c r="F199" s="328" t="s">
        <v>902</v>
      </c>
      <c r="G199" s="328" t="s">
        <v>1886</v>
      </c>
      <c r="H199" s="328" t="s">
        <v>660</v>
      </c>
      <c r="I199" s="552" t="s">
        <v>901</v>
      </c>
      <c r="J199" s="328" t="s">
        <v>837</v>
      </c>
      <c r="K199" s="328" t="s">
        <v>820</v>
      </c>
      <c r="L199" s="328" t="s">
        <v>821</v>
      </c>
      <c r="M199" s="328" t="s">
        <v>821</v>
      </c>
      <c r="N199" s="328" t="s">
        <v>1154</v>
      </c>
      <c r="O199" s="761"/>
      <c r="P199" s="761">
        <v>1</v>
      </c>
      <c r="Q199" s="761"/>
      <c r="R199" s="761">
        <v>1</v>
      </c>
      <c r="S199" s="761">
        <v>2</v>
      </c>
      <c r="T199" s="328" t="s">
        <v>822</v>
      </c>
      <c r="U199" s="328">
        <v>2015</v>
      </c>
      <c r="V199" s="45" t="s">
        <v>1329</v>
      </c>
    </row>
    <row r="200" spans="1:22" ht="30">
      <c r="A200" s="17" t="str">
        <f t="shared" si="8"/>
        <v>UMass Amherst6</v>
      </c>
      <c r="B200" s="45">
        <v>6</v>
      </c>
      <c r="C200" s="328" t="s">
        <v>661</v>
      </c>
      <c r="D200" s="754" t="s">
        <v>201</v>
      </c>
      <c r="E200" s="328" t="s">
        <v>900</v>
      </c>
      <c r="F200" s="754" t="s">
        <v>1887</v>
      </c>
      <c r="G200" s="754" t="s">
        <v>1888</v>
      </c>
      <c r="H200" s="328" t="s">
        <v>660</v>
      </c>
      <c r="I200" s="552" t="s">
        <v>901</v>
      </c>
      <c r="J200" s="328" t="s">
        <v>837</v>
      </c>
      <c r="K200" s="328" t="s">
        <v>820</v>
      </c>
      <c r="L200" s="328" t="s">
        <v>821</v>
      </c>
      <c r="M200" s="328" t="s">
        <v>821</v>
      </c>
      <c r="N200" s="328" t="s">
        <v>1154</v>
      </c>
      <c r="O200" s="761"/>
      <c r="P200" s="761">
        <v>2</v>
      </c>
      <c r="Q200" s="761"/>
      <c r="R200" s="761">
        <v>2</v>
      </c>
      <c r="S200" s="761">
        <v>4</v>
      </c>
      <c r="T200" s="328" t="s">
        <v>822</v>
      </c>
      <c r="U200" s="328">
        <v>2016</v>
      </c>
      <c r="V200" t="s">
        <v>1329</v>
      </c>
    </row>
    <row r="201" spans="1:22">
      <c r="A201" s="17" t="str">
        <f t="shared" si="8"/>
        <v>UMass Amherst7</v>
      </c>
      <c r="B201">
        <v>7</v>
      </c>
      <c r="C201" s="328" t="s">
        <v>661</v>
      </c>
      <c r="D201" s="754" t="s">
        <v>201</v>
      </c>
      <c r="E201" s="328" t="s">
        <v>900</v>
      </c>
      <c r="F201" s="754" t="s">
        <v>1257</v>
      </c>
      <c r="G201" s="754" t="s">
        <v>1889</v>
      </c>
      <c r="H201" s="328" t="s">
        <v>660</v>
      </c>
      <c r="I201" s="552" t="s">
        <v>901</v>
      </c>
      <c r="J201" s="328" t="s">
        <v>837</v>
      </c>
      <c r="K201" s="328" t="s">
        <v>820</v>
      </c>
      <c r="L201" s="328" t="s">
        <v>821</v>
      </c>
      <c r="M201" s="328" t="s">
        <v>821</v>
      </c>
      <c r="N201" s="328" t="s">
        <v>1154</v>
      </c>
      <c r="O201" s="761"/>
      <c r="P201" s="761">
        <v>2</v>
      </c>
      <c r="Q201" s="761"/>
      <c r="R201" s="761">
        <v>2</v>
      </c>
      <c r="S201" s="761">
        <v>4</v>
      </c>
      <c r="T201" s="328" t="s">
        <v>822</v>
      </c>
      <c r="U201" s="328">
        <v>2017</v>
      </c>
      <c r="V201" t="s">
        <v>1329</v>
      </c>
    </row>
    <row r="202" spans="1:22">
      <c r="A202" s="17" t="str">
        <f t="shared" si="8"/>
        <v>UMass Amherst8</v>
      </c>
      <c r="B202" s="45">
        <v>8</v>
      </c>
      <c r="C202" s="328" t="s">
        <v>661</v>
      </c>
      <c r="D202" s="754" t="s">
        <v>201</v>
      </c>
      <c r="E202" s="328" t="s">
        <v>900</v>
      </c>
      <c r="F202" s="328" t="s">
        <v>1258</v>
      </c>
      <c r="G202" s="328" t="s">
        <v>1259</v>
      </c>
      <c r="H202" s="328" t="s">
        <v>660</v>
      </c>
      <c r="I202" s="552" t="s">
        <v>901</v>
      </c>
      <c r="J202" s="328" t="s">
        <v>837</v>
      </c>
      <c r="K202" s="328" t="s">
        <v>820</v>
      </c>
      <c r="L202" s="328" t="s">
        <v>821</v>
      </c>
      <c r="M202" s="328" t="s">
        <v>821</v>
      </c>
      <c r="N202" s="328" t="s">
        <v>1154</v>
      </c>
      <c r="O202" s="761"/>
      <c r="P202" s="761">
        <v>1</v>
      </c>
      <c r="Q202" s="761"/>
      <c r="R202" s="761">
        <v>1</v>
      </c>
      <c r="S202" s="761">
        <v>2</v>
      </c>
      <c r="T202" s="328" t="s">
        <v>822</v>
      </c>
      <c r="U202" s="328">
        <v>2018</v>
      </c>
      <c r="V202" s="45" t="s">
        <v>1329</v>
      </c>
    </row>
    <row r="203" spans="1:22">
      <c r="A203" s="17" t="str">
        <f t="shared" si="8"/>
        <v>UMass Amherst9</v>
      </c>
      <c r="B203" s="45">
        <v>9</v>
      </c>
      <c r="C203" s="328" t="s">
        <v>661</v>
      </c>
      <c r="D203" s="754" t="s">
        <v>201</v>
      </c>
      <c r="E203" s="328" t="s">
        <v>900</v>
      </c>
      <c r="F203" s="328" t="s">
        <v>1303</v>
      </c>
      <c r="G203" s="328"/>
      <c r="H203" s="328" t="s">
        <v>755</v>
      </c>
      <c r="I203" s="552" t="s">
        <v>1304</v>
      </c>
      <c r="J203" s="328" t="s">
        <v>837</v>
      </c>
      <c r="K203" s="328" t="s">
        <v>820</v>
      </c>
      <c r="L203" s="328" t="s">
        <v>821</v>
      </c>
      <c r="M203" s="328" t="s">
        <v>821</v>
      </c>
      <c r="N203" s="328" t="s">
        <v>1154</v>
      </c>
      <c r="O203" s="761"/>
      <c r="P203" s="761">
        <v>1</v>
      </c>
      <c r="Q203" s="761"/>
      <c r="R203" s="761">
        <v>1</v>
      </c>
      <c r="S203" s="761">
        <v>2</v>
      </c>
      <c r="T203" s="328" t="s">
        <v>822</v>
      </c>
      <c r="U203" s="328">
        <v>2019</v>
      </c>
      <c r="V203" s="45" t="s">
        <v>1329</v>
      </c>
    </row>
    <row r="204" spans="1:22">
      <c r="A204" s="17" t="str">
        <f t="shared" si="8"/>
        <v>UMass Amherst10</v>
      </c>
      <c r="B204">
        <v>10</v>
      </c>
      <c r="C204" s="328" t="s">
        <v>661</v>
      </c>
      <c r="D204" s="754" t="s">
        <v>201</v>
      </c>
      <c r="E204" s="328" t="s">
        <v>900</v>
      </c>
      <c r="F204" s="328" t="s">
        <v>1260</v>
      </c>
      <c r="G204" s="328" t="s">
        <v>1261</v>
      </c>
      <c r="H204" s="328" t="s">
        <v>660</v>
      </c>
      <c r="I204" s="552" t="s">
        <v>1890</v>
      </c>
      <c r="J204" s="328" t="s">
        <v>837</v>
      </c>
      <c r="K204" s="328" t="s">
        <v>820</v>
      </c>
      <c r="L204" s="328" t="s">
        <v>821</v>
      </c>
      <c r="M204" s="328" t="s">
        <v>821</v>
      </c>
      <c r="N204" s="328" t="s">
        <v>1154</v>
      </c>
      <c r="O204" s="761"/>
      <c r="P204" s="761">
        <v>1</v>
      </c>
      <c r="Q204" s="761"/>
      <c r="R204" s="761">
        <v>1</v>
      </c>
      <c r="S204" s="761">
        <v>2</v>
      </c>
      <c r="T204" s="328" t="s">
        <v>822</v>
      </c>
      <c r="U204" s="328">
        <v>2019</v>
      </c>
      <c r="V204" s="45" t="s">
        <v>1329</v>
      </c>
    </row>
    <row r="205" spans="1:22">
      <c r="A205" s="17" t="str">
        <f t="shared" si="8"/>
        <v>UMass Amherst11</v>
      </c>
      <c r="B205" s="45">
        <v>11</v>
      </c>
      <c r="C205" s="328" t="s">
        <v>661</v>
      </c>
      <c r="D205" s="754" t="s">
        <v>201</v>
      </c>
      <c r="E205" s="328" t="s">
        <v>900</v>
      </c>
      <c r="F205" s="328" t="s">
        <v>1288</v>
      </c>
      <c r="G205" s="328" t="s">
        <v>1900</v>
      </c>
      <c r="H205" s="328" t="s">
        <v>660</v>
      </c>
      <c r="I205" s="552" t="s">
        <v>901</v>
      </c>
      <c r="J205" s="328" t="s">
        <v>837</v>
      </c>
      <c r="K205" s="328" t="s">
        <v>820</v>
      </c>
      <c r="L205" s="328" t="s">
        <v>821</v>
      </c>
      <c r="M205" s="328" t="s">
        <v>821</v>
      </c>
      <c r="N205" s="328" t="s">
        <v>1154</v>
      </c>
      <c r="O205" s="761"/>
      <c r="P205" s="761">
        <v>4</v>
      </c>
      <c r="Q205" s="761"/>
      <c r="R205" s="761">
        <v>4</v>
      </c>
      <c r="S205" s="761">
        <v>8</v>
      </c>
      <c r="T205" s="328" t="s">
        <v>822</v>
      </c>
      <c r="U205" s="328">
        <v>2020</v>
      </c>
      <c r="V205" s="45" t="s">
        <v>1329</v>
      </c>
    </row>
    <row r="206" spans="1:22">
      <c r="A206" s="17" t="str">
        <f t="shared" si="8"/>
        <v>UMass Amherst12</v>
      </c>
      <c r="B206" s="45">
        <v>12</v>
      </c>
      <c r="C206" s="328" t="s">
        <v>661</v>
      </c>
      <c r="D206" s="754" t="s">
        <v>201</v>
      </c>
      <c r="E206" s="328" t="s">
        <v>900</v>
      </c>
      <c r="F206" s="754" t="s">
        <v>1303</v>
      </c>
      <c r="G206" s="756"/>
      <c r="H206" s="754" t="s">
        <v>755</v>
      </c>
      <c r="I206" s="552" t="s">
        <v>1304</v>
      </c>
      <c r="J206" s="328"/>
      <c r="K206" s="328" t="s">
        <v>820</v>
      </c>
      <c r="L206" s="328" t="s">
        <v>821</v>
      </c>
      <c r="M206" s="328" t="s">
        <v>821</v>
      </c>
      <c r="N206" s="328"/>
      <c r="O206" s="761"/>
      <c r="P206" s="761">
        <v>1</v>
      </c>
      <c r="Q206" s="761"/>
      <c r="R206" s="761">
        <v>1</v>
      </c>
      <c r="S206" s="761">
        <v>2</v>
      </c>
      <c r="T206" s="328" t="s">
        <v>822</v>
      </c>
      <c r="U206" s="328">
        <v>2016</v>
      </c>
      <c r="V206" s="45" t="s">
        <v>1329</v>
      </c>
    </row>
    <row r="207" spans="1:22">
      <c r="A207" s="17" t="str">
        <f t="shared" si="8"/>
        <v>UMass Amherst13</v>
      </c>
      <c r="B207">
        <v>13</v>
      </c>
      <c r="C207" s="328" t="s">
        <v>661</v>
      </c>
      <c r="D207" s="754" t="s">
        <v>201</v>
      </c>
      <c r="E207" s="328" t="s">
        <v>900</v>
      </c>
      <c r="F207" s="328" t="s">
        <v>1305</v>
      </c>
      <c r="G207" s="328"/>
      <c r="H207" s="553" t="s">
        <v>904</v>
      </c>
      <c r="I207" s="552" t="s">
        <v>1306</v>
      </c>
      <c r="J207" s="328"/>
      <c r="K207" s="328" t="s">
        <v>820</v>
      </c>
      <c r="L207" s="328" t="s">
        <v>821</v>
      </c>
      <c r="M207" s="328" t="s">
        <v>821</v>
      </c>
      <c r="N207" s="328"/>
      <c r="O207" s="761"/>
      <c r="P207" s="761">
        <v>1</v>
      </c>
      <c r="Q207" s="761"/>
      <c r="R207" s="761">
        <v>1</v>
      </c>
      <c r="S207" s="761">
        <v>2</v>
      </c>
      <c r="T207" s="328" t="s">
        <v>822</v>
      </c>
      <c r="U207" s="328">
        <v>2022</v>
      </c>
      <c r="V207" s="45" t="s">
        <v>1329</v>
      </c>
    </row>
    <row r="208" spans="1:22">
      <c r="A208" s="17" t="str">
        <f t="shared" si="8"/>
        <v>UMass Amherst14</v>
      </c>
      <c r="B208" s="45">
        <v>14</v>
      </c>
      <c r="C208" s="328" t="s">
        <v>661</v>
      </c>
      <c r="D208" s="754" t="s">
        <v>201</v>
      </c>
      <c r="E208" s="328" t="s">
        <v>900</v>
      </c>
      <c r="F208" s="328" t="s">
        <v>1901</v>
      </c>
      <c r="G208" s="754" t="s">
        <v>1902</v>
      </c>
      <c r="H208" s="553" t="s">
        <v>660</v>
      </c>
      <c r="I208" s="552" t="s">
        <v>901</v>
      </c>
      <c r="J208" s="328"/>
      <c r="K208" s="328" t="s">
        <v>820</v>
      </c>
      <c r="L208" s="328" t="s">
        <v>821</v>
      </c>
      <c r="M208" s="328" t="s">
        <v>821</v>
      </c>
      <c r="N208" s="328"/>
      <c r="O208" s="761"/>
      <c r="P208" s="761">
        <v>2</v>
      </c>
      <c r="Q208" s="761"/>
      <c r="R208" s="761">
        <v>2</v>
      </c>
      <c r="S208" s="761">
        <v>4</v>
      </c>
      <c r="T208" s="328" t="s">
        <v>822</v>
      </c>
      <c r="U208" s="328">
        <v>2021</v>
      </c>
      <c r="V208" t="s">
        <v>1329</v>
      </c>
    </row>
    <row r="209" spans="1:22">
      <c r="A209" s="17" t="str">
        <f t="shared" si="8"/>
        <v>UMass Amherst15</v>
      </c>
      <c r="B209" s="45">
        <v>15</v>
      </c>
      <c r="C209" s="328" t="s">
        <v>661</v>
      </c>
      <c r="D209" s="754" t="s">
        <v>201</v>
      </c>
      <c r="E209" s="328" t="s">
        <v>900</v>
      </c>
      <c r="F209" s="328" t="s">
        <v>1307</v>
      </c>
      <c r="G209" s="328" t="s">
        <v>1308</v>
      </c>
      <c r="H209" s="553" t="s">
        <v>660</v>
      </c>
      <c r="I209" s="552" t="s">
        <v>901</v>
      </c>
      <c r="J209" s="328"/>
      <c r="K209" s="328" t="s">
        <v>820</v>
      </c>
      <c r="L209" s="328" t="s">
        <v>821</v>
      </c>
      <c r="M209" s="328" t="s">
        <v>821</v>
      </c>
      <c r="N209" s="328"/>
      <c r="O209" s="761"/>
      <c r="P209" s="761">
        <v>1</v>
      </c>
      <c r="Q209" s="761"/>
      <c r="R209" s="761">
        <v>1</v>
      </c>
      <c r="S209" s="761">
        <v>2</v>
      </c>
      <c r="T209" s="328" t="s">
        <v>822</v>
      </c>
      <c r="U209" s="328">
        <v>2023</v>
      </c>
      <c r="V209" s="45" t="s">
        <v>1329</v>
      </c>
    </row>
    <row r="210" spans="1:22">
      <c r="A210" s="17" t="str">
        <f t="shared" si="8"/>
        <v>UMass Amherst16</v>
      </c>
      <c r="B210">
        <v>16</v>
      </c>
      <c r="C210" s="324" t="s">
        <v>661</v>
      </c>
      <c r="D210" s="323" t="s">
        <v>201</v>
      </c>
      <c r="E210" s="324" t="s">
        <v>900</v>
      </c>
      <c r="F210" s="324" t="s">
        <v>659</v>
      </c>
      <c r="G210" s="323" t="s">
        <v>1933</v>
      </c>
      <c r="H210" s="759" t="s">
        <v>660</v>
      </c>
      <c r="I210" s="555" t="s">
        <v>901</v>
      </c>
      <c r="J210" s="324"/>
      <c r="K210" s="324" t="s">
        <v>820</v>
      </c>
      <c r="L210" s="324" t="s">
        <v>821</v>
      </c>
      <c r="M210" s="324" t="s">
        <v>821</v>
      </c>
      <c r="N210" s="324"/>
      <c r="O210" s="762"/>
      <c r="P210" s="762">
        <v>1</v>
      </c>
      <c r="Q210" s="762"/>
      <c r="R210" s="761">
        <v>1</v>
      </c>
      <c r="S210" s="762">
        <v>2</v>
      </c>
      <c r="T210" s="328" t="s">
        <v>822</v>
      </c>
      <c r="U210" s="324">
        <v>2019</v>
      </c>
      <c r="V210" s="45" t="s">
        <v>1329</v>
      </c>
    </row>
    <row r="211" spans="1:22">
      <c r="A211" s="17" t="str">
        <f t="shared" si="8"/>
        <v>UMass Amherst17</v>
      </c>
      <c r="B211" s="45">
        <v>17</v>
      </c>
      <c r="C211" s="324" t="s">
        <v>661</v>
      </c>
      <c r="D211" s="323" t="s">
        <v>201</v>
      </c>
      <c r="E211" s="324" t="s">
        <v>900</v>
      </c>
      <c r="F211" s="324" t="s">
        <v>1934</v>
      </c>
      <c r="G211" s="324" t="s">
        <v>1935</v>
      </c>
      <c r="H211" s="324" t="s">
        <v>904</v>
      </c>
      <c r="I211" s="555" t="s">
        <v>1306</v>
      </c>
      <c r="J211" s="324"/>
      <c r="K211" s="324" t="s">
        <v>820</v>
      </c>
      <c r="L211" s="324" t="s">
        <v>821</v>
      </c>
      <c r="M211" s="324" t="s">
        <v>821</v>
      </c>
      <c r="N211" s="324"/>
      <c r="O211" s="762"/>
      <c r="P211" s="762">
        <v>1</v>
      </c>
      <c r="Q211" s="762"/>
      <c r="R211" s="761">
        <v>1</v>
      </c>
      <c r="S211" s="762">
        <v>2</v>
      </c>
      <c r="T211" s="328" t="s">
        <v>822</v>
      </c>
      <c r="U211" s="324">
        <v>2022</v>
      </c>
      <c r="V211" s="45" t="s">
        <v>1329</v>
      </c>
    </row>
    <row r="212" spans="1:22">
      <c r="A212" s="17" t="str">
        <f t="shared" ref="A212:A248" si="10">D212&amp;B212</f>
        <v>UMass Amherst18</v>
      </c>
      <c r="B212" s="45">
        <v>18</v>
      </c>
      <c r="C212" s="324" t="s">
        <v>661</v>
      </c>
      <c r="D212" s="323" t="s">
        <v>201</v>
      </c>
      <c r="E212" s="324" t="s">
        <v>900</v>
      </c>
      <c r="F212" s="324" t="s">
        <v>1934</v>
      </c>
      <c r="G212" s="324" t="s">
        <v>1936</v>
      </c>
      <c r="H212" s="324" t="s">
        <v>904</v>
      </c>
      <c r="I212" s="555" t="s">
        <v>1306</v>
      </c>
      <c r="J212" s="324"/>
      <c r="K212" s="324" t="s">
        <v>820</v>
      </c>
      <c r="L212" s="324" t="s">
        <v>821</v>
      </c>
      <c r="M212" s="324" t="s">
        <v>821</v>
      </c>
      <c r="N212" s="324"/>
      <c r="O212" s="762"/>
      <c r="P212" s="762">
        <v>1</v>
      </c>
      <c r="Q212" s="762"/>
      <c r="R212" s="761">
        <v>1</v>
      </c>
      <c r="S212" s="762">
        <v>2</v>
      </c>
      <c r="T212" s="328" t="s">
        <v>822</v>
      </c>
      <c r="U212" s="324">
        <v>2022</v>
      </c>
      <c r="V212" s="45" t="s">
        <v>1329</v>
      </c>
    </row>
    <row r="213" spans="1:22">
      <c r="A213" s="17" t="str">
        <f t="shared" si="10"/>
        <v>UMass Amherst19</v>
      </c>
      <c r="B213">
        <v>19</v>
      </c>
      <c r="C213" s="324" t="s">
        <v>661</v>
      </c>
      <c r="D213" s="323" t="s">
        <v>201</v>
      </c>
      <c r="E213" s="324" t="s">
        <v>900</v>
      </c>
      <c r="F213" s="324" t="s">
        <v>1937</v>
      </c>
      <c r="G213" s="324" t="s">
        <v>1938</v>
      </c>
      <c r="H213" s="324" t="s">
        <v>904</v>
      </c>
      <c r="I213" s="555" t="s">
        <v>1306</v>
      </c>
      <c r="J213" s="324"/>
      <c r="K213" s="324" t="s">
        <v>820</v>
      </c>
      <c r="L213" s="324" t="s">
        <v>821</v>
      </c>
      <c r="M213" s="324" t="s">
        <v>821</v>
      </c>
      <c r="N213" s="324"/>
      <c r="O213" s="762"/>
      <c r="P213" s="762">
        <v>1</v>
      </c>
      <c r="Q213" s="762"/>
      <c r="R213" s="761">
        <v>1</v>
      </c>
      <c r="S213" s="762">
        <v>2</v>
      </c>
      <c r="T213" s="328" t="s">
        <v>822</v>
      </c>
      <c r="U213" s="324">
        <v>2022</v>
      </c>
      <c r="V213" s="45" t="s">
        <v>1329</v>
      </c>
    </row>
    <row r="214" spans="1:22">
      <c r="A214" s="17" t="str">
        <f t="shared" si="10"/>
        <v>UMass Amherst20</v>
      </c>
      <c r="B214" s="45">
        <v>20</v>
      </c>
      <c r="C214" s="324" t="s">
        <v>661</v>
      </c>
      <c r="D214" s="323" t="s">
        <v>201</v>
      </c>
      <c r="E214" s="324" t="s">
        <v>900</v>
      </c>
      <c r="F214" s="324" t="s">
        <v>1288</v>
      </c>
      <c r="G214" s="324" t="s">
        <v>1939</v>
      </c>
      <c r="H214" s="324" t="s">
        <v>660</v>
      </c>
      <c r="I214" s="555" t="s">
        <v>901</v>
      </c>
      <c r="J214" s="324"/>
      <c r="K214" s="324" t="s">
        <v>820</v>
      </c>
      <c r="L214" s="324" t="s">
        <v>821</v>
      </c>
      <c r="M214" s="324" t="s">
        <v>821</v>
      </c>
      <c r="N214" s="324"/>
      <c r="O214" s="762"/>
      <c r="P214" s="762">
        <v>1</v>
      </c>
      <c r="Q214" s="762"/>
      <c r="R214" s="761">
        <v>1</v>
      </c>
      <c r="S214" s="762">
        <v>2</v>
      </c>
      <c r="T214" s="328" t="s">
        <v>822</v>
      </c>
      <c r="U214" s="324">
        <v>2021</v>
      </c>
      <c r="V214" s="45" t="s">
        <v>1329</v>
      </c>
    </row>
    <row r="215" spans="1:22">
      <c r="A215" s="17" t="str">
        <f t="shared" si="10"/>
        <v>UMass Amherst21</v>
      </c>
      <c r="B215" s="45">
        <v>21</v>
      </c>
      <c r="C215" s="324" t="s">
        <v>661</v>
      </c>
      <c r="D215" s="323" t="s">
        <v>201</v>
      </c>
      <c r="E215" s="324" t="s">
        <v>900</v>
      </c>
      <c r="F215" s="324" t="s">
        <v>1288</v>
      </c>
      <c r="G215" s="324" t="s">
        <v>1940</v>
      </c>
      <c r="H215" s="324" t="s">
        <v>660</v>
      </c>
      <c r="I215" s="555" t="s">
        <v>901</v>
      </c>
      <c r="J215" s="324"/>
      <c r="K215" s="324" t="s">
        <v>820</v>
      </c>
      <c r="L215" s="324" t="s">
        <v>821</v>
      </c>
      <c r="M215" s="324" t="s">
        <v>821</v>
      </c>
      <c r="N215" s="324"/>
      <c r="O215" s="762"/>
      <c r="P215" s="762">
        <v>1</v>
      </c>
      <c r="Q215" s="762"/>
      <c r="R215" s="761">
        <v>1</v>
      </c>
      <c r="S215" s="762">
        <v>2</v>
      </c>
      <c r="T215" s="328" t="s">
        <v>822</v>
      </c>
      <c r="U215" s="324">
        <v>2021</v>
      </c>
      <c r="V215" s="45" t="s">
        <v>1329</v>
      </c>
    </row>
    <row r="216" spans="1:22">
      <c r="A216" s="17" t="str">
        <f t="shared" si="10"/>
        <v>UMass Amherst22</v>
      </c>
      <c r="B216">
        <v>22</v>
      </c>
      <c r="C216" s="324" t="s">
        <v>661</v>
      </c>
      <c r="D216" s="323" t="s">
        <v>201</v>
      </c>
      <c r="E216" s="324" t="s">
        <v>900</v>
      </c>
      <c r="F216" s="324" t="s">
        <v>1288</v>
      </c>
      <c r="G216" s="324" t="s">
        <v>1941</v>
      </c>
      <c r="H216" s="324" t="s">
        <v>660</v>
      </c>
      <c r="I216" s="555" t="s">
        <v>901</v>
      </c>
      <c r="J216" s="324"/>
      <c r="K216" s="324" t="s">
        <v>820</v>
      </c>
      <c r="L216" s="324" t="s">
        <v>821</v>
      </c>
      <c r="M216" s="324" t="s">
        <v>821</v>
      </c>
      <c r="N216" s="324"/>
      <c r="O216" s="762"/>
      <c r="P216" s="762">
        <v>1</v>
      </c>
      <c r="Q216" s="762"/>
      <c r="R216" s="761">
        <v>1</v>
      </c>
      <c r="S216" s="762">
        <v>2</v>
      </c>
      <c r="T216" s="328" t="s">
        <v>822</v>
      </c>
      <c r="U216" s="324">
        <v>2021</v>
      </c>
      <c r="V216" s="45" t="s">
        <v>1329</v>
      </c>
    </row>
    <row r="217" spans="1:22">
      <c r="A217" s="17" t="str">
        <f t="shared" si="10"/>
        <v>UMass Amherst23</v>
      </c>
      <c r="B217" s="45">
        <v>23</v>
      </c>
      <c r="C217" s="324" t="s">
        <v>661</v>
      </c>
      <c r="D217" s="323" t="s">
        <v>201</v>
      </c>
      <c r="E217" s="324" t="s">
        <v>900</v>
      </c>
      <c r="F217" s="324" t="s">
        <v>1255</v>
      </c>
      <c r="G217" s="324" t="s">
        <v>1942</v>
      </c>
      <c r="H217" s="324" t="s">
        <v>660</v>
      </c>
      <c r="I217" s="555" t="s">
        <v>901</v>
      </c>
      <c r="J217" s="324"/>
      <c r="K217" s="324" t="s">
        <v>820</v>
      </c>
      <c r="L217" s="324" t="s">
        <v>821</v>
      </c>
      <c r="M217" s="324" t="s">
        <v>821</v>
      </c>
      <c r="N217" s="324"/>
      <c r="O217" s="762"/>
      <c r="P217" s="762">
        <v>1</v>
      </c>
      <c r="Q217" s="762"/>
      <c r="R217" s="761">
        <v>1</v>
      </c>
      <c r="S217" s="762">
        <v>2</v>
      </c>
      <c r="T217" s="328" t="s">
        <v>822</v>
      </c>
      <c r="U217" s="324">
        <v>2014</v>
      </c>
      <c r="V217" s="45" t="s">
        <v>1329</v>
      </c>
    </row>
    <row r="218" spans="1:22">
      <c r="A218" s="17" t="str">
        <f t="shared" si="10"/>
        <v>UMass Amherst24</v>
      </c>
      <c r="B218" s="45">
        <v>24</v>
      </c>
      <c r="C218" s="324" t="s">
        <v>661</v>
      </c>
      <c r="D218" s="323" t="s">
        <v>201</v>
      </c>
      <c r="E218" s="324" t="s">
        <v>900</v>
      </c>
      <c r="F218" s="324" t="s">
        <v>1257</v>
      </c>
      <c r="G218" s="324" t="s">
        <v>1943</v>
      </c>
      <c r="H218" s="324" t="s">
        <v>660</v>
      </c>
      <c r="I218" s="555" t="s">
        <v>901</v>
      </c>
      <c r="J218" s="324"/>
      <c r="K218" s="324" t="s">
        <v>820</v>
      </c>
      <c r="L218" s="324" t="s">
        <v>821</v>
      </c>
      <c r="M218" s="324" t="s">
        <v>821</v>
      </c>
      <c r="N218" s="324"/>
      <c r="O218" s="762"/>
      <c r="P218" s="762">
        <v>1</v>
      </c>
      <c r="Q218" s="762"/>
      <c r="R218" s="761">
        <v>1</v>
      </c>
      <c r="S218" s="762">
        <v>2</v>
      </c>
      <c r="T218" s="328" t="s">
        <v>822</v>
      </c>
      <c r="U218" s="324">
        <v>2014</v>
      </c>
      <c r="V218" s="45" t="s">
        <v>1329</v>
      </c>
    </row>
    <row r="219" spans="1:22">
      <c r="A219" s="17" t="str">
        <f t="shared" si="10"/>
        <v>UMass Amherst25</v>
      </c>
      <c r="B219">
        <v>25</v>
      </c>
      <c r="C219" s="324" t="s">
        <v>661</v>
      </c>
      <c r="D219" s="323" t="s">
        <v>201</v>
      </c>
      <c r="E219" s="324" t="s">
        <v>900</v>
      </c>
      <c r="F219" s="324" t="s">
        <v>1257</v>
      </c>
      <c r="G219" s="324" t="s">
        <v>1944</v>
      </c>
      <c r="H219" s="324" t="s">
        <v>660</v>
      </c>
      <c r="I219" s="555" t="s">
        <v>901</v>
      </c>
      <c r="J219" s="324"/>
      <c r="K219" s="324" t="s">
        <v>820</v>
      </c>
      <c r="L219" s="324" t="s">
        <v>821</v>
      </c>
      <c r="M219" s="324" t="s">
        <v>821</v>
      </c>
      <c r="N219" s="324"/>
      <c r="O219" s="762"/>
      <c r="P219" s="762">
        <v>1</v>
      </c>
      <c r="Q219" s="762"/>
      <c r="R219" s="761">
        <v>1</v>
      </c>
      <c r="S219" s="762">
        <v>2</v>
      </c>
      <c r="T219" s="328" t="s">
        <v>822</v>
      </c>
      <c r="U219" s="324">
        <v>2016</v>
      </c>
      <c r="V219" s="45" t="s">
        <v>1329</v>
      </c>
    </row>
    <row r="220" spans="1:22">
      <c r="A220" s="17" t="str">
        <f t="shared" si="10"/>
        <v>UMass Amherst26</v>
      </c>
      <c r="B220" s="45">
        <v>26</v>
      </c>
      <c r="C220" s="324" t="s">
        <v>661</v>
      </c>
      <c r="D220" s="323" t="s">
        <v>201</v>
      </c>
      <c r="E220" s="324" t="s">
        <v>900</v>
      </c>
      <c r="F220" s="324" t="s">
        <v>1945</v>
      </c>
      <c r="G220" s="323" t="s">
        <v>1946</v>
      </c>
      <c r="H220" s="324" t="s">
        <v>660</v>
      </c>
      <c r="I220" s="555" t="s">
        <v>901</v>
      </c>
      <c r="J220" s="324"/>
      <c r="K220" s="324" t="s">
        <v>820</v>
      </c>
      <c r="L220" s="324" t="s">
        <v>821</v>
      </c>
      <c r="M220" s="324" t="s">
        <v>821</v>
      </c>
      <c r="N220" s="324"/>
      <c r="O220" s="762"/>
      <c r="P220" s="762">
        <v>1</v>
      </c>
      <c r="Q220" s="762"/>
      <c r="R220" s="761">
        <v>1</v>
      </c>
      <c r="S220" s="762">
        <v>2</v>
      </c>
      <c r="T220" s="328" t="s">
        <v>822</v>
      </c>
      <c r="U220" s="324">
        <v>2023</v>
      </c>
      <c r="V220" s="45" t="s">
        <v>1329</v>
      </c>
    </row>
    <row r="221" spans="1:22">
      <c r="A221" s="17" t="str">
        <f t="shared" si="10"/>
        <v>UMass Amherst27</v>
      </c>
      <c r="B221" s="45">
        <v>27</v>
      </c>
      <c r="C221" s="324" t="s">
        <v>661</v>
      </c>
      <c r="D221" s="323" t="s">
        <v>201</v>
      </c>
      <c r="E221" s="324" t="s">
        <v>900</v>
      </c>
      <c r="F221" s="324" t="s">
        <v>1901</v>
      </c>
      <c r="G221" s="323" t="s">
        <v>1947</v>
      </c>
      <c r="H221" s="324" t="s">
        <v>660</v>
      </c>
      <c r="I221" s="555" t="s">
        <v>901</v>
      </c>
      <c r="J221" s="324"/>
      <c r="K221" s="324" t="s">
        <v>820</v>
      </c>
      <c r="L221" s="324" t="s">
        <v>821</v>
      </c>
      <c r="M221" s="324" t="s">
        <v>821</v>
      </c>
      <c r="N221" s="324"/>
      <c r="O221" s="762"/>
      <c r="P221" s="762">
        <v>1</v>
      </c>
      <c r="Q221" s="762"/>
      <c r="R221" s="761">
        <v>1</v>
      </c>
      <c r="S221" s="762">
        <v>2</v>
      </c>
      <c r="T221" s="328" t="s">
        <v>822</v>
      </c>
      <c r="U221" s="324">
        <v>2021</v>
      </c>
      <c r="V221" s="45" t="s">
        <v>1329</v>
      </c>
    </row>
    <row r="222" spans="1:22">
      <c r="A222" s="17" t="str">
        <f t="shared" si="10"/>
        <v>UMass Amherst28</v>
      </c>
      <c r="B222">
        <v>28</v>
      </c>
      <c r="C222" s="324" t="s">
        <v>661</v>
      </c>
      <c r="D222" s="323" t="s">
        <v>201</v>
      </c>
      <c r="E222" s="324" t="s">
        <v>900</v>
      </c>
      <c r="F222" s="324" t="s">
        <v>1307</v>
      </c>
      <c r="G222" s="324" t="s">
        <v>1308</v>
      </c>
      <c r="H222" s="324" t="s">
        <v>660</v>
      </c>
      <c r="I222" s="555" t="s">
        <v>901</v>
      </c>
      <c r="J222" s="324"/>
      <c r="K222" s="324" t="s">
        <v>820</v>
      </c>
      <c r="L222" s="324" t="s">
        <v>821</v>
      </c>
      <c r="M222" s="324" t="s">
        <v>821</v>
      </c>
      <c r="N222" s="324"/>
      <c r="O222" s="762"/>
      <c r="P222" s="762">
        <v>1</v>
      </c>
      <c r="Q222" s="762"/>
      <c r="R222" s="761">
        <v>1</v>
      </c>
      <c r="S222" s="762">
        <v>2</v>
      </c>
      <c r="T222" s="328" t="s">
        <v>822</v>
      </c>
      <c r="U222" s="324">
        <v>2023</v>
      </c>
      <c r="V222" s="45" t="s">
        <v>1329</v>
      </c>
    </row>
    <row r="223" spans="1:22">
      <c r="A223" s="17" t="str">
        <f t="shared" si="10"/>
        <v>UMass Amherst29</v>
      </c>
      <c r="B223" s="45">
        <v>29</v>
      </c>
      <c r="C223" s="324" t="s">
        <v>661</v>
      </c>
      <c r="D223" s="323" t="s">
        <v>201</v>
      </c>
      <c r="E223" s="324" t="s">
        <v>900</v>
      </c>
      <c r="F223" s="324" t="s">
        <v>2364</v>
      </c>
      <c r="G223" s="324" t="s">
        <v>1886</v>
      </c>
      <c r="H223" s="324" t="s">
        <v>660</v>
      </c>
      <c r="I223" s="555" t="s">
        <v>901</v>
      </c>
      <c r="J223" s="324"/>
      <c r="K223" s="324" t="s">
        <v>820</v>
      </c>
      <c r="L223" s="324" t="s">
        <v>821</v>
      </c>
      <c r="M223" s="324" t="s">
        <v>821</v>
      </c>
      <c r="N223" s="324"/>
      <c r="O223" s="762"/>
      <c r="P223" s="762">
        <v>1</v>
      </c>
      <c r="Q223" s="762"/>
      <c r="R223" s="761">
        <f t="shared" ref="R223:R224" si="11">SUM(O223:Q223)</f>
        <v>1</v>
      </c>
      <c r="S223" s="762">
        <v>2</v>
      </c>
      <c r="T223" s="328" t="s">
        <v>822</v>
      </c>
      <c r="U223" s="324">
        <v>2024</v>
      </c>
      <c r="V223" s="45" t="s">
        <v>1329</v>
      </c>
    </row>
    <row r="224" spans="1:22">
      <c r="A224" s="17" t="str">
        <f t="shared" si="10"/>
        <v>UMass Amherst30</v>
      </c>
      <c r="B224">
        <v>30</v>
      </c>
      <c r="C224" s="324" t="s">
        <v>661</v>
      </c>
      <c r="D224" s="323" t="s">
        <v>201</v>
      </c>
      <c r="E224" s="324" t="s">
        <v>900</v>
      </c>
      <c r="F224" s="324" t="s">
        <v>2365</v>
      </c>
      <c r="G224" s="324" t="s">
        <v>2366</v>
      </c>
      <c r="H224" s="324" t="s">
        <v>660</v>
      </c>
      <c r="I224" s="555" t="s">
        <v>901</v>
      </c>
      <c r="J224" s="324"/>
      <c r="K224" s="324" t="s">
        <v>820</v>
      </c>
      <c r="L224" s="324" t="s">
        <v>821</v>
      </c>
      <c r="M224" s="324" t="s">
        <v>821</v>
      </c>
      <c r="N224" s="324"/>
      <c r="O224" s="762"/>
      <c r="P224" s="762">
        <v>3</v>
      </c>
      <c r="Q224" s="762"/>
      <c r="R224" s="761">
        <f t="shared" si="11"/>
        <v>3</v>
      </c>
      <c r="S224" s="762">
        <v>6</v>
      </c>
      <c r="T224" s="328" t="s">
        <v>822</v>
      </c>
      <c r="U224" s="324">
        <v>2024</v>
      </c>
      <c r="V224" s="45" t="s">
        <v>1329</v>
      </c>
    </row>
    <row r="225" spans="1:22">
      <c r="A225" s="17" t="str">
        <f t="shared" si="10"/>
        <v>UMass Boston1</v>
      </c>
      <c r="B225">
        <v>1</v>
      </c>
      <c r="C225" s="328" t="s">
        <v>661</v>
      </c>
      <c r="D225" s="754" t="s">
        <v>206</v>
      </c>
      <c r="E225" s="328" t="s">
        <v>1262</v>
      </c>
      <c r="F225" s="328" t="s">
        <v>1891</v>
      </c>
      <c r="G225" s="328" t="s">
        <v>1263</v>
      </c>
      <c r="H225" s="328" t="s">
        <v>460</v>
      </c>
      <c r="I225" s="552" t="s">
        <v>1892</v>
      </c>
      <c r="J225" s="328" t="s">
        <v>837</v>
      </c>
      <c r="K225" s="328" t="s">
        <v>820</v>
      </c>
      <c r="L225" s="328" t="s">
        <v>821</v>
      </c>
      <c r="M225" s="328" t="s">
        <v>821</v>
      </c>
      <c r="N225" s="328" t="s">
        <v>1154</v>
      </c>
      <c r="O225" s="761"/>
      <c r="P225" s="761">
        <v>11</v>
      </c>
      <c r="Q225" s="761"/>
      <c r="R225" s="761">
        <v>11</v>
      </c>
      <c r="S225" s="761">
        <v>11</v>
      </c>
      <c r="T225" s="328" t="s">
        <v>822</v>
      </c>
      <c r="U225" s="328">
        <v>2021</v>
      </c>
      <c r="V225" s="45" t="s">
        <v>1328</v>
      </c>
    </row>
    <row r="226" spans="1:22">
      <c r="A226" s="17" t="str">
        <f t="shared" ref="A226:A229" si="12">D226&amp;B226</f>
        <v>UMass Boston2</v>
      </c>
      <c r="B226">
        <v>2</v>
      </c>
      <c r="C226" s="328" t="s">
        <v>661</v>
      </c>
      <c r="D226" s="754" t="s">
        <v>206</v>
      </c>
      <c r="E226" s="328" t="s">
        <v>1262</v>
      </c>
      <c r="F226" s="328" t="s">
        <v>2367</v>
      </c>
      <c r="G226" s="328" t="s">
        <v>1204</v>
      </c>
      <c r="H226" s="328" t="s">
        <v>460</v>
      </c>
      <c r="I226" s="552" t="s">
        <v>1892</v>
      </c>
      <c r="J226" s="328" t="s">
        <v>837</v>
      </c>
      <c r="K226" s="328" t="s">
        <v>820</v>
      </c>
      <c r="L226" s="328" t="s">
        <v>821</v>
      </c>
      <c r="M226" s="328" t="s">
        <v>821</v>
      </c>
      <c r="N226" s="328"/>
      <c r="O226" s="761"/>
      <c r="P226" s="761"/>
      <c r="Q226" s="761"/>
      <c r="R226" s="761"/>
      <c r="S226" s="761"/>
      <c r="T226" s="328" t="s">
        <v>822</v>
      </c>
      <c r="U226" s="328">
        <v>2024</v>
      </c>
      <c r="V226" s="45"/>
    </row>
    <row r="227" spans="1:22">
      <c r="A227" s="17" t="str">
        <f t="shared" si="12"/>
        <v>UMass Chan Medical School1</v>
      </c>
      <c r="B227">
        <v>1</v>
      </c>
      <c r="C227" s="328" t="s">
        <v>438</v>
      </c>
      <c r="D227" s="754" t="s">
        <v>1285</v>
      </c>
      <c r="E227" s="328" t="s">
        <v>1953</v>
      </c>
      <c r="F227" s="328" t="s">
        <v>912</v>
      </c>
      <c r="G227" s="328"/>
      <c r="H227" s="328" t="s">
        <v>534</v>
      </c>
      <c r="I227" s="552" t="s">
        <v>913</v>
      </c>
      <c r="J227" s="328" t="s">
        <v>826</v>
      </c>
      <c r="K227" s="328" t="s">
        <v>820</v>
      </c>
      <c r="L227" s="328" t="s">
        <v>821</v>
      </c>
      <c r="M227" s="328" t="s">
        <v>821</v>
      </c>
      <c r="N227" s="328" t="s">
        <v>1154</v>
      </c>
      <c r="O227" s="761"/>
      <c r="P227" s="761">
        <v>18</v>
      </c>
      <c r="Q227" s="761"/>
      <c r="R227" s="761">
        <v>18</v>
      </c>
      <c r="S227" s="761">
        <v>36</v>
      </c>
      <c r="T227" s="328" t="s">
        <v>822</v>
      </c>
      <c r="U227" s="328">
        <v>2021</v>
      </c>
      <c r="V227" s="45" t="s">
        <v>1329</v>
      </c>
    </row>
    <row r="228" spans="1:22">
      <c r="A228" s="17" t="str">
        <f t="shared" si="12"/>
        <v>UMass Chan Medical School2</v>
      </c>
      <c r="B228">
        <v>2</v>
      </c>
      <c r="C228" s="328" t="s">
        <v>438</v>
      </c>
      <c r="D228" s="754" t="s">
        <v>1285</v>
      </c>
      <c r="E228" s="328" t="s">
        <v>1953</v>
      </c>
      <c r="F228" s="328" t="s">
        <v>1263</v>
      </c>
      <c r="G228" s="328"/>
      <c r="H228" s="328" t="s">
        <v>534</v>
      </c>
      <c r="I228" s="552" t="s">
        <v>913</v>
      </c>
      <c r="J228" s="328" t="s">
        <v>826</v>
      </c>
      <c r="K228" s="328" t="s">
        <v>820</v>
      </c>
      <c r="L228" s="328" t="s">
        <v>1232</v>
      </c>
      <c r="M228" s="328" t="s">
        <v>1232</v>
      </c>
      <c r="N228" s="328" t="s">
        <v>1154</v>
      </c>
      <c r="O228" s="761"/>
      <c r="P228" s="761">
        <v>16</v>
      </c>
      <c r="Q228" s="761"/>
      <c r="R228" s="761">
        <v>16</v>
      </c>
      <c r="S228" s="761">
        <v>32</v>
      </c>
      <c r="T228" s="328" t="s">
        <v>822</v>
      </c>
      <c r="U228" s="328">
        <v>2022</v>
      </c>
      <c r="V228" s="45" t="s">
        <v>1329</v>
      </c>
    </row>
    <row r="229" spans="1:22">
      <c r="A229" s="17" t="str">
        <f t="shared" si="12"/>
        <v>UMass Chan Medical School3</v>
      </c>
      <c r="B229">
        <v>3</v>
      </c>
      <c r="C229" s="328" t="s">
        <v>438</v>
      </c>
      <c r="D229" s="754" t="s">
        <v>1285</v>
      </c>
      <c r="E229" s="328" t="s">
        <v>1953</v>
      </c>
      <c r="F229" s="328" t="s">
        <v>914</v>
      </c>
      <c r="G229" s="328"/>
      <c r="H229" s="328" t="s">
        <v>534</v>
      </c>
      <c r="I229" s="552" t="s">
        <v>913</v>
      </c>
      <c r="J229" s="328" t="s">
        <v>826</v>
      </c>
      <c r="K229" s="328" t="s">
        <v>820</v>
      </c>
      <c r="L229" s="328" t="s">
        <v>915</v>
      </c>
      <c r="M229" s="328" t="s">
        <v>915</v>
      </c>
      <c r="N229" s="328" t="s">
        <v>1154</v>
      </c>
      <c r="O229" s="761"/>
      <c r="P229" s="761">
        <v>4</v>
      </c>
      <c r="Q229" s="761"/>
      <c r="R229" s="761">
        <v>4</v>
      </c>
      <c r="S229" s="761">
        <v>8</v>
      </c>
      <c r="T229" s="328" t="s">
        <v>822</v>
      </c>
      <c r="U229" s="328">
        <v>2021</v>
      </c>
      <c r="V229" s="45" t="s">
        <v>1329</v>
      </c>
    </row>
    <row r="230" spans="1:22">
      <c r="A230" s="17" t="str">
        <f t="shared" si="10"/>
        <v>UMass Chan Medical School4</v>
      </c>
      <c r="B230">
        <v>4</v>
      </c>
      <c r="C230" s="328" t="s">
        <v>438</v>
      </c>
      <c r="D230" s="754" t="s">
        <v>1285</v>
      </c>
      <c r="E230" s="328" t="s">
        <v>1953</v>
      </c>
      <c r="F230" s="328" t="s">
        <v>1954</v>
      </c>
      <c r="G230" s="328" t="s">
        <v>1955</v>
      </c>
      <c r="H230" s="328" t="s">
        <v>534</v>
      </c>
      <c r="I230" s="552" t="s">
        <v>913</v>
      </c>
      <c r="J230" s="328" t="s">
        <v>826</v>
      </c>
      <c r="K230" s="328" t="s">
        <v>820</v>
      </c>
      <c r="L230" s="328" t="s">
        <v>857</v>
      </c>
      <c r="M230" s="328" t="s">
        <v>2043</v>
      </c>
      <c r="N230" s="328"/>
      <c r="O230" s="761"/>
      <c r="P230" s="761">
        <v>8</v>
      </c>
      <c r="Q230" s="761"/>
      <c r="R230" s="761">
        <v>8</v>
      </c>
      <c r="S230" s="761">
        <v>16</v>
      </c>
      <c r="T230" s="328" t="s">
        <v>822</v>
      </c>
      <c r="U230" s="328">
        <v>2024</v>
      </c>
      <c r="V230" t="s">
        <v>1329</v>
      </c>
    </row>
    <row r="231" spans="1:22">
      <c r="A231" s="17" t="str">
        <f t="shared" ref="A231" si="13">D231&amp;B231</f>
        <v>UMass Chan Medical School5</v>
      </c>
      <c r="B231">
        <v>5</v>
      </c>
      <c r="C231" s="328" t="s">
        <v>438</v>
      </c>
      <c r="D231" s="754" t="s">
        <v>1285</v>
      </c>
      <c r="E231" s="328" t="s">
        <v>914</v>
      </c>
      <c r="F231" s="328" t="s">
        <v>2368</v>
      </c>
      <c r="G231" s="328"/>
      <c r="H231" s="328" t="s">
        <v>534</v>
      </c>
      <c r="I231" s="552" t="s">
        <v>872</v>
      </c>
      <c r="J231" s="328" t="s">
        <v>826</v>
      </c>
      <c r="K231" s="328" t="s">
        <v>820</v>
      </c>
      <c r="L231" s="328" t="s">
        <v>1232</v>
      </c>
      <c r="M231" s="328" t="s">
        <v>1232</v>
      </c>
      <c r="N231" s="328"/>
      <c r="O231" s="761"/>
      <c r="P231" s="761">
        <v>3</v>
      </c>
      <c r="Q231" s="761"/>
      <c r="R231" s="761">
        <v>3</v>
      </c>
      <c r="S231" s="761">
        <v>6</v>
      </c>
      <c r="T231" s="328" t="s">
        <v>822</v>
      </c>
      <c r="U231" s="328">
        <v>2025</v>
      </c>
      <c r="V231" t="s">
        <v>1329</v>
      </c>
    </row>
    <row r="232" spans="1:22">
      <c r="A232" s="17" t="str">
        <f t="shared" si="10"/>
        <v>UMass Dartmouth1</v>
      </c>
      <c r="B232">
        <v>1</v>
      </c>
      <c r="C232" s="328" t="s">
        <v>661</v>
      </c>
      <c r="D232" s="754" t="s">
        <v>207</v>
      </c>
      <c r="E232" s="328" t="s">
        <v>905</v>
      </c>
      <c r="F232" s="755" t="s">
        <v>669</v>
      </c>
      <c r="G232" s="328" t="s">
        <v>906</v>
      </c>
      <c r="H232" s="328" t="s">
        <v>670</v>
      </c>
      <c r="I232" s="552" t="s">
        <v>907</v>
      </c>
      <c r="J232" s="328" t="s">
        <v>837</v>
      </c>
      <c r="K232" s="328" t="s">
        <v>820</v>
      </c>
      <c r="L232" s="328" t="s">
        <v>821</v>
      </c>
      <c r="M232" s="328" t="s">
        <v>821</v>
      </c>
      <c r="N232" s="328" t="s">
        <v>1154</v>
      </c>
      <c r="O232" s="761"/>
      <c r="P232" s="761">
        <v>1</v>
      </c>
      <c r="Q232" s="761"/>
      <c r="R232" s="761">
        <v>1</v>
      </c>
      <c r="S232" s="761">
        <v>2</v>
      </c>
      <c r="T232" s="328" t="s">
        <v>822</v>
      </c>
      <c r="U232" s="328">
        <v>2016</v>
      </c>
      <c r="V232" s="45" t="s">
        <v>1329</v>
      </c>
    </row>
    <row r="233" spans="1:22">
      <c r="A233" s="17" t="str">
        <f t="shared" si="10"/>
        <v>UMass Dartmouth2</v>
      </c>
      <c r="B233" s="45">
        <v>2</v>
      </c>
      <c r="C233" s="328" t="s">
        <v>661</v>
      </c>
      <c r="D233" s="754" t="s">
        <v>207</v>
      </c>
      <c r="E233" s="328" t="s">
        <v>905</v>
      </c>
      <c r="F233" s="755" t="s">
        <v>1893</v>
      </c>
      <c r="G233" s="754" t="s">
        <v>908</v>
      </c>
      <c r="H233" s="328" t="s">
        <v>909</v>
      </c>
      <c r="I233" s="552" t="s">
        <v>1894</v>
      </c>
      <c r="J233" s="328" t="s">
        <v>837</v>
      </c>
      <c r="K233" s="328" t="s">
        <v>820</v>
      </c>
      <c r="L233" s="328" t="s">
        <v>821</v>
      </c>
      <c r="M233" s="328" t="s">
        <v>821</v>
      </c>
      <c r="N233" s="328" t="s">
        <v>1154</v>
      </c>
      <c r="O233" s="761"/>
      <c r="P233" s="761">
        <v>3</v>
      </c>
      <c r="Q233" s="761"/>
      <c r="R233" s="761">
        <v>3</v>
      </c>
      <c r="S233" s="761">
        <v>5</v>
      </c>
      <c r="T233" s="328" t="s">
        <v>822</v>
      </c>
      <c r="U233" s="328">
        <v>2017</v>
      </c>
      <c r="V233" s="45" t="s">
        <v>2045</v>
      </c>
    </row>
    <row r="234" spans="1:22">
      <c r="A234" s="17" t="str">
        <f t="shared" ref="A234" si="14">D234&amp;B234</f>
        <v>UMass Dartmouth3</v>
      </c>
      <c r="B234" s="45">
        <v>3</v>
      </c>
      <c r="C234" s="328" t="s">
        <v>661</v>
      </c>
      <c r="D234" s="754" t="s">
        <v>207</v>
      </c>
      <c r="E234" s="328" t="s">
        <v>905</v>
      </c>
      <c r="F234" s="328" t="s">
        <v>669</v>
      </c>
      <c r="G234" s="328"/>
      <c r="H234" s="328" t="s">
        <v>670</v>
      </c>
      <c r="I234" s="552" t="s">
        <v>907</v>
      </c>
      <c r="J234" s="328"/>
      <c r="K234" s="328" t="s">
        <v>820</v>
      </c>
      <c r="L234" s="328" t="s">
        <v>857</v>
      </c>
      <c r="M234" s="328" t="s">
        <v>2043</v>
      </c>
      <c r="N234" s="328"/>
      <c r="O234" s="761"/>
      <c r="P234" s="761">
        <v>1</v>
      </c>
      <c r="Q234" s="761"/>
      <c r="R234" s="761">
        <f t="shared" ref="R234" si="15">SUM(O234:Q234)</f>
        <v>1</v>
      </c>
      <c r="S234" s="761">
        <v>1</v>
      </c>
      <c r="T234" s="328" t="s">
        <v>822</v>
      </c>
      <c r="U234" s="328">
        <v>2024</v>
      </c>
      <c r="V234" s="45" t="s">
        <v>1328</v>
      </c>
    </row>
    <row r="235" spans="1:22">
      <c r="A235" s="17" t="str">
        <f t="shared" si="10"/>
        <v>UMass Lowell1</v>
      </c>
      <c r="B235">
        <v>1</v>
      </c>
      <c r="C235" s="328" t="s">
        <v>661</v>
      </c>
      <c r="D235" s="754" t="s">
        <v>212</v>
      </c>
      <c r="E235" s="328" t="s">
        <v>910</v>
      </c>
      <c r="F235" s="328" t="s">
        <v>1895</v>
      </c>
      <c r="G235" s="328" t="s">
        <v>1264</v>
      </c>
      <c r="H235" s="328" t="s">
        <v>683</v>
      </c>
      <c r="I235" s="552" t="s">
        <v>911</v>
      </c>
      <c r="J235" s="328" t="s">
        <v>826</v>
      </c>
      <c r="K235" s="328" t="s">
        <v>820</v>
      </c>
      <c r="L235" s="328" t="s">
        <v>821</v>
      </c>
      <c r="M235" s="328" t="s">
        <v>821</v>
      </c>
      <c r="N235" s="328" t="s">
        <v>1154</v>
      </c>
      <c r="O235" s="761"/>
      <c r="P235" s="761">
        <v>1</v>
      </c>
      <c r="Q235" s="761"/>
      <c r="R235" s="761">
        <v>1</v>
      </c>
      <c r="S235" s="761">
        <v>2</v>
      </c>
      <c r="T235" s="328" t="s">
        <v>822</v>
      </c>
      <c r="U235" s="328">
        <v>2020</v>
      </c>
      <c r="V235" s="45" t="s">
        <v>1329</v>
      </c>
    </row>
    <row r="236" spans="1:22">
      <c r="A236" s="17" t="str">
        <f t="shared" si="10"/>
        <v>UMass Lowell2</v>
      </c>
      <c r="B236" s="45">
        <v>2</v>
      </c>
      <c r="C236" s="328" t="s">
        <v>661</v>
      </c>
      <c r="D236" s="754" t="s">
        <v>212</v>
      </c>
      <c r="E236" s="328" t="s">
        <v>910</v>
      </c>
      <c r="F236" s="328" t="s">
        <v>1895</v>
      </c>
      <c r="G236" s="328" t="s">
        <v>1265</v>
      </c>
      <c r="H236" s="328" t="s">
        <v>683</v>
      </c>
      <c r="I236" s="552" t="s">
        <v>911</v>
      </c>
      <c r="J236" s="328" t="s">
        <v>826</v>
      </c>
      <c r="K236" s="328" t="s">
        <v>820</v>
      </c>
      <c r="L236" s="328" t="s">
        <v>821</v>
      </c>
      <c r="M236" s="328" t="s">
        <v>821</v>
      </c>
      <c r="N236" s="328" t="s">
        <v>1154</v>
      </c>
      <c r="O236" s="761"/>
      <c r="P236" s="761">
        <v>1</v>
      </c>
      <c r="Q236" s="761"/>
      <c r="R236" s="761">
        <v>1</v>
      </c>
      <c r="S236" s="761">
        <v>2</v>
      </c>
      <c r="T236" s="328" t="s">
        <v>822</v>
      </c>
      <c r="U236" s="328">
        <v>2020</v>
      </c>
      <c r="V236" s="45" t="s">
        <v>1329</v>
      </c>
    </row>
    <row r="237" spans="1:22">
      <c r="A237" s="17" t="str">
        <f t="shared" si="10"/>
        <v>UMass Lowell3</v>
      </c>
      <c r="B237">
        <v>3</v>
      </c>
      <c r="C237" s="328" t="s">
        <v>661</v>
      </c>
      <c r="D237" s="754" t="s">
        <v>212</v>
      </c>
      <c r="E237" s="328" t="s">
        <v>910</v>
      </c>
      <c r="F237" s="328" t="s">
        <v>1266</v>
      </c>
      <c r="G237" s="328" t="s">
        <v>1896</v>
      </c>
      <c r="H237" s="328" t="s">
        <v>683</v>
      </c>
      <c r="I237" s="552" t="s">
        <v>911</v>
      </c>
      <c r="J237" s="328" t="s">
        <v>826</v>
      </c>
      <c r="K237" s="328" t="s">
        <v>820</v>
      </c>
      <c r="L237" s="328" t="s">
        <v>821</v>
      </c>
      <c r="M237" s="328" t="s">
        <v>821</v>
      </c>
      <c r="N237" s="328" t="s">
        <v>1154</v>
      </c>
      <c r="O237" s="761"/>
      <c r="P237" s="761">
        <v>1</v>
      </c>
      <c r="Q237" s="761"/>
      <c r="R237" s="761">
        <v>1</v>
      </c>
      <c r="S237" s="761">
        <v>2</v>
      </c>
      <c r="T237" s="328" t="s">
        <v>822</v>
      </c>
      <c r="U237" s="328">
        <v>2017</v>
      </c>
      <c r="V237" s="45" t="s">
        <v>1329</v>
      </c>
    </row>
    <row r="238" spans="1:22">
      <c r="A238" s="17" t="str">
        <f t="shared" si="10"/>
        <v>UMass Lowell4</v>
      </c>
      <c r="B238" s="45">
        <v>4</v>
      </c>
      <c r="C238" s="328" t="s">
        <v>661</v>
      </c>
      <c r="D238" s="754" t="s">
        <v>212</v>
      </c>
      <c r="E238" s="328" t="s">
        <v>910</v>
      </c>
      <c r="F238" s="328" t="s">
        <v>1267</v>
      </c>
      <c r="G238" s="328" t="s">
        <v>1268</v>
      </c>
      <c r="H238" s="328" t="s">
        <v>683</v>
      </c>
      <c r="I238" s="552" t="s">
        <v>911</v>
      </c>
      <c r="J238" s="328" t="s">
        <v>826</v>
      </c>
      <c r="K238" s="328" t="s">
        <v>820</v>
      </c>
      <c r="L238" s="328" t="s">
        <v>821</v>
      </c>
      <c r="M238" s="328" t="s">
        <v>821</v>
      </c>
      <c r="N238" s="328" t="s">
        <v>1154</v>
      </c>
      <c r="O238" s="761"/>
      <c r="P238" s="761">
        <v>1</v>
      </c>
      <c r="Q238" s="761"/>
      <c r="R238" s="761">
        <v>1</v>
      </c>
      <c r="S238" s="761">
        <v>2</v>
      </c>
      <c r="T238" s="328" t="s">
        <v>822</v>
      </c>
      <c r="U238" s="328">
        <v>2020</v>
      </c>
      <c r="V238" s="45" t="s">
        <v>1329</v>
      </c>
    </row>
    <row r="239" spans="1:22">
      <c r="A239" s="17" t="str">
        <f t="shared" si="10"/>
        <v>UMass Lowell5</v>
      </c>
      <c r="B239">
        <v>5</v>
      </c>
      <c r="C239" s="328" t="s">
        <v>661</v>
      </c>
      <c r="D239" s="754" t="s">
        <v>212</v>
      </c>
      <c r="E239" s="328" t="s">
        <v>910</v>
      </c>
      <c r="F239" s="328" t="s">
        <v>1269</v>
      </c>
      <c r="G239" s="328" t="s">
        <v>1270</v>
      </c>
      <c r="H239" s="328" t="s">
        <v>683</v>
      </c>
      <c r="I239" s="552" t="s">
        <v>911</v>
      </c>
      <c r="J239" s="328" t="s">
        <v>826</v>
      </c>
      <c r="K239" s="328" t="s">
        <v>820</v>
      </c>
      <c r="L239" s="328" t="s">
        <v>821</v>
      </c>
      <c r="M239" s="328" t="s">
        <v>821</v>
      </c>
      <c r="N239" s="328" t="s">
        <v>1154</v>
      </c>
      <c r="O239" s="761"/>
      <c r="P239" s="761">
        <v>1</v>
      </c>
      <c r="Q239" s="761"/>
      <c r="R239" s="761">
        <v>1</v>
      </c>
      <c r="S239" s="761">
        <v>2</v>
      </c>
      <c r="T239" s="328" t="s">
        <v>822</v>
      </c>
      <c r="U239" s="328">
        <v>2016</v>
      </c>
      <c r="V239" s="45" t="s">
        <v>1329</v>
      </c>
    </row>
    <row r="240" spans="1:22">
      <c r="A240" s="17" t="str">
        <f t="shared" si="10"/>
        <v>UMass Lowell6</v>
      </c>
      <c r="B240" s="45">
        <v>6</v>
      </c>
      <c r="C240" s="328" t="s">
        <v>661</v>
      </c>
      <c r="D240" s="754" t="s">
        <v>212</v>
      </c>
      <c r="E240" s="328" t="s">
        <v>910</v>
      </c>
      <c r="F240" s="328" t="s">
        <v>1269</v>
      </c>
      <c r="G240" s="328" t="s">
        <v>1271</v>
      </c>
      <c r="H240" s="328" t="s">
        <v>683</v>
      </c>
      <c r="I240" s="552" t="s">
        <v>911</v>
      </c>
      <c r="J240" s="328" t="s">
        <v>826</v>
      </c>
      <c r="K240" s="328" t="s">
        <v>820</v>
      </c>
      <c r="L240" s="328" t="s">
        <v>821</v>
      </c>
      <c r="M240" s="328" t="s">
        <v>821</v>
      </c>
      <c r="N240" s="328" t="s">
        <v>1154</v>
      </c>
      <c r="O240" s="761"/>
      <c r="P240" s="761">
        <v>1</v>
      </c>
      <c r="Q240" s="761"/>
      <c r="R240" s="761">
        <v>1</v>
      </c>
      <c r="S240" s="761">
        <v>2</v>
      </c>
      <c r="T240" s="328" t="s">
        <v>822</v>
      </c>
      <c r="U240" s="328">
        <v>2015</v>
      </c>
      <c r="V240" s="45" t="s">
        <v>1329</v>
      </c>
    </row>
    <row r="241" spans="1:22">
      <c r="A241" s="17" t="str">
        <f t="shared" si="10"/>
        <v>UMass Lowell7</v>
      </c>
      <c r="B241">
        <v>7</v>
      </c>
      <c r="C241" s="328" t="s">
        <v>661</v>
      </c>
      <c r="D241" s="754" t="s">
        <v>212</v>
      </c>
      <c r="E241" s="328" t="s">
        <v>910</v>
      </c>
      <c r="F241" s="328" t="s">
        <v>1272</v>
      </c>
      <c r="G241" s="754" t="s">
        <v>1897</v>
      </c>
      <c r="H241" s="328" t="s">
        <v>683</v>
      </c>
      <c r="I241" s="552" t="s">
        <v>911</v>
      </c>
      <c r="J241" s="328" t="s">
        <v>826</v>
      </c>
      <c r="K241" s="328" t="s">
        <v>820</v>
      </c>
      <c r="L241" s="328" t="s">
        <v>821</v>
      </c>
      <c r="M241" s="328" t="s">
        <v>821</v>
      </c>
      <c r="N241" s="328" t="s">
        <v>1154</v>
      </c>
      <c r="O241" s="761"/>
      <c r="P241" s="761">
        <v>1</v>
      </c>
      <c r="Q241" s="761"/>
      <c r="R241" s="761">
        <v>1</v>
      </c>
      <c r="S241" s="761">
        <v>2</v>
      </c>
      <c r="T241" s="328" t="s">
        <v>822</v>
      </c>
      <c r="U241" s="328">
        <v>2016</v>
      </c>
      <c r="V241" s="45" t="s">
        <v>1329</v>
      </c>
    </row>
    <row r="242" spans="1:22">
      <c r="A242" s="17" t="str">
        <f t="shared" si="10"/>
        <v>UMass Lowell8</v>
      </c>
      <c r="B242" s="45">
        <v>8</v>
      </c>
      <c r="C242" s="328" t="s">
        <v>661</v>
      </c>
      <c r="D242" s="754" t="s">
        <v>212</v>
      </c>
      <c r="E242" s="328" t="s">
        <v>910</v>
      </c>
      <c r="F242" s="754" t="s">
        <v>1273</v>
      </c>
      <c r="G242" s="754"/>
      <c r="H242" s="328" t="s">
        <v>683</v>
      </c>
      <c r="I242" s="552" t="s">
        <v>911</v>
      </c>
      <c r="J242" s="328" t="s">
        <v>826</v>
      </c>
      <c r="K242" s="328" t="s">
        <v>820</v>
      </c>
      <c r="L242" s="328" t="s">
        <v>821</v>
      </c>
      <c r="M242" s="328" t="s">
        <v>821</v>
      </c>
      <c r="N242" s="328" t="s">
        <v>1154</v>
      </c>
      <c r="O242" s="761"/>
      <c r="P242" s="761">
        <v>1</v>
      </c>
      <c r="Q242" s="761"/>
      <c r="R242" s="761">
        <v>1</v>
      </c>
      <c r="S242" s="761">
        <v>2</v>
      </c>
      <c r="T242" s="328" t="s">
        <v>822</v>
      </c>
      <c r="U242" s="328">
        <v>2015</v>
      </c>
      <c r="V242" s="45" t="s">
        <v>1329</v>
      </c>
    </row>
    <row r="243" spans="1:22">
      <c r="A243" s="17" t="str">
        <f t="shared" si="10"/>
        <v>UMass Lowell9</v>
      </c>
      <c r="B243">
        <v>9</v>
      </c>
      <c r="C243" s="328" t="s">
        <v>661</v>
      </c>
      <c r="D243" s="754" t="s">
        <v>212</v>
      </c>
      <c r="E243" s="328" t="s">
        <v>910</v>
      </c>
      <c r="F243" s="754" t="s">
        <v>1274</v>
      </c>
      <c r="G243" s="754" t="s">
        <v>1275</v>
      </c>
      <c r="H243" s="328" t="s">
        <v>683</v>
      </c>
      <c r="I243" s="552" t="s">
        <v>911</v>
      </c>
      <c r="J243" s="328" t="s">
        <v>826</v>
      </c>
      <c r="K243" s="328" t="s">
        <v>820</v>
      </c>
      <c r="L243" s="328" t="s">
        <v>821</v>
      </c>
      <c r="M243" s="328" t="s">
        <v>821</v>
      </c>
      <c r="N243" s="328" t="s">
        <v>1154</v>
      </c>
      <c r="O243" s="761"/>
      <c r="P243" s="761">
        <v>1</v>
      </c>
      <c r="Q243" s="761"/>
      <c r="R243" s="761">
        <v>1</v>
      </c>
      <c r="S243" s="761">
        <v>2</v>
      </c>
      <c r="T243" s="328" t="s">
        <v>822</v>
      </c>
      <c r="U243" s="328">
        <v>2020</v>
      </c>
      <c r="V243" s="45" t="s">
        <v>1329</v>
      </c>
    </row>
    <row r="244" spans="1:22">
      <c r="A244" s="17" t="str">
        <f t="shared" si="10"/>
        <v>UMass Lowell10</v>
      </c>
      <c r="B244" s="45">
        <v>10</v>
      </c>
      <c r="C244" s="328" t="s">
        <v>661</v>
      </c>
      <c r="D244" s="754" t="s">
        <v>212</v>
      </c>
      <c r="E244" s="328" t="s">
        <v>910</v>
      </c>
      <c r="F244" s="328" t="s">
        <v>1276</v>
      </c>
      <c r="G244" s="328" t="s">
        <v>1277</v>
      </c>
      <c r="H244" s="328" t="s">
        <v>683</v>
      </c>
      <c r="I244" s="552" t="s">
        <v>911</v>
      </c>
      <c r="J244" s="328" t="s">
        <v>826</v>
      </c>
      <c r="K244" s="328" t="s">
        <v>820</v>
      </c>
      <c r="L244" s="328" t="s">
        <v>821</v>
      </c>
      <c r="M244" s="328" t="s">
        <v>821</v>
      </c>
      <c r="N244" s="328" t="s">
        <v>1154</v>
      </c>
      <c r="O244" s="761"/>
      <c r="P244" s="761">
        <v>1</v>
      </c>
      <c r="Q244" s="761"/>
      <c r="R244" s="761">
        <v>1</v>
      </c>
      <c r="S244" s="761">
        <v>2</v>
      </c>
      <c r="T244" s="328" t="s">
        <v>822</v>
      </c>
      <c r="U244" s="328">
        <v>2015</v>
      </c>
      <c r="V244" s="45" t="s">
        <v>1329</v>
      </c>
    </row>
    <row r="245" spans="1:22">
      <c r="A245" s="17" t="str">
        <f t="shared" si="10"/>
        <v>UMass Lowell11</v>
      </c>
      <c r="B245">
        <v>11</v>
      </c>
      <c r="C245" s="328" t="s">
        <v>661</v>
      </c>
      <c r="D245" s="754" t="s">
        <v>212</v>
      </c>
      <c r="E245" s="328" t="s">
        <v>910</v>
      </c>
      <c r="F245" s="328" t="s">
        <v>1278</v>
      </c>
      <c r="G245" s="328" t="s">
        <v>1279</v>
      </c>
      <c r="H245" s="328" t="s">
        <v>683</v>
      </c>
      <c r="I245" s="552" t="s">
        <v>911</v>
      </c>
      <c r="J245" s="328" t="s">
        <v>826</v>
      </c>
      <c r="K245" s="328" t="s">
        <v>820</v>
      </c>
      <c r="L245" s="328" t="s">
        <v>821</v>
      </c>
      <c r="M245" s="328" t="s">
        <v>821</v>
      </c>
      <c r="N245" s="328" t="s">
        <v>1154</v>
      </c>
      <c r="O245" s="761"/>
      <c r="P245" s="761">
        <v>1</v>
      </c>
      <c r="Q245" s="761"/>
      <c r="R245" s="761">
        <v>1</v>
      </c>
      <c r="S245" s="761">
        <v>2</v>
      </c>
      <c r="T245" s="328" t="s">
        <v>822</v>
      </c>
      <c r="U245" s="328">
        <v>2020</v>
      </c>
      <c r="V245" s="45" t="s">
        <v>1329</v>
      </c>
    </row>
    <row r="246" spans="1:22">
      <c r="A246" s="17" t="str">
        <f t="shared" si="10"/>
        <v>UMass Lowell12</v>
      </c>
      <c r="B246" s="45">
        <v>12</v>
      </c>
      <c r="C246" s="328" t="s">
        <v>661</v>
      </c>
      <c r="D246" s="754" t="s">
        <v>212</v>
      </c>
      <c r="E246" s="328" t="s">
        <v>910</v>
      </c>
      <c r="F246" s="328" t="s">
        <v>1278</v>
      </c>
      <c r="G246" s="328" t="s">
        <v>1280</v>
      </c>
      <c r="H246" s="328" t="s">
        <v>683</v>
      </c>
      <c r="I246" s="552" t="s">
        <v>911</v>
      </c>
      <c r="J246" s="328" t="s">
        <v>826</v>
      </c>
      <c r="K246" s="328" t="s">
        <v>820</v>
      </c>
      <c r="L246" s="328" t="s">
        <v>821</v>
      </c>
      <c r="M246" s="328" t="s">
        <v>821</v>
      </c>
      <c r="N246" s="328" t="s">
        <v>1154</v>
      </c>
      <c r="O246" s="761"/>
      <c r="P246" s="761">
        <v>1</v>
      </c>
      <c r="Q246" s="761"/>
      <c r="R246" s="761">
        <v>1</v>
      </c>
      <c r="S246" s="761">
        <v>2</v>
      </c>
      <c r="T246" s="328" t="s">
        <v>822</v>
      </c>
      <c r="U246" s="328">
        <v>2020</v>
      </c>
      <c r="V246" s="45" t="s">
        <v>1329</v>
      </c>
    </row>
    <row r="247" spans="1:22">
      <c r="A247" s="17" t="str">
        <f t="shared" si="10"/>
        <v>UMass Lowell13</v>
      </c>
      <c r="B247">
        <v>13</v>
      </c>
      <c r="C247" s="328" t="s">
        <v>661</v>
      </c>
      <c r="D247" s="754" t="s">
        <v>212</v>
      </c>
      <c r="E247" s="328" t="s">
        <v>910</v>
      </c>
      <c r="F247" s="754" t="s">
        <v>1281</v>
      </c>
      <c r="G247" s="754" t="s">
        <v>1282</v>
      </c>
      <c r="H247" s="328" t="s">
        <v>683</v>
      </c>
      <c r="I247" s="552" t="s">
        <v>911</v>
      </c>
      <c r="J247" s="328" t="s">
        <v>826</v>
      </c>
      <c r="K247" s="328" t="s">
        <v>820</v>
      </c>
      <c r="L247" s="328" t="s">
        <v>821</v>
      </c>
      <c r="M247" s="328" t="s">
        <v>821</v>
      </c>
      <c r="N247" s="328" t="s">
        <v>1154</v>
      </c>
      <c r="O247" s="761"/>
      <c r="P247" s="761">
        <v>1</v>
      </c>
      <c r="Q247" s="761"/>
      <c r="R247" s="761">
        <v>1</v>
      </c>
      <c r="S247" s="761">
        <v>2</v>
      </c>
      <c r="T247" s="328" t="s">
        <v>822</v>
      </c>
      <c r="U247" s="328">
        <v>2015</v>
      </c>
      <c r="V247" s="45" t="s">
        <v>1329</v>
      </c>
    </row>
    <row r="248" spans="1:22">
      <c r="A248" s="17" t="str">
        <f t="shared" si="10"/>
        <v>UMass Lowell14</v>
      </c>
      <c r="B248" s="45">
        <v>14</v>
      </c>
      <c r="C248" s="328" t="s">
        <v>661</v>
      </c>
      <c r="D248" s="754" t="s">
        <v>212</v>
      </c>
      <c r="E248" s="328" t="s">
        <v>910</v>
      </c>
      <c r="F248" s="754" t="s">
        <v>1898</v>
      </c>
      <c r="G248" s="754" t="s">
        <v>1283</v>
      </c>
      <c r="H248" s="328" t="s">
        <v>683</v>
      </c>
      <c r="I248" s="552" t="s">
        <v>911</v>
      </c>
      <c r="J248" s="328" t="s">
        <v>826</v>
      </c>
      <c r="K248" s="328" t="s">
        <v>820</v>
      </c>
      <c r="L248" s="328" t="s">
        <v>821</v>
      </c>
      <c r="M248" s="328" t="s">
        <v>821</v>
      </c>
      <c r="N248" s="328" t="s">
        <v>1154</v>
      </c>
      <c r="O248" s="761"/>
      <c r="P248" s="761">
        <v>1</v>
      </c>
      <c r="Q248" s="761"/>
      <c r="R248" s="761">
        <v>1</v>
      </c>
      <c r="S248" s="761">
        <v>2</v>
      </c>
      <c r="T248" s="328" t="s">
        <v>822</v>
      </c>
      <c r="U248" s="328">
        <v>2020</v>
      </c>
      <c r="V248" s="45" t="s">
        <v>1329</v>
      </c>
    </row>
    <row r="249" spans="1:22">
      <c r="A249" s="17" t="str">
        <f t="shared" ref="A249:A258" si="16">D249&amp;B249</f>
        <v>UMass Lowell15</v>
      </c>
      <c r="B249">
        <v>15</v>
      </c>
      <c r="C249" s="328" t="s">
        <v>661</v>
      </c>
      <c r="D249" s="754" t="s">
        <v>212</v>
      </c>
      <c r="E249" s="328" t="s">
        <v>910</v>
      </c>
      <c r="F249" s="754" t="s">
        <v>1278</v>
      </c>
      <c r="G249" s="754" t="s">
        <v>1284</v>
      </c>
      <c r="H249" s="328" t="s">
        <v>683</v>
      </c>
      <c r="I249" s="552" t="s">
        <v>911</v>
      </c>
      <c r="J249" s="328" t="s">
        <v>826</v>
      </c>
      <c r="K249" s="328" t="s">
        <v>820</v>
      </c>
      <c r="L249" s="328" t="s">
        <v>821</v>
      </c>
      <c r="M249" s="328" t="s">
        <v>821</v>
      </c>
      <c r="N249" s="328"/>
      <c r="O249" s="761"/>
      <c r="P249" s="761">
        <v>5</v>
      </c>
      <c r="Q249" s="761"/>
      <c r="R249" s="761">
        <v>5</v>
      </c>
      <c r="S249" s="761">
        <v>10</v>
      </c>
      <c r="T249" s="328" t="s">
        <v>822</v>
      </c>
      <c r="U249" s="328">
        <v>2022</v>
      </c>
      <c r="V249" s="45" t="s">
        <v>1329</v>
      </c>
    </row>
    <row r="250" spans="1:22">
      <c r="A250" s="17" t="str">
        <f t="shared" ref="A250" si="17">D250&amp;B250</f>
        <v>UMass Lowell16</v>
      </c>
      <c r="B250">
        <v>16</v>
      </c>
      <c r="C250" s="328" t="s">
        <v>661</v>
      </c>
      <c r="D250" s="754" t="s">
        <v>212</v>
      </c>
      <c r="E250" s="328" t="s">
        <v>910</v>
      </c>
      <c r="F250" s="754" t="s">
        <v>2369</v>
      </c>
      <c r="G250" s="754"/>
      <c r="H250" s="328" t="s">
        <v>683</v>
      </c>
      <c r="I250" s="552" t="s">
        <v>911</v>
      </c>
      <c r="J250" s="328" t="s">
        <v>826</v>
      </c>
      <c r="K250" s="328" t="s">
        <v>820</v>
      </c>
      <c r="L250" s="328" t="s">
        <v>821</v>
      </c>
      <c r="M250" s="328" t="s">
        <v>821</v>
      </c>
      <c r="N250" s="328"/>
      <c r="O250" s="761"/>
      <c r="P250" s="761">
        <v>1</v>
      </c>
      <c r="Q250" s="761"/>
      <c r="R250" s="761">
        <v>1</v>
      </c>
      <c r="S250" s="761">
        <v>2</v>
      </c>
      <c r="T250" s="328" t="s">
        <v>822</v>
      </c>
      <c r="U250" s="328"/>
      <c r="V250" s="45" t="s">
        <v>1329</v>
      </c>
    </row>
    <row r="251" spans="1:22">
      <c r="A251" s="17" t="str">
        <f t="shared" si="16"/>
        <v>Westfield State University1</v>
      </c>
      <c r="B251" s="45">
        <v>1</v>
      </c>
      <c r="C251" s="332" t="s">
        <v>438</v>
      </c>
      <c r="D251" s="760" t="s">
        <v>218</v>
      </c>
      <c r="E251" s="332" t="s">
        <v>2370</v>
      </c>
      <c r="F251" s="332" t="s">
        <v>2039</v>
      </c>
      <c r="G251" s="760" t="s">
        <v>2371</v>
      </c>
      <c r="H251" s="332" t="s">
        <v>695</v>
      </c>
      <c r="I251" s="552" t="s">
        <v>1962</v>
      </c>
      <c r="J251" s="332"/>
      <c r="K251" s="332" t="s">
        <v>820</v>
      </c>
      <c r="L251" s="332" t="s">
        <v>821</v>
      </c>
      <c r="M251" s="332" t="s">
        <v>821</v>
      </c>
      <c r="N251" s="332"/>
      <c r="O251" s="332"/>
      <c r="P251" s="332"/>
      <c r="Q251" s="332">
        <v>1</v>
      </c>
      <c r="R251" s="761">
        <v>1</v>
      </c>
      <c r="S251" s="332">
        <v>2</v>
      </c>
      <c r="T251" s="328" t="s">
        <v>844</v>
      </c>
      <c r="U251" s="332">
        <v>2024</v>
      </c>
      <c r="V251" t="s">
        <v>1329</v>
      </c>
    </row>
    <row r="252" spans="1:22">
      <c r="A252" s="17" t="str">
        <f t="shared" ref="A252:A254" si="18">D252&amp;B252</f>
        <v>Westfield State University2</v>
      </c>
      <c r="B252" s="45">
        <v>2</v>
      </c>
      <c r="C252" s="332" t="s">
        <v>438</v>
      </c>
      <c r="D252" s="760" t="s">
        <v>218</v>
      </c>
      <c r="E252" s="332" t="s">
        <v>2372</v>
      </c>
      <c r="F252" s="332" t="s">
        <v>2039</v>
      </c>
      <c r="G252" s="332" t="s">
        <v>2373</v>
      </c>
      <c r="H252" s="332" t="s">
        <v>695</v>
      </c>
      <c r="I252" s="552" t="s">
        <v>1962</v>
      </c>
      <c r="J252" s="332"/>
      <c r="K252" s="332" t="s">
        <v>820</v>
      </c>
      <c r="L252" s="332" t="s">
        <v>821</v>
      </c>
      <c r="M252" s="332" t="s">
        <v>821</v>
      </c>
      <c r="N252" s="332"/>
      <c r="O252" s="332"/>
      <c r="P252" s="332">
        <v>2</v>
      </c>
      <c r="Q252" s="332"/>
      <c r="R252" s="761">
        <v>2</v>
      </c>
      <c r="S252" s="332">
        <v>4</v>
      </c>
      <c r="T252" s="328" t="s">
        <v>822</v>
      </c>
      <c r="U252" s="332">
        <v>2024</v>
      </c>
      <c r="V252" t="s">
        <v>1329</v>
      </c>
    </row>
    <row r="253" spans="1:22">
      <c r="A253" s="17" t="str">
        <f t="shared" si="18"/>
        <v>Westfield State University3</v>
      </c>
      <c r="B253" s="45">
        <v>3</v>
      </c>
      <c r="C253" s="332" t="s">
        <v>438</v>
      </c>
      <c r="D253" s="760" t="s">
        <v>218</v>
      </c>
      <c r="E253" s="332" t="s">
        <v>2374</v>
      </c>
      <c r="F253" s="332" t="s">
        <v>2039</v>
      </c>
      <c r="G253" s="332" t="s">
        <v>2375</v>
      </c>
      <c r="H253" s="332" t="s">
        <v>695</v>
      </c>
      <c r="I253" s="552" t="s">
        <v>1962</v>
      </c>
      <c r="J253" s="332"/>
      <c r="K253" s="332" t="s">
        <v>820</v>
      </c>
      <c r="L253" s="332" t="s">
        <v>821</v>
      </c>
      <c r="M253" s="332" t="s">
        <v>821</v>
      </c>
      <c r="N253" s="332"/>
      <c r="O253" s="332"/>
      <c r="P253" s="332">
        <v>1</v>
      </c>
      <c r="Q253" s="332"/>
      <c r="R253" s="761">
        <v>1</v>
      </c>
      <c r="S253" s="332">
        <v>2</v>
      </c>
      <c r="T253" s="328" t="s">
        <v>822</v>
      </c>
      <c r="U253" s="332">
        <v>2024</v>
      </c>
      <c r="V253" t="s">
        <v>1329</v>
      </c>
    </row>
    <row r="254" spans="1:22">
      <c r="A254" s="17" t="str">
        <f t="shared" si="18"/>
        <v>Westfield State University4</v>
      </c>
      <c r="B254" s="45">
        <v>4</v>
      </c>
      <c r="C254" s="332" t="s">
        <v>438</v>
      </c>
      <c r="D254" s="760" t="s">
        <v>218</v>
      </c>
      <c r="E254" s="328" t="s">
        <v>218</v>
      </c>
      <c r="F254" s="332" t="s">
        <v>2039</v>
      </c>
      <c r="G254" s="332"/>
      <c r="H254" s="332" t="s">
        <v>695</v>
      </c>
      <c r="I254" s="552" t="s">
        <v>1992</v>
      </c>
      <c r="J254" s="332"/>
      <c r="K254" s="332" t="s">
        <v>820</v>
      </c>
      <c r="L254" s="332" t="s">
        <v>857</v>
      </c>
      <c r="M254" s="328" t="s">
        <v>2043</v>
      </c>
      <c r="N254" s="332"/>
      <c r="O254" s="332"/>
      <c r="P254" s="332">
        <v>2</v>
      </c>
      <c r="Q254" s="332"/>
      <c r="R254" s="761">
        <v>2</v>
      </c>
      <c r="S254" s="332">
        <v>4</v>
      </c>
      <c r="T254" s="328" t="s">
        <v>822</v>
      </c>
      <c r="U254" s="332">
        <v>2024</v>
      </c>
      <c r="V254" t="s">
        <v>1329</v>
      </c>
    </row>
    <row r="255" spans="1:22">
      <c r="A255" s="17" t="str">
        <f t="shared" si="16"/>
        <v>Worcester State University1</v>
      </c>
      <c r="B255">
        <v>1</v>
      </c>
      <c r="C255" s="328" t="s">
        <v>438</v>
      </c>
      <c r="D255" s="754" t="s">
        <v>220</v>
      </c>
      <c r="E255" s="328" t="s">
        <v>916</v>
      </c>
      <c r="F255" s="328" t="s">
        <v>917</v>
      </c>
      <c r="G255" s="328" t="s">
        <v>1899</v>
      </c>
      <c r="H255" s="328" t="s">
        <v>534</v>
      </c>
      <c r="I255" s="552" t="s">
        <v>918</v>
      </c>
      <c r="J255" s="328" t="s">
        <v>826</v>
      </c>
      <c r="K255" s="328" t="s">
        <v>820</v>
      </c>
      <c r="L255" s="328" t="s">
        <v>821</v>
      </c>
      <c r="M255" s="328" t="s">
        <v>821</v>
      </c>
      <c r="N255" s="328" t="s">
        <v>1154</v>
      </c>
      <c r="O255" s="761"/>
      <c r="P255" s="761">
        <v>1</v>
      </c>
      <c r="Q255" s="761"/>
      <c r="R255" s="761">
        <v>1</v>
      </c>
      <c r="S255" s="761">
        <v>2</v>
      </c>
      <c r="T255" s="328" t="s">
        <v>822</v>
      </c>
      <c r="U255" s="328">
        <v>2015</v>
      </c>
      <c r="V255" s="45" t="s">
        <v>1329</v>
      </c>
    </row>
    <row r="256" spans="1:22">
      <c r="A256" s="17" t="str">
        <f t="shared" si="16"/>
        <v>Worcester State University2</v>
      </c>
      <c r="B256">
        <v>2</v>
      </c>
      <c r="C256" s="328" t="s">
        <v>438</v>
      </c>
      <c r="D256" s="754" t="s">
        <v>220</v>
      </c>
      <c r="E256" s="328" t="s">
        <v>916</v>
      </c>
      <c r="F256" s="328" t="s">
        <v>917</v>
      </c>
      <c r="G256" s="328" t="s">
        <v>1286</v>
      </c>
      <c r="H256" s="328" t="s">
        <v>534</v>
      </c>
      <c r="I256" s="552" t="s">
        <v>918</v>
      </c>
      <c r="J256" s="328" t="s">
        <v>826</v>
      </c>
      <c r="K256" s="328" t="s">
        <v>820</v>
      </c>
      <c r="L256" s="328" t="s">
        <v>821</v>
      </c>
      <c r="M256" s="328" t="s">
        <v>821</v>
      </c>
      <c r="N256" s="328" t="s">
        <v>1154</v>
      </c>
      <c r="O256" s="761"/>
      <c r="P256" s="761">
        <v>2</v>
      </c>
      <c r="Q256" s="761"/>
      <c r="R256" s="761">
        <v>2</v>
      </c>
      <c r="S256" s="761">
        <v>4</v>
      </c>
      <c r="T256" s="328" t="s">
        <v>822</v>
      </c>
      <c r="U256" s="328">
        <v>2020</v>
      </c>
      <c r="V256" t="s">
        <v>1329</v>
      </c>
    </row>
    <row r="257" spans="1:22">
      <c r="A257" s="17" t="str">
        <f t="shared" si="16"/>
        <v>Worcester State University3</v>
      </c>
      <c r="B257">
        <v>3</v>
      </c>
      <c r="C257" s="328" t="s">
        <v>438</v>
      </c>
      <c r="D257" s="754" t="s">
        <v>220</v>
      </c>
      <c r="E257" s="328" t="s">
        <v>916</v>
      </c>
      <c r="F257" s="328" t="s">
        <v>917</v>
      </c>
      <c r="G257" s="328" t="s">
        <v>1287</v>
      </c>
      <c r="H257" s="328" t="s">
        <v>534</v>
      </c>
      <c r="I257" s="552" t="s">
        <v>918</v>
      </c>
      <c r="J257" s="328" t="s">
        <v>826</v>
      </c>
      <c r="K257" s="328" t="s">
        <v>820</v>
      </c>
      <c r="L257" s="328" t="s">
        <v>821</v>
      </c>
      <c r="M257" s="328" t="s">
        <v>821</v>
      </c>
      <c r="N257" s="328" t="s">
        <v>1154</v>
      </c>
      <c r="O257" s="761"/>
      <c r="P257" s="761">
        <v>1</v>
      </c>
      <c r="Q257" s="761"/>
      <c r="R257" s="761">
        <v>1</v>
      </c>
      <c r="S257" s="761">
        <v>2</v>
      </c>
      <c r="T257" s="328" t="s">
        <v>822</v>
      </c>
      <c r="U257" s="328">
        <v>2018</v>
      </c>
      <c r="V257" s="45" t="s">
        <v>1329</v>
      </c>
    </row>
    <row r="258" spans="1:22">
      <c r="A258" s="17" t="str">
        <f t="shared" si="16"/>
        <v>Worcester State University4</v>
      </c>
      <c r="B258">
        <v>4</v>
      </c>
      <c r="C258" s="328" t="s">
        <v>438</v>
      </c>
      <c r="D258" s="754" t="s">
        <v>220</v>
      </c>
      <c r="E258" s="328" t="s">
        <v>916</v>
      </c>
      <c r="F258" s="328" t="s">
        <v>917</v>
      </c>
      <c r="G258" s="328" t="s">
        <v>1289</v>
      </c>
      <c r="H258" s="328" t="s">
        <v>534</v>
      </c>
      <c r="I258" s="552" t="s">
        <v>918</v>
      </c>
      <c r="J258" s="328" t="s">
        <v>826</v>
      </c>
      <c r="K258" s="328" t="s">
        <v>820</v>
      </c>
      <c r="L258" s="328" t="s">
        <v>821</v>
      </c>
      <c r="M258" s="328" t="s">
        <v>821</v>
      </c>
      <c r="N258" s="328" t="s">
        <v>1154</v>
      </c>
      <c r="O258" s="761"/>
      <c r="P258" s="761">
        <v>4</v>
      </c>
      <c r="Q258" s="761"/>
      <c r="R258" s="761">
        <v>4</v>
      </c>
      <c r="S258" s="761">
        <v>8</v>
      </c>
      <c r="T258" s="328" t="s">
        <v>822</v>
      </c>
      <c r="U258" s="328">
        <v>2021</v>
      </c>
      <c r="V258" s="45" t="s">
        <v>1329</v>
      </c>
    </row>
  </sheetData>
  <autoFilter ref="A1:V258" xr:uid="{00000000-0001-0000-1200-000000000000}"/>
  <sortState xmlns:xlrd2="http://schemas.microsoft.com/office/spreadsheetml/2017/richdata2" ref="A2:V258">
    <sortCondition ref="D2:D258"/>
  </sortState>
  <dataConsolidate/>
  <phoneticPr fontId="79" type="noConversion"/>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fitToPage="1"/>
  </sheetPr>
  <dimension ref="A1:S79"/>
  <sheetViews>
    <sheetView showGridLines="0" topLeftCell="A17" zoomScale="70" zoomScaleNormal="70" workbookViewId="0">
      <selection activeCell="C50" sqref="C50:D50"/>
    </sheetView>
  </sheetViews>
  <sheetFormatPr defaultColWidth="0" defaultRowHeight="15.75"/>
  <cols>
    <col min="1" max="1" width="1.42578125" style="6" customWidth="1"/>
    <col min="2" max="2" width="10.42578125" style="6" customWidth="1"/>
    <col min="3" max="3" width="65.140625" style="6" customWidth="1"/>
    <col min="4" max="4" width="3" style="6" customWidth="1"/>
    <col min="5" max="5" width="27" style="6" customWidth="1"/>
    <col min="6" max="6" width="20.42578125" style="170" customWidth="1"/>
    <col min="7" max="7" width="17.85546875" style="8" customWidth="1"/>
    <col min="8" max="9" width="23.140625" style="6" customWidth="1"/>
    <col min="10" max="10" width="13.42578125" style="6" customWidth="1"/>
    <col min="11" max="11" width="18" style="187" customWidth="1"/>
    <col min="12" max="12" width="20.85546875" style="187" customWidth="1"/>
    <col min="13" max="13" width="20.85546875" style="6" customWidth="1"/>
    <col min="14" max="14" width="9.140625" style="6" customWidth="1"/>
    <col min="15" max="15" width="9.140625" style="6" hidden="1" customWidth="1"/>
    <col min="16" max="16384" width="9.140625" style="6" hidden="1"/>
  </cols>
  <sheetData>
    <row r="1" spans="2:19" hidden="1">
      <c r="B1" s="1176" t="s">
        <v>22</v>
      </c>
      <c r="C1" s="1176"/>
      <c r="D1" s="1176"/>
      <c r="E1" s="1176"/>
      <c r="F1" s="1176"/>
      <c r="G1" s="1176"/>
      <c r="H1" s="1176"/>
      <c r="I1" s="1176"/>
      <c r="J1" s="1176"/>
      <c r="K1" s="1176"/>
      <c r="L1" s="1176"/>
      <c r="M1" s="1176"/>
      <c r="N1" s="471"/>
      <c r="O1" s="471"/>
      <c r="P1" s="471"/>
      <c r="Q1" s="471"/>
      <c r="R1" s="471"/>
      <c r="S1" s="471"/>
    </row>
    <row r="2" spans="2:19" ht="15.75" customHeight="1">
      <c r="B2" s="1049" t="s">
        <v>355</v>
      </c>
      <c r="C2" s="1177" t="s">
        <v>356</v>
      </c>
      <c r="D2" s="1178"/>
      <c r="E2" s="1178"/>
      <c r="F2" s="1178"/>
      <c r="G2" s="1178"/>
      <c r="H2" s="1178"/>
      <c r="I2" s="1178"/>
      <c r="J2" s="1178"/>
      <c r="K2" s="1178"/>
      <c r="L2" s="1178"/>
      <c r="M2" s="1178"/>
      <c r="N2" s="15"/>
      <c r="O2" s="15"/>
      <c r="P2" s="15"/>
      <c r="Q2" s="15"/>
      <c r="R2" s="15"/>
      <c r="S2" s="15"/>
    </row>
    <row r="3" spans="2:19">
      <c r="B3" s="1049"/>
      <c r="C3" s="1177"/>
      <c r="D3" s="1178"/>
      <c r="E3" s="1178"/>
      <c r="F3" s="1178"/>
      <c r="G3" s="1178"/>
      <c r="H3" s="1178"/>
      <c r="I3" s="1178"/>
      <c r="J3" s="1178"/>
      <c r="K3" s="1178"/>
      <c r="L3" s="1178"/>
      <c r="M3" s="1178"/>
      <c r="N3" s="15"/>
      <c r="O3" s="15"/>
      <c r="P3" s="15"/>
      <c r="Q3" s="15"/>
      <c r="R3" s="15"/>
      <c r="S3" s="15"/>
    </row>
    <row r="4" spans="2:19" ht="15.75" customHeight="1">
      <c r="B4" s="1049"/>
      <c r="C4" s="1179" t="s">
        <v>357</v>
      </c>
      <c r="D4" s="1180"/>
      <c r="E4" s="1180"/>
      <c r="F4" s="1180"/>
      <c r="G4" s="1180"/>
      <c r="H4" s="1180"/>
      <c r="I4" s="1180"/>
      <c r="J4" s="1180"/>
      <c r="K4" s="1180"/>
      <c r="L4" s="1180"/>
      <c r="M4" s="1180"/>
      <c r="N4" s="15"/>
      <c r="O4" s="15"/>
      <c r="P4" s="15"/>
      <c r="Q4" s="15"/>
      <c r="R4" s="15"/>
      <c r="S4" s="15"/>
    </row>
    <row r="5" spans="2:19" ht="15.75" customHeight="1">
      <c r="B5" s="1049"/>
      <c r="C5" s="1020" t="s">
        <v>358</v>
      </c>
      <c r="D5" s="1021"/>
      <c r="E5" s="1021"/>
      <c r="F5" s="1021"/>
      <c r="G5" s="1021"/>
      <c r="H5" s="1021"/>
      <c r="I5" s="1021"/>
      <c r="J5" s="1021"/>
      <c r="K5" s="1021"/>
      <c r="L5" s="1021"/>
      <c r="M5" s="1021"/>
      <c r="N5" s="15"/>
      <c r="O5" s="15"/>
      <c r="P5" s="15"/>
      <c r="Q5" s="15"/>
      <c r="R5" s="15"/>
      <c r="S5" s="15"/>
    </row>
    <row r="6" spans="2:19" ht="18.75" customHeight="1">
      <c r="B6" s="471"/>
      <c r="C6" s="471"/>
      <c r="D6" s="471"/>
      <c r="E6" s="471"/>
      <c r="F6" s="481"/>
      <c r="G6" s="472"/>
      <c r="H6" s="471"/>
      <c r="I6" s="471"/>
      <c r="J6" s="471"/>
      <c r="M6" s="471"/>
      <c r="N6" s="471"/>
      <c r="O6" s="471"/>
      <c r="P6" s="471"/>
      <c r="Q6" s="471"/>
      <c r="R6" s="471"/>
      <c r="S6" s="471"/>
    </row>
    <row r="7" spans="2:19" s="67" customFormat="1" ht="15" hidden="1" customHeight="1">
      <c r="B7" s="473"/>
      <c r="C7" s="473"/>
      <c r="D7" s="922" t="s">
        <v>26</v>
      </c>
      <c r="E7" s="922"/>
      <c r="F7" s="1192"/>
      <c r="G7" s="1190" t="str">
        <f>'Contact Information '!J9</f>
        <v>Please select your answer from the dropdown</v>
      </c>
      <c r="H7" s="1191"/>
      <c r="I7" s="526"/>
      <c r="J7" s="526"/>
      <c r="K7" s="250"/>
      <c r="L7" s="250"/>
      <c r="M7" s="473"/>
      <c r="N7" s="473"/>
      <c r="O7" s="473"/>
      <c r="P7" s="473"/>
      <c r="Q7" s="473"/>
      <c r="R7" s="473"/>
      <c r="S7" s="473"/>
    </row>
    <row r="8" spans="2:19" ht="26.25" hidden="1" customHeight="1">
      <c r="B8" s="471"/>
      <c r="C8" s="471"/>
      <c r="D8" s="471"/>
      <c r="E8" s="471"/>
      <c r="F8" s="481"/>
      <c r="G8" s="471"/>
      <c r="H8" s="471"/>
      <c r="I8" s="471"/>
      <c r="J8" s="471"/>
      <c r="M8" s="471"/>
      <c r="N8" s="471"/>
      <c r="O8" s="471"/>
      <c r="P8" s="471"/>
      <c r="Q8" s="471"/>
      <c r="R8" s="471"/>
      <c r="S8" s="471"/>
    </row>
    <row r="9" spans="2:19" ht="21">
      <c r="B9" s="1175" t="s">
        <v>359</v>
      </c>
      <c r="C9" s="1175"/>
      <c r="D9" s="1175"/>
      <c r="E9" s="1175"/>
      <c r="F9" s="1175"/>
      <c r="G9" s="1175"/>
      <c r="H9" s="1175"/>
      <c r="I9" s="1175"/>
      <c r="J9" s="1175"/>
      <c r="K9" s="1175"/>
      <c r="L9" s="1175"/>
      <c r="M9" s="1175"/>
      <c r="N9" s="471"/>
      <c r="O9" s="471"/>
      <c r="P9" s="471"/>
      <c r="Q9" s="471"/>
      <c r="R9" s="471"/>
      <c r="S9" s="471"/>
    </row>
    <row r="10" spans="2:19" ht="15.75" customHeight="1">
      <c r="B10" s="1183" t="s">
        <v>360</v>
      </c>
      <c r="C10" s="1184" t="s">
        <v>361</v>
      </c>
      <c r="D10" s="1184"/>
      <c r="E10" s="1184"/>
      <c r="F10" s="1184"/>
      <c r="G10" s="1184"/>
      <c r="H10" s="1184"/>
      <c r="I10" s="1184"/>
      <c r="J10" s="1184"/>
      <c r="K10" s="1184"/>
      <c r="L10" s="1184"/>
      <c r="M10" s="1184"/>
      <c r="N10" s="471"/>
      <c r="O10" s="471"/>
      <c r="P10" s="471"/>
      <c r="Q10" s="471"/>
      <c r="R10" s="471"/>
      <c r="S10" s="471"/>
    </row>
    <row r="11" spans="2:19" ht="17.25" customHeight="1" thickBot="1">
      <c r="B11" s="1183"/>
      <c r="C11" s="1184"/>
      <c r="D11" s="1184"/>
      <c r="E11" s="1184"/>
      <c r="F11" s="1184"/>
      <c r="G11" s="1184"/>
      <c r="H11" s="1184"/>
      <c r="I11" s="1184"/>
      <c r="J11" s="1184"/>
      <c r="K11" s="1184"/>
      <c r="L11" s="1184"/>
      <c r="M11" s="1184"/>
      <c r="N11" s="471"/>
      <c r="O11" s="471"/>
      <c r="P11" s="471"/>
      <c r="Q11" s="471"/>
      <c r="R11" s="471"/>
      <c r="S11" s="471"/>
    </row>
    <row r="12" spans="2:19" ht="17.25" customHeight="1">
      <c r="B12" s="1182" t="s">
        <v>362</v>
      </c>
      <c r="C12" s="1184" t="s">
        <v>363</v>
      </c>
      <c r="D12" s="1184"/>
      <c r="E12" s="1184"/>
      <c r="F12" s="1184"/>
      <c r="G12" s="1184"/>
      <c r="H12" s="1184"/>
      <c r="I12" s="1184"/>
      <c r="J12" s="1184"/>
      <c r="K12" s="1184"/>
      <c r="L12" s="1184"/>
      <c r="M12" s="1184"/>
      <c r="N12" s="471"/>
      <c r="O12" s="471"/>
      <c r="P12" s="471"/>
      <c r="Q12" s="471"/>
      <c r="R12" s="471"/>
      <c r="S12" s="471"/>
    </row>
    <row r="13" spans="2:19" ht="17.25" customHeight="1" thickBot="1">
      <c r="B13" s="1183"/>
      <c r="C13" s="1184"/>
      <c r="D13" s="1184"/>
      <c r="E13" s="1184"/>
      <c r="F13" s="1184"/>
      <c r="G13" s="1184"/>
      <c r="H13" s="1184"/>
      <c r="I13" s="1184"/>
      <c r="J13" s="1184"/>
      <c r="K13" s="1184"/>
      <c r="L13" s="1184"/>
      <c r="M13" s="1184"/>
      <c r="N13" s="471"/>
      <c r="O13" s="471"/>
      <c r="P13" s="471"/>
      <c r="Q13" s="471"/>
      <c r="R13" s="471"/>
      <c r="S13" s="471"/>
    </row>
    <row r="14" spans="2:19" ht="15.75" customHeight="1">
      <c r="B14" s="1182" t="s">
        <v>268</v>
      </c>
      <c r="C14" s="1184" t="s">
        <v>364</v>
      </c>
      <c r="D14" s="1184"/>
      <c r="E14" s="1184"/>
      <c r="F14" s="1184"/>
      <c r="G14" s="1184"/>
      <c r="H14" s="1184"/>
      <c r="I14" s="1184"/>
      <c r="J14" s="1184"/>
      <c r="K14" s="1184"/>
      <c r="L14" s="1184"/>
      <c r="M14" s="1184"/>
      <c r="N14" s="471"/>
      <c r="O14" s="471"/>
      <c r="P14" s="471"/>
      <c r="Q14" s="471"/>
      <c r="R14" s="471"/>
      <c r="S14" s="471"/>
    </row>
    <row r="15" spans="2:19" ht="17.25" customHeight="1">
      <c r="B15" s="1183"/>
      <c r="C15" s="1184"/>
      <c r="D15" s="1184"/>
      <c r="E15" s="1184"/>
      <c r="F15" s="1184"/>
      <c r="G15" s="1184"/>
      <c r="H15" s="1184"/>
      <c r="I15" s="1184"/>
      <c r="J15" s="1184"/>
      <c r="K15" s="1184"/>
      <c r="L15" s="1184"/>
      <c r="M15" s="1184"/>
      <c r="N15" s="471"/>
      <c r="O15" s="471"/>
      <c r="P15" s="471"/>
      <c r="Q15" s="471"/>
      <c r="R15" s="471"/>
      <c r="S15" s="471"/>
    </row>
    <row r="16" spans="2:19" ht="19.5" customHeight="1">
      <c r="B16" s="471"/>
      <c r="C16" s="471"/>
      <c r="D16" s="471"/>
      <c r="E16" s="471"/>
      <c r="F16" s="481"/>
      <c r="G16" s="472"/>
      <c r="H16" s="471"/>
      <c r="I16" s="471"/>
      <c r="J16" s="471"/>
      <c r="M16" s="471"/>
      <c r="N16" s="471"/>
      <c r="O16" s="471"/>
      <c r="P16" s="471"/>
      <c r="Q16" s="471"/>
      <c r="R16" s="471"/>
      <c r="S16" s="471"/>
    </row>
    <row r="17" spans="1:13" ht="18.75">
      <c r="A17" s="471"/>
      <c r="B17" s="1149" t="s">
        <v>365</v>
      </c>
      <c r="C17" s="1149"/>
      <c r="D17" s="1149"/>
      <c r="E17" s="1149"/>
      <c r="F17" s="1149"/>
      <c r="G17" s="1149"/>
      <c r="H17" s="1149"/>
      <c r="I17" s="1149"/>
      <c r="J17" s="1149"/>
      <c r="K17" s="1149"/>
      <c r="L17" s="1149"/>
      <c r="M17" s="1149"/>
    </row>
    <row r="18" spans="1:13" ht="18.75">
      <c r="A18" s="471"/>
      <c r="B18" s="1149" t="s">
        <v>366</v>
      </c>
      <c r="C18" s="1149"/>
      <c r="D18" s="1149"/>
      <c r="E18" s="1149"/>
      <c r="F18" s="1149"/>
      <c r="G18" s="1149"/>
      <c r="H18" s="1149"/>
      <c r="I18" s="1149"/>
      <c r="J18" s="1149"/>
      <c r="K18" s="1149"/>
      <c r="L18" s="1149"/>
      <c r="M18" s="1149"/>
    </row>
    <row r="19" spans="1:13" ht="15.75" customHeight="1">
      <c r="A19" s="471"/>
      <c r="B19" s="1164" t="s">
        <v>367</v>
      </c>
      <c r="C19" s="1164"/>
      <c r="D19" s="1164"/>
      <c r="E19" s="1164"/>
      <c r="F19" s="1164"/>
      <c r="G19" s="1164"/>
      <c r="H19" s="1164"/>
      <c r="I19" s="1164"/>
      <c r="J19" s="1164"/>
      <c r="K19" s="1164"/>
      <c r="L19" s="1164"/>
      <c r="M19" s="1164"/>
    </row>
    <row r="20" spans="1:13" ht="15.75" customHeight="1">
      <c r="A20" s="471"/>
      <c r="B20" s="1181" t="s">
        <v>368</v>
      </c>
      <c r="C20" s="1181"/>
      <c r="D20" s="1181"/>
      <c r="E20" s="1181"/>
      <c r="F20" s="1181"/>
      <c r="G20" s="1181"/>
      <c r="H20" s="1181"/>
      <c r="I20" s="1181"/>
      <c r="J20" s="1181"/>
      <c r="K20" s="1181"/>
      <c r="L20" s="1181"/>
      <c r="M20" s="1181"/>
    </row>
    <row r="21" spans="1:13" ht="16.5" thickBot="1">
      <c r="A21" s="471"/>
      <c r="B21" s="1146" t="s">
        <v>369</v>
      </c>
      <c r="C21" s="1146"/>
      <c r="D21" s="1146"/>
      <c r="E21" s="1146"/>
      <c r="F21" s="1146"/>
      <c r="G21" s="1146"/>
      <c r="H21" s="1146"/>
      <c r="I21" s="1146"/>
      <c r="J21" s="1146"/>
      <c r="K21" s="1146"/>
      <c r="L21" s="1146"/>
      <c r="M21" s="1146"/>
    </row>
    <row r="22" spans="1:13" ht="32.450000000000003" customHeight="1" thickBot="1">
      <c r="A22" s="471"/>
      <c r="B22" s="309"/>
      <c r="C22" s="1193" t="s">
        <v>370</v>
      </c>
      <c r="D22" s="1193"/>
      <c r="E22" s="522" t="s">
        <v>371</v>
      </c>
      <c r="F22" s="173" t="s">
        <v>372</v>
      </c>
      <c r="G22" s="522" t="s">
        <v>373</v>
      </c>
      <c r="H22" s="524" t="s">
        <v>374</v>
      </c>
      <c r="I22" s="822" t="s">
        <v>2207</v>
      </c>
      <c r="J22" s="1185" t="s">
        <v>375</v>
      </c>
      <c r="K22" s="1185"/>
      <c r="L22" s="1185"/>
      <c r="M22" s="1185"/>
    </row>
    <row r="23" spans="1:13" s="7" customFormat="1" ht="16.5" thickBot="1">
      <c r="A23" s="471"/>
      <c r="B23" s="165">
        <v>1</v>
      </c>
      <c r="C23" s="1194" t="str">
        <f>IFERROR(VLOOKUP($G$7&amp;$B23,'Renewable &amp; Onsite Gen Sites'!$A:AA,5,FALSE)," ")</f>
        <v xml:space="preserve"> </v>
      </c>
      <c r="D23" s="1173"/>
      <c r="E23" s="161" t="str">
        <f>IFERROR(VLOOKUP($G$7&amp;$B23,'Renewable &amp; Onsite Gen Sites'!$A:AA,8,FALSE)," ")</f>
        <v xml:space="preserve"> </v>
      </c>
      <c r="F23" s="171" t="str">
        <f>IFERROR(VLOOKUP($G$7&amp;$B23,'Renewable &amp; Onsite Gen Sites'!$A:AA,13,FALSE)," ")</f>
        <v xml:space="preserve"> </v>
      </c>
      <c r="G23" s="161" t="str">
        <f>IFERROR(VLOOKUP($G$7&amp;$B23,'Renewable &amp; Onsite Gen Sites'!$A:AA,3,FALSE)," ")</f>
        <v xml:space="preserve"> </v>
      </c>
      <c r="H23" s="161" t="str">
        <f>IFERROR(VLOOKUP($G$7&amp;$B23,'Renewable &amp; Onsite Gen Sites'!$A:AA,15,FALSE)," ")</f>
        <v xml:space="preserve"> </v>
      </c>
      <c r="I23" s="161"/>
      <c r="J23" s="1160"/>
      <c r="K23" s="1161"/>
      <c r="L23" s="1161"/>
      <c r="M23" s="1161"/>
    </row>
    <row r="24" spans="1:13" s="7" customFormat="1" ht="16.5" thickBot="1">
      <c r="A24" s="471"/>
      <c r="B24" s="166">
        <v>2</v>
      </c>
      <c r="C24" s="1167" t="str">
        <f>IFERROR(VLOOKUP($G$7&amp;$B24,'Renewable &amp; Onsite Gen Sites'!$A:AA,5,FALSE)," ")</f>
        <v xml:space="preserve"> </v>
      </c>
      <c r="D24" s="1168"/>
      <c r="E24" s="164" t="str">
        <f>IFERROR(VLOOKUP($G$7&amp;$B24,'Renewable &amp; Onsite Gen Sites'!$A:AA,8,FALSE)," ")</f>
        <v xml:space="preserve"> </v>
      </c>
      <c r="F24" s="172" t="str">
        <f>IFERROR(VLOOKUP($G$7&amp;$B24,'Renewable &amp; Onsite Gen Sites'!$A:AA,13,FALSE)," ")</f>
        <v xml:space="preserve"> </v>
      </c>
      <c r="G24" s="164" t="str">
        <f>IFERROR(VLOOKUP($G$7&amp;$B24,'Renewable &amp; Onsite Gen Sites'!$A:AA,3,FALSE)," ")</f>
        <v xml:space="preserve"> </v>
      </c>
      <c r="H24" s="164" t="str">
        <f>IFERROR(VLOOKUP($G$7&amp;$B24,'Renewable &amp; Onsite Gen Sites'!$A:AA,15,FALSE)," ")</f>
        <v xml:space="preserve"> </v>
      </c>
      <c r="I24" s="164"/>
      <c r="J24" s="1160"/>
      <c r="K24" s="1161" t="str">
        <f>IFERROR(VLOOKUP($G$7&amp;$B24,'Renewable &amp; Onsite Gen Sites'!$A:AA,20,FALSE)," ")</f>
        <v xml:space="preserve"> </v>
      </c>
      <c r="L24" s="1161"/>
      <c r="M24" s="1161"/>
    </row>
    <row r="25" spans="1:13" s="7" customFormat="1" ht="16.5" thickBot="1">
      <c r="A25" s="471"/>
      <c r="B25" s="166">
        <v>3</v>
      </c>
      <c r="C25" s="1167" t="str">
        <f>IFERROR(VLOOKUP($G$7&amp;$B25,'Renewable &amp; Onsite Gen Sites'!$A:AA,5,FALSE)," ")</f>
        <v xml:space="preserve"> </v>
      </c>
      <c r="D25" s="1168"/>
      <c r="E25" s="164" t="str">
        <f>IFERROR(VLOOKUP($G$7&amp;$B25,'Renewable &amp; Onsite Gen Sites'!$A:AA,8,FALSE)," ")</f>
        <v xml:space="preserve"> </v>
      </c>
      <c r="F25" s="172" t="str">
        <f>IFERROR(VLOOKUP($G$7&amp;$B25,'Renewable &amp; Onsite Gen Sites'!$A:AA,13,FALSE)," ")</f>
        <v xml:space="preserve"> </v>
      </c>
      <c r="G25" s="164" t="str">
        <f>IFERROR(VLOOKUP($G$7&amp;$B25,'Renewable &amp; Onsite Gen Sites'!$A:AA,3,FALSE)," ")</f>
        <v xml:space="preserve"> </v>
      </c>
      <c r="H25" s="164" t="str">
        <f>IFERROR(VLOOKUP($G$7&amp;$B25,'Renewable &amp; Onsite Gen Sites'!$A:AA,15,FALSE)," ")</f>
        <v xml:space="preserve"> </v>
      </c>
      <c r="I25" s="164"/>
      <c r="J25" s="1160"/>
      <c r="K25" s="1161" t="str">
        <f>IFERROR(VLOOKUP($G$7&amp;$B25,'Renewable &amp; Onsite Gen Sites'!$A:AA,20,FALSE)," ")</f>
        <v xml:space="preserve"> </v>
      </c>
      <c r="L25" s="1161"/>
      <c r="M25" s="1161"/>
    </row>
    <row r="26" spans="1:13" s="7" customFormat="1" ht="16.5" thickBot="1">
      <c r="A26" s="471"/>
      <c r="B26" s="166">
        <v>4</v>
      </c>
      <c r="C26" s="1167" t="str">
        <f>IFERROR(VLOOKUP($G$7&amp;$B26,'Renewable &amp; Onsite Gen Sites'!$A:AA,5,FALSE)," ")</f>
        <v xml:space="preserve"> </v>
      </c>
      <c r="D26" s="1168"/>
      <c r="E26" s="164" t="str">
        <f>IFERROR(VLOOKUP($G$7&amp;$B26,'Renewable &amp; Onsite Gen Sites'!$A:AA,8,FALSE)," ")</f>
        <v xml:space="preserve"> </v>
      </c>
      <c r="F26" s="172" t="str">
        <f>IFERROR(VLOOKUP($G$7&amp;$B26,'Renewable &amp; Onsite Gen Sites'!$A:AA,13,FALSE)," ")</f>
        <v xml:space="preserve"> </v>
      </c>
      <c r="G26" s="164" t="str">
        <f>IFERROR(VLOOKUP($G$7&amp;$B26,'Renewable &amp; Onsite Gen Sites'!$A:AA,3,FALSE)," ")</f>
        <v xml:space="preserve"> </v>
      </c>
      <c r="H26" s="164" t="str">
        <f>IFERROR(VLOOKUP($G$7&amp;$B26,'Renewable &amp; Onsite Gen Sites'!$A:AA,15,FALSE)," ")</f>
        <v xml:space="preserve"> </v>
      </c>
      <c r="I26" s="164"/>
      <c r="J26" s="1160"/>
      <c r="K26" s="1161"/>
      <c r="L26" s="1161"/>
      <c r="M26" s="1161"/>
    </row>
    <row r="27" spans="1:13" s="188" customFormat="1" ht="16.5" thickBot="1">
      <c r="A27" s="482"/>
      <c r="B27" s="165">
        <v>5</v>
      </c>
      <c r="C27" s="1167" t="str">
        <f>IFERROR(VLOOKUP($G$7&amp;$B27,'Renewable &amp; Onsite Gen Sites'!$A:AA,5,FALSE)," ")</f>
        <v xml:space="preserve"> </v>
      </c>
      <c r="D27" s="1168"/>
      <c r="E27" s="161" t="str">
        <f>IFERROR(VLOOKUP($G$7&amp;$B27,'Renewable &amp; Onsite Gen Sites'!$A:AA,8,FALSE)," ")</f>
        <v xml:space="preserve"> </v>
      </c>
      <c r="F27" s="172" t="str">
        <f>IFERROR(VLOOKUP($G$7&amp;$B27,'Renewable &amp; Onsite Gen Sites'!$A:AA,13,FALSE)," ")</f>
        <v xml:space="preserve"> </v>
      </c>
      <c r="G27" s="161" t="str">
        <f>IFERROR(VLOOKUP($G$7&amp;$B27,'Renewable &amp; Onsite Gen Sites'!$A:AA,3,FALSE)," ")</f>
        <v xml:space="preserve"> </v>
      </c>
      <c r="H27" s="161" t="str">
        <f>IFERROR(VLOOKUP($G$7&amp;$B27,'Renewable &amp; Onsite Gen Sites'!$A:AA,15,FALSE)," ")</f>
        <v xml:space="preserve"> </v>
      </c>
      <c r="I27" s="161"/>
      <c r="J27" s="1160"/>
      <c r="K27" s="1161" t="str">
        <f>IFERROR(VLOOKUP($G$7&amp;$B27,'Renewable &amp; Onsite Gen Sites'!$A:AA,20,FALSE)," ")</f>
        <v xml:space="preserve"> </v>
      </c>
      <c r="L27" s="1161"/>
      <c r="M27" s="1161"/>
    </row>
    <row r="28" spans="1:13" s="89" customFormat="1" ht="16.5" thickBot="1">
      <c r="A28" s="483"/>
      <c r="B28" s="166">
        <v>6</v>
      </c>
      <c r="C28" s="1167" t="str">
        <f>IFERROR(VLOOKUP($G$7&amp;$B28,'Renewable &amp; Onsite Gen Sites'!$A:AA,5,FALSE)," ")</f>
        <v xml:space="preserve"> </v>
      </c>
      <c r="D28" s="1168"/>
      <c r="E28" s="164" t="str">
        <f>IFERROR(VLOOKUP($G$7&amp;$B28,'Renewable &amp; Onsite Gen Sites'!$A:AA,8,FALSE)," ")</f>
        <v xml:space="preserve"> </v>
      </c>
      <c r="F28" s="172" t="str">
        <f>IFERROR(VLOOKUP($G$7&amp;$B28,'Renewable &amp; Onsite Gen Sites'!$A:AA,13,FALSE)," ")</f>
        <v xml:space="preserve"> </v>
      </c>
      <c r="G28" s="164" t="str">
        <f>IFERROR(VLOOKUP($G$7&amp;$B28,'Renewable &amp; Onsite Gen Sites'!$A:AA,3,FALSE)," ")</f>
        <v xml:space="preserve"> </v>
      </c>
      <c r="H28" s="164" t="str">
        <f>IFERROR(VLOOKUP($G$7&amp;$B28,'Renewable &amp; Onsite Gen Sites'!$A:AA,15,FALSE)," ")</f>
        <v xml:space="preserve"> </v>
      </c>
      <c r="I28" s="164"/>
      <c r="J28" s="1160"/>
      <c r="K28" s="1161" t="str">
        <f>IFERROR(VLOOKUP($G$7&amp;$B28,'Renewable &amp; Onsite Gen Sites'!$A:AA,20,FALSE)," ")</f>
        <v xml:space="preserve"> </v>
      </c>
      <c r="L28" s="1161"/>
      <c r="M28" s="1161"/>
    </row>
    <row r="29" spans="1:13" s="89" customFormat="1" ht="16.5" thickBot="1">
      <c r="A29" s="483"/>
      <c r="B29" s="166">
        <v>7</v>
      </c>
      <c r="C29" s="1167" t="str">
        <f>IFERROR(VLOOKUP($G$7&amp;$B29,'Renewable &amp; Onsite Gen Sites'!$A:AA,5,FALSE)," ")</f>
        <v xml:space="preserve"> </v>
      </c>
      <c r="D29" s="1168"/>
      <c r="E29" s="164" t="str">
        <f>IFERROR(VLOOKUP($G$7&amp;$B29,'Renewable &amp; Onsite Gen Sites'!$A:AA,8,FALSE)," ")</f>
        <v xml:space="preserve"> </v>
      </c>
      <c r="F29" s="172" t="str">
        <f>IFERROR(VLOOKUP($G$7&amp;$B29,'Renewable &amp; Onsite Gen Sites'!$A:AA,13,FALSE)," ")</f>
        <v xml:space="preserve"> </v>
      </c>
      <c r="G29" s="164" t="str">
        <f>IFERROR(VLOOKUP($G$7&amp;$B29,'Renewable &amp; Onsite Gen Sites'!$A:AA,3,FALSE)," ")</f>
        <v xml:space="preserve"> </v>
      </c>
      <c r="H29" s="164" t="str">
        <f>IFERROR(VLOOKUP($G$7&amp;$B29,'Renewable &amp; Onsite Gen Sites'!$A:AA,15,FALSE)," ")</f>
        <v xml:space="preserve"> </v>
      </c>
      <c r="I29" s="164"/>
      <c r="J29" s="1160"/>
      <c r="K29" s="1161" t="str">
        <f>IFERROR(VLOOKUP($G$7&amp;$B29,'Renewable &amp; Onsite Gen Sites'!$A:AA,20,FALSE)," ")</f>
        <v xml:space="preserve"> </v>
      </c>
      <c r="L29" s="1161"/>
      <c r="M29" s="1161"/>
    </row>
    <row r="30" spans="1:13" s="89" customFormat="1" ht="16.5" thickBot="1">
      <c r="A30" s="483"/>
      <c r="B30" s="166">
        <v>8</v>
      </c>
      <c r="C30" s="1167" t="str">
        <f>IFERROR(VLOOKUP($G$7&amp;$B30,'Renewable &amp; Onsite Gen Sites'!$A:AA,5,FALSE)," ")</f>
        <v xml:space="preserve"> </v>
      </c>
      <c r="D30" s="1168"/>
      <c r="E30" s="164" t="str">
        <f>IFERROR(VLOOKUP($G$7&amp;$B30,'Renewable &amp; Onsite Gen Sites'!$A:AA,8,FALSE)," ")</f>
        <v xml:space="preserve"> </v>
      </c>
      <c r="F30" s="172" t="str">
        <f>IFERROR(VLOOKUP($G$7&amp;$B30,'Renewable &amp; Onsite Gen Sites'!$A:AA,13,FALSE)," ")</f>
        <v xml:space="preserve"> </v>
      </c>
      <c r="G30" s="164" t="str">
        <f>IFERROR(VLOOKUP($G$7&amp;$B30,'Renewable &amp; Onsite Gen Sites'!$A:AA,3,FALSE)," ")</f>
        <v xml:space="preserve"> </v>
      </c>
      <c r="H30" s="164" t="str">
        <f>IFERROR(VLOOKUP($G$7&amp;$B30,'Renewable &amp; Onsite Gen Sites'!$A:AA,15,FALSE)," ")</f>
        <v xml:space="preserve"> </v>
      </c>
      <c r="I30" s="164"/>
      <c r="J30" s="1160"/>
      <c r="K30" s="1161" t="str">
        <f>IFERROR(VLOOKUP($G$7&amp;$B30,'Renewable &amp; Onsite Gen Sites'!$A:AA,20,FALSE)," ")</f>
        <v xml:space="preserve"> </v>
      </c>
      <c r="L30" s="1161"/>
      <c r="M30" s="1161"/>
    </row>
    <row r="31" spans="1:13" s="89" customFormat="1" ht="16.5" thickBot="1">
      <c r="A31" s="483"/>
      <c r="B31" s="166">
        <v>9</v>
      </c>
      <c r="C31" s="1167" t="str">
        <f>IFERROR(VLOOKUP($G$7&amp;$B31,'Renewable &amp; Onsite Gen Sites'!$A:AA,5,FALSE)," ")</f>
        <v xml:space="preserve"> </v>
      </c>
      <c r="D31" s="1168"/>
      <c r="E31" s="164" t="str">
        <f>IFERROR(VLOOKUP($G$7&amp;$B31,'Renewable &amp; Onsite Gen Sites'!$A:AA,8,FALSE)," ")</f>
        <v xml:space="preserve"> </v>
      </c>
      <c r="F31" s="172" t="str">
        <f>IFERROR(VLOOKUP($G$7&amp;$B31,'Renewable &amp; Onsite Gen Sites'!$A:AA,13,FALSE)," ")</f>
        <v xml:space="preserve"> </v>
      </c>
      <c r="G31" s="164" t="str">
        <f>IFERROR(VLOOKUP($G$7&amp;$B31,'Renewable &amp; Onsite Gen Sites'!$A:AA,3,FALSE)," ")</f>
        <v xml:space="preserve"> </v>
      </c>
      <c r="H31" s="164" t="str">
        <f>IFERROR(VLOOKUP($G$7&amp;$B31,'Renewable &amp; Onsite Gen Sites'!$A:AA,15,FALSE)," ")</f>
        <v xml:space="preserve"> </v>
      </c>
      <c r="I31" s="164"/>
      <c r="J31" s="1160"/>
      <c r="K31" s="1161" t="str">
        <f>IFERROR(VLOOKUP($G$7&amp;$B31,'Renewable &amp; Onsite Gen Sites'!$A:AA,20,FALSE)," ")</f>
        <v xml:space="preserve"> </v>
      </c>
      <c r="L31" s="1161"/>
      <c r="M31" s="1161"/>
    </row>
    <row r="32" spans="1:13" s="89" customFormat="1" ht="16.5" thickBot="1">
      <c r="A32" s="483"/>
      <c r="B32" s="166">
        <v>10</v>
      </c>
      <c r="C32" s="1167" t="str">
        <f>IFERROR(VLOOKUP($G$7&amp;$B32,'Renewable &amp; Onsite Gen Sites'!$A:AA,5,FALSE)," ")</f>
        <v xml:space="preserve"> </v>
      </c>
      <c r="D32" s="1168"/>
      <c r="E32" s="164" t="str">
        <f>IFERROR(VLOOKUP($G$7&amp;$B32,'Renewable &amp; Onsite Gen Sites'!$A:AA,8,FALSE)," ")</f>
        <v xml:space="preserve"> </v>
      </c>
      <c r="F32" s="172" t="str">
        <f>IFERROR(VLOOKUP($G$7&amp;$B32,'Renewable &amp; Onsite Gen Sites'!$A:AA,13,FALSE)," ")</f>
        <v xml:space="preserve"> </v>
      </c>
      <c r="G32" s="164" t="str">
        <f>IFERROR(VLOOKUP($G$7&amp;$B32,'Renewable &amp; Onsite Gen Sites'!$A:AA,3,FALSE)," ")</f>
        <v xml:space="preserve"> </v>
      </c>
      <c r="H32" s="164" t="str">
        <f>IFERROR(VLOOKUP($G$7&amp;$B32,'Renewable &amp; Onsite Gen Sites'!$A:AA,15,FALSE)," ")</f>
        <v xml:space="preserve"> </v>
      </c>
      <c r="I32" s="164"/>
      <c r="J32" s="1160"/>
      <c r="K32" s="1161" t="str">
        <f>IFERROR(VLOOKUP($G$7&amp;$B32,'Renewable &amp; Onsite Gen Sites'!$A:AA,20,FALSE)," ")</f>
        <v xml:space="preserve"> </v>
      </c>
      <c r="L32" s="1161"/>
      <c r="M32" s="1161"/>
    </row>
    <row r="33" spans="2:13" s="89" customFormat="1" ht="16.5" thickBot="1">
      <c r="B33" s="166">
        <v>11</v>
      </c>
      <c r="C33" s="1167" t="str">
        <f>IFERROR(VLOOKUP($G$7&amp;$B33,'Renewable &amp; Onsite Gen Sites'!$A:AA,5,FALSE)," ")</f>
        <v xml:space="preserve"> </v>
      </c>
      <c r="D33" s="1168"/>
      <c r="E33" s="164" t="str">
        <f>IFERROR(VLOOKUP($G$7&amp;$B33,'Renewable &amp; Onsite Gen Sites'!$A:AA,8,FALSE)," ")</f>
        <v xml:space="preserve"> </v>
      </c>
      <c r="F33" s="172" t="str">
        <f>IFERROR(VLOOKUP($G$7&amp;$B33,'Renewable &amp; Onsite Gen Sites'!$A:AA,13,FALSE)," ")</f>
        <v xml:space="preserve"> </v>
      </c>
      <c r="G33" s="164" t="str">
        <f>IFERROR(VLOOKUP($G$7&amp;$B33,'Renewable &amp; Onsite Gen Sites'!$A:AA,3,FALSE)," ")</f>
        <v xml:space="preserve"> </v>
      </c>
      <c r="H33" s="164" t="str">
        <f>IFERROR(VLOOKUP($G$7&amp;$B33,'Renewable &amp; Onsite Gen Sites'!$A:AA,15,FALSE)," ")</f>
        <v xml:space="preserve"> </v>
      </c>
      <c r="I33" s="164"/>
      <c r="J33" s="1160"/>
      <c r="K33" s="1161" t="str">
        <f>IFERROR(VLOOKUP($G$7&amp;$B33,'Renewable &amp; Onsite Gen Sites'!$A:AA,20,FALSE)," ")</f>
        <v xml:space="preserve"> </v>
      </c>
      <c r="L33" s="1161"/>
      <c r="M33" s="1161"/>
    </row>
    <row r="34" spans="2:13" s="89" customFormat="1" ht="16.5" thickBot="1">
      <c r="B34" s="166">
        <v>12</v>
      </c>
      <c r="C34" s="1167" t="str">
        <f>IFERROR(VLOOKUP($G$7&amp;$B34,'Renewable &amp; Onsite Gen Sites'!$A:AA,5,FALSE)," ")</f>
        <v xml:space="preserve"> </v>
      </c>
      <c r="D34" s="1168"/>
      <c r="E34" s="164" t="str">
        <f>IFERROR(VLOOKUP($G$7&amp;$B34,'Renewable &amp; Onsite Gen Sites'!$A:AA,8,FALSE)," ")</f>
        <v xml:space="preserve"> </v>
      </c>
      <c r="F34" s="172" t="str">
        <f>IFERROR(VLOOKUP($G$7&amp;$B34,'Renewable &amp; Onsite Gen Sites'!$A:AA,13,FALSE)," ")</f>
        <v xml:space="preserve"> </v>
      </c>
      <c r="G34" s="164" t="str">
        <f>IFERROR(VLOOKUP($G$7&amp;$B34,'Renewable &amp; Onsite Gen Sites'!$A:AA,3,FALSE)," ")</f>
        <v xml:space="preserve"> </v>
      </c>
      <c r="H34" s="164" t="str">
        <f>IFERROR(VLOOKUP($G$7&amp;$B34,'Renewable &amp; Onsite Gen Sites'!$A:AA,15,FALSE)," ")</f>
        <v xml:space="preserve"> </v>
      </c>
      <c r="I34" s="164"/>
      <c r="J34" s="1160"/>
      <c r="K34" s="1161" t="str">
        <f>IFERROR(VLOOKUP($G$7&amp;$B34,'Renewable &amp; Onsite Gen Sites'!$A:AA,20,FALSE)," ")</f>
        <v xml:space="preserve"> </v>
      </c>
      <c r="L34" s="1161"/>
      <c r="M34" s="1161"/>
    </row>
    <row r="35" spans="2:13" s="89" customFormat="1" ht="16.5" thickBot="1">
      <c r="B35" s="166">
        <v>13</v>
      </c>
      <c r="C35" s="1167" t="str">
        <f>IFERROR(VLOOKUP($G$7&amp;$B35,'Renewable &amp; Onsite Gen Sites'!$A:AA,5,FALSE)," ")</f>
        <v xml:space="preserve"> </v>
      </c>
      <c r="D35" s="1168"/>
      <c r="E35" s="164" t="str">
        <f>IFERROR(VLOOKUP($G$7&amp;$B35,'Renewable &amp; Onsite Gen Sites'!$A:AA,8,FALSE)," ")</f>
        <v xml:space="preserve"> </v>
      </c>
      <c r="F35" s="172" t="str">
        <f>IFERROR(VLOOKUP($G$7&amp;$B35,'Renewable &amp; Onsite Gen Sites'!$A:AA,13,FALSE)," ")</f>
        <v xml:space="preserve"> </v>
      </c>
      <c r="G35" s="164" t="str">
        <f>IFERROR(VLOOKUP($G$7&amp;$B35,'Renewable &amp; Onsite Gen Sites'!$A:AA,3,FALSE)," ")</f>
        <v xml:space="preserve"> </v>
      </c>
      <c r="H35" s="164" t="str">
        <f>IFERROR(VLOOKUP($G$7&amp;$B35,'Renewable &amp; Onsite Gen Sites'!$A:AA,15,FALSE)," ")</f>
        <v xml:space="preserve"> </v>
      </c>
      <c r="I35" s="164"/>
      <c r="J35" s="1160"/>
      <c r="K35" s="1161" t="str">
        <f>IFERROR(VLOOKUP($G$7&amp;$B35,'Renewable &amp; Onsite Gen Sites'!$A:AA,20,FALSE)," ")</f>
        <v xml:space="preserve"> </v>
      </c>
      <c r="L35" s="1161"/>
      <c r="M35" s="1161"/>
    </row>
    <row r="36" spans="2:13" s="89" customFormat="1" ht="16.5" thickBot="1">
      <c r="B36" s="166">
        <v>14</v>
      </c>
      <c r="C36" s="1167" t="str">
        <f>IFERROR(VLOOKUP($G$7&amp;$B36,'Renewable &amp; Onsite Gen Sites'!$A:AA,5,FALSE)," ")</f>
        <v xml:space="preserve"> </v>
      </c>
      <c r="D36" s="1168"/>
      <c r="E36" s="164" t="str">
        <f>IFERROR(VLOOKUP($G$7&amp;$B36,'Renewable &amp; Onsite Gen Sites'!$A:AA,8,FALSE)," ")</f>
        <v xml:space="preserve"> </v>
      </c>
      <c r="F36" s="172" t="str">
        <f>IFERROR(VLOOKUP($G$7&amp;$B36,'Renewable &amp; Onsite Gen Sites'!$A:AA,13,FALSE)," ")</f>
        <v xml:space="preserve"> </v>
      </c>
      <c r="G36" s="164" t="str">
        <f>IFERROR(VLOOKUP($G$7&amp;$B36,'Renewable &amp; Onsite Gen Sites'!$A:AA,3,FALSE)," ")</f>
        <v xml:space="preserve"> </v>
      </c>
      <c r="H36" s="164" t="str">
        <f>IFERROR(VLOOKUP($G$7&amp;$B36,'Renewable &amp; Onsite Gen Sites'!$A:AA,15,FALSE)," ")</f>
        <v xml:space="preserve"> </v>
      </c>
      <c r="I36" s="164"/>
      <c r="J36" s="1160"/>
      <c r="K36" s="1161" t="str">
        <f>IFERROR(VLOOKUP($G$7&amp;$B36,'Renewable &amp; Onsite Gen Sites'!$A:AA,20,FALSE)," ")</f>
        <v xml:space="preserve"> </v>
      </c>
      <c r="L36" s="1161"/>
      <c r="M36" s="1161"/>
    </row>
    <row r="37" spans="2:13" s="89" customFormat="1" ht="16.5" thickBot="1">
      <c r="B37" s="166">
        <v>15</v>
      </c>
      <c r="C37" s="1167" t="str">
        <f>IFERROR(VLOOKUP($G$7&amp;$B37,'Renewable &amp; Onsite Gen Sites'!$A:AA,5,FALSE)," ")</f>
        <v xml:space="preserve"> </v>
      </c>
      <c r="D37" s="1168"/>
      <c r="E37" s="164" t="str">
        <f>IFERROR(VLOOKUP($G$7&amp;$B37,'Renewable &amp; Onsite Gen Sites'!$A:AA,8,FALSE)," ")</f>
        <v xml:space="preserve"> </v>
      </c>
      <c r="F37" s="172" t="str">
        <f>IFERROR(VLOOKUP($G$7&amp;$B37,'Renewable &amp; Onsite Gen Sites'!$A:AA,13,FALSE)," ")</f>
        <v xml:space="preserve"> </v>
      </c>
      <c r="G37" s="164" t="str">
        <f>IFERROR(VLOOKUP($G$7&amp;$B37,'Renewable &amp; Onsite Gen Sites'!$A:AA,3,FALSE)," ")</f>
        <v xml:space="preserve"> </v>
      </c>
      <c r="H37" s="164" t="str">
        <f>IFERROR(VLOOKUP($G$7&amp;$B37,'Renewable &amp; Onsite Gen Sites'!$A:AA,15,FALSE)," ")</f>
        <v xml:space="preserve"> </v>
      </c>
      <c r="I37" s="164"/>
      <c r="J37" s="1160"/>
      <c r="K37" s="1161" t="str">
        <f>IFERROR(VLOOKUP($G$7&amp;$B37,'Renewable &amp; Onsite Gen Sites'!$A:AA,20,FALSE)," ")</f>
        <v xml:space="preserve"> </v>
      </c>
      <c r="L37" s="1161"/>
      <c r="M37" s="1161"/>
    </row>
    <row r="38" spans="2:13" s="89" customFormat="1" ht="16.5" thickBot="1">
      <c r="B38" s="167">
        <v>16</v>
      </c>
      <c r="C38" s="1167" t="str">
        <f>IFERROR(VLOOKUP($G$7&amp;$B38,'Renewable &amp; Onsite Gen Sites'!$A:AA,5,FALSE)," ")</f>
        <v xml:space="preserve"> </v>
      </c>
      <c r="D38" s="1168"/>
      <c r="E38" s="185" t="str">
        <f>IFERROR(VLOOKUP($G$7&amp;$B38,'Renewable &amp; Onsite Gen Sites'!$A:AA,8,FALSE)," ")</f>
        <v xml:space="preserve"> </v>
      </c>
      <c r="F38" s="186" t="str">
        <f>IFERROR(VLOOKUP($G$7&amp;$B38,'Renewable &amp; Onsite Gen Sites'!$A:AA,13,FALSE)," ")</f>
        <v xml:space="preserve"> </v>
      </c>
      <c r="G38" s="185" t="str">
        <f>IFERROR(VLOOKUP($G$7&amp;$B38,'Renewable &amp; Onsite Gen Sites'!$A:AA,3,FALSE)," ")</f>
        <v xml:space="preserve"> </v>
      </c>
      <c r="H38" s="185" t="str">
        <f>IFERROR(VLOOKUP($G$7&amp;$B38,'Renewable &amp; Onsite Gen Sites'!$A:AA,15,FALSE)," ")</f>
        <v xml:space="preserve"> </v>
      </c>
      <c r="I38" s="185"/>
      <c r="J38" s="1160"/>
      <c r="K38" s="1161" t="str">
        <f>IFERROR(VLOOKUP($G$7&amp;$B38,'Renewable &amp; Onsite Gen Sites'!$A:AA,20,FALSE)," ")</f>
        <v xml:space="preserve"> </v>
      </c>
      <c r="L38" s="1161"/>
      <c r="M38" s="1161"/>
    </row>
    <row r="39" spans="2:13" s="89" customFormat="1" ht="18.75" customHeight="1" thickBot="1">
      <c r="B39" s="1195" t="s">
        <v>376</v>
      </c>
      <c r="C39" s="1195"/>
      <c r="D39" s="1195"/>
      <c r="E39" s="1195"/>
      <c r="F39" s="1195"/>
      <c r="G39" s="1195"/>
      <c r="H39" s="1195"/>
      <c r="I39" s="1195"/>
      <c r="J39" s="1195"/>
      <c r="K39" s="1195"/>
      <c r="L39" s="1195"/>
      <c r="M39" s="1195"/>
    </row>
    <row r="40" spans="2:13" ht="16.5" thickBot="1">
      <c r="B40" s="202"/>
      <c r="C40" s="1166" t="s">
        <v>377</v>
      </c>
      <c r="D40" s="1166"/>
      <c r="E40" s="203"/>
      <c r="F40" s="204"/>
      <c r="G40" s="205" t="s">
        <v>281</v>
      </c>
      <c r="H40" s="203" t="str">
        <f>IFERROR(VLOOKUP($G$7&amp;$B40,'Renewable &amp; Onsite Gen Sites'!$A:AA,15,FALSE)," ")</f>
        <v xml:space="preserve"> </v>
      </c>
      <c r="I40" s="308"/>
      <c r="J40" s="308"/>
      <c r="K40" s="1196"/>
      <c r="L40" s="1196"/>
      <c r="M40" s="1197"/>
    </row>
    <row r="41" spans="2:13" s="88" customFormat="1" ht="16.5" thickBot="1">
      <c r="B41" s="206"/>
      <c r="C41" s="1166" t="s">
        <v>377</v>
      </c>
      <c r="D41" s="1166"/>
      <c r="E41" s="203"/>
      <c r="F41" s="208"/>
      <c r="G41" s="523" t="s">
        <v>281</v>
      </c>
      <c r="H41" s="207" t="str">
        <f>IFERROR(VLOOKUP($G$7&amp;$B41,'Renewable &amp; Onsite Gen Sites'!$A:AA,15,FALSE)," ")</f>
        <v xml:space="preserve"> </v>
      </c>
      <c r="I41" s="530"/>
      <c r="J41" s="530"/>
      <c r="K41" s="1162"/>
      <c r="L41" s="1162"/>
      <c r="M41" s="1139"/>
    </row>
    <row r="42" spans="2:13" ht="16.5" thickBot="1">
      <c r="B42" s="206"/>
      <c r="C42" s="1166" t="s">
        <v>377</v>
      </c>
      <c r="D42" s="1166"/>
      <c r="E42" s="207" t="str">
        <f>IFERROR(VLOOKUP($G$7&amp;$B42,'Renewable &amp; Onsite Gen Sites'!$A:AA,8,FALSE)," ")</f>
        <v xml:space="preserve"> </v>
      </c>
      <c r="F42" s="208" t="str">
        <f>IFERROR(VLOOKUP($G$7&amp;$B42,'Renewable &amp; Onsite Gen Sites'!$A:AA,13,FALSE)," ")</f>
        <v xml:space="preserve"> </v>
      </c>
      <c r="G42" s="523" t="s">
        <v>281</v>
      </c>
      <c r="H42" s="207" t="str">
        <f>IFERROR(VLOOKUP($G$7&amp;$B42,'Renewable &amp; Onsite Gen Sites'!$A:AA,15,FALSE)," ")</f>
        <v xml:space="preserve"> </v>
      </c>
      <c r="I42" s="530"/>
      <c r="J42" s="530"/>
      <c r="K42" s="1162"/>
      <c r="L42" s="1162"/>
      <c r="M42" s="1139"/>
    </row>
    <row r="43" spans="2:13" ht="16.5" thickBot="1">
      <c r="B43" s="206"/>
      <c r="C43" s="1166" t="s">
        <v>377</v>
      </c>
      <c r="D43" s="1166"/>
      <c r="E43" s="207" t="str">
        <f>IFERROR(VLOOKUP($G$7&amp;$B43,'Renewable &amp; Onsite Gen Sites'!$A:AA,8,FALSE)," ")</f>
        <v xml:space="preserve"> </v>
      </c>
      <c r="F43" s="208" t="str">
        <f>IFERROR(VLOOKUP($G$7&amp;$B43,'Renewable &amp; Onsite Gen Sites'!$A:AA,13,FALSE)," ")</f>
        <v xml:space="preserve"> </v>
      </c>
      <c r="G43" s="523" t="s">
        <v>281</v>
      </c>
      <c r="H43" s="207" t="str">
        <f>IFERROR(VLOOKUP($G$7&amp;$B43,'Renewable &amp; Onsite Gen Sites'!$A:AA,15,FALSE)," ")</f>
        <v xml:space="preserve"> </v>
      </c>
      <c r="I43" s="530"/>
      <c r="J43" s="530"/>
      <c r="K43" s="1162"/>
      <c r="L43" s="1162"/>
      <c r="M43" s="1139"/>
    </row>
    <row r="44" spans="2:13" ht="25.5" customHeight="1">
      <c r="B44" s="471"/>
      <c r="C44" s="484"/>
      <c r="D44" s="484"/>
      <c r="E44" s="484"/>
      <c r="F44" s="485"/>
      <c r="G44" s="486"/>
      <c r="H44" s="484"/>
      <c r="I44" s="484"/>
      <c r="J44" s="484"/>
      <c r="M44" s="471"/>
    </row>
    <row r="45" spans="2:13" ht="18.75" customHeight="1">
      <c r="B45" s="1144" t="s">
        <v>378</v>
      </c>
      <c r="C45" s="1144"/>
      <c r="D45" s="1144"/>
      <c r="E45" s="1144"/>
      <c r="F45" s="1144"/>
      <c r="G45" s="1144"/>
      <c r="H45" s="1144"/>
      <c r="I45" s="1144"/>
      <c r="J45" s="1144"/>
      <c r="K45" s="1144"/>
      <c r="L45" s="1144"/>
      <c r="M45" s="1144"/>
    </row>
    <row r="46" spans="2:13" s="299" customFormat="1" ht="18.75" customHeight="1">
      <c r="B46" s="1144" t="s">
        <v>379</v>
      </c>
      <c r="C46" s="1144"/>
      <c r="D46" s="1144"/>
      <c r="E46" s="1144"/>
      <c r="F46" s="1144"/>
      <c r="G46" s="1144"/>
      <c r="H46" s="1144"/>
      <c r="I46" s="1144"/>
      <c r="J46" s="1144"/>
      <c r="K46" s="1144"/>
      <c r="L46" s="1144"/>
      <c r="M46" s="1144"/>
    </row>
    <row r="47" spans="2:13">
      <c r="B47" s="1164" t="s">
        <v>380</v>
      </c>
      <c r="C47" s="1164"/>
      <c r="D47" s="1164"/>
      <c r="E47" s="1164"/>
      <c r="F47" s="1164"/>
      <c r="G47" s="1164"/>
      <c r="H47" s="1164"/>
      <c r="I47" s="1164"/>
      <c r="J47" s="1164"/>
      <c r="K47" s="1164"/>
      <c r="L47" s="1164"/>
      <c r="M47" s="1164"/>
    </row>
    <row r="48" spans="2:13" s="88" customFormat="1" ht="18.75" customHeight="1" thickBot="1">
      <c r="B48" s="1165" t="s">
        <v>381</v>
      </c>
      <c r="C48" s="1165"/>
      <c r="D48" s="1165"/>
      <c r="E48" s="1165"/>
      <c r="F48" s="1165"/>
      <c r="G48" s="1165"/>
      <c r="H48" s="1165"/>
      <c r="I48" s="1165"/>
      <c r="J48" s="1165"/>
      <c r="K48" s="1165"/>
      <c r="L48" s="1165"/>
      <c r="M48" s="1165"/>
    </row>
    <row r="49" spans="2:14" ht="32.25" thickBot="1">
      <c r="B49" s="522"/>
      <c r="C49" s="1163" t="s">
        <v>370</v>
      </c>
      <c r="D49" s="1163"/>
      <c r="E49" s="522" t="s">
        <v>371</v>
      </c>
      <c r="F49" s="173" t="s">
        <v>382</v>
      </c>
      <c r="G49" s="529" t="s">
        <v>383</v>
      </c>
      <c r="H49" s="522" t="s">
        <v>373</v>
      </c>
      <c r="I49" s="822" t="s">
        <v>2207</v>
      </c>
      <c r="J49" s="1169" t="s">
        <v>375</v>
      </c>
      <c r="K49" s="1169"/>
      <c r="L49" s="1169"/>
      <c r="M49" s="1169"/>
      <c r="N49" s="471"/>
    </row>
    <row r="50" spans="2:14" ht="16.5" thickBot="1">
      <c r="B50" s="161">
        <v>1</v>
      </c>
      <c r="C50" s="1172" t="str">
        <f>IFERROR(VLOOKUP($G$7&amp;$B50,'Renewable Thermal Sites'!A:G,7,FALSE)," ")</f>
        <v xml:space="preserve"> </v>
      </c>
      <c r="D50" s="1173"/>
      <c r="E50" s="162" t="str">
        <f>IFERROR(VLOOKUP($G$7&amp;$B50,'Renewable Thermal Sites'!A:H,8,FALSE)," ")</f>
        <v xml:space="preserve"> </v>
      </c>
      <c r="F50" s="171" t="str">
        <f>IFERROR(VLOOKUP($G$7&amp;$B50,'Renewable Thermal Sites'!A:I,9,FALSE)," ")</f>
        <v xml:space="preserve"> </v>
      </c>
      <c r="G50" s="161" t="str">
        <f>IFERROR(VLOOKUP($G$7&amp;$B50,'Renewable Thermal Sites'!A:J,10,FALSE)," ")</f>
        <v xml:space="preserve"> </v>
      </c>
      <c r="H50" s="161" t="str">
        <f>IFERROR(VLOOKUP($G$7&amp;$B50,'Renewable Thermal Sites'!A:I,3,FALSE)," ")</f>
        <v xml:space="preserve"> </v>
      </c>
      <c r="I50" s="161"/>
      <c r="J50" s="1160"/>
      <c r="K50" s="1161"/>
      <c r="L50" s="1161"/>
      <c r="M50" s="1161"/>
      <c r="N50" s="471"/>
    </row>
    <row r="51" spans="2:14" ht="16.5" thickBot="1">
      <c r="B51" s="164">
        <v>2</v>
      </c>
      <c r="C51" s="1172" t="str">
        <f>IFERROR(VLOOKUP($G$7&amp;$B51,'Renewable Thermal Sites'!A:G,7,FALSE)," ")</f>
        <v xml:space="preserve"> </v>
      </c>
      <c r="D51" s="1173"/>
      <c r="E51" s="163" t="str">
        <f>IFERROR(VLOOKUP($G$7&amp;$B51,'Renewable Thermal Sites'!A:H,8,FALSE)," ")</f>
        <v xml:space="preserve"> </v>
      </c>
      <c r="F51" s="172" t="str">
        <f>IFERROR(VLOOKUP($G$7&amp;$B51,'Renewable Thermal Sites'!A:I,9,FALSE)," ")</f>
        <v xml:space="preserve"> </v>
      </c>
      <c r="G51" s="164" t="str">
        <f>IFERROR(VLOOKUP($G$7&amp;$B51,'Renewable Thermal Sites'!A:J,10,FALSE)," ")</f>
        <v xml:space="preserve"> </v>
      </c>
      <c r="H51" s="164" t="str">
        <f>IFERROR(VLOOKUP($G$7&amp;$B51,'Renewable Thermal Sites'!A:I,3,FALSE)," ")</f>
        <v xml:space="preserve"> </v>
      </c>
      <c r="I51" s="164"/>
      <c r="J51" s="1160"/>
      <c r="K51" s="1161"/>
      <c r="L51" s="1161"/>
      <c r="M51" s="1161"/>
      <c r="N51" s="471"/>
    </row>
    <row r="52" spans="2:14" ht="16.5" thickBot="1">
      <c r="B52" s="164">
        <v>3</v>
      </c>
      <c r="C52" s="1174" t="str">
        <f>IFERROR(VLOOKUP($G$7&amp;$B52,'Renewable Thermal Sites'!A:F,6,FALSE)," ")</f>
        <v xml:space="preserve"> </v>
      </c>
      <c r="D52" s="1168"/>
      <c r="E52" s="163" t="str">
        <f>IFERROR(VLOOKUP($G$7&amp;$B52,'Renewable Thermal Sites'!A:H,8,FALSE)," ")</f>
        <v xml:space="preserve"> </v>
      </c>
      <c r="F52" s="172" t="str">
        <f>IFERROR(VLOOKUP($G$7&amp;$B52,'Renewable Thermal Sites'!A:I,9,FALSE)," ")</f>
        <v xml:space="preserve"> </v>
      </c>
      <c r="G52" s="164" t="str">
        <f>IFERROR(VLOOKUP($G$7&amp;$B52,'Renewable Thermal Sites'!A:J,10,FALSE)," ")</f>
        <v xml:space="preserve"> </v>
      </c>
      <c r="H52" s="164" t="str">
        <f>IFERROR(VLOOKUP($G$7&amp;$B52,'Renewable Thermal Sites'!A:I,3,FALSE)," ")</f>
        <v xml:space="preserve"> </v>
      </c>
      <c r="I52" s="164"/>
      <c r="J52" s="1160"/>
      <c r="K52" s="1161"/>
      <c r="L52" s="1161"/>
      <c r="M52" s="1161"/>
      <c r="N52" s="471"/>
    </row>
    <row r="53" spans="2:14" ht="16.5" thickBot="1">
      <c r="B53" s="164">
        <v>4</v>
      </c>
      <c r="C53" s="1174" t="str">
        <f>IFERROR(VLOOKUP($G$7&amp;$B53,'Renewable Thermal Sites'!A:F,6,FALSE)," ")</f>
        <v xml:space="preserve"> </v>
      </c>
      <c r="D53" s="1168"/>
      <c r="E53" s="163" t="str">
        <f>IFERROR(VLOOKUP($G$7&amp;$B53,'Renewable Thermal Sites'!A:H,8,FALSE)," ")</f>
        <v xml:space="preserve"> </v>
      </c>
      <c r="F53" s="172" t="str">
        <f>IFERROR(VLOOKUP($G$7&amp;$B53,'Renewable Thermal Sites'!A:I,9,FALSE)," ")</f>
        <v xml:space="preserve"> </v>
      </c>
      <c r="G53" s="164" t="str">
        <f>IFERROR(VLOOKUP($G$7&amp;$B53,'Renewable Thermal Sites'!A:J,10,FALSE)," ")</f>
        <v xml:space="preserve"> </v>
      </c>
      <c r="H53" s="164" t="str">
        <f>IFERROR(VLOOKUP($G$7&amp;$B53,'Renewable Thermal Sites'!A:I,3,FALSE)," ")</f>
        <v xml:space="preserve"> </v>
      </c>
      <c r="I53" s="164"/>
      <c r="J53" s="1160"/>
      <c r="K53" s="1161"/>
      <c r="L53" s="1161"/>
      <c r="M53" s="1161"/>
      <c r="N53" s="471"/>
    </row>
    <row r="54" spans="2:14" ht="16.5" thickBot="1">
      <c r="B54" s="164">
        <v>5</v>
      </c>
      <c r="C54" s="1174" t="str">
        <f>IFERROR(VLOOKUP($G$7&amp;$B54,'Renewable Thermal Sites'!A:F,6,FALSE)," ")</f>
        <v xml:space="preserve"> </v>
      </c>
      <c r="D54" s="1168"/>
      <c r="E54" s="163" t="str">
        <f>IFERROR(VLOOKUP($G$7&amp;$B54,'Renewable Thermal Sites'!A:H,8,FALSE)," ")</f>
        <v xml:space="preserve"> </v>
      </c>
      <c r="F54" s="172" t="str">
        <f>IFERROR(VLOOKUP($G$7&amp;$B54,'Renewable Thermal Sites'!A:I,9,FALSE)," ")</f>
        <v xml:space="preserve"> </v>
      </c>
      <c r="G54" s="164" t="str">
        <f>IFERROR(VLOOKUP($G$7&amp;$B54,'Renewable Thermal Sites'!A:J,10,FALSE)," ")</f>
        <v xml:space="preserve"> </v>
      </c>
      <c r="H54" s="164" t="str">
        <f>IFERROR(VLOOKUP($G$7&amp;$B54,'Renewable Thermal Sites'!A:I,3,FALSE)," ")</f>
        <v xml:space="preserve"> </v>
      </c>
      <c r="I54" s="164"/>
      <c r="J54" s="1160"/>
      <c r="K54" s="1161"/>
      <c r="L54" s="1161"/>
      <c r="M54" s="1161"/>
      <c r="N54" s="471"/>
    </row>
    <row r="55" spans="2:14" ht="19.5" customHeight="1" thickBot="1">
      <c r="B55" s="1187" t="s">
        <v>384</v>
      </c>
      <c r="C55" s="1187"/>
      <c r="D55" s="1187"/>
      <c r="E55" s="1187"/>
      <c r="F55" s="1187"/>
      <c r="G55" s="1187"/>
      <c r="H55" s="1187"/>
      <c r="I55" s="1187"/>
      <c r="J55" s="1187"/>
      <c r="K55" s="1187"/>
      <c r="L55" s="1187"/>
      <c r="M55" s="1187"/>
      <c r="N55" s="471"/>
    </row>
    <row r="56" spans="2:14" ht="16.5" thickBot="1">
      <c r="B56" s="209">
        <v>6</v>
      </c>
      <c r="C56" s="1166" t="s">
        <v>377</v>
      </c>
      <c r="D56" s="1166"/>
      <c r="E56" s="210"/>
      <c r="F56" s="211"/>
      <c r="G56" s="523" t="s">
        <v>330</v>
      </c>
      <c r="H56" s="523" t="s">
        <v>281</v>
      </c>
      <c r="I56" s="90"/>
      <c r="J56" s="1138"/>
      <c r="K56" s="1162"/>
      <c r="L56" s="1162"/>
      <c r="M56" s="1162"/>
      <c r="N56" s="471"/>
    </row>
    <row r="57" spans="2:14" ht="16.5" thickBot="1">
      <c r="B57" s="209">
        <v>7</v>
      </c>
      <c r="C57" s="1166" t="s">
        <v>377</v>
      </c>
      <c r="D57" s="1166"/>
      <c r="E57" s="210"/>
      <c r="F57" s="211"/>
      <c r="G57" s="523" t="s">
        <v>330</v>
      </c>
      <c r="H57" s="523" t="s">
        <v>281</v>
      </c>
      <c r="I57" s="90"/>
      <c r="J57" s="1138"/>
      <c r="K57" s="1162"/>
      <c r="L57" s="1162"/>
      <c r="M57" s="1162"/>
      <c r="N57" s="471"/>
    </row>
    <row r="58" spans="2:14" ht="16.5" thickBot="1">
      <c r="B58" s="209">
        <v>8</v>
      </c>
      <c r="C58" s="1166" t="s">
        <v>377</v>
      </c>
      <c r="D58" s="1166"/>
      <c r="E58" s="210"/>
      <c r="F58" s="211"/>
      <c r="G58" s="523" t="s">
        <v>330</v>
      </c>
      <c r="H58" s="523" t="s">
        <v>281</v>
      </c>
      <c r="I58" s="90"/>
      <c r="J58" s="1138"/>
      <c r="K58" s="1162"/>
      <c r="L58" s="1162"/>
      <c r="M58" s="1162"/>
      <c r="N58" s="471"/>
    </row>
    <row r="59" spans="2:14" ht="16.5" thickBot="1">
      <c r="B59" s="209">
        <v>9</v>
      </c>
      <c r="C59" s="1166" t="s">
        <v>377</v>
      </c>
      <c r="D59" s="1166"/>
      <c r="E59" s="210"/>
      <c r="F59" s="211"/>
      <c r="G59" s="523" t="s">
        <v>330</v>
      </c>
      <c r="H59" s="523" t="s">
        <v>281</v>
      </c>
      <c r="I59" s="90"/>
      <c r="J59" s="1138"/>
      <c r="K59" s="1162"/>
      <c r="L59" s="1162"/>
      <c r="M59" s="1162"/>
      <c r="N59" s="471"/>
    </row>
    <row r="60" spans="2:14" ht="17.25" customHeight="1" thickBot="1">
      <c r="B60" s="209">
        <v>10</v>
      </c>
      <c r="C60" s="1170" t="s">
        <v>377</v>
      </c>
      <c r="D60" s="1171"/>
      <c r="E60" s="158"/>
      <c r="F60" s="174"/>
      <c r="G60" s="159" t="s">
        <v>330</v>
      </c>
      <c r="H60" s="160" t="s">
        <v>281</v>
      </c>
      <c r="I60" s="160"/>
      <c r="J60" s="1138"/>
      <c r="K60" s="1162"/>
      <c r="L60" s="1162"/>
      <c r="M60" s="1162"/>
      <c r="N60" s="471"/>
    </row>
    <row r="61" spans="2:14">
      <c r="B61" s="471"/>
      <c r="C61" s="471"/>
      <c r="D61" s="471"/>
      <c r="E61" s="471"/>
      <c r="F61" s="481"/>
      <c r="G61" s="472"/>
      <c r="H61" s="471"/>
      <c r="I61" s="471"/>
      <c r="J61" s="471"/>
      <c r="M61" s="471"/>
      <c r="N61" s="471"/>
    </row>
    <row r="62" spans="2:14" ht="8.1" customHeight="1">
      <c r="B62" s="471"/>
      <c r="C62" s="471"/>
      <c r="D62" s="471"/>
      <c r="E62" s="471"/>
      <c r="F62" s="481"/>
      <c r="G62" s="471"/>
      <c r="H62" s="471"/>
      <c r="I62" s="471"/>
      <c r="J62" s="471"/>
      <c r="M62" s="471"/>
      <c r="N62" s="471"/>
    </row>
    <row r="63" spans="2:14" ht="18.75" customHeight="1">
      <c r="B63" s="1144" t="s">
        <v>385</v>
      </c>
      <c r="C63" s="1144"/>
      <c r="D63" s="1144"/>
      <c r="E63" s="1144"/>
      <c r="F63" s="1144"/>
      <c r="G63" s="1144"/>
      <c r="H63" s="1144"/>
      <c r="I63" s="1144"/>
      <c r="J63" s="1144"/>
      <c r="K63" s="1144"/>
      <c r="L63" s="1144"/>
      <c r="M63" s="1144"/>
      <c r="N63" s="471"/>
    </row>
    <row r="64" spans="2:14" ht="18.75" customHeight="1">
      <c r="B64" s="1144" t="s">
        <v>386</v>
      </c>
      <c r="C64" s="1144"/>
      <c r="D64" s="1144"/>
      <c r="E64" s="1144"/>
      <c r="F64" s="1144"/>
      <c r="G64" s="1144"/>
      <c r="H64" s="1144"/>
      <c r="I64" s="1144"/>
      <c r="J64" s="1144"/>
      <c r="K64" s="1144"/>
      <c r="L64" s="1144"/>
      <c r="M64" s="1144"/>
      <c r="N64" s="471"/>
    </row>
    <row r="65" spans="2:14">
      <c r="B65" s="1164" t="s">
        <v>387</v>
      </c>
      <c r="C65" s="1164"/>
      <c r="D65" s="1164"/>
      <c r="E65" s="1164"/>
      <c r="F65" s="1164"/>
      <c r="G65" s="1164"/>
      <c r="H65" s="1164"/>
      <c r="I65" s="1164"/>
      <c r="J65" s="1164"/>
      <c r="K65" s="1164"/>
      <c r="L65" s="1164"/>
      <c r="M65" s="1164"/>
      <c r="N65" s="471"/>
    </row>
    <row r="66" spans="2:14">
      <c r="B66" s="1165" t="s">
        <v>381</v>
      </c>
      <c r="C66" s="1165"/>
      <c r="D66" s="1165"/>
      <c r="E66" s="1165"/>
      <c r="F66" s="1165"/>
      <c r="G66" s="1165"/>
      <c r="H66" s="1165"/>
      <c r="I66" s="1165"/>
      <c r="J66" s="1165"/>
      <c r="K66" s="1165"/>
      <c r="L66" s="1165"/>
      <c r="M66" s="1165"/>
      <c r="N66" s="471"/>
    </row>
    <row r="67" spans="2:14" ht="48" customHeight="1" thickBot="1">
      <c r="B67" s="522"/>
      <c r="C67" s="1163" t="s">
        <v>370</v>
      </c>
      <c r="D67" s="1163"/>
      <c r="E67" s="173" t="s">
        <v>388</v>
      </c>
      <c r="F67" s="300" t="s">
        <v>389</v>
      </c>
      <c r="G67" s="529" t="s">
        <v>390</v>
      </c>
      <c r="H67" s="529" t="s">
        <v>374</v>
      </c>
      <c r="I67" s="822" t="s">
        <v>2207</v>
      </c>
      <c r="J67" s="529" t="s">
        <v>391</v>
      </c>
      <c r="K67" s="544" t="s">
        <v>392</v>
      </c>
      <c r="L67" s="545" t="s">
        <v>393</v>
      </c>
      <c r="M67" s="524" t="s">
        <v>375</v>
      </c>
      <c r="N67" s="187"/>
    </row>
    <row r="68" spans="2:14" ht="16.5" thickBot="1">
      <c r="B68" s="346">
        <v>1</v>
      </c>
      <c r="C68" s="1188" t="str">
        <f>IFERROR(VLOOKUP($G$7&amp;$B68,'Energy Storage Source'!A:J,2,FALSE)," ")</f>
        <v xml:space="preserve"> </v>
      </c>
      <c r="D68" s="1189"/>
      <c r="E68" s="347" t="str">
        <f>IFERROR(VLOOKUP($G$7&amp;$B68,'Energy Storage Source'!A:J,3,FALSE)," ")</f>
        <v xml:space="preserve"> </v>
      </c>
      <c r="F68" s="347" t="str">
        <f>IFERROR(VLOOKUP($G$7&amp;$B68,'Energy Storage Source'!A:J,4,FALSE)," ")</f>
        <v xml:space="preserve"> </v>
      </c>
      <c r="G68" s="348" t="str">
        <f>IFERROR(VLOOKUP($G$7&amp;$B68,'Energy Storage Source'!A:J,5,FALSE)," ")</f>
        <v xml:space="preserve"> </v>
      </c>
      <c r="H68" s="348" t="str">
        <f>IFERROR(VLOOKUP($G$7&amp;$B68,'Energy Storage Source'!A:J,6,FALSE)," ")</f>
        <v xml:space="preserve"> </v>
      </c>
      <c r="I68" s="348"/>
      <c r="J68" s="349" t="str">
        <f>IFERROR(VLOOKUP($G$7&amp;$B68,'Energy Storage Source'!A:J,7,FALSE)," ")</f>
        <v xml:space="preserve"> </v>
      </c>
      <c r="K68" s="349" t="str">
        <f>IFERROR(VLOOKUP($G$7&amp;$B68,'Energy Storage Source'!A:J,8,FALSE)," ")</f>
        <v xml:space="preserve"> </v>
      </c>
      <c r="L68" s="601"/>
      <c r="M68" s="469"/>
      <c r="N68" s="187"/>
    </row>
    <row r="69" spans="2:14" ht="16.5" thickBot="1">
      <c r="B69" s="346">
        <v>2</v>
      </c>
      <c r="C69" s="1188" t="str">
        <f>IFERROR(VLOOKUP($G$7&amp;$B69,'Energy Storage Source'!A:J,2,FALSE)," ")</f>
        <v xml:space="preserve"> </v>
      </c>
      <c r="D69" s="1189"/>
      <c r="E69" s="347" t="str">
        <f>IFERROR(VLOOKUP($G$7&amp;$B69,'Energy Storage Source'!A:J,3,FALSE)," ")</f>
        <v xml:space="preserve"> </v>
      </c>
      <c r="F69" s="347" t="str">
        <f>IFERROR(VLOOKUP($G$7&amp;$B69,'Energy Storage Source'!A:J,4,FALSE)," ")</f>
        <v xml:space="preserve"> </v>
      </c>
      <c r="G69" s="348" t="str">
        <f>IFERROR(VLOOKUP($G$7&amp;$B69,'Energy Storage Source'!A:J,5,FALSE)," ")</f>
        <v xml:space="preserve"> </v>
      </c>
      <c r="H69" s="348" t="str">
        <f>IFERROR(VLOOKUP($G$7&amp;$B69,'Energy Storage Source'!A:J,6,FALSE)," ")</f>
        <v xml:space="preserve"> </v>
      </c>
      <c r="I69" s="348"/>
      <c r="J69" s="349" t="str">
        <f>IFERROR(VLOOKUP($G$7&amp;$B69,'Energy Storage Source'!A:J,7,FALSE)," ")</f>
        <v xml:space="preserve"> </v>
      </c>
      <c r="K69" s="349" t="str">
        <f>IFERROR(VLOOKUP($G$7&amp;$B69,'Energy Storage Source'!A:J,8,FALSE)," ")</f>
        <v xml:space="preserve"> </v>
      </c>
      <c r="L69" s="601"/>
      <c r="M69" s="469"/>
      <c r="N69" s="187"/>
    </row>
    <row r="70" spans="2:14" ht="16.5" thickBot="1">
      <c r="B70" s="346">
        <v>3</v>
      </c>
      <c r="C70" s="1188" t="str">
        <f>IFERROR(VLOOKUP($G$7&amp;$B70,'Energy Storage Source'!A:J,2,FALSE)," ")</f>
        <v xml:space="preserve"> </v>
      </c>
      <c r="D70" s="1189"/>
      <c r="E70" s="347" t="str">
        <f>IFERROR(VLOOKUP($G$7&amp;$B70,'Energy Storage Source'!A:J,3,FALSE)," ")</f>
        <v xml:space="preserve"> </v>
      </c>
      <c r="F70" s="347" t="str">
        <f>IFERROR(VLOOKUP($G$7&amp;$B70,'Energy Storage Source'!A:J,4,FALSE)," ")</f>
        <v xml:space="preserve"> </v>
      </c>
      <c r="G70" s="348" t="str">
        <f>IFERROR(VLOOKUP($G$7&amp;$B70,'Energy Storage Source'!A:J,5,FALSE)," ")</f>
        <v xml:space="preserve"> </v>
      </c>
      <c r="H70" s="348" t="str">
        <f>IFERROR(VLOOKUP($G$7&amp;$B70,'Energy Storage Source'!A:J,6,FALSE)," ")</f>
        <v xml:space="preserve"> </v>
      </c>
      <c r="I70" s="348"/>
      <c r="J70" s="349" t="str">
        <f>IFERROR(VLOOKUP($G$7&amp;$B70,'Energy Storage Source'!A:J,7,FALSE)," ")</f>
        <v xml:space="preserve"> </v>
      </c>
      <c r="K70" s="349" t="str">
        <f>IFERROR(VLOOKUP($G$7&amp;$B70,'Energy Storage Source'!A:J,8,FALSE)," ")</f>
        <v xml:space="preserve"> </v>
      </c>
      <c r="L70" s="601"/>
      <c r="M70" s="469"/>
      <c r="N70" s="187"/>
    </row>
    <row r="71" spans="2:14" ht="16.5" thickBot="1">
      <c r="B71" s="346">
        <v>4</v>
      </c>
      <c r="C71" s="1188" t="str">
        <f>IFERROR(VLOOKUP($G$7&amp;$B71,'Energy Storage Source'!A:J,2,FALSE)," ")</f>
        <v xml:space="preserve"> </v>
      </c>
      <c r="D71" s="1189"/>
      <c r="E71" s="347" t="str">
        <f>IFERROR(VLOOKUP($G$7&amp;$B71,'Energy Storage Source'!A:J,3,FALSE)," ")</f>
        <v xml:space="preserve"> </v>
      </c>
      <c r="F71" s="347" t="str">
        <f>IFERROR(VLOOKUP($G$7&amp;$B71,'Energy Storage Source'!A:J,4,FALSE)," ")</f>
        <v xml:space="preserve"> </v>
      </c>
      <c r="G71" s="348" t="str">
        <f>IFERROR(VLOOKUP($G$7&amp;$B71,'Energy Storage Source'!A:J,5,FALSE)," ")</f>
        <v xml:space="preserve"> </v>
      </c>
      <c r="H71" s="348" t="str">
        <f>IFERROR(VLOOKUP($G$7&amp;$B71,'Energy Storage Source'!A:J,6,FALSE)," ")</f>
        <v xml:space="preserve"> </v>
      </c>
      <c r="I71" s="348"/>
      <c r="J71" s="349" t="str">
        <f>IFERROR(VLOOKUP($G$7&amp;$B71,'Energy Storage Source'!A:J,7,FALSE)," ")</f>
        <v xml:space="preserve"> </v>
      </c>
      <c r="K71" s="349" t="str">
        <f>IFERROR(VLOOKUP($G$7&amp;$B71,'Energy Storage Source'!A:J,8,FALSE)," ")</f>
        <v xml:space="preserve"> </v>
      </c>
      <c r="L71" s="601"/>
      <c r="M71" s="469"/>
      <c r="N71" s="187"/>
    </row>
    <row r="72" spans="2:14" ht="16.5" thickBot="1">
      <c r="B72" s="346">
        <v>5</v>
      </c>
      <c r="C72" s="1188" t="str">
        <f>IFERROR(VLOOKUP($G$7&amp;$B72,'Energy Storage Source'!A:J,2,FALSE)," ")</f>
        <v xml:space="preserve"> </v>
      </c>
      <c r="D72" s="1189"/>
      <c r="E72" s="347" t="str">
        <f>IFERROR(VLOOKUP($G$7&amp;$B72,'Energy Storage Source'!A:J,3,FALSE)," ")</f>
        <v xml:space="preserve"> </v>
      </c>
      <c r="F72" s="347" t="str">
        <f>IFERROR(VLOOKUP($G$7&amp;$B72,'Energy Storage Source'!A:J,4,FALSE)," ")</f>
        <v xml:space="preserve"> </v>
      </c>
      <c r="G72" s="348" t="str">
        <f>IFERROR(VLOOKUP($G$7&amp;$B72,'Energy Storage Source'!A:J,5,FALSE)," ")</f>
        <v xml:space="preserve"> </v>
      </c>
      <c r="H72" s="348" t="str">
        <f>IFERROR(VLOOKUP($G$7&amp;$B72,'Energy Storage Source'!A:J,6,FALSE)," ")</f>
        <v xml:space="preserve"> </v>
      </c>
      <c r="I72" s="348"/>
      <c r="J72" s="349" t="str">
        <f>IFERROR(VLOOKUP($G$7&amp;$B72,'Energy Storage Source'!A:J,7,FALSE)," ")</f>
        <v xml:space="preserve"> </v>
      </c>
      <c r="K72" s="349" t="str">
        <f>IFERROR(VLOOKUP($G$7&amp;$B72,'Energy Storage Source'!A:J,8,FALSE)," ")</f>
        <v xml:space="preserve"> </v>
      </c>
      <c r="L72" s="601"/>
      <c r="M72" s="469"/>
      <c r="N72" s="187"/>
    </row>
    <row r="73" spans="2:14" ht="16.5" thickBot="1">
      <c r="B73" s="1186" t="s">
        <v>394</v>
      </c>
      <c r="C73" s="1186"/>
      <c r="D73" s="1186"/>
      <c r="E73" s="1186"/>
      <c r="F73" s="1186"/>
      <c r="G73" s="1186"/>
      <c r="H73" s="1186"/>
      <c r="I73" s="1186"/>
      <c r="J73" s="1186"/>
      <c r="K73" s="1187"/>
      <c r="L73" s="1187"/>
      <c r="M73" s="1186"/>
      <c r="N73" s="471"/>
    </row>
    <row r="74" spans="2:14" ht="16.5" thickBot="1">
      <c r="B74" s="209"/>
      <c r="C74" s="1166" t="s">
        <v>377</v>
      </c>
      <c r="D74" s="1166"/>
      <c r="E74" s="210" t="s">
        <v>305</v>
      </c>
      <c r="F74" s="211"/>
      <c r="G74" s="523"/>
      <c r="H74" s="523" t="s">
        <v>395</v>
      </c>
      <c r="I74" s="523"/>
      <c r="J74" s="523"/>
      <c r="K74" s="531" t="s">
        <v>225</v>
      </c>
      <c r="L74" s="531"/>
      <c r="M74" s="212"/>
      <c r="N74" s="471"/>
    </row>
    <row r="75" spans="2:14" ht="16.5" thickBot="1">
      <c r="B75" s="209"/>
      <c r="C75" s="1166" t="s">
        <v>377</v>
      </c>
      <c r="D75" s="1166"/>
      <c r="E75" s="210" t="s">
        <v>305</v>
      </c>
      <c r="F75" s="211"/>
      <c r="G75" s="523"/>
      <c r="H75" s="523" t="s">
        <v>395</v>
      </c>
      <c r="I75" s="523"/>
      <c r="J75" s="523"/>
      <c r="K75" s="531" t="s">
        <v>225</v>
      </c>
      <c r="L75" s="531"/>
      <c r="M75" s="212"/>
      <c r="N75" s="471"/>
    </row>
    <row r="76" spans="2:14" ht="16.5" thickBot="1">
      <c r="B76" s="209"/>
      <c r="C76" s="1166" t="s">
        <v>377</v>
      </c>
      <c r="D76" s="1166"/>
      <c r="E76" s="210" t="s">
        <v>305</v>
      </c>
      <c r="F76" s="211"/>
      <c r="G76" s="523"/>
      <c r="H76" s="523" t="s">
        <v>395</v>
      </c>
      <c r="I76" s="523"/>
      <c r="J76" s="523"/>
      <c r="K76" s="531" t="s">
        <v>225</v>
      </c>
      <c r="L76" s="531"/>
      <c r="M76" s="212"/>
      <c r="N76" s="471"/>
    </row>
    <row r="77" spans="2:14" ht="16.5" thickBot="1">
      <c r="B77" s="209"/>
      <c r="C77" s="1166" t="s">
        <v>377</v>
      </c>
      <c r="D77" s="1166"/>
      <c r="E77" s="210" t="s">
        <v>305</v>
      </c>
      <c r="F77" s="211"/>
      <c r="G77" s="523"/>
      <c r="H77" s="523" t="s">
        <v>395</v>
      </c>
      <c r="I77" s="523"/>
      <c r="J77" s="523"/>
      <c r="K77" s="531" t="s">
        <v>225</v>
      </c>
      <c r="L77" s="531"/>
      <c r="M77" s="212"/>
      <c r="N77" s="471"/>
    </row>
    <row r="78" spans="2:14">
      <c r="B78" s="471"/>
      <c r="C78" s="471"/>
      <c r="D78" s="471"/>
      <c r="E78" s="471"/>
      <c r="F78" s="481"/>
      <c r="G78" s="472"/>
      <c r="H78" s="471"/>
      <c r="I78" s="471"/>
      <c r="J78" s="471"/>
      <c r="M78" s="471"/>
      <c r="N78" s="471"/>
    </row>
    <row r="79" spans="2:14">
      <c r="B79" s="471"/>
      <c r="C79" s="471"/>
      <c r="D79" s="471"/>
      <c r="E79" s="471"/>
      <c r="F79" s="481"/>
      <c r="G79" s="472"/>
      <c r="H79" s="471"/>
      <c r="I79" s="471"/>
      <c r="J79" s="471"/>
      <c r="M79" s="471"/>
      <c r="N79" s="471"/>
    </row>
  </sheetData>
  <sheetProtection selectLockedCells="1"/>
  <mergeCells count="104">
    <mergeCell ref="J59:M59"/>
    <mergeCell ref="C56:D56"/>
    <mergeCell ref="C57:D57"/>
    <mergeCell ref="C58:D58"/>
    <mergeCell ref="B55:M55"/>
    <mergeCell ref="J50:M50"/>
    <mergeCell ref="J51:M51"/>
    <mergeCell ref="J52:M52"/>
    <mergeCell ref="J53:M53"/>
    <mergeCell ref="J54:M54"/>
    <mergeCell ref="J56:M56"/>
    <mergeCell ref="J57:M57"/>
    <mergeCell ref="J58:M58"/>
    <mergeCell ref="C67:D67"/>
    <mergeCell ref="B66:M66"/>
    <mergeCell ref="B65:M65"/>
    <mergeCell ref="B63:M63"/>
    <mergeCell ref="B64:M64"/>
    <mergeCell ref="C31:D31"/>
    <mergeCell ref="C32:D32"/>
    <mergeCell ref="B2:B5"/>
    <mergeCell ref="G7:H7"/>
    <mergeCell ref="D7:F7"/>
    <mergeCell ref="B10:B11"/>
    <mergeCell ref="B12:B13"/>
    <mergeCell ref="C29:D29"/>
    <mergeCell ref="C30:D30"/>
    <mergeCell ref="C22:D22"/>
    <mergeCell ref="C23:D23"/>
    <mergeCell ref="C26:D26"/>
    <mergeCell ref="C27:D27"/>
    <mergeCell ref="C28:D28"/>
    <mergeCell ref="C24:D24"/>
    <mergeCell ref="C25:D25"/>
    <mergeCell ref="C42:D42"/>
    <mergeCell ref="B39:M39"/>
    <mergeCell ref="K40:M40"/>
    <mergeCell ref="C74:D74"/>
    <mergeCell ref="C75:D75"/>
    <mergeCell ref="C76:D76"/>
    <mergeCell ref="C77:D77"/>
    <mergeCell ref="B73:M73"/>
    <mergeCell ref="C68:D68"/>
    <mergeCell ref="C69:D69"/>
    <mergeCell ref="C70:D70"/>
    <mergeCell ref="C71:D71"/>
    <mergeCell ref="C72:D72"/>
    <mergeCell ref="B9:M9"/>
    <mergeCell ref="B1:M1"/>
    <mergeCell ref="C2:M3"/>
    <mergeCell ref="C4:M4"/>
    <mergeCell ref="C5:M5"/>
    <mergeCell ref="K41:M41"/>
    <mergeCell ref="K42:M42"/>
    <mergeCell ref="K43:M43"/>
    <mergeCell ref="B17:M17"/>
    <mergeCell ref="B18:M18"/>
    <mergeCell ref="B19:M19"/>
    <mergeCell ref="B20:M20"/>
    <mergeCell ref="B21:M21"/>
    <mergeCell ref="B14:B15"/>
    <mergeCell ref="C14:M15"/>
    <mergeCell ref="C10:M11"/>
    <mergeCell ref="C12:M13"/>
    <mergeCell ref="J22:M22"/>
    <mergeCell ref="J23:M23"/>
    <mergeCell ref="J24:M24"/>
    <mergeCell ref="J25:M25"/>
    <mergeCell ref="J26:M26"/>
    <mergeCell ref="J27:M27"/>
    <mergeCell ref="J28:M28"/>
    <mergeCell ref="J60:M60"/>
    <mergeCell ref="C49:D49"/>
    <mergeCell ref="B45:M45"/>
    <mergeCell ref="B46:M46"/>
    <mergeCell ref="B47:M47"/>
    <mergeCell ref="B48:M48"/>
    <mergeCell ref="C43:D43"/>
    <mergeCell ref="C33:D33"/>
    <mergeCell ref="C34:D34"/>
    <mergeCell ref="C35:D35"/>
    <mergeCell ref="C36:D36"/>
    <mergeCell ref="C38:D38"/>
    <mergeCell ref="C37:D37"/>
    <mergeCell ref="C40:D40"/>
    <mergeCell ref="C41:D41"/>
    <mergeCell ref="J49:M49"/>
    <mergeCell ref="J38:M38"/>
    <mergeCell ref="C59:D59"/>
    <mergeCell ref="C60:D60"/>
    <mergeCell ref="C50:D50"/>
    <mergeCell ref="C51:D51"/>
    <mergeCell ref="C52:D52"/>
    <mergeCell ref="C53:D53"/>
    <mergeCell ref="C54:D54"/>
    <mergeCell ref="J29:M29"/>
    <mergeCell ref="J30:M30"/>
    <mergeCell ref="J31:M31"/>
    <mergeCell ref="J32:M32"/>
    <mergeCell ref="J33:M33"/>
    <mergeCell ref="J34:M34"/>
    <mergeCell ref="J35:M35"/>
    <mergeCell ref="J36:M36"/>
    <mergeCell ref="J37:M37"/>
  </mergeCells>
  <conditionalFormatting sqref="C23">
    <cfRule type="expression" dxfId="25" priority="97">
      <formula>#REF!="in progress"</formula>
    </cfRule>
  </conditionalFormatting>
  <conditionalFormatting sqref="C24:C38">
    <cfRule type="expression" dxfId="24" priority="6">
      <formula>K24="in progress"</formula>
    </cfRule>
  </conditionalFormatting>
  <conditionalFormatting sqref="D23:D38">
    <cfRule type="expression" dxfId="23" priority="93">
      <formula>M23="in progress"</formula>
    </cfRule>
  </conditionalFormatting>
  <conditionalFormatting sqref="E24:E38">
    <cfRule type="expression" dxfId="22" priority="4">
      <formula>K24="in progress"</formula>
    </cfRule>
  </conditionalFormatting>
  <conditionalFormatting sqref="E23:I23">
    <cfRule type="expression" dxfId="21" priority="94">
      <formula>#REF!="in progress"</formula>
    </cfRule>
  </conditionalFormatting>
  <conditionalFormatting sqref="F24:F38">
    <cfRule type="expression" dxfId="20" priority="3">
      <formula>K24="in progress"</formula>
    </cfRule>
  </conditionalFormatting>
  <conditionalFormatting sqref="G24:G38">
    <cfRule type="expression" dxfId="19" priority="2">
      <formula>K24="in progress"</formula>
    </cfRule>
  </conditionalFormatting>
  <conditionalFormatting sqref="H24:I38">
    <cfRule type="expression" dxfId="18" priority="1">
      <formula>K24="in progress"</formula>
    </cfRule>
  </conditionalFormatting>
  <pageMargins left="0.7" right="0.7" top="0.75" bottom="0.75" header="0.3" footer="0.3"/>
  <pageSetup scale="45" fitToHeight="0" orientation="landscape" r:id="rId1"/>
  <ignoredErrors>
    <ignoredError sqref="E42:H43 H40 H41" unlockedFormula="1"/>
  </ignoredErrors>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B00-000000000000}">
          <x14:formula1>
            <xm:f>Source!$O$2:$O$6</xm:f>
          </x14:formula1>
          <xm:sqref>G56:G60</xm:sqref>
        </x14:dataValidation>
        <x14:dataValidation type="list" allowBlank="1" showInputMessage="1" showErrorMessage="1" xr:uid="{00000000-0002-0000-0B00-000001000000}">
          <x14:formula1>
            <xm:f>Source!$D$1:$D$7</xm:f>
          </x14:formula1>
          <xm:sqref>G50:G54</xm:sqref>
        </x14:dataValidation>
        <x14:dataValidation type="list" allowBlank="1" showInputMessage="1" showErrorMessage="1" xr:uid="{00000000-0002-0000-0B00-000002000000}">
          <x14:formula1>
            <xm:f>Source!$B$1:$B$7</xm:f>
          </x14:formula1>
          <xm:sqref>H56:I60</xm:sqref>
        </x14:dataValidation>
        <x14:dataValidation type="list" allowBlank="1" showInputMessage="1" showErrorMessage="1" xr:uid="{00000000-0002-0000-0B00-000003000000}">
          <x14:formula1>
            <xm:f>Source!$A$1:$A$9</xm:f>
          </x14:formula1>
          <xm:sqref>G40:G43</xm:sqref>
        </x14:dataValidation>
        <x14:dataValidation type="list" allowBlank="1" showInputMessage="1" showErrorMessage="1" xr:uid="{00000000-0002-0000-0B00-000004000000}">
          <x14:formula1>
            <xm:f>Source!$AG$1:$AG$5</xm:f>
          </x14:formula1>
          <xm:sqref>E74:E77</xm:sqref>
        </x14:dataValidation>
        <x14:dataValidation type="list" allowBlank="1" showInputMessage="1" showErrorMessage="1" xr:uid="{00000000-0002-0000-0B00-000005000000}">
          <x14:formula1>
            <xm:f>Source!$AI$1:$AI$4</xm:f>
          </x14:formula1>
          <xm:sqref>H74:I77</xm:sqref>
        </x14:dataValidation>
        <x14:dataValidation type="list" allowBlank="1" showInputMessage="1" showErrorMessage="1" xr:uid="{C430A965-504C-514B-B380-73EE16520620}">
          <x14:formula1>
            <xm:f>Source!$AZ$1:$AZ$6</xm:f>
          </x14:formula1>
          <xm:sqref>K74:K77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0"/>
  <dimension ref="A1:Q37"/>
  <sheetViews>
    <sheetView showGridLines="0" topLeftCell="A2" zoomScale="70" zoomScaleNormal="70" workbookViewId="0">
      <selection activeCell="C2" sqref="C2:I3"/>
    </sheetView>
  </sheetViews>
  <sheetFormatPr defaultColWidth="0" defaultRowHeight="15.75" zeroHeight="1"/>
  <cols>
    <col min="1" max="1" width="3.42578125" style="194" customWidth="1"/>
    <col min="2" max="2" width="22.28515625" style="194" customWidth="1"/>
    <col min="3" max="3" width="13" style="194" bestFit="1" customWidth="1"/>
    <col min="4" max="4" width="74.140625" style="194" customWidth="1"/>
    <col min="5" max="5" width="16.42578125" style="194" customWidth="1"/>
    <col min="6" max="6" width="20.42578125" style="194" customWidth="1"/>
    <col min="7" max="7" width="20" style="194" customWidth="1"/>
    <col min="8" max="8" width="20.28515625" style="194" customWidth="1"/>
    <col min="9" max="9" width="16.140625" style="194" customWidth="1"/>
    <col min="10" max="10" width="9.42578125" style="194" customWidth="1"/>
    <col min="11" max="17" width="0" style="194" hidden="1" customWidth="1"/>
    <col min="18" max="16384" width="9.140625" style="194" hidden="1"/>
  </cols>
  <sheetData>
    <row r="1" spans="1:16" s="6" customFormat="1" ht="16.5" hidden="1" thickBot="1">
      <c r="A1" s="471"/>
      <c r="B1" s="1018" t="s">
        <v>22</v>
      </c>
      <c r="C1" s="1018"/>
      <c r="D1" s="1018"/>
      <c r="E1" s="1018"/>
      <c r="F1" s="1018"/>
      <c r="G1" s="1018"/>
      <c r="H1" s="1018"/>
      <c r="I1" s="1018"/>
      <c r="J1" s="471"/>
      <c r="K1" s="471"/>
      <c r="L1" s="471"/>
      <c r="M1" s="471"/>
      <c r="N1" s="471"/>
      <c r="O1" s="471"/>
      <c r="P1" s="471"/>
    </row>
    <row r="2" spans="1:16" s="6" customFormat="1" ht="15.75" customHeight="1">
      <c r="A2" s="471"/>
      <c r="B2" s="1200" t="s">
        <v>2569</v>
      </c>
      <c r="C2" s="1198" t="s">
        <v>2563</v>
      </c>
      <c r="D2" s="1199"/>
      <c r="E2" s="1199"/>
      <c r="F2" s="1199"/>
      <c r="G2" s="1199"/>
      <c r="H2" s="1199"/>
      <c r="I2" s="1199"/>
      <c r="J2" s="15"/>
      <c r="K2" s="15"/>
      <c r="L2" s="15"/>
      <c r="M2" s="15"/>
      <c r="N2" s="15"/>
      <c r="O2" s="15"/>
      <c r="P2" s="15"/>
    </row>
    <row r="3" spans="1:16" s="6" customFormat="1" ht="24" customHeight="1" thickBot="1">
      <c r="A3" s="471"/>
      <c r="B3" s="1200"/>
      <c r="C3" s="1198"/>
      <c r="D3" s="1199"/>
      <c r="E3" s="1199"/>
      <c r="F3" s="1199"/>
      <c r="G3" s="1199"/>
      <c r="H3" s="1199"/>
      <c r="I3" s="1199"/>
      <c r="J3" s="15"/>
      <c r="K3" s="15"/>
      <c r="L3" s="15"/>
      <c r="M3" s="15"/>
      <c r="N3" s="15"/>
      <c r="O3" s="15"/>
      <c r="P3" s="15"/>
    </row>
    <row r="4" spans="1:16" s="6" customFormat="1" ht="16.5" hidden="1" thickBot="1">
      <c r="A4" s="471"/>
      <c r="B4" s="471"/>
      <c r="C4" s="471"/>
      <c r="D4" s="471"/>
      <c r="E4" s="471"/>
      <c r="F4" s="471"/>
      <c r="G4" s="471"/>
      <c r="H4" s="471"/>
      <c r="I4" s="471"/>
      <c r="J4" s="471"/>
      <c r="K4" s="471"/>
      <c r="L4" s="471"/>
      <c r="M4" s="471"/>
      <c r="N4" s="471"/>
      <c r="O4" s="471"/>
      <c r="P4" s="471"/>
    </row>
    <row r="5" spans="1:16" s="6" customFormat="1" ht="21.75" hidden="1" thickBot="1">
      <c r="A5" s="471"/>
      <c r="B5" s="1148" t="s">
        <v>2564</v>
      </c>
      <c r="C5" s="1148"/>
      <c r="D5" s="1148"/>
      <c r="E5" s="1148"/>
      <c r="F5" s="1148"/>
      <c r="G5" s="1148"/>
      <c r="H5" s="1148"/>
      <c r="I5" s="1148"/>
      <c r="J5" s="471"/>
      <c r="K5" s="471"/>
      <c r="L5" s="471"/>
      <c r="M5" s="471"/>
      <c r="N5" s="471"/>
      <c r="O5" s="471"/>
      <c r="P5" s="471"/>
    </row>
    <row r="6" spans="1:16" s="5" customFormat="1" ht="12" customHeight="1">
      <c r="B6" s="1055" t="s">
        <v>919</v>
      </c>
      <c r="C6" s="1055" t="s">
        <v>371</v>
      </c>
      <c r="D6" s="1056" t="s">
        <v>2566</v>
      </c>
      <c r="E6" s="1203" t="s">
        <v>2568</v>
      </c>
      <c r="F6" s="1203"/>
      <c r="G6" s="1203"/>
      <c r="H6" s="1203"/>
      <c r="I6" s="1203"/>
    </row>
    <row r="7" spans="1:16" s="5" customFormat="1" ht="13.5" customHeight="1">
      <c r="B7" s="1055"/>
      <c r="C7" s="1055"/>
      <c r="D7" s="1056"/>
      <c r="E7" s="1056"/>
      <c r="F7" s="1056"/>
      <c r="G7" s="1056"/>
      <c r="H7" s="1056"/>
      <c r="I7" s="1056"/>
    </row>
    <row r="8" spans="1:16" s="5" customFormat="1" ht="15" customHeight="1">
      <c r="B8" s="1055"/>
      <c r="C8" s="1055"/>
      <c r="D8" s="1056"/>
      <c r="E8" s="1056"/>
      <c r="F8" s="1056"/>
      <c r="G8" s="1056"/>
      <c r="H8" s="1056"/>
      <c r="I8" s="1056"/>
    </row>
    <row r="9" spans="1:16" s="5" customFormat="1" ht="12" customHeight="1" thickBot="1">
      <c r="B9" s="1207"/>
      <c r="C9" s="1207"/>
      <c r="D9" s="1204"/>
      <c r="E9" s="1204"/>
      <c r="F9" s="1204"/>
      <c r="G9" s="1204"/>
      <c r="H9" s="1204"/>
      <c r="I9" s="1204"/>
    </row>
    <row r="10" spans="1:16" s="6" customFormat="1" ht="15.75" customHeight="1" thickBot="1">
      <c r="A10" s="471"/>
      <c r="B10" s="1208" t="s">
        <v>2567</v>
      </c>
      <c r="C10" s="1208"/>
      <c r="D10" s="1208"/>
      <c r="E10" s="1208"/>
      <c r="F10" s="1208"/>
      <c r="G10" s="1208"/>
      <c r="H10" s="1208"/>
      <c r="I10" s="1208"/>
      <c r="J10" s="471"/>
      <c r="K10" s="471"/>
      <c r="L10" s="471"/>
      <c r="M10" s="471"/>
      <c r="N10" s="471"/>
      <c r="O10" s="471"/>
      <c r="P10" s="471"/>
    </row>
    <row r="11" spans="1:16" s="18" customFormat="1" ht="15.75" customHeight="1" thickBot="1">
      <c r="B11" s="228"/>
      <c r="C11" s="229"/>
      <c r="D11" s="229"/>
      <c r="E11" s="1205"/>
      <c r="F11" s="1206"/>
      <c r="G11" s="1206"/>
      <c r="H11" s="1206"/>
      <c r="I11" s="1206"/>
    </row>
    <row r="12" spans="1:16" s="18" customFormat="1" ht="15.75" customHeight="1" thickBot="1">
      <c r="B12" s="228"/>
      <c r="C12" s="229"/>
      <c r="D12" s="229"/>
      <c r="E12" s="1205"/>
      <c r="F12" s="1206"/>
      <c r="G12" s="1206"/>
      <c r="H12" s="1206"/>
      <c r="I12" s="1206"/>
    </row>
    <row r="13" spans="1:16" s="18" customFormat="1" ht="15.75" customHeight="1" thickBot="1">
      <c r="B13" s="228"/>
      <c r="C13" s="229"/>
      <c r="D13" s="229"/>
      <c r="E13" s="1205"/>
      <c r="F13" s="1206"/>
      <c r="G13" s="1206"/>
      <c r="H13" s="1206"/>
      <c r="I13" s="1206"/>
    </row>
    <row r="14" spans="1:16" s="18" customFormat="1" ht="15.75" customHeight="1" thickBot="1">
      <c r="B14" s="228"/>
      <c r="C14" s="229"/>
      <c r="D14" s="229"/>
      <c r="E14" s="1205"/>
      <c r="F14" s="1206"/>
      <c r="G14" s="1206"/>
      <c r="H14" s="1206"/>
      <c r="I14" s="1206"/>
    </row>
    <row r="15" spans="1:16" s="18" customFormat="1" ht="15.75" customHeight="1" thickBot="1">
      <c r="B15" s="228"/>
      <c r="C15" s="229"/>
      <c r="D15" s="229"/>
      <c r="E15" s="1205"/>
      <c r="F15" s="1206"/>
      <c r="G15" s="1206"/>
      <c r="H15" s="1206"/>
      <c r="I15" s="1206"/>
    </row>
    <row r="16" spans="1:16" s="18" customFormat="1" ht="15.75" customHeight="1" thickBot="1">
      <c r="B16" s="228"/>
      <c r="C16" s="229"/>
      <c r="D16" s="229"/>
      <c r="E16" s="1205"/>
      <c r="F16" s="1206"/>
      <c r="G16" s="1206"/>
      <c r="H16" s="1206"/>
      <c r="I16" s="1206"/>
    </row>
    <row r="17" spans="2:14" s="18" customFormat="1" ht="15.75" customHeight="1" thickBot="1">
      <c r="B17" s="228"/>
      <c r="C17" s="229"/>
      <c r="D17" s="229"/>
      <c r="E17" s="880"/>
      <c r="F17" s="881"/>
      <c r="G17" s="881"/>
      <c r="H17" s="881"/>
      <c r="I17" s="881"/>
    </row>
    <row r="18" spans="2:14" s="18" customFormat="1" ht="15.75" customHeight="1" thickBot="1">
      <c r="B18" s="228"/>
      <c r="C18" s="229"/>
      <c r="D18" s="229"/>
      <c r="E18" s="880"/>
      <c r="F18" s="881"/>
      <c r="G18" s="881"/>
      <c r="H18" s="881"/>
      <c r="I18" s="881"/>
    </row>
    <row r="19" spans="2:14" s="18" customFormat="1" ht="15.75" customHeight="1" thickBot="1">
      <c r="B19" s="228"/>
      <c r="C19" s="229"/>
      <c r="D19" s="229"/>
      <c r="E19" s="880"/>
      <c r="F19" s="881"/>
      <c r="G19" s="881"/>
      <c r="H19" s="881"/>
      <c r="I19" s="881"/>
    </row>
    <row r="20" spans="2:14" s="18" customFormat="1" ht="15.75" customHeight="1" thickBot="1">
      <c r="B20" s="228"/>
      <c r="C20" s="229"/>
      <c r="D20" s="229"/>
      <c r="E20" s="880"/>
      <c r="F20" s="881"/>
      <c r="G20" s="881"/>
      <c r="H20" s="881"/>
      <c r="I20" s="881"/>
    </row>
    <row r="21" spans="2:14" s="18" customFormat="1" ht="15.75" customHeight="1" thickBot="1">
      <c r="B21" s="228"/>
      <c r="C21" s="229"/>
      <c r="D21" s="229"/>
      <c r="E21" s="1205"/>
      <c r="F21" s="1206"/>
      <c r="G21" s="1206"/>
      <c r="H21" s="1206"/>
      <c r="I21" s="1206"/>
      <c r="J21" s="227"/>
    </row>
    <row r="22" spans="2:14" s="227" customFormat="1" ht="13.5" customHeight="1">
      <c r="E22" s="230"/>
      <c r="F22" s="231"/>
      <c r="G22" s="231"/>
      <c r="H22" s="231"/>
      <c r="I22" s="230"/>
    </row>
    <row r="23" spans="2:14" s="18" customFormat="1" ht="15.75" customHeight="1" thickBot="1">
      <c r="B23" s="1201" t="s">
        <v>2565</v>
      </c>
      <c r="C23" s="1201"/>
      <c r="D23" s="1201"/>
      <c r="E23" s="1201"/>
      <c r="F23" s="1201"/>
      <c r="G23" s="1201"/>
      <c r="H23" s="1201"/>
      <c r="I23" s="1201"/>
      <c r="J23" s="232"/>
      <c r="K23" s="233"/>
      <c r="L23" s="233"/>
      <c r="M23" s="233"/>
      <c r="N23" s="234"/>
    </row>
    <row r="24" spans="2:14" s="18" customFormat="1" ht="15.75" customHeight="1">
      <c r="B24" s="1202"/>
      <c r="C24" s="1202"/>
      <c r="D24" s="1202"/>
      <c r="E24" s="1202"/>
      <c r="F24" s="1202"/>
      <c r="G24" s="1202"/>
      <c r="H24" s="1202"/>
      <c r="I24" s="1202"/>
      <c r="J24" s="235"/>
      <c r="K24" s="236"/>
      <c r="L24" s="236"/>
      <c r="M24" s="236"/>
      <c r="N24" s="237"/>
    </row>
    <row r="25" spans="2:14" s="18" customFormat="1" ht="15.75" customHeight="1">
      <c r="B25" s="1202"/>
      <c r="C25" s="1202"/>
      <c r="D25" s="1202"/>
      <c r="E25" s="1202"/>
      <c r="F25" s="1202"/>
      <c r="G25" s="1202"/>
      <c r="H25" s="1202"/>
      <c r="I25" s="1202"/>
      <c r="J25" s="235"/>
      <c r="K25" s="238"/>
      <c r="L25" s="238"/>
      <c r="M25" s="238"/>
      <c r="N25" s="239"/>
    </row>
    <row r="26" spans="2:14" s="18" customFormat="1" ht="15.75" customHeight="1">
      <c r="B26" s="1202"/>
      <c r="C26" s="1202"/>
      <c r="D26" s="1202"/>
      <c r="E26" s="1202"/>
      <c r="F26" s="1202"/>
      <c r="G26" s="1202"/>
      <c r="H26" s="1202"/>
      <c r="I26" s="1202"/>
      <c r="J26" s="235"/>
      <c r="K26" s="238"/>
      <c r="L26" s="238"/>
      <c r="M26" s="238"/>
      <c r="N26" s="239"/>
    </row>
    <row r="27" spans="2:14" s="18" customFormat="1" ht="15.75" customHeight="1">
      <c r="B27" s="1202"/>
      <c r="C27" s="1202"/>
      <c r="D27" s="1202"/>
      <c r="E27" s="1202"/>
      <c r="F27" s="1202"/>
      <c r="G27" s="1202"/>
      <c r="H27" s="1202"/>
      <c r="I27" s="1202"/>
      <c r="J27" s="235"/>
      <c r="K27" s="238"/>
      <c r="L27" s="238"/>
      <c r="M27" s="238"/>
      <c r="N27" s="239"/>
    </row>
    <row r="28" spans="2:14" s="227" customFormat="1" hidden="1">
      <c r="B28" s="235"/>
      <c r="C28" s="235"/>
      <c r="D28" s="235"/>
      <c r="E28" s="235"/>
      <c r="F28" s="235"/>
      <c r="G28" s="235"/>
      <c r="H28" s="235"/>
      <c r="I28" s="235"/>
      <c r="J28" s="235"/>
      <c r="K28" s="235"/>
      <c r="L28" s="235"/>
      <c r="M28" s="235"/>
      <c r="N28" s="235"/>
    </row>
    <row r="29" spans="2:14" s="227" customFormat="1" ht="12" customHeight="1"/>
    <row r="30" spans="2:14" ht="0.75" customHeight="1">
      <c r="B30" s="470"/>
      <c r="C30" s="470"/>
      <c r="D30" s="470"/>
      <c r="E30" s="470"/>
      <c r="F30" s="470"/>
      <c r="G30" s="470"/>
      <c r="H30" s="470"/>
      <c r="I30" s="470"/>
      <c r="J30" s="470"/>
      <c r="K30" s="470"/>
      <c r="L30" s="470"/>
      <c r="M30" s="470"/>
      <c r="N30" s="470"/>
    </row>
    <row r="31" spans="2:14" ht="15.75" customHeight="1">
      <c r="B31" s="470"/>
      <c r="C31" s="470"/>
      <c r="D31" s="470"/>
      <c r="E31" s="470"/>
      <c r="F31" s="470"/>
      <c r="G31" s="470"/>
      <c r="H31" s="470"/>
      <c r="I31" s="470"/>
      <c r="J31" s="470"/>
      <c r="K31" s="470"/>
      <c r="L31" s="470"/>
      <c r="M31" s="470"/>
      <c r="N31" s="470"/>
    </row>
    <row r="32" spans="2:14" ht="15.75" customHeight="1">
      <c r="B32" s="470"/>
      <c r="C32" s="470"/>
      <c r="D32" s="470"/>
      <c r="E32" s="470"/>
      <c r="F32" s="470"/>
      <c r="G32" s="470"/>
      <c r="H32" s="470"/>
      <c r="I32" s="470"/>
      <c r="J32" s="470"/>
      <c r="K32" s="470"/>
      <c r="L32" s="470"/>
      <c r="M32" s="470"/>
      <c r="N32" s="470"/>
    </row>
    <row r="33" spans="2:14" ht="15.75" customHeight="1">
      <c r="B33" s="470"/>
      <c r="C33" s="470"/>
      <c r="D33" s="470"/>
      <c r="E33" s="470"/>
      <c r="F33" s="470"/>
      <c r="G33" s="470"/>
      <c r="H33" s="470"/>
      <c r="I33" s="470"/>
      <c r="J33" s="470"/>
      <c r="K33" s="470"/>
      <c r="L33" s="470"/>
      <c r="M33" s="470"/>
      <c r="N33" s="470"/>
    </row>
    <row r="34" spans="2:14" hidden="1">
      <c r="B34" s="470"/>
      <c r="C34" s="470"/>
      <c r="D34" s="470"/>
      <c r="E34" s="470"/>
      <c r="F34" s="470"/>
      <c r="G34" s="470"/>
      <c r="H34" s="470"/>
      <c r="I34" s="470"/>
      <c r="J34" s="470"/>
      <c r="K34" s="470"/>
      <c r="L34" s="470"/>
      <c r="M34" s="470"/>
      <c r="N34" s="470"/>
    </row>
    <row r="35" spans="2:14" hidden="1">
      <c r="B35" s="470"/>
      <c r="C35" s="470"/>
      <c r="D35" s="470"/>
      <c r="E35" s="470"/>
      <c r="F35" s="470"/>
      <c r="G35" s="470"/>
      <c r="H35" s="470"/>
      <c r="I35" s="470"/>
      <c r="J35" s="470"/>
      <c r="K35" s="470"/>
      <c r="L35" s="470"/>
      <c r="M35" s="470"/>
      <c r="N35" s="470"/>
    </row>
    <row r="36" spans="2:14" hidden="1">
      <c r="B36" s="470"/>
      <c r="C36" s="470"/>
      <c r="D36" s="470"/>
      <c r="E36" s="470"/>
      <c r="F36" s="470"/>
      <c r="G36" s="470"/>
      <c r="H36" s="470"/>
      <c r="I36" s="470"/>
      <c r="J36" s="470"/>
      <c r="K36" s="470"/>
      <c r="L36" s="470"/>
      <c r="M36" s="470"/>
      <c r="N36" s="470"/>
    </row>
    <row r="37" spans="2:14" hidden="1">
      <c r="B37" s="470"/>
      <c r="C37" s="470"/>
      <c r="D37" s="470"/>
      <c r="E37" s="470"/>
      <c r="F37" s="470"/>
      <c r="G37" s="470"/>
      <c r="H37" s="470"/>
      <c r="I37" s="470"/>
      <c r="J37" s="470"/>
      <c r="K37" s="470"/>
      <c r="L37" s="470"/>
      <c r="M37" s="470"/>
      <c r="N37" s="470"/>
    </row>
  </sheetData>
  <sheetProtection selectLockedCells="1"/>
  <mergeCells count="18">
    <mergeCell ref="B24:I27"/>
    <mergeCell ref="E6:I9"/>
    <mergeCell ref="E11:I11"/>
    <mergeCell ref="E12:I12"/>
    <mergeCell ref="E13:I13"/>
    <mergeCell ref="E14:I14"/>
    <mergeCell ref="E15:I15"/>
    <mergeCell ref="E16:I16"/>
    <mergeCell ref="E21:I21"/>
    <mergeCell ref="B6:B9"/>
    <mergeCell ref="C6:C9"/>
    <mergeCell ref="D6:D9"/>
    <mergeCell ref="B10:I10"/>
    <mergeCell ref="C2:I3"/>
    <mergeCell ref="B1:I1"/>
    <mergeCell ref="B2:B3"/>
    <mergeCell ref="B5:I5"/>
    <mergeCell ref="B23:I2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373"/>
  <sheetViews>
    <sheetView topLeftCell="A130" zoomScale="75" workbookViewId="0">
      <selection activeCell="H143" sqref="H143"/>
    </sheetView>
  </sheetViews>
  <sheetFormatPr defaultColWidth="8.85546875" defaultRowHeight="15"/>
  <cols>
    <col min="1" max="1" width="31" bestFit="1" customWidth="1"/>
    <col min="2" max="2" width="9.7109375" bestFit="1" customWidth="1"/>
    <col min="3" max="3" width="14.7109375" customWidth="1"/>
    <col min="4" max="4" width="36.42578125" customWidth="1"/>
    <col min="5" max="5" width="19" style="63" bestFit="1" customWidth="1"/>
    <col min="6" max="6" width="18.140625" style="466" customWidth="1"/>
    <col min="7" max="7" width="12.7109375" customWidth="1"/>
    <col min="11" max="11" width="15.28515625" bestFit="1" customWidth="1"/>
  </cols>
  <sheetData>
    <row r="1" spans="1:8">
      <c r="A1" s="362" t="s">
        <v>920</v>
      </c>
      <c r="B1" s="363" t="s">
        <v>921</v>
      </c>
      <c r="C1" s="363" t="s">
        <v>922</v>
      </c>
      <c r="D1" s="363" t="s">
        <v>399</v>
      </c>
      <c r="E1" s="364" t="s">
        <v>923</v>
      </c>
      <c r="F1" s="365" t="s">
        <v>924</v>
      </c>
      <c r="G1" s="363" t="s">
        <v>400</v>
      </c>
    </row>
    <row r="2" spans="1:8">
      <c r="A2" s="58" t="str">
        <f t="shared" ref="A2:A89" si="0">D2&amp;G2</f>
        <v>Berkshire Comm. College2024</v>
      </c>
      <c r="B2" s="826">
        <v>2024</v>
      </c>
      <c r="C2" s="369" t="s">
        <v>438</v>
      </c>
      <c r="D2" s="826" t="s">
        <v>51</v>
      </c>
      <c r="E2" s="827">
        <v>714610</v>
      </c>
      <c r="F2" s="828">
        <v>35437</v>
      </c>
      <c r="G2" s="826">
        <v>2024</v>
      </c>
      <c r="H2" s="275" t="str">
        <f>VLOOKUP(D2,Source!F:F,1,FALSE)</f>
        <v>Berkshire Comm. College</v>
      </c>
    </row>
    <row r="3" spans="1:8" s="275" customFormat="1">
      <c r="A3" s="278" t="str">
        <f t="shared" si="0"/>
        <v>Bridgewater State University2013</v>
      </c>
      <c r="B3" s="366">
        <v>2013</v>
      </c>
      <c r="C3" s="285" t="s">
        <v>438</v>
      </c>
      <c r="D3" s="285" t="s">
        <v>58</v>
      </c>
      <c r="E3" s="367">
        <v>3824448</v>
      </c>
      <c r="F3" s="461">
        <v>451713</v>
      </c>
      <c r="G3" s="366">
        <v>2013</v>
      </c>
      <c r="H3" s="275" t="str">
        <f>VLOOKUP(D3,Source!F:F,1,FALSE)</f>
        <v>Bridgewater State University</v>
      </c>
    </row>
    <row r="4" spans="1:8" s="275" customFormat="1">
      <c r="A4" s="278" t="str">
        <f t="shared" si="0"/>
        <v>Bridgewater State University2014</v>
      </c>
      <c r="B4" s="366">
        <v>2014</v>
      </c>
      <c r="C4" s="285" t="s">
        <v>438</v>
      </c>
      <c r="D4" s="285" t="s">
        <v>58</v>
      </c>
      <c r="E4" s="367">
        <v>32893340</v>
      </c>
      <c r="F4" s="461">
        <v>550109</v>
      </c>
      <c r="G4" s="366">
        <v>2014</v>
      </c>
      <c r="H4" s="275" t="str">
        <f>VLOOKUP(D4,Source!F:F,1,FALSE)</f>
        <v>Bridgewater State University</v>
      </c>
    </row>
    <row r="5" spans="1:8" s="275" customFormat="1">
      <c r="A5" s="278" t="str">
        <f t="shared" si="0"/>
        <v>Bridgewater State University2015</v>
      </c>
      <c r="B5" s="366">
        <v>2015</v>
      </c>
      <c r="C5" s="285" t="s">
        <v>438</v>
      </c>
      <c r="D5" s="285" t="s">
        <v>58</v>
      </c>
      <c r="E5" s="367">
        <v>29569820</v>
      </c>
      <c r="F5" s="461">
        <v>489407</v>
      </c>
      <c r="G5" s="366">
        <v>2015</v>
      </c>
      <c r="H5" s="275" t="str">
        <f>VLOOKUP(D5,Source!F:F,1,FALSE)</f>
        <v>Bridgewater State University</v>
      </c>
    </row>
    <row r="6" spans="1:8" s="275" customFormat="1">
      <c r="A6" s="278" t="str">
        <f t="shared" si="0"/>
        <v>Bridgewater State University2016</v>
      </c>
      <c r="B6" s="366">
        <v>2016</v>
      </c>
      <c r="C6" s="285" t="s">
        <v>438</v>
      </c>
      <c r="D6" s="285" t="s">
        <v>58</v>
      </c>
      <c r="E6" s="367">
        <v>26859254.030000001</v>
      </c>
      <c r="F6" s="461">
        <v>495001.42</v>
      </c>
      <c r="G6" s="366">
        <v>2016</v>
      </c>
      <c r="H6" s="275" t="str">
        <f>VLOOKUP(D6,Source!F:F,1,FALSE)</f>
        <v>Bridgewater State University</v>
      </c>
    </row>
    <row r="7" spans="1:8" s="275" customFormat="1">
      <c r="A7" s="278" t="str">
        <f t="shared" si="0"/>
        <v>Bridgewater State University2017</v>
      </c>
      <c r="B7" s="366">
        <v>2017</v>
      </c>
      <c r="C7" s="285" t="s">
        <v>438</v>
      </c>
      <c r="D7" s="285" t="s">
        <v>58</v>
      </c>
      <c r="E7" s="367">
        <v>31196085.190000001</v>
      </c>
      <c r="F7" s="461">
        <v>537727.76</v>
      </c>
      <c r="G7" s="366">
        <v>2017</v>
      </c>
      <c r="H7" s="275" t="str">
        <f>VLOOKUP(D7,Source!F:F,1,FALSE)</f>
        <v>Bridgewater State University</v>
      </c>
    </row>
    <row r="8" spans="1:8" s="275" customFormat="1">
      <c r="A8" s="278" t="str">
        <f t="shared" si="0"/>
        <v>Bridgewater State University2018</v>
      </c>
      <c r="B8" s="366">
        <v>2018</v>
      </c>
      <c r="C8" s="285" t="s">
        <v>438</v>
      </c>
      <c r="D8" s="285" t="s">
        <v>58</v>
      </c>
      <c r="E8" s="367">
        <v>33115512</v>
      </c>
      <c r="F8" s="461">
        <v>622299.75</v>
      </c>
      <c r="G8" s="366">
        <v>2018</v>
      </c>
      <c r="H8" s="275" t="str">
        <f>VLOOKUP(D8,Source!F:F,1,FALSE)</f>
        <v>Bridgewater State University</v>
      </c>
    </row>
    <row r="9" spans="1:8" s="275" customFormat="1">
      <c r="A9" s="278" t="str">
        <f t="shared" ref="A9:A14" si="1">D9&amp;G9</f>
        <v>Bridgewater State University2019</v>
      </c>
      <c r="B9" s="366">
        <v>2019</v>
      </c>
      <c r="C9" s="285" t="s">
        <v>438</v>
      </c>
      <c r="D9" s="285" t="s">
        <v>58</v>
      </c>
      <c r="E9" s="367">
        <v>28146950.649999999</v>
      </c>
      <c r="F9" s="461">
        <v>536928</v>
      </c>
      <c r="G9" s="366">
        <v>2019</v>
      </c>
      <c r="H9" s="275" t="str">
        <f>VLOOKUP(D9,Source!F:F,1,FALSE)</f>
        <v>Bridgewater State University</v>
      </c>
    </row>
    <row r="10" spans="1:8" s="275" customFormat="1">
      <c r="A10" s="278" t="str">
        <f t="shared" si="1"/>
        <v>Bridgewater State University2020</v>
      </c>
      <c r="B10" s="366">
        <v>2020</v>
      </c>
      <c r="C10" s="285" t="s">
        <v>438</v>
      </c>
      <c r="D10" s="285" t="s">
        <v>58</v>
      </c>
      <c r="E10" s="367">
        <v>4154200</v>
      </c>
      <c r="F10" s="461">
        <v>585907.51</v>
      </c>
      <c r="G10" s="366">
        <v>2020</v>
      </c>
      <c r="H10" s="275" t="str">
        <f>VLOOKUP(D10,Source!F:F,1,FALSE)</f>
        <v>Bridgewater State University</v>
      </c>
    </row>
    <row r="11" spans="1:8" s="275" customFormat="1">
      <c r="A11" s="278" t="str">
        <f t="shared" si="1"/>
        <v>Bridgewater State University2021</v>
      </c>
      <c r="B11" s="366">
        <v>2021</v>
      </c>
      <c r="C11" s="285" t="s">
        <v>438</v>
      </c>
      <c r="D11" s="285" t="s">
        <v>58</v>
      </c>
      <c r="E11" s="367">
        <v>2171100</v>
      </c>
      <c r="F11" s="461">
        <v>313384.84999999998</v>
      </c>
      <c r="G11" s="366">
        <v>2021</v>
      </c>
      <c r="H11" s="275" t="str">
        <f>VLOOKUP(D11,Source!F:F,1,FALSE)</f>
        <v>Bridgewater State University</v>
      </c>
    </row>
    <row r="12" spans="1:8" s="275" customFormat="1">
      <c r="A12" s="278" t="str">
        <f t="shared" si="1"/>
        <v>Bridgewater State University2022</v>
      </c>
      <c r="B12" s="366">
        <v>2022</v>
      </c>
      <c r="C12" s="285" t="s">
        <v>438</v>
      </c>
      <c r="D12" s="285" t="s">
        <v>58</v>
      </c>
      <c r="E12" s="367" t="s">
        <v>925</v>
      </c>
      <c r="F12" s="461">
        <v>520999.33</v>
      </c>
      <c r="G12" s="366">
        <v>2022</v>
      </c>
      <c r="H12" s="275" t="str">
        <f>VLOOKUP(D12,Source!F:F,1,FALSE)</f>
        <v>Bridgewater State University</v>
      </c>
    </row>
    <row r="13" spans="1:8" s="275" customFormat="1">
      <c r="A13" s="278" t="str">
        <f t="shared" si="1"/>
        <v>Bridgewater State University2023</v>
      </c>
      <c r="B13" s="366">
        <v>2023</v>
      </c>
      <c r="C13" s="285" t="s">
        <v>438</v>
      </c>
      <c r="D13" s="285" t="s">
        <v>58</v>
      </c>
      <c r="E13" s="764">
        <v>4071100</v>
      </c>
      <c r="F13" s="765">
        <v>680376</v>
      </c>
      <c r="G13" s="366">
        <v>2023</v>
      </c>
      <c r="H13" s="275" t="str">
        <f>VLOOKUP(D13,Source!F:F,1,FALSE)</f>
        <v>Bridgewater State University</v>
      </c>
    </row>
    <row r="14" spans="1:8" s="275" customFormat="1">
      <c r="A14" s="278" t="str">
        <f t="shared" si="1"/>
        <v>Bridgewater State University2024</v>
      </c>
      <c r="B14" s="366">
        <v>2024</v>
      </c>
      <c r="C14" s="285" t="s">
        <v>438</v>
      </c>
      <c r="D14" s="285" t="s">
        <v>58</v>
      </c>
      <c r="E14" s="827">
        <v>4942200</v>
      </c>
      <c r="F14" s="828">
        <v>838435.88</v>
      </c>
      <c r="G14" s="366">
        <v>2024</v>
      </c>
      <c r="H14" s="275" t="str">
        <f>VLOOKUP(D14,Source!F:F,1,FALSE)</f>
        <v>Bridgewater State University</v>
      </c>
    </row>
    <row r="15" spans="1:8" s="275" customFormat="1">
      <c r="A15" s="278" t="str">
        <f t="shared" si="0"/>
        <v>Bristol Comm. College2013</v>
      </c>
      <c r="B15" s="366">
        <v>2013</v>
      </c>
      <c r="C15" s="285" t="s">
        <v>438</v>
      </c>
      <c r="D15" s="285" t="s">
        <v>27</v>
      </c>
      <c r="E15" s="367">
        <v>2994244</v>
      </c>
      <c r="F15" s="461">
        <v>9154.75</v>
      </c>
      <c r="G15" s="366">
        <v>2013</v>
      </c>
      <c r="H15" s="275" t="str">
        <f>VLOOKUP(D15,Source!F:F,1,FALSE)</f>
        <v>Bristol Comm. College</v>
      </c>
    </row>
    <row r="16" spans="1:8" s="275" customFormat="1">
      <c r="A16" s="278" t="str">
        <f t="shared" si="0"/>
        <v>Bristol Comm. College2014</v>
      </c>
      <c r="B16" s="366">
        <v>2014</v>
      </c>
      <c r="C16" s="285" t="s">
        <v>438</v>
      </c>
      <c r="D16" s="285" t="s">
        <v>27</v>
      </c>
      <c r="E16" s="367">
        <v>2831928</v>
      </c>
      <c r="F16" s="461">
        <v>9494.65</v>
      </c>
      <c r="G16" s="366">
        <v>2014</v>
      </c>
      <c r="H16" s="275" t="str">
        <f>VLOOKUP(D16,Source!F:F,1,FALSE)</f>
        <v>Bristol Comm. College</v>
      </c>
    </row>
    <row r="17" spans="1:11" s="275" customFormat="1">
      <c r="A17" s="278" t="str">
        <f t="shared" si="0"/>
        <v>Bristol Comm. College2015</v>
      </c>
      <c r="B17" s="366">
        <v>2015</v>
      </c>
      <c r="C17" s="285" t="s">
        <v>438</v>
      </c>
      <c r="D17" s="285" t="s">
        <v>27</v>
      </c>
      <c r="E17" s="367">
        <v>2809488</v>
      </c>
      <c r="F17" s="461">
        <v>10667</v>
      </c>
      <c r="G17" s="366">
        <v>2015</v>
      </c>
      <c r="H17" s="275" t="str">
        <f>VLOOKUP(D17,Source!F:F,1,FALSE)</f>
        <v>Bristol Comm. College</v>
      </c>
    </row>
    <row r="18" spans="1:11" s="275" customFormat="1">
      <c r="A18" s="278" t="str">
        <f t="shared" si="0"/>
        <v>Bristol Comm. College2016</v>
      </c>
      <c r="B18" s="366">
        <v>2016</v>
      </c>
      <c r="C18" s="285" t="s">
        <v>438</v>
      </c>
      <c r="D18" s="285" t="s">
        <v>27</v>
      </c>
      <c r="E18" s="367">
        <v>3173000</v>
      </c>
      <c r="F18" s="461">
        <v>11342</v>
      </c>
      <c r="G18" s="366">
        <v>2016</v>
      </c>
      <c r="H18" s="275" t="str">
        <f>VLOOKUP(D18,Source!F:F,1,FALSE)</f>
        <v>Bristol Comm. College</v>
      </c>
    </row>
    <row r="19" spans="1:11" s="275" customFormat="1">
      <c r="A19" s="278" t="str">
        <f t="shared" si="0"/>
        <v>Bristol Comm. College2017</v>
      </c>
      <c r="B19" s="366">
        <v>2017</v>
      </c>
      <c r="C19" s="285" t="s">
        <v>438</v>
      </c>
      <c r="D19" s="285" t="s">
        <v>27</v>
      </c>
      <c r="E19" s="367">
        <v>2699719</v>
      </c>
      <c r="F19" s="461">
        <v>12606.35</v>
      </c>
      <c r="G19" s="366">
        <v>2017</v>
      </c>
      <c r="H19" s="275" t="str">
        <f>VLOOKUP(D19,Source!F:F,1,FALSE)</f>
        <v>Bristol Comm. College</v>
      </c>
    </row>
    <row r="20" spans="1:11" s="275" customFormat="1">
      <c r="A20" s="278" t="str">
        <f t="shared" si="0"/>
        <v>Bristol Comm. College2018</v>
      </c>
      <c r="B20" s="366">
        <v>2018</v>
      </c>
      <c r="C20" s="285" t="s">
        <v>438</v>
      </c>
      <c r="D20" s="285" t="s">
        <v>27</v>
      </c>
      <c r="E20" s="367">
        <v>2986223</v>
      </c>
      <c r="F20" s="461">
        <v>11726.56</v>
      </c>
      <c r="G20" s="366">
        <v>2018</v>
      </c>
      <c r="H20" s="275" t="str">
        <f>VLOOKUP(D20,Source!F:F,1,FALSE)</f>
        <v>Bristol Comm. College</v>
      </c>
    </row>
    <row r="21" spans="1:11" s="275" customFormat="1">
      <c r="A21" s="278" t="str">
        <f t="shared" ref="A21" si="2">D21&amp;G21</f>
        <v>Bristol Comm. College2019</v>
      </c>
      <c r="B21" s="366">
        <v>2019</v>
      </c>
      <c r="C21" s="285" t="s">
        <v>438</v>
      </c>
      <c r="D21" s="285" t="s">
        <v>27</v>
      </c>
      <c r="E21" s="367">
        <v>5154078</v>
      </c>
      <c r="F21" s="461">
        <v>18342</v>
      </c>
      <c r="G21" s="366">
        <v>2019</v>
      </c>
      <c r="H21" s="275" t="str">
        <f>VLOOKUP(D21,Source!F:F,1,FALSE)</f>
        <v>Bristol Comm. College</v>
      </c>
    </row>
    <row r="22" spans="1:11" s="275" customFormat="1">
      <c r="A22" s="278" t="str">
        <f t="shared" ref="A22:A23" si="3">D22&amp;G22</f>
        <v>Bristol Comm. College2020</v>
      </c>
      <c r="B22" s="366">
        <v>2020</v>
      </c>
      <c r="C22" s="285" t="s">
        <v>438</v>
      </c>
      <c r="D22" s="285" t="s">
        <v>27</v>
      </c>
      <c r="E22" s="367" t="s">
        <v>925</v>
      </c>
      <c r="F22" s="461" t="s">
        <v>925</v>
      </c>
      <c r="G22" s="366">
        <v>2020</v>
      </c>
      <c r="H22" s="275" t="str">
        <f>VLOOKUP(D22,Source!F:F,1,FALSE)</f>
        <v>Bristol Comm. College</v>
      </c>
    </row>
    <row r="23" spans="1:11" s="275" customFormat="1">
      <c r="A23" s="278" t="str">
        <f t="shared" si="3"/>
        <v>Bristol Comm. College2021</v>
      </c>
      <c r="B23" s="366">
        <v>2021</v>
      </c>
      <c r="C23" s="285" t="s">
        <v>438</v>
      </c>
      <c r="D23" s="285" t="s">
        <v>27</v>
      </c>
      <c r="E23" s="367" t="s">
        <v>925</v>
      </c>
      <c r="F23" s="461" t="s">
        <v>925</v>
      </c>
      <c r="G23" s="366">
        <v>2021</v>
      </c>
      <c r="H23" s="275" t="str">
        <f>VLOOKUP(D23,Source!F:F,1,FALSE)</f>
        <v>Bristol Comm. College</v>
      </c>
    </row>
    <row r="24" spans="1:11" s="275" customFormat="1">
      <c r="A24" s="278" t="str">
        <f>D24&amp;G24</f>
        <v>Bristol Comm. College2022</v>
      </c>
      <c r="B24" s="366">
        <v>2022</v>
      </c>
      <c r="C24" s="285" t="s">
        <v>438</v>
      </c>
      <c r="D24" s="285" t="s">
        <v>27</v>
      </c>
      <c r="E24" s="367" t="s">
        <v>925</v>
      </c>
      <c r="F24" s="461" t="s">
        <v>925</v>
      </c>
      <c r="G24" s="366">
        <v>2022</v>
      </c>
      <c r="H24" s="275" t="str">
        <f>VLOOKUP(D24,Source!F:F,1,FALSE)</f>
        <v>Bristol Comm. College</v>
      </c>
    </row>
    <row r="25" spans="1:11" s="275" customFormat="1">
      <c r="A25" s="278" t="str">
        <f>D25&amp;G25</f>
        <v>Bristol Comm. College2023</v>
      </c>
      <c r="B25" s="366">
        <v>2023</v>
      </c>
      <c r="C25" s="285" t="s">
        <v>438</v>
      </c>
      <c r="D25" s="285" t="s">
        <v>27</v>
      </c>
      <c r="E25" s="367" t="s">
        <v>925</v>
      </c>
      <c r="F25" s="461" t="s">
        <v>925</v>
      </c>
      <c r="G25" s="366">
        <v>2023</v>
      </c>
      <c r="H25" s="275" t="str">
        <f>VLOOKUP(D25,Source!F:F,1,FALSE)</f>
        <v>Bristol Comm. College</v>
      </c>
    </row>
    <row r="26" spans="1:11" s="275" customFormat="1">
      <c r="A26" s="278" t="str">
        <f>D26&amp;G26</f>
        <v>Bristol Comm. College2024</v>
      </c>
      <c r="B26" s="366">
        <v>2024</v>
      </c>
      <c r="C26" s="285" t="s">
        <v>438</v>
      </c>
      <c r="D26" s="285" t="s">
        <v>27</v>
      </c>
      <c r="E26" s="367" t="s">
        <v>925</v>
      </c>
      <c r="F26" s="461" t="s">
        <v>925</v>
      </c>
      <c r="G26" s="366">
        <v>2024</v>
      </c>
      <c r="H26" s="275" t="str">
        <f>VLOOKUP(D26,Source!F:F,1,FALSE)</f>
        <v>Bristol Comm. College</v>
      </c>
    </row>
    <row r="27" spans="1:11">
      <c r="A27" s="58" t="str">
        <f t="shared" si="0"/>
        <v>Bunker Hill Comm. College2016</v>
      </c>
      <c r="B27" s="368">
        <v>2016</v>
      </c>
      <c r="C27" s="369" t="s">
        <v>438</v>
      </c>
      <c r="D27" s="369" t="s">
        <v>73</v>
      </c>
      <c r="E27" s="370">
        <v>1687015</v>
      </c>
      <c r="F27" s="462">
        <v>252208</v>
      </c>
      <c r="G27" s="368">
        <v>2016</v>
      </c>
      <c r="H27" s="275" t="str">
        <f>VLOOKUP(D27,Source!F:F,1,FALSE)</f>
        <v>Bunker Hill Comm. College</v>
      </c>
    </row>
    <row r="28" spans="1:11">
      <c r="A28" s="58" t="str">
        <f t="shared" si="0"/>
        <v>Bunker Hill Comm. College2017</v>
      </c>
      <c r="B28" s="368">
        <v>2017</v>
      </c>
      <c r="C28" s="369" t="s">
        <v>438</v>
      </c>
      <c r="D28" s="369" t="s">
        <v>73</v>
      </c>
      <c r="E28" s="370">
        <v>1409910</v>
      </c>
      <c r="F28" s="462">
        <v>210781</v>
      </c>
      <c r="G28" s="368">
        <v>2017</v>
      </c>
      <c r="H28" s="275" t="str">
        <f>VLOOKUP(D28,Source!F:F,1,FALSE)</f>
        <v>Bunker Hill Comm. College</v>
      </c>
      <c r="K28" s="62"/>
    </row>
    <row r="29" spans="1:11">
      <c r="A29" s="58" t="str">
        <f t="shared" ref="A29:A30" si="4">D29&amp;G29</f>
        <v>Bunker Hill Comm. College2018</v>
      </c>
      <c r="B29" s="368">
        <v>2018</v>
      </c>
      <c r="C29" s="369" t="s">
        <v>438</v>
      </c>
      <c r="D29" s="369" t="s">
        <v>73</v>
      </c>
      <c r="E29" s="370" t="s">
        <v>925</v>
      </c>
      <c r="F29" s="462" t="s">
        <v>925</v>
      </c>
      <c r="G29" s="368">
        <v>2018</v>
      </c>
      <c r="H29" s="275" t="str">
        <f>VLOOKUP(D29,Source!F:F,1,FALSE)</f>
        <v>Bunker Hill Comm. College</v>
      </c>
      <c r="K29" s="62"/>
    </row>
    <row r="30" spans="1:11">
      <c r="A30" s="58" t="str">
        <f t="shared" si="4"/>
        <v>Bunker Hill Comm. College2019</v>
      </c>
      <c r="B30" s="368">
        <v>2019</v>
      </c>
      <c r="C30" s="369" t="s">
        <v>438</v>
      </c>
      <c r="D30" s="369" t="s">
        <v>73</v>
      </c>
      <c r="E30" s="370" t="s">
        <v>925</v>
      </c>
      <c r="F30" s="462" t="s">
        <v>925</v>
      </c>
      <c r="G30" s="368">
        <v>2019</v>
      </c>
      <c r="H30" s="275" t="str">
        <f>VLOOKUP(D30,Source!F:F,1,FALSE)</f>
        <v>Bunker Hill Comm. College</v>
      </c>
      <c r="K30" s="62"/>
    </row>
    <row r="31" spans="1:11">
      <c r="A31" s="58" t="str">
        <f t="shared" ref="A31:A32" si="5">D31&amp;G31</f>
        <v>Bunker Hill Comm. College2020</v>
      </c>
      <c r="B31" s="368">
        <v>2020</v>
      </c>
      <c r="C31" s="369" t="s">
        <v>438</v>
      </c>
      <c r="D31" s="369" t="s">
        <v>73</v>
      </c>
      <c r="E31" s="367" t="s">
        <v>925</v>
      </c>
      <c r="F31" s="461" t="s">
        <v>925</v>
      </c>
      <c r="G31" s="368">
        <v>2020</v>
      </c>
      <c r="H31" s="275" t="str">
        <f>VLOOKUP(D31,Source!F:F,1,FALSE)</f>
        <v>Bunker Hill Comm. College</v>
      </c>
      <c r="K31" s="62"/>
    </row>
    <row r="32" spans="1:11">
      <c r="A32" s="58" t="str">
        <f t="shared" si="5"/>
        <v>Bunker Hill Comm. College2021</v>
      </c>
      <c r="B32" s="368">
        <v>2021</v>
      </c>
      <c r="C32" s="369" t="s">
        <v>438</v>
      </c>
      <c r="D32" s="369" t="s">
        <v>73</v>
      </c>
      <c r="E32" s="367" t="s">
        <v>925</v>
      </c>
      <c r="F32" s="461" t="s">
        <v>925</v>
      </c>
      <c r="G32" s="368">
        <v>2021</v>
      </c>
      <c r="H32" s="275" t="str">
        <f>VLOOKUP(D32,Source!F:F,1,FALSE)</f>
        <v>Bunker Hill Comm. College</v>
      </c>
      <c r="K32" s="62"/>
    </row>
    <row r="33" spans="1:11">
      <c r="A33" s="58" t="str">
        <f t="shared" ref="A33:A35" si="6">D33&amp;G33</f>
        <v>Bunker Hill Comm. College2022</v>
      </c>
      <c r="B33" s="368">
        <v>2022</v>
      </c>
      <c r="C33" s="369" t="s">
        <v>438</v>
      </c>
      <c r="D33" s="369" t="s">
        <v>73</v>
      </c>
      <c r="E33" s="367" t="s">
        <v>925</v>
      </c>
      <c r="F33" s="461" t="s">
        <v>925</v>
      </c>
      <c r="G33" s="368">
        <v>2022</v>
      </c>
      <c r="H33" s="275" t="str">
        <f>VLOOKUP(D33,Source!F:F,1,FALSE)</f>
        <v>Bunker Hill Comm. College</v>
      </c>
      <c r="K33" s="62"/>
    </row>
    <row r="34" spans="1:11">
      <c r="A34" s="58" t="str">
        <f t="shared" si="6"/>
        <v>Bunker Hill Comm. College2023</v>
      </c>
      <c r="B34" s="368">
        <v>2023</v>
      </c>
      <c r="C34" s="369" t="s">
        <v>438</v>
      </c>
      <c r="D34" s="369" t="s">
        <v>73</v>
      </c>
      <c r="E34" s="367" t="s">
        <v>925</v>
      </c>
      <c r="F34" s="461" t="s">
        <v>925</v>
      </c>
      <c r="G34" s="368">
        <v>2023</v>
      </c>
      <c r="H34" s="275" t="str">
        <f>VLOOKUP(D34,Source!F:F,1,FALSE)</f>
        <v>Bunker Hill Comm. College</v>
      </c>
      <c r="K34" s="62"/>
    </row>
    <row r="35" spans="1:11">
      <c r="A35" s="58" t="str">
        <f t="shared" si="6"/>
        <v>Bunker Hill Comm. College2024</v>
      </c>
      <c r="B35" s="368">
        <v>2024</v>
      </c>
      <c r="C35" s="369" t="s">
        <v>438</v>
      </c>
      <c r="D35" s="369" t="s">
        <v>73</v>
      </c>
      <c r="E35" s="367" t="s">
        <v>925</v>
      </c>
      <c r="F35" s="461" t="s">
        <v>925</v>
      </c>
      <c r="G35" s="368">
        <v>2024</v>
      </c>
      <c r="H35" s="275" t="str">
        <f>VLOOKUP(D35,Source!F:F,1,FALSE)</f>
        <v>Bunker Hill Comm. College</v>
      </c>
      <c r="K35" s="62"/>
    </row>
    <row r="36" spans="1:11">
      <c r="A36" s="58" t="str">
        <f t="shared" si="0"/>
        <v>Cape Cod Comm. College2013</v>
      </c>
      <c r="B36" s="368">
        <v>2013</v>
      </c>
      <c r="C36" s="369" t="s">
        <v>438</v>
      </c>
      <c r="D36" s="369" t="s">
        <v>79</v>
      </c>
      <c r="E36" s="370">
        <v>1641000</v>
      </c>
      <c r="F36" s="462">
        <v>6015.95</v>
      </c>
      <c r="G36" s="368">
        <v>2013</v>
      </c>
      <c r="H36" s="275" t="str">
        <f>VLOOKUP(D36,Source!F:F,1,FALSE)</f>
        <v>Cape Cod Comm. College</v>
      </c>
    </row>
    <row r="37" spans="1:11">
      <c r="A37" s="58" t="str">
        <f t="shared" si="0"/>
        <v>Cape Cod Comm. College2014</v>
      </c>
      <c r="B37" s="368">
        <v>2014</v>
      </c>
      <c r="C37" s="369" t="s">
        <v>438</v>
      </c>
      <c r="D37" s="369" t="s">
        <v>79</v>
      </c>
      <c r="E37" s="370">
        <v>1577000</v>
      </c>
      <c r="F37" s="462">
        <v>5530.65</v>
      </c>
      <c r="G37" s="368">
        <v>2014</v>
      </c>
      <c r="H37" s="275" t="str">
        <f>VLOOKUP(D37,Source!F:F,1,FALSE)</f>
        <v>Cape Cod Comm. College</v>
      </c>
    </row>
    <row r="38" spans="1:11">
      <c r="A38" s="58" t="str">
        <f t="shared" si="0"/>
        <v>Cape Cod Comm. College2015</v>
      </c>
      <c r="B38" s="368">
        <v>2015</v>
      </c>
      <c r="C38" s="369" t="s">
        <v>438</v>
      </c>
      <c r="D38" s="369" t="s">
        <v>79</v>
      </c>
      <c r="E38" s="370">
        <v>1638000</v>
      </c>
      <c r="F38" s="462">
        <v>6284.1</v>
      </c>
      <c r="G38" s="368">
        <v>2015</v>
      </c>
      <c r="H38" s="275" t="str">
        <f>VLOOKUP(D38,Source!F:F,1,FALSE)</f>
        <v>Cape Cod Comm. College</v>
      </c>
    </row>
    <row r="39" spans="1:11">
      <c r="A39" s="58" t="str">
        <f t="shared" si="0"/>
        <v>Cape Cod Comm. College2016</v>
      </c>
      <c r="B39" s="368">
        <v>2016</v>
      </c>
      <c r="C39" s="369" t="s">
        <v>438</v>
      </c>
      <c r="D39" s="369" t="s">
        <v>79</v>
      </c>
      <c r="E39" s="370">
        <v>1652000</v>
      </c>
      <c r="F39" s="462">
        <v>6089.4</v>
      </c>
      <c r="G39" s="368">
        <v>2016</v>
      </c>
      <c r="H39" s="275" t="str">
        <f>VLOOKUP(D39,Source!F:F,1,FALSE)</f>
        <v>Cape Cod Comm. College</v>
      </c>
    </row>
    <row r="40" spans="1:11">
      <c r="A40" s="58" t="str">
        <f t="shared" si="0"/>
        <v>Cape Cod Comm. College2017</v>
      </c>
      <c r="B40" s="368">
        <v>2017</v>
      </c>
      <c r="C40" s="369" t="s">
        <v>438</v>
      </c>
      <c r="D40" s="369" t="s">
        <v>79</v>
      </c>
      <c r="E40" s="370">
        <v>1146000</v>
      </c>
      <c r="F40" s="463">
        <v>4090</v>
      </c>
      <c r="G40" s="368">
        <v>2017</v>
      </c>
      <c r="H40" s="275" t="str">
        <f>VLOOKUP(D40,Source!F:F,1,FALSE)</f>
        <v>Cape Cod Comm. College</v>
      </c>
    </row>
    <row r="41" spans="1:11">
      <c r="A41" s="58" t="str">
        <f t="shared" ref="A41:A42" si="7">D41&amp;G41</f>
        <v>Cape Cod Comm. College2018</v>
      </c>
      <c r="B41" s="368">
        <v>2018</v>
      </c>
      <c r="C41" s="369" t="s">
        <v>438</v>
      </c>
      <c r="D41" s="369" t="s">
        <v>79</v>
      </c>
      <c r="E41" s="370" t="s">
        <v>925</v>
      </c>
      <c r="F41" s="462" t="s">
        <v>925</v>
      </c>
      <c r="G41" s="368">
        <v>2018</v>
      </c>
      <c r="H41" s="275" t="str">
        <f>VLOOKUP(D41,Source!F:F,1,FALSE)</f>
        <v>Cape Cod Comm. College</v>
      </c>
    </row>
    <row r="42" spans="1:11">
      <c r="A42" s="58" t="str">
        <f t="shared" si="7"/>
        <v>Cape Cod Comm. College2019</v>
      </c>
      <c r="B42" s="368">
        <v>2019</v>
      </c>
      <c r="C42" s="369" t="s">
        <v>438</v>
      </c>
      <c r="D42" s="369" t="s">
        <v>79</v>
      </c>
      <c r="E42" s="370">
        <v>2034000</v>
      </c>
      <c r="F42" s="463">
        <v>7848</v>
      </c>
      <c r="G42" s="368">
        <v>2019</v>
      </c>
      <c r="H42" s="275" t="str">
        <f>VLOOKUP(D42,Source!F:F,1,FALSE)</f>
        <v>Cape Cod Comm. College</v>
      </c>
    </row>
    <row r="43" spans="1:11">
      <c r="A43" s="58" t="str">
        <f t="shared" ref="A43:A44" si="8">D43&amp;G43</f>
        <v>Cape Cod Comm. College2020</v>
      </c>
      <c r="B43" s="368">
        <v>2020</v>
      </c>
      <c r="C43" s="369" t="s">
        <v>438</v>
      </c>
      <c r="D43" s="369" t="s">
        <v>79</v>
      </c>
      <c r="E43" s="367" t="s">
        <v>925</v>
      </c>
      <c r="F43" s="461" t="s">
        <v>925</v>
      </c>
      <c r="G43" s="368">
        <v>2020</v>
      </c>
      <c r="H43" s="275" t="str">
        <f>VLOOKUP(D43,Source!F:F,1,FALSE)</f>
        <v>Cape Cod Comm. College</v>
      </c>
    </row>
    <row r="44" spans="1:11">
      <c r="A44" s="58" t="str">
        <f t="shared" si="8"/>
        <v>Cape Cod Comm. College2021</v>
      </c>
      <c r="B44" s="368">
        <v>2021</v>
      </c>
      <c r="C44" s="369" t="s">
        <v>438</v>
      </c>
      <c r="D44" s="369" t="s">
        <v>79</v>
      </c>
      <c r="E44" s="367" t="s">
        <v>925</v>
      </c>
      <c r="F44" s="461" t="s">
        <v>925</v>
      </c>
      <c r="G44" s="368">
        <v>2021</v>
      </c>
      <c r="H44" s="275" t="str">
        <f>VLOOKUP(D44,Source!F:F,1,FALSE)</f>
        <v>Cape Cod Comm. College</v>
      </c>
    </row>
    <row r="45" spans="1:11">
      <c r="A45" s="58" t="str">
        <f t="shared" ref="A45:A46" si="9">D45&amp;G45</f>
        <v>Cape Cod Comm. College2022</v>
      </c>
      <c r="B45" s="368">
        <v>2022</v>
      </c>
      <c r="C45" s="369" t="s">
        <v>438</v>
      </c>
      <c r="D45" s="369" t="s">
        <v>79</v>
      </c>
      <c r="E45" s="367" t="s">
        <v>925</v>
      </c>
      <c r="F45" s="461" t="s">
        <v>925</v>
      </c>
      <c r="G45" s="368">
        <v>2022</v>
      </c>
      <c r="H45" s="275" t="str">
        <f>VLOOKUP(D45,Source!F:F,1,FALSE)</f>
        <v>Cape Cod Comm. College</v>
      </c>
    </row>
    <row r="46" spans="1:11">
      <c r="A46" s="58" t="str">
        <f t="shared" si="9"/>
        <v>Cape Cod Comm. College2023</v>
      </c>
      <c r="B46" s="368">
        <v>2023</v>
      </c>
      <c r="C46" s="369" t="s">
        <v>438</v>
      </c>
      <c r="D46" s="369" t="s">
        <v>79</v>
      </c>
      <c r="E46" s="764">
        <v>1736000</v>
      </c>
      <c r="F46" s="765">
        <v>6421</v>
      </c>
      <c r="G46" s="368">
        <v>2023</v>
      </c>
      <c r="H46" s="275" t="str">
        <f>VLOOKUP(D46,Source!F:F,1,FALSE)</f>
        <v>Cape Cod Comm. College</v>
      </c>
    </row>
    <row r="47" spans="1:11">
      <c r="A47" s="58" t="str">
        <f t="shared" ref="A47" si="10">D47&amp;G47</f>
        <v>Cape Cod Comm. College2024</v>
      </c>
      <c r="B47" s="368">
        <v>2024</v>
      </c>
      <c r="C47" s="369" t="s">
        <v>438</v>
      </c>
      <c r="D47" s="369" t="s">
        <v>79</v>
      </c>
      <c r="E47" s="827">
        <v>2172000</v>
      </c>
      <c r="F47" s="829" t="s">
        <v>2376</v>
      </c>
      <c r="G47" s="368">
        <v>2024</v>
      </c>
      <c r="H47" s="275" t="str">
        <f>VLOOKUP(D47,Source!F:F,1,FALSE)</f>
        <v>Cape Cod Comm. College</v>
      </c>
    </row>
    <row r="48" spans="1:11" s="275" customFormat="1">
      <c r="A48" s="278" t="str">
        <f t="shared" si="0"/>
        <v>Dept. of Correction2016</v>
      </c>
      <c r="B48" s="366">
        <v>2016</v>
      </c>
      <c r="C48" s="285" t="s">
        <v>492</v>
      </c>
      <c r="D48" s="285" t="s">
        <v>93</v>
      </c>
      <c r="E48" s="367">
        <v>7725439.1689999998</v>
      </c>
      <c r="F48" s="461">
        <v>0</v>
      </c>
      <c r="G48" s="366">
        <v>2016</v>
      </c>
      <c r="H48" s="275" t="str">
        <f>VLOOKUP(D48,Source!F:F,1,FALSE)</f>
        <v>Dept. of Correction</v>
      </c>
    </row>
    <row r="49" spans="1:8" s="275" customFormat="1">
      <c r="A49" s="278" t="str">
        <f t="shared" si="0"/>
        <v>Dept. of Correction2018</v>
      </c>
      <c r="B49" s="366">
        <v>2018</v>
      </c>
      <c r="C49" s="285" t="s">
        <v>492</v>
      </c>
      <c r="D49" s="285" t="s">
        <v>93</v>
      </c>
      <c r="E49" s="367">
        <v>8094838</v>
      </c>
      <c r="F49" s="461">
        <v>0</v>
      </c>
      <c r="G49" s="366">
        <v>2018</v>
      </c>
      <c r="H49" s="275" t="str">
        <f>VLOOKUP(D49,Source!F:F,1,FALSE)</f>
        <v>Dept. of Correction</v>
      </c>
    </row>
    <row r="50" spans="1:8" s="275" customFormat="1">
      <c r="A50" s="278" t="str">
        <f t="shared" ref="A50" si="11">D50&amp;G50</f>
        <v>Dept. of Correction2019</v>
      </c>
      <c r="B50" s="366">
        <v>2019</v>
      </c>
      <c r="C50" s="285" t="s">
        <v>492</v>
      </c>
      <c r="D50" s="285" t="s">
        <v>93</v>
      </c>
      <c r="E50" s="367">
        <v>107338489</v>
      </c>
      <c r="F50" s="461">
        <v>0</v>
      </c>
      <c r="G50" s="366">
        <v>2019</v>
      </c>
      <c r="H50" s="275" t="str">
        <f>VLOOKUP(D50,Source!F:F,1,FALSE)</f>
        <v>Dept. of Correction</v>
      </c>
    </row>
    <row r="51" spans="1:8" s="275" customFormat="1">
      <c r="A51" s="278" t="str">
        <f t="shared" ref="A51:A52" si="12">D51&amp;G51</f>
        <v>Dept. of Correction2020</v>
      </c>
      <c r="B51" s="366">
        <v>2020</v>
      </c>
      <c r="C51" s="285" t="s">
        <v>492</v>
      </c>
      <c r="D51" s="285" t="s">
        <v>93</v>
      </c>
      <c r="E51" s="367">
        <v>42658137</v>
      </c>
      <c r="F51" s="461" t="s">
        <v>50</v>
      </c>
      <c r="G51" s="368">
        <v>2020</v>
      </c>
      <c r="H51" s="275" t="str">
        <f>VLOOKUP(D51,Source!F:F,1,FALSE)</f>
        <v>Dept. of Correction</v>
      </c>
    </row>
    <row r="52" spans="1:8" s="275" customFormat="1">
      <c r="A52" s="278" t="str">
        <f t="shared" si="12"/>
        <v>Dept. of Correction2021</v>
      </c>
      <c r="B52" s="366">
        <v>2021</v>
      </c>
      <c r="C52" s="285" t="s">
        <v>492</v>
      </c>
      <c r="D52" s="285" t="s">
        <v>93</v>
      </c>
      <c r="E52" s="367" t="s">
        <v>925</v>
      </c>
      <c r="F52" s="461" t="s">
        <v>925</v>
      </c>
      <c r="G52" s="368">
        <v>2021</v>
      </c>
      <c r="H52" s="275" t="str">
        <f>VLOOKUP(D52,Source!F:F,1,FALSE)</f>
        <v>Dept. of Correction</v>
      </c>
    </row>
    <row r="53" spans="1:8" s="275" customFormat="1">
      <c r="A53" s="278" t="str">
        <f>D53&amp;G53</f>
        <v>Dept. of Correction2022</v>
      </c>
      <c r="B53" s="366">
        <v>2022</v>
      </c>
      <c r="C53" s="285" t="s">
        <v>492</v>
      </c>
      <c r="D53" s="285" t="s">
        <v>93</v>
      </c>
      <c r="E53" s="367" t="s">
        <v>925</v>
      </c>
      <c r="F53" s="461" t="s">
        <v>925</v>
      </c>
      <c r="G53" s="368">
        <v>2022</v>
      </c>
      <c r="H53" s="275" t="str">
        <f>VLOOKUP(D53,Source!F:F,1,FALSE)</f>
        <v>Dept. of Correction</v>
      </c>
    </row>
    <row r="54" spans="1:8" s="275" customFormat="1">
      <c r="A54" s="278" t="str">
        <f>D54&amp;G54</f>
        <v>Dept. of Correction2023</v>
      </c>
      <c r="B54" s="366">
        <v>2023</v>
      </c>
      <c r="C54" s="285" t="s">
        <v>492</v>
      </c>
      <c r="D54" s="285" t="s">
        <v>93</v>
      </c>
      <c r="E54" s="764">
        <v>2317070825</v>
      </c>
      <c r="F54" s="461" t="s">
        <v>925</v>
      </c>
      <c r="G54" s="368">
        <v>2023</v>
      </c>
      <c r="H54" s="275" t="str">
        <f>VLOOKUP(D54,Source!F:F,1,FALSE)</f>
        <v>Dept. of Correction</v>
      </c>
    </row>
    <row r="55" spans="1:8" s="275" customFormat="1">
      <c r="A55" s="278" t="str">
        <f>D55&amp;G55</f>
        <v>Dept. of Correction2024</v>
      </c>
      <c r="B55" s="366">
        <v>2024</v>
      </c>
      <c r="C55" s="285" t="s">
        <v>492</v>
      </c>
      <c r="D55" s="285" t="s">
        <v>93</v>
      </c>
      <c r="E55" s="827">
        <v>95372052</v>
      </c>
      <c r="F55" s="461" t="s">
        <v>925</v>
      </c>
      <c r="G55" s="368">
        <v>2024</v>
      </c>
      <c r="H55" s="275" t="str">
        <f>VLOOKUP(D55,Source!F:F,1,FALSE)</f>
        <v>Dept. of Correction</v>
      </c>
    </row>
    <row r="56" spans="1:8">
      <c r="A56" s="58" t="str">
        <f t="shared" si="0"/>
        <v>Dept. of Fire Services2013</v>
      </c>
      <c r="B56" s="368">
        <v>2013</v>
      </c>
      <c r="C56" s="369" t="s">
        <v>492</v>
      </c>
      <c r="D56" s="369" t="s">
        <v>99</v>
      </c>
      <c r="E56" s="370">
        <v>768000</v>
      </c>
      <c r="F56" s="462">
        <v>5921</v>
      </c>
      <c r="G56" s="368">
        <v>2013</v>
      </c>
      <c r="H56" s="275" t="str">
        <f>VLOOKUP(D56,Source!F:F,1,FALSE)</f>
        <v>Dept. of Fire Services</v>
      </c>
    </row>
    <row r="57" spans="1:8">
      <c r="A57" s="58" t="str">
        <f t="shared" si="0"/>
        <v>Dept. of Fire Services2014</v>
      </c>
      <c r="B57" s="368">
        <v>2014</v>
      </c>
      <c r="C57" s="369" t="s">
        <v>492</v>
      </c>
      <c r="D57" s="369" t="s">
        <v>99</v>
      </c>
      <c r="E57" s="370">
        <v>976000</v>
      </c>
      <c r="F57" s="462">
        <v>7279</v>
      </c>
      <c r="G57" s="368">
        <v>2014</v>
      </c>
      <c r="H57" s="275" t="str">
        <f>VLOOKUP(D57,Source!F:F,1,FALSE)</f>
        <v>Dept. of Fire Services</v>
      </c>
    </row>
    <row r="58" spans="1:8">
      <c r="A58" s="58" t="str">
        <f t="shared" si="0"/>
        <v>Dept. of Fire Services2015</v>
      </c>
      <c r="B58" s="368">
        <v>2015</v>
      </c>
      <c r="C58" s="369" t="s">
        <v>492</v>
      </c>
      <c r="D58" s="369" t="s">
        <v>99</v>
      </c>
      <c r="E58" s="370">
        <v>293000</v>
      </c>
      <c r="F58" s="462">
        <v>3443</v>
      </c>
      <c r="G58" s="368">
        <v>2015</v>
      </c>
      <c r="H58" s="275" t="str">
        <f>VLOOKUP(D58,Source!F:F,1,FALSE)</f>
        <v>Dept. of Fire Services</v>
      </c>
    </row>
    <row r="59" spans="1:8">
      <c r="A59" s="58" t="str">
        <f t="shared" si="0"/>
        <v>Dept. of Fire Services2016</v>
      </c>
      <c r="B59" s="368">
        <v>2016</v>
      </c>
      <c r="C59" s="369" t="s">
        <v>492</v>
      </c>
      <c r="D59" s="369" t="s">
        <v>99</v>
      </c>
      <c r="E59" s="370">
        <v>456000</v>
      </c>
      <c r="F59" s="462">
        <v>0</v>
      </c>
      <c r="G59" s="368">
        <v>2016</v>
      </c>
      <c r="H59" s="275" t="str">
        <f>VLOOKUP(D59,Source!F:F,1,FALSE)</f>
        <v>Dept. of Fire Services</v>
      </c>
    </row>
    <row r="60" spans="1:8">
      <c r="A60" s="58" t="str">
        <f t="shared" ref="A60:A62" si="13">D60&amp;G60</f>
        <v>Dept. of Fire Services2017</v>
      </c>
      <c r="B60" s="368">
        <v>2017</v>
      </c>
      <c r="C60" s="369" t="s">
        <v>492</v>
      </c>
      <c r="D60" s="369" t="s">
        <v>99</v>
      </c>
      <c r="E60" s="370" t="s">
        <v>925</v>
      </c>
      <c r="F60" s="462" t="s">
        <v>925</v>
      </c>
      <c r="G60" s="368">
        <v>2017</v>
      </c>
      <c r="H60" s="275" t="str">
        <f>VLOOKUP(D60,Source!F:F,1,FALSE)</f>
        <v>Dept. of Fire Services</v>
      </c>
    </row>
    <row r="61" spans="1:8">
      <c r="A61" s="58" t="str">
        <f t="shared" si="13"/>
        <v>Dept. of Fire Services2018</v>
      </c>
      <c r="B61" s="368">
        <v>2018</v>
      </c>
      <c r="C61" s="369" t="s">
        <v>492</v>
      </c>
      <c r="D61" s="369" t="s">
        <v>99</v>
      </c>
      <c r="E61" s="370" t="s">
        <v>925</v>
      </c>
      <c r="F61" s="462" t="s">
        <v>925</v>
      </c>
      <c r="G61" s="368">
        <v>2018</v>
      </c>
      <c r="H61" s="275" t="str">
        <f>VLOOKUP(D61,Source!F:F,1,FALSE)</f>
        <v>Dept. of Fire Services</v>
      </c>
    </row>
    <row r="62" spans="1:8">
      <c r="A62" s="58" t="str">
        <f t="shared" si="13"/>
        <v>Dept. of Fire Services2019</v>
      </c>
      <c r="B62" s="368">
        <v>2019</v>
      </c>
      <c r="C62" s="369" t="s">
        <v>492</v>
      </c>
      <c r="D62" s="369" t="s">
        <v>99</v>
      </c>
      <c r="E62" s="370" t="s">
        <v>925</v>
      </c>
      <c r="F62" s="462" t="s">
        <v>925</v>
      </c>
      <c r="G62" s="368">
        <v>2019</v>
      </c>
      <c r="H62" s="275" t="str">
        <f>VLOOKUP(D62,Source!F:F,1,FALSE)</f>
        <v>Dept. of Fire Services</v>
      </c>
    </row>
    <row r="63" spans="1:8">
      <c r="A63" s="58" t="str">
        <f t="shared" ref="A63:A64" si="14">D63&amp;G63</f>
        <v>Dept. of Fire Services2020</v>
      </c>
      <c r="B63" s="368">
        <v>2020</v>
      </c>
      <c r="C63" s="369" t="s">
        <v>492</v>
      </c>
      <c r="D63" s="369" t="s">
        <v>99</v>
      </c>
      <c r="E63" s="367" t="s">
        <v>925</v>
      </c>
      <c r="F63" s="461" t="s">
        <v>925</v>
      </c>
      <c r="G63" s="368">
        <v>2020</v>
      </c>
      <c r="H63" s="275" t="str">
        <f>VLOOKUP(D63,Source!F:F,1,FALSE)</f>
        <v>Dept. of Fire Services</v>
      </c>
    </row>
    <row r="64" spans="1:8">
      <c r="A64" s="58" t="str">
        <f t="shared" si="14"/>
        <v>Dept. of Fire Services2021</v>
      </c>
      <c r="B64" s="368">
        <v>2021</v>
      </c>
      <c r="C64" s="369" t="s">
        <v>492</v>
      </c>
      <c r="D64" s="369" t="s">
        <v>99</v>
      </c>
      <c r="E64" s="367" t="s">
        <v>925</v>
      </c>
      <c r="F64" s="461" t="s">
        <v>925</v>
      </c>
      <c r="G64" s="368">
        <v>2021</v>
      </c>
      <c r="H64" s="275" t="str">
        <f>VLOOKUP(D64,Source!F:F,1,FALSE)</f>
        <v>Dept. of Fire Services</v>
      </c>
    </row>
    <row r="65" spans="1:8">
      <c r="A65" s="58" t="str">
        <f t="shared" ref="A65:A70" si="15">D65&amp;G65</f>
        <v>Dept. of Fire Services2022</v>
      </c>
      <c r="B65" s="368">
        <v>2022</v>
      </c>
      <c r="C65" s="369" t="s">
        <v>492</v>
      </c>
      <c r="D65" s="369" t="s">
        <v>99</v>
      </c>
      <c r="E65" s="367" t="s">
        <v>925</v>
      </c>
      <c r="F65" s="461" t="s">
        <v>925</v>
      </c>
      <c r="G65" s="368">
        <v>2022</v>
      </c>
      <c r="H65" s="275" t="str">
        <f>VLOOKUP(D65,Source!F:F,1,FALSE)</f>
        <v>Dept. of Fire Services</v>
      </c>
    </row>
    <row r="66" spans="1:8">
      <c r="A66" s="58" t="str">
        <f t="shared" si="15"/>
        <v>Dept. of Fire Services2023</v>
      </c>
      <c r="B66" s="368">
        <v>2023</v>
      </c>
      <c r="C66" s="369" t="s">
        <v>492</v>
      </c>
      <c r="D66" s="369" t="s">
        <v>99</v>
      </c>
      <c r="E66" s="367" t="s">
        <v>925</v>
      </c>
      <c r="F66" s="461" t="s">
        <v>925</v>
      </c>
      <c r="G66" s="368">
        <v>2023</v>
      </c>
      <c r="H66" s="275" t="str">
        <f>VLOOKUP(D66,Source!F:F,1,FALSE)</f>
        <v>Dept. of Fire Services</v>
      </c>
    </row>
    <row r="67" spans="1:8">
      <c r="A67" s="58" t="str">
        <f t="shared" ref="A67" si="16">D67&amp;G67</f>
        <v>Dept. of Fire Services2024</v>
      </c>
      <c r="B67" s="368">
        <v>2024</v>
      </c>
      <c r="C67" s="369" t="s">
        <v>492</v>
      </c>
      <c r="D67" s="369" t="s">
        <v>99</v>
      </c>
      <c r="E67" s="367" t="s">
        <v>925</v>
      </c>
      <c r="F67" s="461" t="s">
        <v>925</v>
      </c>
      <c r="G67" s="368">
        <v>2024</v>
      </c>
      <c r="H67" s="275" t="str">
        <f>VLOOKUP(D67,Source!F:F,1,FALSE)</f>
        <v>Dept. of Fire Services</v>
      </c>
    </row>
    <row r="68" spans="1:8">
      <c r="A68" s="58" t="str">
        <f t="shared" si="15"/>
        <v>Dept. of State Police2021</v>
      </c>
      <c r="B68" s="368">
        <v>2021</v>
      </c>
      <c r="C68" s="369" t="s">
        <v>492</v>
      </c>
      <c r="D68" s="369" t="s">
        <v>103</v>
      </c>
      <c r="E68" s="367" t="s">
        <v>925</v>
      </c>
      <c r="F68" s="461" t="s">
        <v>925</v>
      </c>
      <c r="G68" s="368">
        <v>2021</v>
      </c>
      <c r="H68" s="275" t="s">
        <v>103</v>
      </c>
    </row>
    <row r="69" spans="1:8">
      <c r="A69" s="58" t="str">
        <f t="shared" si="15"/>
        <v>Dept. of State Police2022</v>
      </c>
      <c r="B69" s="368">
        <v>2022</v>
      </c>
      <c r="C69" s="369" t="s">
        <v>492</v>
      </c>
      <c r="D69" s="369" t="s">
        <v>103</v>
      </c>
      <c r="E69" s="367" t="s">
        <v>925</v>
      </c>
      <c r="F69" s="461" t="s">
        <v>925</v>
      </c>
      <c r="G69" s="368">
        <v>2022</v>
      </c>
      <c r="H69" s="275" t="s">
        <v>103</v>
      </c>
    </row>
    <row r="70" spans="1:8">
      <c r="A70" s="58" t="str">
        <f t="shared" si="15"/>
        <v>Dept. of State Police2023</v>
      </c>
      <c r="B70" s="368">
        <v>2023</v>
      </c>
      <c r="C70" s="369" t="s">
        <v>492</v>
      </c>
      <c r="D70" s="369" t="s">
        <v>103</v>
      </c>
      <c r="E70" s="764">
        <v>4756566</v>
      </c>
      <c r="F70" s="766">
        <v>87976.960000000006</v>
      </c>
      <c r="G70" s="368">
        <v>2023</v>
      </c>
      <c r="H70" s="275" t="s">
        <v>103</v>
      </c>
    </row>
    <row r="71" spans="1:8">
      <c r="A71" s="58" t="str">
        <f t="shared" ref="A71" si="17">D71&amp;G71</f>
        <v>Dept. of State Police2024</v>
      </c>
      <c r="B71" s="368">
        <v>2024</v>
      </c>
      <c r="C71" s="369" t="s">
        <v>492</v>
      </c>
      <c r="D71" s="369" t="s">
        <v>103</v>
      </c>
      <c r="E71" s="827">
        <v>6255963</v>
      </c>
      <c r="F71" s="828">
        <v>93537.24</v>
      </c>
      <c r="G71" s="368">
        <v>2024</v>
      </c>
      <c r="H71" s="275" t="s">
        <v>103</v>
      </c>
    </row>
    <row r="72" spans="1:8" s="275" customFormat="1">
      <c r="A72" s="278" t="str">
        <f t="shared" si="0"/>
        <v>Fitchburg State University2013</v>
      </c>
      <c r="B72" s="366">
        <v>2013</v>
      </c>
      <c r="C72" s="285" t="s">
        <v>438</v>
      </c>
      <c r="D72" s="285" t="s">
        <v>107</v>
      </c>
      <c r="E72" s="367">
        <v>33432000</v>
      </c>
      <c r="F72" s="461">
        <v>161466.32999999999</v>
      </c>
      <c r="G72" s="366">
        <v>2013</v>
      </c>
      <c r="H72" s="275" t="str">
        <f>VLOOKUP(D72,Source!F:F,1,FALSE)</f>
        <v>Fitchburg State University</v>
      </c>
    </row>
    <row r="73" spans="1:8" s="275" customFormat="1">
      <c r="A73" s="278" t="str">
        <f t="shared" si="0"/>
        <v>Fitchburg State University2014</v>
      </c>
      <c r="B73" s="366">
        <v>2014</v>
      </c>
      <c r="C73" s="285" t="s">
        <v>438</v>
      </c>
      <c r="D73" s="285" t="s">
        <v>107</v>
      </c>
      <c r="E73" s="367">
        <v>29689500</v>
      </c>
      <c r="F73" s="461">
        <v>149911.6</v>
      </c>
      <c r="G73" s="366">
        <v>2014</v>
      </c>
      <c r="H73" s="275" t="str">
        <f>VLOOKUP(D73,Source!F:F,1,FALSE)</f>
        <v>Fitchburg State University</v>
      </c>
    </row>
    <row r="74" spans="1:8" s="275" customFormat="1">
      <c r="A74" s="278" t="str">
        <f t="shared" si="0"/>
        <v>Fitchburg State University2015</v>
      </c>
      <c r="B74" s="366">
        <v>2015</v>
      </c>
      <c r="C74" s="285" t="s">
        <v>438</v>
      </c>
      <c r="D74" s="285" t="s">
        <v>107</v>
      </c>
      <c r="E74" s="367">
        <v>28621500</v>
      </c>
      <c r="F74" s="461">
        <v>144210.47</v>
      </c>
      <c r="G74" s="366">
        <v>2015</v>
      </c>
      <c r="H74" s="275" t="str">
        <f>VLOOKUP(D74,Source!F:F,1,FALSE)</f>
        <v>Fitchburg State University</v>
      </c>
    </row>
    <row r="75" spans="1:8" s="275" customFormat="1">
      <c r="A75" s="278" t="str">
        <f t="shared" si="0"/>
        <v>Fitchburg State University2016</v>
      </c>
      <c r="B75" s="366">
        <v>2016</v>
      </c>
      <c r="C75" s="285" t="s">
        <v>438</v>
      </c>
      <c r="D75" s="285" t="s">
        <v>107</v>
      </c>
      <c r="E75" s="367">
        <v>32001750</v>
      </c>
      <c r="F75" s="461">
        <v>156215.71</v>
      </c>
      <c r="G75" s="366">
        <v>2016</v>
      </c>
      <c r="H75" s="275" t="str">
        <f>VLOOKUP(D75,Source!F:F,1,FALSE)</f>
        <v>Fitchburg State University</v>
      </c>
    </row>
    <row r="76" spans="1:8" s="275" customFormat="1">
      <c r="A76" s="278" t="str">
        <f t="shared" si="0"/>
        <v>Fitchburg State University2017</v>
      </c>
      <c r="B76" s="366">
        <v>2017</v>
      </c>
      <c r="C76" s="285" t="s">
        <v>438</v>
      </c>
      <c r="D76" s="285" t="s">
        <v>107</v>
      </c>
      <c r="E76" s="367">
        <v>33650250</v>
      </c>
      <c r="F76" s="461">
        <v>184962.5</v>
      </c>
      <c r="G76" s="366">
        <v>2017</v>
      </c>
      <c r="H76" s="275" t="str">
        <f>VLOOKUP(D76,Source!F:F,1,FALSE)</f>
        <v>Fitchburg State University</v>
      </c>
    </row>
    <row r="77" spans="1:8" s="275" customFormat="1">
      <c r="A77" s="278" t="str">
        <f t="shared" si="0"/>
        <v>Fitchburg State University2018</v>
      </c>
      <c r="B77" s="366">
        <v>2018</v>
      </c>
      <c r="C77" s="285" t="s">
        <v>438</v>
      </c>
      <c r="D77" s="285" t="s">
        <v>107</v>
      </c>
      <c r="E77" s="367">
        <v>31810030</v>
      </c>
      <c r="F77" s="461">
        <v>187658</v>
      </c>
      <c r="G77" s="366">
        <v>2018</v>
      </c>
      <c r="H77" s="275" t="str">
        <f>VLOOKUP(D77,Source!F:F,1,FALSE)</f>
        <v>Fitchburg State University</v>
      </c>
    </row>
    <row r="78" spans="1:8" s="275" customFormat="1">
      <c r="A78" s="278" t="str">
        <f t="shared" ref="A78" si="18">D78&amp;G78</f>
        <v>Fitchburg State University2019</v>
      </c>
      <c r="B78" s="366">
        <v>2019</v>
      </c>
      <c r="C78" s="285" t="s">
        <v>438</v>
      </c>
      <c r="D78" s="285" t="s">
        <v>107</v>
      </c>
      <c r="E78" s="367">
        <v>30823353</v>
      </c>
      <c r="F78" s="461">
        <v>193810</v>
      </c>
      <c r="G78" s="366">
        <v>2019</v>
      </c>
      <c r="H78" s="275" t="str">
        <f>VLOOKUP(D78,Source!F:F,1,FALSE)</f>
        <v>Fitchburg State University</v>
      </c>
    </row>
    <row r="79" spans="1:8" s="275" customFormat="1">
      <c r="A79" s="278" t="str">
        <f t="shared" ref="A79:A80" si="19">D79&amp;G79</f>
        <v>Fitchburg State University2020</v>
      </c>
      <c r="B79" s="366">
        <v>2020</v>
      </c>
      <c r="C79" s="285" t="s">
        <v>438</v>
      </c>
      <c r="D79" s="285" t="s">
        <v>107</v>
      </c>
      <c r="E79" s="367">
        <v>23343042</v>
      </c>
      <c r="F79" s="461">
        <v>154064</v>
      </c>
      <c r="G79" s="368">
        <v>2020</v>
      </c>
      <c r="H79" s="275" t="str">
        <f>VLOOKUP(D79,Source!F:F,1,FALSE)</f>
        <v>Fitchburg State University</v>
      </c>
    </row>
    <row r="80" spans="1:8" s="275" customFormat="1">
      <c r="A80" s="278" t="str">
        <f t="shared" si="19"/>
        <v>Fitchburg State University2021</v>
      </c>
      <c r="B80" s="366">
        <v>2021</v>
      </c>
      <c r="C80" s="285" t="s">
        <v>438</v>
      </c>
      <c r="D80" s="285" t="s">
        <v>107</v>
      </c>
      <c r="E80" s="367">
        <v>20412927</v>
      </c>
      <c r="F80" s="461">
        <v>137281</v>
      </c>
      <c r="G80" s="368">
        <v>2021</v>
      </c>
      <c r="H80" s="275" t="str">
        <f>VLOOKUP(D80,Source!F:F,1,FALSE)</f>
        <v>Fitchburg State University</v>
      </c>
    </row>
    <row r="81" spans="1:8" s="275" customFormat="1">
      <c r="A81" s="278" t="str">
        <f t="shared" ref="A81:A82" si="20">D81&amp;G81</f>
        <v>Fitchburg State University2022</v>
      </c>
      <c r="B81" s="366">
        <v>2022</v>
      </c>
      <c r="C81" s="285" t="s">
        <v>438</v>
      </c>
      <c r="D81" s="285" t="s">
        <v>107</v>
      </c>
      <c r="E81" s="367">
        <v>24405750</v>
      </c>
      <c r="F81" s="461">
        <v>187386.95</v>
      </c>
      <c r="G81" s="368">
        <v>2022</v>
      </c>
      <c r="H81" s="275" t="str">
        <f>VLOOKUP(D81,Source!F:F,1,FALSE)</f>
        <v>Fitchburg State University</v>
      </c>
    </row>
    <row r="82" spans="1:8" s="275" customFormat="1">
      <c r="A82" s="278" t="str">
        <f t="shared" si="20"/>
        <v>Fitchburg State University2023</v>
      </c>
      <c r="B82" s="366">
        <v>2023</v>
      </c>
      <c r="C82" s="285" t="s">
        <v>438</v>
      </c>
      <c r="D82" s="285" t="s">
        <v>107</v>
      </c>
      <c r="E82" s="764">
        <v>20490380</v>
      </c>
      <c r="F82" s="765">
        <v>142999</v>
      </c>
      <c r="G82" s="368">
        <v>2023</v>
      </c>
      <c r="H82" s="275" t="str">
        <f>VLOOKUP(D82,Source!F:F,1,FALSE)</f>
        <v>Fitchburg State University</v>
      </c>
    </row>
    <row r="83" spans="1:8" s="275" customFormat="1">
      <c r="A83" s="278" t="str">
        <f t="shared" ref="A83" si="21">D83&amp;G83</f>
        <v>Fitchburg State University2024</v>
      </c>
      <c r="B83" s="366">
        <v>2024</v>
      </c>
      <c r="C83" s="285" t="s">
        <v>438</v>
      </c>
      <c r="D83" s="285" t="s">
        <v>107</v>
      </c>
      <c r="E83" s="827">
        <v>25700532</v>
      </c>
      <c r="F83" s="828">
        <v>613452</v>
      </c>
      <c r="G83" s="368">
        <v>2024</v>
      </c>
      <c r="H83" s="275" t="str">
        <f>VLOOKUP(D83,Source!F:F,1,FALSE)</f>
        <v>Fitchburg State University</v>
      </c>
    </row>
    <row r="84" spans="1:8" s="275" customFormat="1">
      <c r="A84" s="278" t="str">
        <f t="shared" si="0"/>
        <v>Framingham State University2013</v>
      </c>
      <c r="B84" s="366">
        <v>2013</v>
      </c>
      <c r="C84" s="285" t="s">
        <v>438</v>
      </c>
      <c r="D84" s="285" t="s">
        <v>35</v>
      </c>
      <c r="E84" s="367">
        <v>23214000</v>
      </c>
      <c r="F84" s="461">
        <v>513295</v>
      </c>
      <c r="G84" s="366">
        <v>2013</v>
      </c>
      <c r="H84" s="275" t="str">
        <f>VLOOKUP(D84,Source!F:F,1,FALSE)</f>
        <v>Framingham State University</v>
      </c>
    </row>
    <row r="85" spans="1:8" s="275" customFormat="1">
      <c r="A85" s="278" t="str">
        <f t="shared" si="0"/>
        <v>Framingham State University2014</v>
      </c>
      <c r="B85" s="366">
        <v>2014</v>
      </c>
      <c r="C85" s="285" t="s">
        <v>438</v>
      </c>
      <c r="D85" s="285" t="s">
        <v>35</v>
      </c>
      <c r="E85" s="367">
        <v>22743000</v>
      </c>
      <c r="F85" s="461">
        <v>611490</v>
      </c>
      <c r="G85" s="366">
        <v>2014</v>
      </c>
      <c r="H85" s="275" t="str">
        <f>VLOOKUP(D85,Source!F:F,1,FALSE)</f>
        <v>Framingham State University</v>
      </c>
    </row>
    <row r="86" spans="1:8" s="275" customFormat="1">
      <c r="A86" s="278" t="str">
        <f t="shared" si="0"/>
        <v>Framingham State University2015</v>
      </c>
      <c r="B86" s="366">
        <v>2015</v>
      </c>
      <c r="C86" s="285" t="s">
        <v>438</v>
      </c>
      <c r="D86" s="285" t="s">
        <v>35</v>
      </c>
      <c r="E86" s="367">
        <v>21532500</v>
      </c>
      <c r="F86" s="461">
        <v>692391</v>
      </c>
      <c r="G86" s="366">
        <v>2015</v>
      </c>
      <c r="H86" s="275" t="str">
        <f>VLOOKUP(D86,Source!F:F,1,FALSE)</f>
        <v>Framingham State University</v>
      </c>
    </row>
    <row r="87" spans="1:8" s="275" customFormat="1">
      <c r="A87" s="278" t="str">
        <f t="shared" si="0"/>
        <v>Framingham State University2016</v>
      </c>
      <c r="B87" s="366">
        <v>2016</v>
      </c>
      <c r="C87" s="285" t="s">
        <v>438</v>
      </c>
      <c r="D87" s="285" t="s">
        <v>35</v>
      </c>
      <c r="E87" s="367">
        <v>23590500</v>
      </c>
      <c r="F87" s="461">
        <v>712214.86</v>
      </c>
      <c r="G87" s="366">
        <v>2016</v>
      </c>
      <c r="H87" s="275" t="str">
        <f>VLOOKUP(D87,Source!F:F,1,FALSE)</f>
        <v>Framingham State University</v>
      </c>
    </row>
    <row r="88" spans="1:8" s="275" customFormat="1">
      <c r="A88" s="278" t="str">
        <f t="shared" si="0"/>
        <v>Framingham State University2017</v>
      </c>
      <c r="B88" s="366">
        <v>2017</v>
      </c>
      <c r="C88" s="285" t="s">
        <v>438</v>
      </c>
      <c r="D88" s="285" t="s">
        <v>35</v>
      </c>
      <c r="E88" s="367">
        <v>24900750</v>
      </c>
      <c r="F88" s="461">
        <v>779792</v>
      </c>
      <c r="G88" s="366">
        <v>2017</v>
      </c>
      <c r="H88" s="275" t="str">
        <f>VLOOKUP(D88,Source!F:F,1,FALSE)</f>
        <v>Framingham State University</v>
      </c>
    </row>
    <row r="89" spans="1:8" s="275" customFormat="1">
      <c r="A89" s="278" t="str">
        <f t="shared" si="0"/>
        <v>Framingham State University2018</v>
      </c>
      <c r="B89" s="366">
        <v>2018</v>
      </c>
      <c r="C89" s="285" t="s">
        <v>438</v>
      </c>
      <c r="D89" s="285" t="s">
        <v>35</v>
      </c>
      <c r="E89" s="367">
        <v>23178000</v>
      </c>
      <c r="F89" s="461">
        <v>712214.86</v>
      </c>
      <c r="G89" s="366">
        <v>2018</v>
      </c>
      <c r="H89" s="275" t="str">
        <f>VLOOKUP(D89,Source!F:F,1,FALSE)</f>
        <v>Framingham State University</v>
      </c>
    </row>
    <row r="90" spans="1:8" s="275" customFormat="1">
      <c r="A90" s="278" t="str">
        <f t="shared" ref="A90" si="22">D90&amp;G90</f>
        <v>Framingham State University2019</v>
      </c>
      <c r="B90" s="366">
        <v>2019</v>
      </c>
      <c r="C90" s="285" t="s">
        <v>438</v>
      </c>
      <c r="D90" s="285" t="s">
        <v>35</v>
      </c>
      <c r="E90" s="367">
        <v>21995250</v>
      </c>
      <c r="F90" s="461">
        <v>747452</v>
      </c>
      <c r="G90" s="366">
        <v>2019</v>
      </c>
      <c r="H90" s="275" t="str">
        <f>VLOOKUP(D90,Source!F:F,1,FALSE)</f>
        <v>Framingham State University</v>
      </c>
    </row>
    <row r="91" spans="1:8" s="275" customFormat="1">
      <c r="A91" s="278" t="str">
        <f t="shared" ref="A91:A92" si="23">D91&amp;G91</f>
        <v>Framingham State University2020</v>
      </c>
      <c r="B91" s="366">
        <v>2020</v>
      </c>
      <c r="C91" s="285" t="s">
        <v>438</v>
      </c>
      <c r="D91" s="285" t="s">
        <v>35</v>
      </c>
      <c r="E91" s="367">
        <v>19023136</v>
      </c>
      <c r="F91" s="461">
        <v>242445.42</v>
      </c>
      <c r="G91" s="368">
        <v>2020</v>
      </c>
      <c r="H91" s="275" t="str">
        <f>VLOOKUP(D91,Source!F:F,1,FALSE)</f>
        <v>Framingham State University</v>
      </c>
    </row>
    <row r="92" spans="1:8" s="275" customFormat="1">
      <c r="A92" s="278" t="str">
        <f t="shared" si="23"/>
        <v>Framingham State University2021</v>
      </c>
      <c r="B92" s="366">
        <v>2021</v>
      </c>
      <c r="C92" s="285" t="s">
        <v>438</v>
      </c>
      <c r="D92" s="285" t="s">
        <v>35</v>
      </c>
      <c r="E92" s="367">
        <v>14315972</v>
      </c>
      <c r="F92" s="461">
        <v>185280.27</v>
      </c>
      <c r="G92" s="368">
        <v>2021</v>
      </c>
      <c r="H92" s="275" t="str">
        <f>VLOOKUP(D92,Source!F:F,1,FALSE)</f>
        <v>Framingham State University</v>
      </c>
    </row>
    <row r="93" spans="1:8" s="275" customFormat="1">
      <c r="A93" s="278" t="str">
        <f t="shared" ref="A93:A94" si="24">D93&amp;G93</f>
        <v>Framingham State University2022</v>
      </c>
      <c r="B93" s="366">
        <v>2022</v>
      </c>
      <c r="C93" s="285" t="s">
        <v>438</v>
      </c>
      <c r="D93" s="285" t="s">
        <v>35</v>
      </c>
      <c r="E93" s="367">
        <v>16136604</v>
      </c>
      <c r="F93" s="461">
        <v>224743.82</v>
      </c>
      <c r="G93" s="368">
        <v>2022</v>
      </c>
      <c r="H93" s="275" t="str">
        <f>VLOOKUP(D93,Source!F:F,1,FALSE)</f>
        <v>Framingham State University</v>
      </c>
    </row>
    <row r="94" spans="1:8" s="275" customFormat="1">
      <c r="A94" s="278" t="str">
        <f t="shared" si="24"/>
        <v>Framingham State University2023</v>
      </c>
      <c r="B94" s="366">
        <v>2023</v>
      </c>
      <c r="C94" s="285" t="s">
        <v>438</v>
      </c>
      <c r="D94" s="285" t="s">
        <v>35</v>
      </c>
      <c r="E94" s="764">
        <v>14731112</v>
      </c>
      <c r="F94" s="765">
        <v>242010.59</v>
      </c>
      <c r="G94" s="368">
        <v>2023</v>
      </c>
      <c r="H94" s="275" t="str">
        <f>VLOOKUP(D94,Source!F:F,1,FALSE)</f>
        <v>Framingham State University</v>
      </c>
    </row>
    <row r="95" spans="1:8" s="275" customFormat="1">
      <c r="A95" s="278" t="str">
        <f t="shared" ref="A95" si="25">D95&amp;G95</f>
        <v>Framingham State University2024</v>
      </c>
      <c r="B95" s="366">
        <v>2024</v>
      </c>
      <c r="C95" s="285" t="s">
        <v>438</v>
      </c>
      <c r="D95" s="285" t="s">
        <v>35</v>
      </c>
      <c r="E95" s="827">
        <v>17991644</v>
      </c>
      <c r="F95" s="828">
        <v>293316.88</v>
      </c>
      <c r="G95" s="368">
        <v>2024</v>
      </c>
      <c r="H95" s="275" t="str">
        <f>VLOOKUP(D95,Source!F:F,1,FALSE)</f>
        <v>Framingham State University</v>
      </c>
    </row>
    <row r="96" spans="1:8" s="275" customFormat="1">
      <c r="A96" s="278" t="str">
        <f t="shared" ref="A96:A169" si="26">D96&amp;G96</f>
        <v>Greenfield Comm. College2013</v>
      </c>
      <c r="B96" s="366">
        <v>2013</v>
      </c>
      <c r="C96" s="285" t="s">
        <v>438</v>
      </c>
      <c r="D96" s="285" t="s">
        <v>116</v>
      </c>
      <c r="E96" s="367">
        <v>1836000</v>
      </c>
      <c r="F96" s="461">
        <v>6462.72</v>
      </c>
      <c r="G96" s="366">
        <v>2013</v>
      </c>
      <c r="H96" s="275" t="str">
        <f>VLOOKUP(D96,Source!F:F,1,FALSE)</f>
        <v>Greenfield Comm. College</v>
      </c>
    </row>
    <row r="97" spans="1:8" s="275" customFormat="1">
      <c r="A97" s="278" t="str">
        <f t="shared" si="26"/>
        <v>Greenfield Comm. College2014</v>
      </c>
      <c r="B97" s="366">
        <v>2014</v>
      </c>
      <c r="C97" s="285" t="s">
        <v>438</v>
      </c>
      <c r="D97" s="285" t="s">
        <v>116</v>
      </c>
      <c r="E97" s="367">
        <v>2143500</v>
      </c>
      <c r="F97" s="461">
        <v>7630.86</v>
      </c>
      <c r="G97" s="366">
        <v>2014</v>
      </c>
      <c r="H97" s="275" t="str">
        <f>VLOOKUP(D97,Source!F:F,1,FALSE)</f>
        <v>Greenfield Comm. College</v>
      </c>
    </row>
    <row r="98" spans="1:8" s="275" customFormat="1">
      <c r="A98" s="278" t="str">
        <f t="shared" si="26"/>
        <v>Greenfield Comm. College2015</v>
      </c>
      <c r="B98" s="366">
        <v>2015</v>
      </c>
      <c r="C98" s="285" t="s">
        <v>438</v>
      </c>
      <c r="D98" s="285" t="s">
        <v>116</v>
      </c>
      <c r="E98" s="367">
        <v>1504500</v>
      </c>
      <c r="F98" s="464">
        <v>5356.02</v>
      </c>
      <c r="G98" s="366">
        <v>2015</v>
      </c>
      <c r="H98" s="275" t="str">
        <f>VLOOKUP(D98,Source!F:F,1,FALSE)</f>
        <v>Greenfield Comm. College</v>
      </c>
    </row>
    <row r="99" spans="1:8" s="275" customFormat="1">
      <c r="A99" s="278" t="str">
        <f t="shared" si="26"/>
        <v>Greenfield Comm. College2016</v>
      </c>
      <c r="B99" s="366">
        <v>2016</v>
      </c>
      <c r="C99" s="285" t="s">
        <v>438</v>
      </c>
      <c r="D99" s="285" t="s">
        <v>116</v>
      </c>
      <c r="E99" s="371">
        <v>2187152</v>
      </c>
      <c r="F99" s="464">
        <v>7807.08</v>
      </c>
      <c r="G99" s="366">
        <v>2016</v>
      </c>
      <c r="H99" s="275" t="str">
        <f>VLOOKUP(D99,Source!F:F,1,FALSE)</f>
        <v>Greenfield Comm. College</v>
      </c>
    </row>
    <row r="100" spans="1:8" s="275" customFormat="1">
      <c r="A100" s="278" t="str">
        <f t="shared" si="26"/>
        <v>Greenfield Comm. College2017</v>
      </c>
      <c r="B100" s="366">
        <v>2017</v>
      </c>
      <c r="C100" s="285" t="s">
        <v>438</v>
      </c>
      <c r="D100" s="285" t="s">
        <v>116</v>
      </c>
      <c r="E100" s="367">
        <v>2109567</v>
      </c>
      <c r="F100" s="461">
        <v>7510.05</v>
      </c>
      <c r="G100" s="366">
        <v>2017</v>
      </c>
      <c r="H100" s="275" t="str">
        <f>VLOOKUP(D100,Source!F:F,1,FALSE)</f>
        <v>Greenfield Comm. College</v>
      </c>
    </row>
    <row r="101" spans="1:8" s="275" customFormat="1">
      <c r="A101" s="278" t="str">
        <f t="shared" si="26"/>
        <v>Greenfield Comm. College2018</v>
      </c>
      <c r="B101" s="366">
        <v>2018</v>
      </c>
      <c r="C101" s="285" t="s">
        <v>438</v>
      </c>
      <c r="D101" s="285" t="s">
        <v>116</v>
      </c>
      <c r="E101" s="367">
        <v>2146740</v>
      </c>
      <c r="F101" s="461">
        <v>7648.1</v>
      </c>
      <c r="G101" s="366">
        <v>2018</v>
      </c>
      <c r="H101" s="275" t="str">
        <f>VLOOKUP(D101,Source!F:F,1,FALSE)</f>
        <v>Greenfield Comm. College</v>
      </c>
    </row>
    <row r="102" spans="1:8" s="275" customFormat="1">
      <c r="A102" s="278" t="str">
        <f t="shared" ref="A102" si="27">D102&amp;G102</f>
        <v>Greenfield Comm. College2019</v>
      </c>
      <c r="B102" s="366">
        <v>2019</v>
      </c>
      <c r="C102" s="285" t="s">
        <v>438</v>
      </c>
      <c r="D102" s="285" t="s">
        <v>116</v>
      </c>
      <c r="E102" s="367">
        <v>2147819</v>
      </c>
      <c r="F102" s="461">
        <v>7646</v>
      </c>
      <c r="G102" s="366">
        <v>2019</v>
      </c>
      <c r="H102" s="275" t="str">
        <f>VLOOKUP(D102,Source!F:F,1,FALSE)</f>
        <v>Greenfield Comm. College</v>
      </c>
    </row>
    <row r="103" spans="1:8" s="275" customFormat="1">
      <c r="A103" s="278" t="str">
        <f t="shared" ref="A103:A104" si="28">D103&amp;G103</f>
        <v>Greenfield Comm. College2020</v>
      </c>
      <c r="B103" s="366">
        <v>2020</v>
      </c>
      <c r="C103" s="285" t="s">
        <v>438</v>
      </c>
      <c r="D103" s="285" t="s">
        <v>116</v>
      </c>
      <c r="E103" s="367" t="s">
        <v>925</v>
      </c>
      <c r="F103" s="461" t="s">
        <v>925</v>
      </c>
      <c r="G103" s="368">
        <v>2020</v>
      </c>
      <c r="H103" s="275" t="str">
        <f>VLOOKUP(D103,Source!F:F,1,FALSE)</f>
        <v>Greenfield Comm. College</v>
      </c>
    </row>
    <row r="104" spans="1:8" s="275" customFormat="1">
      <c r="A104" s="278" t="str">
        <f t="shared" si="28"/>
        <v>Greenfield Comm. College2021</v>
      </c>
      <c r="B104" s="366">
        <v>2021</v>
      </c>
      <c r="C104" s="285" t="s">
        <v>438</v>
      </c>
      <c r="D104" s="285" t="s">
        <v>116</v>
      </c>
      <c r="E104" s="367" t="s">
        <v>925</v>
      </c>
      <c r="F104" s="461" t="s">
        <v>925</v>
      </c>
      <c r="G104" s="368">
        <v>2021</v>
      </c>
      <c r="H104" s="275" t="str">
        <f>VLOOKUP(D104,Source!F:F,1,FALSE)</f>
        <v>Greenfield Comm. College</v>
      </c>
    </row>
    <row r="105" spans="1:8" s="275" customFormat="1">
      <c r="A105" s="278" t="str">
        <f t="shared" ref="A105:A106" si="29">D105&amp;G105</f>
        <v>Greenfield Comm. College2022</v>
      </c>
      <c r="B105" s="366">
        <v>2022</v>
      </c>
      <c r="C105" s="285" t="s">
        <v>438</v>
      </c>
      <c r="D105" s="285" t="s">
        <v>116</v>
      </c>
      <c r="E105" s="367" t="s">
        <v>925</v>
      </c>
      <c r="F105" s="461" t="s">
        <v>925</v>
      </c>
      <c r="G105" s="368">
        <v>2022</v>
      </c>
      <c r="H105" s="275" t="str">
        <f>VLOOKUP(D105,Source!F:F,1,FALSE)</f>
        <v>Greenfield Comm. College</v>
      </c>
    </row>
    <row r="106" spans="1:8" s="275" customFormat="1">
      <c r="A106" s="278" t="str">
        <f t="shared" si="29"/>
        <v>Greenfield Comm. College2023</v>
      </c>
      <c r="B106" s="366">
        <v>2023</v>
      </c>
      <c r="C106" s="285" t="s">
        <v>438</v>
      </c>
      <c r="D106" s="285" t="s">
        <v>116</v>
      </c>
      <c r="E106" s="367" t="s">
        <v>925</v>
      </c>
      <c r="F106" s="461" t="s">
        <v>925</v>
      </c>
      <c r="G106" s="368">
        <v>2023</v>
      </c>
      <c r="H106" s="275" t="str">
        <f>VLOOKUP(D106,Source!F:F,1,FALSE)</f>
        <v>Greenfield Comm. College</v>
      </c>
    </row>
    <row r="107" spans="1:8" s="275" customFormat="1">
      <c r="A107" s="278" t="str">
        <f t="shared" ref="A107" si="30">D107&amp;G107</f>
        <v>Greenfield Comm. College2024</v>
      </c>
      <c r="B107" s="366">
        <v>2024</v>
      </c>
      <c r="C107" s="285" t="s">
        <v>438</v>
      </c>
      <c r="D107" s="285" t="s">
        <v>116</v>
      </c>
      <c r="E107" s="367" t="s">
        <v>925</v>
      </c>
      <c r="F107" s="461" t="s">
        <v>925</v>
      </c>
      <c r="G107" s="368">
        <v>2024</v>
      </c>
      <c r="H107" s="275" t="str">
        <f>VLOOKUP(D107,Source!F:F,1,FALSE)</f>
        <v>Greenfield Comm. College</v>
      </c>
    </row>
    <row r="108" spans="1:8">
      <c r="A108" s="58" t="str">
        <f t="shared" si="26"/>
        <v>Holyoke Comm. College2014</v>
      </c>
      <c r="B108" s="368">
        <v>2014</v>
      </c>
      <c r="C108" s="369" t="s">
        <v>438</v>
      </c>
      <c r="D108" s="369" t="s">
        <v>121</v>
      </c>
      <c r="E108" s="370">
        <v>10280000</v>
      </c>
      <c r="F108" s="462">
        <v>44204</v>
      </c>
      <c r="G108" s="368">
        <v>2014</v>
      </c>
      <c r="H108" s="275" t="str">
        <f>VLOOKUP(D108,Source!F:F,1,FALSE)</f>
        <v>Holyoke Comm. College</v>
      </c>
    </row>
    <row r="109" spans="1:8">
      <c r="A109" s="58" t="str">
        <f t="shared" si="26"/>
        <v>Holyoke Comm. College2015</v>
      </c>
      <c r="B109" s="368">
        <v>2015</v>
      </c>
      <c r="C109" s="369" t="s">
        <v>438</v>
      </c>
      <c r="D109" s="369" t="s">
        <v>121</v>
      </c>
      <c r="E109" s="370">
        <v>10456066</v>
      </c>
      <c r="F109" s="462">
        <v>44961</v>
      </c>
      <c r="G109" s="368">
        <v>2015</v>
      </c>
      <c r="H109" s="275" t="str">
        <f>VLOOKUP(D109,Source!F:F,1,FALSE)</f>
        <v>Holyoke Comm. College</v>
      </c>
    </row>
    <row r="110" spans="1:8">
      <c r="A110" s="58" t="str">
        <f t="shared" si="26"/>
        <v>Holyoke Comm. College2016</v>
      </c>
      <c r="B110" s="368">
        <v>2016</v>
      </c>
      <c r="C110" s="369" t="s">
        <v>438</v>
      </c>
      <c r="D110" s="369" t="s">
        <v>121</v>
      </c>
      <c r="E110" s="370">
        <v>19122500</v>
      </c>
      <c r="F110" s="462">
        <v>82227</v>
      </c>
      <c r="G110" s="368">
        <v>2016</v>
      </c>
      <c r="H110" s="275" t="str">
        <f>VLOOKUP(D110,Source!F:F,1,FALSE)</f>
        <v>Holyoke Comm. College</v>
      </c>
    </row>
    <row r="111" spans="1:8">
      <c r="A111" s="58" t="str">
        <f t="shared" si="26"/>
        <v>Holyoke Comm. College2017</v>
      </c>
      <c r="B111" s="368">
        <v>2017</v>
      </c>
      <c r="C111" s="369" t="s">
        <v>438</v>
      </c>
      <c r="D111" s="369" t="s">
        <v>121</v>
      </c>
      <c r="E111" s="370">
        <v>12260110</v>
      </c>
      <c r="F111" s="462">
        <v>52718.47</v>
      </c>
      <c r="G111" s="368">
        <v>2017</v>
      </c>
      <c r="H111" s="275" t="str">
        <f>VLOOKUP(D111,Source!F:F,1,FALSE)</f>
        <v>Holyoke Comm. College</v>
      </c>
    </row>
    <row r="112" spans="1:8">
      <c r="A112" s="58" t="str">
        <f t="shared" si="26"/>
        <v>Holyoke Comm. College2018</v>
      </c>
      <c r="B112" s="368">
        <v>2018</v>
      </c>
      <c r="C112" s="369" t="s">
        <v>438</v>
      </c>
      <c r="D112" s="369" t="s">
        <v>121</v>
      </c>
      <c r="E112" s="370">
        <v>13418050</v>
      </c>
      <c r="F112" s="462">
        <v>57697</v>
      </c>
      <c r="G112" s="368">
        <v>2018</v>
      </c>
      <c r="H112" s="275" t="str">
        <f>VLOOKUP(D112,Source!F:F,1,FALSE)</f>
        <v>Holyoke Comm. College</v>
      </c>
    </row>
    <row r="113" spans="1:8">
      <c r="A113" s="58" t="str">
        <f t="shared" ref="A113" si="31">D113&amp;G113</f>
        <v>Holyoke Comm. College2019</v>
      </c>
      <c r="B113" s="368">
        <v>2019</v>
      </c>
      <c r="C113" s="369" t="s">
        <v>438</v>
      </c>
      <c r="D113" s="369" t="s">
        <v>121</v>
      </c>
      <c r="E113" s="370">
        <v>12396440</v>
      </c>
      <c r="F113" s="462">
        <v>58263.27</v>
      </c>
      <c r="G113" s="368">
        <v>2019</v>
      </c>
      <c r="H113" s="275" t="str">
        <f>VLOOKUP(D113,Source!F:F,1,FALSE)</f>
        <v>Holyoke Comm. College</v>
      </c>
    </row>
    <row r="114" spans="1:8">
      <c r="A114" s="58" t="str">
        <f t="shared" ref="A114:A115" si="32">D114&amp;G114</f>
        <v>Holyoke Comm. College2020</v>
      </c>
      <c r="B114" s="368">
        <v>2020</v>
      </c>
      <c r="C114" s="369" t="s">
        <v>438</v>
      </c>
      <c r="D114" s="369" t="s">
        <v>121</v>
      </c>
      <c r="E114" s="367" t="s">
        <v>925</v>
      </c>
      <c r="F114" s="461" t="s">
        <v>925</v>
      </c>
      <c r="G114" s="368">
        <v>2020</v>
      </c>
      <c r="H114" s="275" t="str">
        <f>VLOOKUP(D114,Source!F:F,1,FALSE)</f>
        <v>Holyoke Comm. College</v>
      </c>
    </row>
    <row r="115" spans="1:8">
      <c r="A115" s="58" t="str">
        <f t="shared" si="32"/>
        <v>Holyoke Comm. College2021</v>
      </c>
      <c r="B115" s="368">
        <v>2021</v>
      </c>
      <c r="C115" s="369" t="s">
        <v>438</v>
      </c>
      <c r="D115" s="369" t="s">
        <v>121</v>
      </c>
      <c r="E115" s="367" t="s">
        <v>925</v>
      </c>
      <c r="F115" s="461" t="s">
        <v>925</v>
      </c>
      <c r="G115" s="368">
        <v>2021</v>
      </c>
      <c r="H115" s="275" t="str">
        <f>VLOOKUP(D115,Source!F:F,1,FALSE)</f>
        <v>Holyoke Comm. College</v>
      </c>
    </row>
    <row r="116" spans="1:8">
      <c r="A116" s="58" t="str">
        <f t="shared" ref="A116:A117" si="33">D116&amp;G116</f>
        <v>Holyoke Comm. College2022</v>
      </c>
      <c r="B116" s="368">
        <v>2022</v>
      </c>
      <c r="C116" s="369" t="s">
        <v>438</v>
      </c>
      <c r="D116" s="369" t="s">
        <v>121</v>
      </c>
      <c r="E116" s="367" t="s">
        <v>925</v>
      </c>
      <c r="F116" s="461" t="s">
        <v>925</v>
      </c>
      <c r="G116" s="368">
        <v>2022</v>
      </c>
      <c r="H116" s="275" t="str">
        <f>VLOOKUP(D116,Source!F:F,1,FALSE)</f>
        <v>Holyoke Comm. College</v>
      </c>
    </row>
    <row r="117" spans="1:8">
      <c r="A117" s="58" t="str">
        <f t="shared" si="33"/>
        <v>Holyoke Comm. College2023</v>
      </c>
      <c r="B117" s="368">
        <v>2023</v>
      </c>
      <c r="C117" s="369" t="s">
        <v>438</v>
      </c>
      <c r="D117" s="369" t="s">
        <v>121</v>
      </c>
      <c r="E117" s="367" t="s">
        <v>925</v>
      </c>
      <c r="F117" s="461" t="s">
        <v>925</v>
      </c>
      <c r="G117" s="368">
        <v>2023</v>
      </c>
      <c r="H117" s="275" t="str">
        <f>VLOOKUP(D117,Source!F:F,1,FALSE)</f>
        <v>Holyoke Comm. College</v>
      </c>
    </row>
    <row r="118" spans="1:8">
      <c r="A118" s="58" t="str">
        <f t="shared" ref="A118" si="34">D118&amp;G118</f>
        <v>Holyoke Comm. College2024</v>
      </c>
      <c r="B118" s="368">
        <v>2024</v>
      </c>
      <c r="C118" s="369" t="s">
        <v>438</v>
      </c>
      <c r="D118" s="369" t="s">
        <v>121</v>
      </c>
      <c r="E118" s="367" t="s">
        <v>925</v>
      </c>
      <c r="F118" s="461" t="s">
        <v>925</v>
      </c>
      <c r="G118" s="368">
        <v>2024</v>
      </c>
      <c r="H118" s="275" t="str">
        <f>VLOOKUP(D118,Source!F:F,1,FALSE)</f>
        <v>Holyoke Comm. College</v>
      </c>
    </row>
    <row r="119" spans="1:8">
      <c r="A119" s="58" t="str">
        <f t="shared" si="26"/>
        <v>Holyoke Soldiers' Home2013</v>
      </c>
      <c r="B119" s="368">
        <v>2013</v>
      </c>
      <c r="C119" s="369" t="s">
        <v>1338</v>
      </c>
      <c r="D119" s="369" t="s">
        <v>2378</v>
      </c>
      <c r="E119" s="370">
        <v>5103200</v>
      </c>
      <c r="F119" s="462">
        <v>2198969</v>
      </c>
      <c r="G119" s="368">
        <v>2013</v>
      </c>
      <c r="H119" s="275" t="str">
        <f>VLOOKUP(D119,Source!F:F,1,FALSE)</f>
        <v>Holyoke Soldiers' Home</v>
      </c>
    </row>
    <row r="120" spans="1:8">
      <c r="A120" s="58" t="str">
        <f t="shared" si="26"/>
        <v>Holyoke Soldiers' Home2014</v>
      </c>
      <c r="B120" s="368">
        <v>2014</v>
      </c>
      <c r="C120" s="369" t="s">
        <v>1338</v>
      </c>
      <c r="D120" s="369" t="s">
        <v>2378</v>
      </c>
      <c r="E120" s="370">
        <v>6917800</v>
      </c>
      <c r="F120" s="462">
        <v>2980880</v>
      </c>
      <c r="G120" s="368">
        <v>2014</v>
      </c>
      <c r="H120" s="275" t="str">
        <f>VLOOKUP(D120,Source!F:F,1,FALSE)</f>
        <v>Holyoke Soldiers' Home</v>
      </c>
    </row>
    <row r="121" spans="1:8">
      <c r="A121" s="58" t="str">
        <f t="shared" si="26"/>
        <v>Holyoke Soldiers' Home2015</v>
      </c>
      <c r="B121" s="368">
        <v>2015</v>
      </c>
      <c r="C121" s="369" t="s">
        <v>1338</v>
      </c>
      <c r="D121" s="369" t="s">
        <v>2378</v>
      </c>
      <c r="E121" s="370" t="s">
        <v>925</v>
      </c>
      <c r="F121" s="462" t="s">
        <v>925</v>
      </c>
      <c r="G121" s="368">
        <v>2015</v>
      </c>
      <c r="H121" s="275" t="str">
        <f>VLOOKUP(D121,Source!F:F,1,FALSE)</f>
        <v>Holyoke Soldiers' Home</v>
      </c>
    </row>
    <row r="122" spans="1:8">
      <c r="A122" s="58" t="str">
        <f t="shared" si="26"/>
        <v>Holyoke Soldiers' Home2016</v>
      </c>
      <c r="B122" s="368">
        <v>2016</v>
      </c>
      <c r="C122" s="369" t="s">
        <v>1338</v>
      </c>
      <c r="D122" s="369" t="s">
        <v>2378</v>
      </c>
      <c r="E122" s="370" t="s">
        <v>925</v>
      </c>
      <c r="F122" s="462" t="s">
        <v>925</v>
      </c>
      <c r="G122" s="368">
        <v>2016</v>
      </c>
      <c r="H122" s="275" t="str">
        <f>VLOOKUP(D122,Source!F:F,1,FALSE)</f>
        <v>Holyoke Soldiers' Home</v>
      </c>
    </row>
    <row r="123" spans="1:8">
      <c r="A123" s="58" t="str">
        <f t="shared" si="26"/>
        <v>Holyoke Soldiers' Home2017</v>
      </c>
      <c r="B123" s="368">
        <v>2017</v>
      </c>
      <c r="C123" s="369" t="s">
        <v>1338</v>
      </c>
      <c r="D123" s="369" t="s">
        <v>2378</v>
      </c>
      <c r="E123" s="370">
        <v>4595800</v>
      </c>
      <c r="F123" s="462">
        <v>20708.939999999999</v>
      </c>
      <c r="G123" s="368">
        <v>2017</v>
      </c>
      <c r="H123" s="275" t="str">
        <f>VLOOKUP(D123,Source!F:F,1,FALSE)</f>
        <v>Holyoke Soldiers' Home</v>
      </c>
    </row>
    <row r="124" spans="1:8">
      <c r="A124" s="58" t="str">
        <f t="shared" ref="A124:A125" si="35">D124&amp;G124</f>
        <v>Holyoke Soldiers' Home2018</v>
      </c>
      <c r="B124" s="368">
        <v>2018</v>
      </c>
      <c r="C124" s="369" t="s">
        <v>1338</v>
      </c>
      <c r="D124" s="369" t="s">
        <v>2378</v>
      </c>
      <c r="E124" s="370" t="s">
        <v>925</v>
      </c>
      <c r="F124" s="462" t="s">
        <v>925</v>
      </c>
      <c r="G124" s="368">
        <v>2018</v>
      </c>
      <c r="H124" s="275" t="str">
        <f>VLOOKUP(D124,Source!F:F,1,FALSE)</f>
        <v>Holyoke Soldiers' Home</v>
      </c>
    </row>
    <row r="125" spans="1:8">
      <c r="A125" s="58" t="str">
        <f t="shared" si="35"/>
        <v>Holyoke Soldiers' Home2019</v>
      </c>
      <c r="B125" s="368">
        <v>2019</v>
      </c>
      <c r="C125" s="369" t="s">
        <v>1338</v>
      </c>
      <c r="D125" s="369" t="s">
        <v>2378</v>
      </c>
      <c r="E125" s="370" t="s">
        <v>925</v>
      </c>
      <c r="F125" s="462" t="s">
        <v>925</v>
      </c>
      <c r="G125" s="368">
        <v>2019</v>
      </c>
      <c r="H125" s="275" t="str">
        <f>VLOOKUP(D125,Source!F:F,1,FALSE)</f>
        <v>Holyoke Soldiers' Home</v>
      </c>
    </row>
    <row r="126" spans="1:8">
      <c r="A126" s="58" t="str">
        <f t="shared" ref="A126:A127" si="36">D126&amp;G126</f>
        <v>Holyoke Soldiers' Home2020</v>
      </c>
      <c r="B126" s="368">
        <v>2020</v>
      </c>
      <c r="C126" s="369" t="s">
        <v>1338</v>
      </c>
      <c r="D126" s="369" t="s">
        <v>2378</v>
      </c>
      <c r="E126" s="367" t="s">
        <v>925</v>
      </c>
      <c r="F126" s="461" t="s">
        <v>925</v>
      </c>
      <c r="G126" s="368">
        <v>2020</v>
      </c>
      <c r="H126" s="275" t="str">
        <f>VLOOKUP(D126,Source!F:F,1,FALSE)</f>
        <v>Holyoke Soldiers' Home</v>
      </c>
    </row>
    <row r="127" spans="1:8">
      <c r="A127" s="58" t="str">
        <f t="shared" si="36"/>
        <v>Holyoke Soldiers' Home2021</v>
      </c>
      <c r="B127" s="368">
        <v>2021</v>
      </c>
      <c r="C127" s="369" t="s">
        <v>1338</v>
      </c>
      <c r="D127" s="369" t="s">
        <v>2378</v>
      </c>
      <c r="E127" s="367" t="s">
        <v>925</v>
      </c>
      <c r="F127" s="461" t="s">
        <v>925</v>
      </c>
      <c r="G127" s="368">
        <v>2021</v>
      </c>
      <c r="H127" s="275" t="str">
        <f>VLOOKUP(D127,Source!F:F,1,FALSE)</f>
        <v>Holyoke Soldiers' Home</v>
      </c>
    </row>
    <row r="128" spans="1:8">
      <c r="A128" s="58" t="str">
        <f t="shared" ref="A128:A129" si="37">D128&amp;G128</f>
        <v>Holyoke Soldiers' Home2022</v>
      </c>
      <c r="B128" s="368">
        <v>2022</v>
      </c>
      <c r="C128" s="369" t="s">
        <v>1338</v>
      </c>
      <c r="D128" s="369" t="s">
        <v>2378</v>
      </c>
      <c r="E128" s="367" t="s">
        <v>925</v>
      </c>
      <c r="F128" s="461" t="s">
        <v>925</v>
      </c>
      <c r="G128" s="368">
        <v>2022</v>
      </c>
      <c r="H128" s="275" t="str">
        <f>VLOOKUP(D128,Source!F:F,1,FALSE)</f>
        <v>Holyoke Soldiers' Home</v>
      </c>
    </row>
    <row r="129" spans="1:8">
      <c r="A129" s="58" t="str">
        <f t="shared" si="37"/>
        <v>Holyoke Soldiers' Home2023</v>
      </c>
      <c r="B129" s="368">
        <v>2023</v>
      </c>
      <c r="C129" s="369" t="s">
        <v>1338</v>
      </c>
      <c r="D129" s="369" t="s">
        <v>2378</v>
      </c>
      <c r="E129" s="764">
        <v>10429100</v>
      </c>
      <c r="F129" s="765">
        <v>0</v>
      </c>
      <c r="G129" s="368">
        <v>2023</v>
      </c>
      <c r="H129" s="275" t="str">
        <f>VLOOKUP(D129,Source!F:F,1,FALSE)</f>
        <v>Holyoke Soldiers' Home</v>
      </c>
    </row>
    <row r="130" spans="1:8">
      <c r="A130" s="58" t="str">
        <f t="shared" ref="A130" si="38">D130&amp;G130</f>
        <v>Holyoke Soldiers' Home2024</v>
      </c>
      <c r="B130" s="368">
        <v>2024</v>
      </c>
      <c r="C130" s="369" t="s">
        <v>1338</v>
      </c>
      <c r="D130" s="369" t="s">
        <v>2378</v>
      </c>
      <c r="E130" s="367" t="s">
        <v>925</v>
      </c>
      <c r="F130" s="461" t="s">
        <v>925</v>
      </c>
      <c r="G130" s="368">
        <v>2024</v>
      </c>
      <c r="H130" s="275" t="str">
        <f>VLOOKUP(D130,Source!F:F,1,FALSE)</f>
        <v>Holyoke Soldiers' Home</v>
      </c>
    </row>
    <row r="131" spans="1:8">
      <c r="A131" s="58" t="str">
        <f t="shared" si="26"/>
        <v>Mass. Bay Comm. College2013</v>
      </c>
      <c r="B131" s="368">
        <v>2013</v>
      </c>
      <c r="C131" s="369" t="s">
        <v>438</v>
      </c>
      <c r="D131" s="369" t="s">
        <v>128</v>
      </c>
      <c r="E131" s="370">
        <v>3183709</v>
      </c>
      <c r="F131" s="462">
        <v>23551</v>
      </c>
      <c r="G131" s="368">
        <v>2013</v>
      </c>
      <c r="H131" s="275" t="str">
        <f>VLOOKUP(D131,Source!F:F,1,FALSE)</f>
        <v>Mass. Bay Comm. College</v>
      </c>
    </row>
    <row r="132" spans="1:8">
      <c r="A132" s="58" t="str">
        <f t="shared" si="26"/>
        <v>Mass. Bay Comm. College2014</v>
      </c>
      <c r="B132" s="368">
        <v>2014</v>
      </c>
      <c r="C132" s="369" t="s">
        <v>438</v>
      </c>
      <c r="D132" s="369" t="s">
        <v>128</v>
      </c>
      <c r="E132" s="370">
        <v>3723803</v>
      </c>
      <c r="F132" s="462">
        <v>38436</v>
      </c>
      <c r="G132" s="368">
        <v>2014</v>
      </c>
      <c r="H132" s="275" t="str">
        <f>VLOOKUP(D132,Source!F:F,1,FALSE)</f>
        <v>Mass. Bay Comm. College</v>
      </c>
    </row>
    <row r="133" spans="1:8">
      <c r="A133" s="58" t="str">
        <f t="shared" si="26"/>
        <v>Mass. Bay Comm. College2015</v>
      </c>
      <c r="B133" s="368">
        <v>2015</v>
      </c>
      <c r="C133" s="369" t="s">
        <v>438</v>
      </c>
      <c r="D133" s="369" t="s">
        <v>128</v>
      </c>
      <c r="E133" s="370">
        <v>3218119</v>
      </c>
      <c r="F133" s="462">
        <v>23655</v>
      </c>
      <c r="G133" s="368">
        <v>2015</v>
      </c>
      <c r="H133" s="275" t="str">
        <f>VLOOKUP(D133,Source!F:F,1,FALSE)</f>
        <v>Mass. Bay Comm. College</v>
      </c>
    </row>
    <row r="134" spans="1:8">
      <c r="A134" s="58" t="str">
        <f t="shared" si="26"/>
        <v>Mass. Bay Comm. College2016</v>
      </c>
      <c r="B134" s="368">
        <v>2016</v>
      </c>
      <c r="C134" s="369" t="s">
        <v>438</v>
      </c>
      <c r="D134" s="369" t="s">
        <v>128</v>
      </c>
      <c r="E134" s="370">
        <v>3758213</v>
      </c>
      <c r="F134" s="462">
        <v>71332</v>
      </c>
      <c r="G134" s="368">
        <v>2016</v>
      </c>
      <c r="H134" s="275" t="str">
        <f>VLOOKUP(D134,Source!F:F,1,FALSE)</f>
        <v>Mass. Bay Comm. College</v>
      </c>
    </row>
    <row r="135" spans="1:8">
      <c r="A135" s="58" t="str">
        <f t="shared" si="26"/>
        <v>Mass. Bay Comm. College2017</v>
      </c>
      <c r="B135" s="368">
        <v>2017</v>
      </c>
      <c r="C135" s="369" t="s">
        <v>438</v>
      </c>
      <c r="D135" s="369" t="s">
        <v>128</v>
      </c>
      <c r="E135" s="370">
        <v>3165756</v>
      </c>
      <c r="F135" s="462">
        <v>63502</v>
      </c>
      <c r="G135" s="368">
        <v>2017</v>
      </c>
      <c r="H135" s="275" t="str">
        <f>VLOOKUP(D135,Source!F:F,1,FALSE)</f>
        <v>Mass. Bay Comm. College</v>
      </c>
    </row>
    <row r="136" spans="1:8">
      <c r="A136" s="58" t="str">
        <f t="shared" ref="A136:A137" si="39">D136&amp;G136</f>
        <v>Mass. Bay Comm. College2018</v>
      </c>
      <c r="B136" s="368">
        <v>2018</v>
      </c>
      <c r="C136" s="369" t="s">
        <v>438</v>
      </c>
      <c r="D136" s="369" t="s">
        <v>128</v>
      </c>
      <c r="E136" s="370">
        <v>4309527</v>
      </c>
      <c r="F136" s="462">
        <v>76334</v>
      </c>
      <c r="G136" s="368">
        <v>2018</v>
      </c>
      <c r="H136" s="275" t="str">
        <f>VLOOKUP(D136,Source!F:F,1,FALSE)</f>
        <v>Mass. Bay Comm. College</v>
      </c>
    </row>
    <row r="137" spans="1:8">
      <c r="A137" s="58" t="str">
        <f t="shared" si="39"/>
        <v>Mass. Bay Comm. College2019</v>
      </c>
      <c r="B137" s="368">
        <v>2019</v>
      </c>
      <c r="C137" s="369" t="s">
        <v>438</v>
      </c>
      <c r="D137" s="369" t="s">
        <v>128</v>
      </c>
      <c r="E137" s="370">
        <v>3003429</v>
      </c>
      <c r="F137" s="462">
        <v>63370</v>
      </c>
      <c r="G137" s="368">
        <v>2019</v>
      </c>
      <c r="H137" s="275" t="str">
        <f>VLOOKUP(D137,Source!F:F,1,FALSE)</f>
        <v>Mass. Bay Comm. College</v>
      </c>
    </row>
    <row r="138" spans="1:8">
      <c r="A138" s="58" t="str">
        <f t="shared" ref="A138:A139" si="40">D138&amp;G138</f>
        <v>Mass. Bay Comm. College2020</v>
      </c>
      <c r="B138" s="368">
        <v>2020</v>
      </c>
      <c r="C138" s="369" t="s">
        <v>438</v>
      </c>
      <c r="D138" s="369" t="s">
        <v>128</v>
      </c>
      <c r="E138" s="367" t="s">
        <v>925</v>
      </c>
      <c r="F138" s="461" t="s">
        <v>925</v>
      </c>
      <c r="G138" s="368">
        <v>2020</v>
      </c>
      <c r="H138" s="275" t="str">
        <f>VLOOKUP(D138,Source!F:F,1,FALSE)</f>
        <v>Mass. Bay Comm. College</v>
      </c>
    </row>
    <row r="139" spans="1:8">
      <c r="A139" s="58" t="str">
        <f t="shared" si="40"/>
        <v>Mass. Bay Comm. College2021</v>
      </c>
      <c r="B139" s="368">
        <v>2021</v>
      </c>
      <c r="C139" s="369" t="s">
        <v>438</v>
      </c>
      <c r="D139" s="369" t="s">
        <v>128</v>
      </c>
      <c r="E139" s="767">
        <v>884197</v>
      </c>
      <c r="F139" s="765">
        <v>16580</v>
      </c>
      <c r="G139" s="368">
        <v>2021</v>
      </c>
      <c r="H139" s="275" t="str">
        <f>VLOOKUP(D139,Source!F:F,1,FALSE)</f>
        <v>Mass. Bay Comm. College</v>
      </c>
    </row>
    <row r="140" spans="1:8">
      <c r="A140" s="58" t="str">
        <f t="shared" ref="A140:A141" si="41">D140&amp;G140</f>
        <v>Mass. Bay Comm. College2022</v>
      </c>
      <c r="B140" s="368">
        <v>2022</v>
      </c>
      <c r="C140" s="369" t="s">
        <v>438</v>
      </c>
      <c r="D140" s="369" t="s">
        <v>128</v>
      </c>
      <c r="E140" s="767">
        <v>713641</v>
      </c>
      <c r="F140" s="765">
        <v>11829</v>
      </c>
      <c r="G140" s="368">
        <v>2022</v>
      </c>
      <c r="H140" s="275" t="str">
        <f>VLOOKUP(D140,Source!F:F,1,FALSE)</f>
        <v>Mass. Bay Comm. College</v>
      </c>
    </row>
    <row r="141" spans="1:8">
      <c r="A141" s="58" t="str">
        <f t="shared" si="41"/>
        <v>Mass. Bay Comm. College2023</v>
      </c>
      <c r="B141" s="368">
        <v>2023</v>
      </c>
      <c r="C141" s="369" t="s">
        <v>438</v>
      </c>
      <c r="D141" s="369" t="s">
        <v>128</v>
      </c>
      <c r="E141" s="764">
        <v>1423543</v>
      </c>
      <c r="F141" s="765">
        <v>33702</v>
      </c>
      <c r="G141" s="368">
        <v>2023</v>
      </c>
      <c r="H141" s="275" t="str">
        <f>VLOOKUP(D141,Source!F:F,1,FALSE)</f>
        <v>Mass. Bay Comm. College</v>
      </c>
    </row>
    <row r="142" spans="1:8">
      <c r="A142" s="58" t="str">
        <f t="shared" ref="A142" si="42">D142&amp;G142</f>
        <v>Mass. Bay Comm. College2024</v>
      </c>
      <c r="B142" s="368">
        <v>2024</v>
      </c>
      <c r="C142" s="369" t="s">
        <v>438</v>
      </c>
      <c r="D142" s="369" t="s">
        <v>128</v>
      </c>
      <c r="E142" s="827">
        <v>1599335</v>
      </c>
      <c r="F142" s="828">
        <v>44067</v>
      </c>
      <c r="G142" s="368">
        <v>2024</v>
      </c>
      <c r="H142" s="275" t="str">
        <f>VLOOKUP(D142,Source!F:F,1,FALSE)</f>
        <v>Mass. Bay Comm. College</v>
      </c>
    </row>
    <row r="143" spans="1:8" s="275" customFormat="1">
      <c r="A143" s="278" t="str">
        <f t="shared" si="26"/>
        <v>Mass. College of Art &amp; Design2013</v>
      </c>
      <c r="B143" s="366">
        <v>2013</v>
      </c>
      <c r="C143" s="285" t="s">
        <v>438</v>
      </c>
      <c r="D143" s="285" t="s">
        <v>132</v>
      </c>
      <c r="E143" s="367">
        <v>5749936</v>
      </c>
      <c r="F143" s="461">
        <v>89109</v>
      </c>
      <c r="G143" s="366">
        <v>2013</v>
      </c>
      <c r="H143" s="275" t="str">
        <f>VLOOKUP(D143,Source!F:F,1,FALSE)</f>
        <v>Mass. College of Art &amp; Design</v>
      </c>
    </row>
    <row r="144" spans="1:8" s="275" customFormat="1">
      <c r="A144" s="278" t="str">
        <f t="shared" si="26"/>
        <v>Mass. College of Art &amp; Design2014</v>
      </c>
      <c r="B144" s="366">
        <v>2014</v>
      </c>
      <c r="C144" s="285" t="s">
        <v>438</v>
      </c>
      <c r="D144" s="285" t="s">
        <v>132</v>
      </c>
      <c r="E144" s="367">
        <v>5935819</v>
      </c>
      <c r="F144" s="461">
        <v>96988</v>
      </c>
      <c r="G144" s="366">
        <v>2014</v>
      </c>
      <c r="H144" s="275" t="str">
        <f>VLOOKUP(D144,Source!F:F,1,FALSE)</f>
        <v>Mass. College of Art &amp; Design</v>
      </c>
    </row>
    <row r="145" spans="1:8" s="275" customFormat="1">
      <c r="A145" s="278" t="str">
        <f t="shared" si="26"/>
        <v>Mass. College of Art &amp; Design2015</v>
      </c>
      <c r="B145" s="366">
        <v>2015</v>
      </c>
      <c r="C145" s="285" t="s">
        <v>438</v>
      </c>
      <c r="D145" s="285" t="s">
        <v>132</v>
      </c>
      <c r="E145" s="367">
        <v>5719692</v>
      </c>
      <c r="F145" s="461">
        <v>95854</v>
      </c>
      <c r="G145" s="366">
        <v>2015</v>
      </c>
      <c r="H145" s="275" t="str">
        <f>VLOOKUP(D145,Source!F:F,1,FALSE)</f>
        <v>Mass. College of Art &amp; Design</v>
      </c>
    </row>
    <row r="146" spans="1:8" s="275" customFormat="1">
      <c r="A146" s="278" t="str">
        <f t="shared" si="26"/>
        <v>Mass. College of Art &amp; Design2016</v>
      </c>
      <c r="B146" s="366">
        <v>2016</v>
      </c>
      <c r="C146" s="285" t="s">
        <v>438</v>
      </c>
      <c r="D146" s="285" t="s">
        <v>132</v>
      </c>
      <c r="E146" s="367">
        <v>19552293.640000001</v>
      </c>
      <c r="F146" s="461">
        <v>353456.87</v>
      </c>
      <c r="G146" s="366">
        <v>2016</v>
      </c>
      <c r="H146" s="275" t="str">
        <f>VLOOKUP(D146,Source!F:F,1,FALSE)</f>
        <v>Mass. College of Art &amp; Design</v>
      </c>
    </row>
    <row r="147" spans="1:8" s="275" customFormat="1">
      <c r="A147" s="278" t="str">
        <f t="shared" si="26"/>
        <v>Mass. College of Art &amp; Design2017</v>
      </c>
      <c r="B147" s="366">
        <v>2017</v>
      </c>
      <c r="C147" s="285" t="s">
        <v>438</v>
      </c>
      <c r="D147" s="285" t="s">
        <v>132</v>
      </c>
      <c r="E147" s="367">
        <v>6063811</v>
      </c>
      <c r="F147" s="461">
        <v>113737.04</v>
      </c>
      <c r="G147" s="366">
        <v>2017</v>
      </c>
      <c r="H147" s="275" t="str">
        <f>VLOOKUP(D147,Source!F:F,1,FALSE)</f>
        <v>Mass. College of Art &amp; Design</v>
      </c>
    </row>
    <row r="148" spans="1:8" s="275" customFormat="1">
      <c r="A148" s="278" t="str">
        <f t="shared" si="26"/>
        <v>Mass. College of Art &amp; Design2018</v>
      </c>
      <c r="B148" s="366">
        <v>2018</v>
      </c>
      <c r="C148" s="285" t="s">
        <v>438</v>
      </c>
      <c r="D148" s="285" t="s">
        <v>132</v>
      </c>
      <c r="E148" s="367">
        <v>6868950</v>
      </c>
      <c r="F148" s="461">
        <v>126550.53</v>
      </c>
      <c r="G148" s="366">
        <v>2018</v>
      </c>
      <c r="H148" s="275" t="str">
        <f>VLOOKUP(D148,Source!F:F,1,FALSE)</f>
        <v>Mass. College of Art &amp; Design</v>
      </c>
    </row>
    <row r="149" spans="1:8" s="275" customFormat="1">
      <c r="A149" s="278" t="str">
        <f t="shared" ref="A149" si="43">D149&amp;G149</f>
        <v>Mass. College of Art &amp; Design2019</v>
      </c>
      <c r="B149" s="366">
        <v>2019</v>
      </c>
      <c r="C149" s="285" t="s">
        <v>438</v>
      </c>
      <c r="D149" s="285" t="s">
        <v>132</v>
      </c>
      <c r="E149" s="367">
        <v>7065842</v>
      </c>
      <c r="F149" s="461">
        <v>135033</v>
      </c>
      <c r="G149" s="366">
        <v>2019</v>
      </c>
      <c r="H149" s="275" t="str">
        <f>VLOOKUP(D149,Source!F:F,1,FALSE)</f>
        <v>Mass. College of Art &amp; Design</v>
      </c>
    </row>
    <row r="150" spans="1:8" s="275" customFormat="1">
      <c r="A150" s="278" t="str">
        <f t="shared" ref="A150:A151" si="44">D150&amp;G150</f>
        <v>Mass. College of Art &amp; Design2020</v>
      </c>
      <c r="B150" s="366">
        <v>2020</v>
      </c>
      <c r="C150" s="285" t="s">
        <v>438</v>
      </c>
      <c r="D150" s="285" t="s">
        <v>132</v>
      </c>
      <c r="E150" s="367" t="s">
        <v>925</v>
      </c>
      <c r="F150" s="461" t="s">
        <v>925</v>
      </c>
      <c r="G150" s="368">
        <v>2020</v>
      </c>
      <c r="H150" s="275" t="str">
        <f>VLOOKUP(D150,Source!F:F,1,FALSE)</f>
        <v>Mass. College of Art &amp; Design</v>
      </c>
    </row>
    <row r="151" spans="1:8" s="275" customFormat="1">
      <c r="A151" s="278" t="str">
        <f t="shared" si="44"/>
        <v>Mass. College of Art &amp; Design2021</v>
      </c>
      <c r="B151" s="366">
        <v>2021</v>
      </c>
      <c r="C151" s="285" t="s">
        <v>438</v>
      </c>
      <c r="D151" s="285" t="s">
        <v>132</v>
      </c>
      <c r="E151" s="367" t="s">
        <v>925</v>
      </c>
      <c r="F151" s="461" t="s">
        <v>925</v>
      </c>
      <c r="G151" s="368">
        <v>2021</v>
      </c>
      <c r="H151" s="275" t="str">
        <f>VLOOKUP(D151,Source!F:F,1,FALSE)</f>
        <v>Mass. College of Art &amp; Design</v>
      </c>
    </row>
    <row r="152" spans="1:8" s="275" customFormat="1">
      <c r="A152" s="278" t="str">
        <f t="shared" ref="A152:A153" si="45">D152&amp;G152</f>
        <v>Mass. College of Art &amp; Design2022</v>
      </c>
      <c r="B152" s="366">
        <v>2022</v>
      </c>
      <c r="C152" s="285" t="s">
        <v>438</v>
      </c>
      <c r="D152" s="285" t="s">
        <v>132</v>
      </c>
      <c r="E152" s="367" t="s">
        <v>925</v>
      </c>
      <c r="F152" s="461" t="s">
        <v>925</v>
      </c>
      <c r="G152" s="368">
        <v>2022</v>
      </c>
      <c r="H152" s="275" t="str">
        <f>VLOOKUP(D152,Source!F:F,1,FALSE)</f>
        <v>Mass. College of Art &amp; Design</v>
      </c>
    </row>
    <row r="153" spans="1:8" s="275" customFormat="1">
      <c r="A153" s="278" t="str">
        <f t="shared" si="45"/>
        <v>Mass. College of Art &amp; Design2023</v>
      </c>
      <c r="B153" s="366">
        <v>2023</v>
      </c>
      <c r="C153" s="285" t="s">
        <v>438</v>
      </c>
      <c r="D153" s="285" t="s">
        <v>132</v>
      </c>
      <c r="E153" s="367" t="s">
        <v>925</v>
      </c>
      <c r="F153" s="461" t="s">
        <v>925</v>
      </c>
      <c r="G153" s="368">
        <v>2023</v>
      </c>
      <c r="H153" s="275" t="str">
        <f>VLOOKUP(D153,Source!F:F,1,FALSE)</f>
        <v>Mass. College of Art &amp; Design</v>
      </c>
    </row>
    <row r="154" spans="1:8" s="275" customFormat="1">
      <c r="A154" s="278" t="str">
        <f t="shared" ref="A154" si="46">D154&amp;G154</f>
        <v>Mass. College of Art &amp; Design2024</v>
      </c>
      <c r="B154" s="366">
        <v>2024</v>
      </c>
      <c r="C154" s="285" t="s">
        <v>438</v>
      </c>
      <c r="D154" s="285" t="s">
        <v>132</v>
      </c>
      <c r="E154" s="367" t="s">
        <v>925</v>
      </c>
      <c r="F154" s="461" t="s">
        <v>925</v>
      </c>
      <c r="G154" s="368">
        <v>2024</v>
      </c>
      <c r="H154" s="275" t="str">
        <f>VLOOKUP(D154,Source!F:F,1,FALSE)</f>
        <v>Mass. College of Art &amp; Design</v>
      </c>
    </row>
    <row r="155" spans="1:8">
      <c r="A155" s="58" t="str">
        <f t="shared" si="26"/>
        <v>Mass. College of Liberal Arts2013</v>
      </c>
      <c r="B155" s="368">
        <v>2013</v>
      </c>
      <c r="C155" s="369" t="s">
        <v>438</v>
      </c>
      <c r="D155" s="369" t="s">
        <v>134</v>
      </c>
      <c r="E155" s="370">
        <v>9668596</v>
      </c>
      <c r="F155" s="462">
        <v>68986</v>
      </c>
      <c r="G155" s="368">
        <v>2013</v>
      </c>
      <c r="H155" s="275" t="str">
        <f>VLOOKUP(D155,Source!F:F,1,FALSE)</f>
        <v>Mass. College of Liberal Arts</v>
      </c>
    </row>
    <row r="156" spans="1:8">
      <c r="A156" s="58" t="str">
        <f t="shared" si="26"/>
        <v>Mass. College of Liberal Arts2014</v>
      </c>
      <c r="B156" s="368">
        <v>2014</v>
      </c>
      <c r="C156" s="369" t="s">
        <v>438</v>
      </c>
      <c r="D156" s="369" t="s">
        <v>134</v>
      </c>
      <c r="E156" s="370">
        <v>9209188</v>
      </c>
      <c r="F156" s="462">
        <v>81460</v>
      </c>
      <c r="G156" s="368">
        <v>2014</v>
      </c>
      <c r="H156" s="275" t="str">
        <f>VLOOKUP(D156,Source!F:F,1,FALSE)</f>
        <v>Mass. College of Liberal Arts</v>
      </c>
    </row>
    <row r="157" spans="1:8">
      <c r="A157" s="58" t="str">
        <f t="shared" si="26"/>
        <v>Mass. College of Liberal Arts2015</v>
      </c>
      <c r="B157" s="368">
        <v>2015</v>
      </c>
      <c r="C157" s="369" t="s">
        <v>438</v>
      </c>
      <c r="D157" s="369" t="s">
        <v>134</v>
      </c>
      <c r="E157" s="370">
        <v>9973536</v>
      </c>
      <c r="F157" s="462">
        <v>94136</v>
      </c>
      <c r="G157" s="368">
        <v>2015</v>
      </c>
      <c r="H157" s="275" t="str">
        <f>VLOOKUP(D157,Source!F:F,1,FALSE)</f>
        <v>Mass. College of Liberal Arts</v>
      </c>
    </row>
    <row r="158" spans="1:8">
      <c r="A158" s="58" t="str">
        <f t="shared" si="26"/>
        <v>Mass. College of Liberal Arts2016</v>
      </c>
      <c r="B158" s="368">
        <v>2016</v>
      </c>
      <c r="C158" s="369" t="s">
        <v>438</v>
      </c>
      <c r="D158" s="369" t="s">
        <v>134</v>
      </c>
      <c r="E158" s="370">
        <v>9149022</v>
      </c>
      <c r="F158" s="462">
        <v>88626</v>
      </c>
      <c r="G158" s="368">
        <v>2016</v>
      </c>
      <c r="H158" s="275" t="str">
        <f>VLOOKUP(D158,Source!F:F,1,FALSE)</f>
        <v>Mass. College of Liberal Arts</v>
      </c>
    </row>
    <row r="159" spans="1:8">
      <c r="A159" s="58" t="str">
        <f t="shared" si="26"/>
        <v>Mass. College of Liberal Arts2017</v>
      </c>
      <c r="B159" s="368">
        <v>2017</v>
      </c>
      <c r="C159" s="369" t="s">
        <v>438</v>
      </c>
      <c r="D159" s="369" t="s">
        <v>134</v>
      </c>
      <c r="E159" s="370">
        <v>9296623</v>
      </c>
      <c r="F159" s="462">
        <v>86819</v>
      </c>
      <c r="G159" s="368">
        <v>2017</v>
      </c>
      <c r="H159" s="275" t="str">
        <f>VLOOKUP(D159,Source!F:F,1,FALSE)</f>
        <v>Mass. College of Liberal Arts</v>
      </c>
    </row>
    <row r="160" spans="1:8">
      <c r="A160" s="58" t="str">
        <f t="shared" ref="A160:A161" si="47">D160&amp;G160</f>
        <v>Mass. College of Liberal Arts2018</v>
      </c>
      <c r="B160" s="368">
        <v>2018</v>
      </c>
      <c r="C160" s="369" t="s">
        <v>438</v>
      </c>
      <c r="D160" s="369" t="s">
        <v>134</v>
      </c>
      <c r="E160" s="370">
        <v>8503579</v>
      </c>
      <c r="F160" s="462">
        <v>76684</v>
      </c>
      <c r="G160" s="368">
        <v>2018</v>
      </c>
      <c r="H160" s="275" t="str">
        <f>VLOOKUP(D160,Source!F:F,1,FALSE)</f>
        <v>Mass. College of Liberal Arts</v>
      </c>
    </row>
    <row r="161" spans="1:8">
      <c r="A161" s="58" t="str">
        <f t="shared" si="47"/>
        <v>Mass. College of Liberal Arts2019</v>
      </c>
      <c r="B161" s="368">
        <v>2019</v>
      </c>
      <c r="C161" s="369" t="s">
        <v>438</v>
      </c>
      <c r="D161" s="369" t="s">
        <v>134</v>
      </c>
      <c r="E161" s="370">
        <v>8298394</v>
      </c>
      <c r="F161" s="462">
        <v>76683.73</v>
      </c>
      <c r="G161" s="368">
        <v>2019</v>
      </c>
      <c r="H161" s="275" t="str">
        <f>VLOOKUP(D161,Source!F:F,1,FALSE)</f>
        <v>Mass. College of Liberal Arts</v>
      </c>
    </row>
    <row r="162" spans="1:8">
      <c r="A162" s="58" t="str">
        <f t="shared" ref="A162:A163" si="48">D162&amp;G162</f>
        <v>Mass. College of Liberal Arts2020</v>
      </c>
      <c r="B162" s="368">
        <v>2020</v>
      </c>
      <c r="C162" s="369" t="s">
        <v>438</v>
      </c>
      <c r="D162" s="369" t="s">
        <v>134</v>
      </c>
      <c r="E162" s="370">
        <v>6434101</v>
      </c>
      <c r="F162" s="462">
        <v>66387.16</v>
      </c>
      <c r="G162" s="368">
        <v>2020</v>
      </c>
      <c r="H162" s="275" t="str">
        <f>VLOOKUP(D162,Source!F:F,1,FALSE)</f>
        <v>Mass. College of Liberal Arts</v>
      </c>
    </row>
    <row r="163" spans="1:8">
      <c r="A163" s="58" t="str">
        <f t="shared" si="48"/>
        <v>Mass. College of Liberal Arts2021</v>
      </c>
      <c r="B163" s="368">
        <v>2021</v>
      </c>
      <c r="C163" s="369" t="s">
        <v>438</v>
      </c>
      <c r="D163" s="369" t="s">
        <v>134</v>
      </c>
      <c r="E163" s="370" t="s">
        <v>925</v>
      </c>
      <c r="F163" s="462" t="s">
        <v>925</v>
      </c>
      <c r="G163" s="368">
        <v>2021</v>
      </c>
      <c r="H163" s="275" t="str">
        <f>VLOOKUP(D163,Source!F:F,1,FALSE)</f>
        <v>Mass. College of Liberal Arts</v>
      </c>
    </row>
    <row r="164" spans="1:8">
      <c r="A164" s="58" t="str">
        <f t="shared" ref="A164:A165" si="49">D164&amp;G164</f>
        <v>Mass. College of Liberal Arts2022</v>
      </c>
      <c r="B164" s="368">
        <v>2022</v>
      </c>
      <c r="C164" s="369" t="s">
        <v>438</v>
      </c>
      <c r="D164" s="369" t="s">
        <v>134</v>
      </c>
      <c r="E164" s="370" t="s">
        <v>925</v>
      </c>
      <c r="F164" s="462" t="s">
        <v>925</v>
      </c>
      <c r="G164" s="368">
        <v>2022</v>
      </c>
      <c r="H164" s="275" t="str">
        <f>VLOOKUP(D164,Source!F:F,1,FALSE)</f>
        <v>Mass. College of Liberal Arts</v>
      </c>
    </row>
    <row r="165" spans="1:8">
      <c r="A165" s="58" t="str">
        <f t="shared" si="49"/>
        <v>Mass. College of Liberal Arts2023</v>
      </c>
      <c r="B165" s="368">
        <v>2023</v>
      </c>
      <c r="C165" s="369" t="s">
        <v>438</v>
      </c>
      <c r="D165" s="369" t="s">
        <v>134</v>
      </c>
      <c r="E165" s="370" t="s">
        <v>925</v>
      </c>
      <c r="F165" s="462" t="s">
        <v>925</v>
      </c>
      <c r="G165" s="368">
        <v>2023</v>
      </c>
      <c r="H165" s="275" t="str">
        <f>VLOOKUP(D165,Source!F:F,1,FALSE)</f>
        <v>Mass. College of Liberal Arts</v>
      </c>
    </row>
    <row r="166" spans="1:8">
      <c r="A166" s="58" t="str">
        <f t="shared" ref="A166" si="50">D166&amp;G166</f>
        <v>Mass. College of Liberal Arts2024</v>
      </c>
      <c r="B166" s="368">
        <v>2024</v>
      </c>
      <c r="C166" s="369" t="s">
        <v>438</v>
      </c>
      <c r="D166" s="369" t="s">
        <v>134</v>
      </c>
      <c r="E166" s="370" t="s">
        <v>925</v>
      </c>
      <c r="F166" s="462" t="s">
        <v>925</v>
      </c>
      <c r="G166" s="368">
        <v>2024</v>
      </c>
      <c r="H166" s="275" t="str">
        <f>VLOOKUP(D166,Source!F:F,1,FALSE)</f>
        <v>Mass. College of Liberal Arts</v>
      </c>
    </row>
    <row r="167" spans="1:8">
      <c r="A167" s="58" t="str">
        <f t="shared" si="26"/>
        <v>Mass. Maritime Academy2014</v>
      </c>
      <c r="B167" s="368">
        <v>2014</v>
      </c>
      <c r="C167" s="369" t="s">
        <v>438</v>
      </c>
      <c r="D167" s="369" t="s">
        <v>137</v>
      </c>
      <c r="E167" s="370">
        <v>12938000</v>
      </c>
      <c r="F167" s="462">
        <v>64880</v>
      </c>
      <c r="G167" s="368">
        <v>2014</v>
      </c>
      <c r="H167" s="275" t="str">
        <f>VLOOKUP(D167,Source!F:F,1,FALSE)</f>
        <v>Mass. Maritime Academy</v>
      </c>
    </row>
    <row r="168" spans="1:8">
      <c r="A168" s="58" t="str">
        <f t="shared" si="26"/>
        <v>Mass. Maritime Academy2015</v>
      </c>
      <c r="B168" s="368">
        <v>2015</v>
      </c>
      <c r="C168" s="369" t="s">
        <v>438</v>
      </c>
      <c r="D168" s="369" t="s">
        <v>137</v>
      </c>
      <c r="E168" s="370">
        <v>11327100</v>
      </c>
      <c r="F168" s="462">
        <v>63713</v>
      </c>
      <c r="G168" s="368">
        <v>2015</v>
      </c>
      <c r="H168" s="275" t="str">
        <f>VLOOKUP(D168,Source!F:F,1,FALSE)</f>
        <v>Mass. Maritime Academy</v>
      </c>
    </row>
    <row r="169" spans="1:8">
      <c r="A169" s="58" t="str">
        <f t="shared" si="26"/>
        <v>Mass. Maritime Academy2016</v>
      </c>
      <c r="B169" s="368">
        <v>2016</v>
      </c>
      <c r="C169" s="369" t="s">
        <v>438</v>
      </c>
      <c r="D169" s="369" t="s">
        <v>137</v>
      </c>
      <c r="E169" s="370">
        <v>11967000</v>
      </c>
      <c r="F169" s="462">
        <v>63094</v>
      </c>
      <c r="G169" s="368">
        <v>2016</v>
      </c>
      <c r="H169" s="275" t="str">
        <f>VLOOKUP(D169,Source!F:F,1,FALSE)</f>
        <v>Mass. Maritime Academy</v>
      </c>
    </row>
    <row r="170" spans="1:8">
      <c r="A170" s="58" t="str">
        <f t="shared" ref="A170:A260" si="51">D170&amp;G170</f>
        <v>Mass. Maritime Academy2017</v>
      </c>
      <c r="B170" s="368">
        <v>2017</v>
      </c>
      <c r="C170" s="369" t="s">
        <v>438</v>
      </c>
      <c r="D170" s="369" t="s">
        <v>137</v>
      </c>
      <c r="E170" s="370">
        <v>13105500</v>
      </c>
      <c r="F170" s="462">
        <v>65445</v>
      </c>
      <c r="G170" s="368">
        <v>2017</v>
      </c>
      <c r="H170" s="275" t="str">
        <f>VLOOKUP(D170,Source!F:F,1,FALSE)</f>
        <v>Mass. Maritime Academy</v>
      </c>
    </row>
    <row r="171" spans="1:8">
      <c r="A171" s="58" t="str">
        <f t="shared" ref="A171:A172" si="52">D171&amp;G171</f>
        <v>Mass. Maritime Academy2018</v>
      </c>
      <c r="B171" s="368">
        <v>2018</v>
      </c>
      <c r="C171" s="369" t="s">
        <v>438</v>
      </c>
      <c r="D171" s="369" t="s">
        <v>137</v>
      </c>
      <c r="E171" s="370">
        <v>12430000</v>
      </c>
      <c r="F171" s="462">
        <v>86947</v>
      </c>
      <c r="G171" s="368">
        <v>2018</v>
      </c>
      <c r="H171" s="275" t="str">
        <f>VLOOKUP(D171,Source!F:F,1,FALSE)</f>
        <v>Mass. Maritime Academy</v>
      </c>
    </row>
    <row r="172" spans="1:8">
      <c r="A172" s="58" t="str">
        <f t="shared" si="52"/>
        <v>Mass. Maritime Academy2019</v>
      </c>
      <c r="B172" s="368">
        <v>2019</v>
      </c>
      <c r="C172" s="369" t="s">
        <v>438</v>
      </c>
      <c r="D172" s="369" t="s">
        <v>137</v>
      </c>
      <c r="E172" s="370">
        <v>13696000</v>
      </c>
      <c r="F172" s="462">
        <v>95529</v>
      </c>
      <c r="G172" s="368">
        <v>2019</v>
      </c>
      <c r="H172" s="275" t="str">
        <f>VLOOKUP(D172,Source!F:F,1,FALSE)</f>
        <v>Mass. Maritime Academy</v>
      </c>
    </row>
    <row r="173" spans="1:8">
      <c r="A173" s="58" t="str">
        <f t="shared" ref="A173:A174" si="53">D173&amp;G173</f>
        <v>Mass. Maritime Academy2020</v>
      </c>
      <c r="B173" s="368">
        <v>2020</v>
      </c>
      <c r="C173" s="369" t="s">
        <v>438</v>
      </c>
      <c r="D173" s="369" t="s">
        <v>137</v>
      </c>
      <c r="E173" s="370" t="s">
        <v>926</v>
      </c>
      <c r="F173" s="462">
        <v>79241</v>
      </c>
      <c r="G173" s="368">
        <v>2020</v>
      </c>
      <c r="H173" s="275" t="str">
        <f>VLOOKUP(D173,Source!F:F,1,FALSE)</f>
        <v>Mass. Maritime Academy</v>
      </c>
    </row>
    <row r="174" spans="1:8">
      <c r="A174" s="58" t="str">
        <f t="shared" si="53"/>
        <v>Mass. Maritime Academy2021</v>
      </c>
      <c r="B174" s="368">
        <v>2021</v>
      </c>
      <c r="C174" s="369" t="s">
        <v>438</v>
      </c>
      <c r="D174" s="369" t="s">
        <v>137</v>
      </c>
      <c r="E174" s="370">
        <v>9675</v>
      </c>
      <c r="F174" s="462">
        <v>74835</v>
      </c>
      <c r="G174" s="368">
        <v>2021</v>
      </c>
      <c r="H174" s="275" t="str">
        <f>VLOOKUP(D174,Source!F:F,1,FALSE)</f>
        <v>Mass. Maritime Academy</v>
      </c>
    </row>
    <row r="175" spans="1:8">
      <c r="A175" s="58" t="str">
        <f t="shared" ref="A175:A176" si="54">D175&amp;G175</f>
        <v>Mass. Maritime Academy2022</v>
      </c>
      <c r="B175" s="368">
        <v>2022</v>
      </c>
      <c r="C175" s="369" t="s">
        <v>438</v>
      </c>
      <c r="D175" s="369" t="s">
        <v>137</v>
      </c>
      <c r="E175" s="370">
        <v>12000000</v>
      </c>
      <c r="F175" s="462">
        <v>108097</v>
      </c>
      <c r="G175" s="368">
        <v>2022</v>
      </c>
      <c r="H175" s="275" t="str">
        <f>VLOOKUP(D175,Source!F:F,1,FALSE)</f>
        <v>Mass. Maritime Academy</v>
      </c>
    </row>
    <row r="176" spans="1:8">
      <c r="A176" s="58" t="str">
        <f t="shared" si="54"/>
        <v>Mass. Maritime Academy2023</v>
      </c>
      <c r="B176" s="368">
        <v>2023</v>
      </c>
      <c r="C176" s="369" t="s">
        <v>438</v>
      </c>
      <c r="D176" s="369" t="s">
        <v>137</v>
      </c>
      <c r="E176" s="764">
        <v>13050000</v>
      </c>
      <c r="F176" s="765">
        <v>133911.26999999999</v>
      </c>
      <c r="G176" s="368">
        <v>2023</v>
      </c>
      <c r="H176" s="275" t="str">
        <f>VLOOKUP(D176,Source!F:F,1,FALSE)</f>
        <v>Mass. Maritime Academy</v>
      </c>
    </row>
    <row r="177" spans="1:8">
      <c r="A177" s="58" t="str">
        <f t="shared" ref="A177" si="55">D177&amp;G177</f>
        <v>Mass. Maritime Academy2024</v>
      </c>
      <c r="B177" s="368">
        <v>2024</v>
      </c>
      <c r="C177" s="369" t="s">
        <v>438</v>
      </c>
      <c r="D177" s="369" t="s">
        <v>137</v>
      </c>
      <c r="E177" s="827">
        <v>13440923</v>
      </c>
      <c r="F177" s="828">
        <v>131049</v>
      </c>
      <c r="G177" s="368">
        <v>2024</v>
      </c>
      <c r="H177" s="275" t="str">
        <f>VLOOKUP(D177,Source!F:F,1,FALSE)</f>
        <v>Mass. Maritime Academy</v>
      </c>
    </row>
    <row r="178" spans="1:8">
      <c r="A178" s="58" t="str">
        <f t="shared" si="51"/>
        <v>Mass. Water Resources Authority2013</v>
      </c>
      <c r="B178" s="368">
        <v>2013</v>
      </c>
      <c r="C178" s="369" t="s">
        <v>572</v>
      </c>
      <c r="D178" s="369" t="s">
        <v>145</v>
      </c>
      <c r="E178" s="370">
        <v>499006969</v>
      </c>
      <c r="F178" s="462">
        <v>1931429</v>
      </c>
      <c r="G178" s="368">
        <v>2013</v>
      </c>
      <c r="H178" s="275" t="str">
        <f>VLOOKUP(D178,Source!F:F,1,FALSE)</f>
        <v>Mass. Water Resources Authority</v>
      </c>
    </row>
    <row r="179" spans="1:8">
      <c r="A179" s="58" t="str">
        <f t="shared" si="51"/>
        <v>Mass. Water Resources Authority2014</v>
      </c>
      <c r="B179" s="368">
        <v>2014</v>
      </c>
      <c r="C179" s="369" t="s">
        <v>572</v>
      </c>
      <c r="D179" s="369" t="s">
        <v>145</v>
      </c>
      <c r="E179" s="370">
        <v>477633597</v>
      </c>
      <c r="F179" s="462">
        <v>1862076</v>
      </c>
      <c r="G179" s="368">
        <v>2014</v>
      </c>
      <c r="H179" s="275" t="str">
        <f>VLOOKUP(D179,Source!F:F,1,FALSE)</f>
        <v>Mass. Water Resources Authority</v>
      </c>
    </row>
    <row r="180" spans="1:8">
      <c r="A180" s="58" t="str">
        <f t="shared" si="51"/>
        <v>Mass. Water Resources Authority2015</v>
      </c>
      <c r="B180" s="368">
        <v>2015</v>
      </c>
      <c r="C180" s="369" t="s">
        <v>572</v>
      </c>
      <c r="D180" s="369" t="s">
        <v>145</v>
      </c>
      <c r="E180" s="370">
        <v>489937402</v>
      </c>
      <c r="F180" s="462">
        <v>1942747</v>
      </c>
      <c r="G180" s="368">
        <v>2015</v>
      </c>
      <c r="H180" s="275" t="str">
        <f>VLOOKUP(D180,Source!F:F,1,FALSE)</f>
        <v>Mass. Water Resources Authority</v>
      </c>
    </row>
    <row r="181" spans="1:8">
      <c r="A181" s="58" t="str">
        <f t="shared" si="51"/>
        <v>Mass. Water Resources Authority2016</v>
      </c>
      <c r="B181" s="368">
        <v>2016</v>
      </c>
      <c r="C181" s="369" t="s">
        <v>572</v>
      </c>
      <c r="D181" s="369" t="s">
        <v>145</v>
      </c>
      <c r="E181" s="370">
        <v>565803853</v>
      </c>
      <c r="F181" s="462">
        <v>2297576</v>
      </c>
      <c r="G181" s="368">
        <v>2016</v>
      </c>
      <c r="H181" s="275" t="str">
        <f>VLOOKUP(D181,Source!F:F,1,FALSE)</f>
        <v>Mass. Water Resources Authority</v>
      </c>
    </row>
    <row r="182" spans="1:8">
      <c r="A182" s="58" t="str">
        <f t="shared" si="51"/>
        <v>Mass. Water Resources Authority2017</v>
      </c>
      <c r="B182" s="368">
        <v>2017</v>
      </c>
      <c r="C182" s="369" t="s">
        <v>572</v>
      </c>
      <c r="D182" s="369" t="s">
        <v>145</v>
      </c>
      <c r="E182" s="370">
        <v>536567702</v>
      </c>
      <c r="F182" s="462">
        <v>2169171</v>
      </c>
      <c r="G182" s="368">
        <v>2017</v>
      </c>
      <c r="H182" s="275" t="str">
        <f>VLOOKUP(D182,Source!F:F,1,FALSE)</f>
        <v>Mass. Water Resources Authority</v>
      </c>
    </row>
    <row r="183" spans="1:8">
      <c r="A183" s="58" t="str">
        <f t="shared" ref="A183:A184" si="56">D183&amp;G183</f>
        <v>Mass. Water Resources Authority2018</v>
      </c>
      <c r="B183" s="368">
        <v>2018</v>
      </c>
      <c r="C183" s="369" t="s">
        <v>572</v>
      </c>
      <c r="D183" s="369" t="s">
        <v>145</v>
      </c>
      <c r="E183" s="370">
        <v>567699772</v>
      </c>
      <c r="F183" s="462">
        <v>2033497</v>
      </c>
      <c r="G183" s="368">
        <v>2018</v>
      </c>
      <c r="H183" s="275" t="str">
        <f>VLOOKUP(D183,Source!F:F,1,FALSE)</f>
        <v>Mass. Water Resources Authority</v>
      </c>
    </row>
    <row r="184" spans="1:8">
      <c r="A184" s="58" t="str">
        <f t="shared" si="56"/>
        <v>Mass. Water Resources Authority2019</v>
      </c>
      <c r="B184" s="368">
        <v>2019</v>
      </c>
      <c r="C184" s="369" t="s">
        <v>572</v>
      </c>
      <c r="D184" s="369" t="s">
        <v>145</v>
      </c>
      <c r="E184" s="370">
        <v>517102421</v>
      </c>
      <c r="F184" s="462">
        <v>2329277</v>
      </c>
      <c r="G184" s="368">
        <v>2019</v>
      </c>
      <c r="H184" s="275" t="str">
        <f>VLOOKUP(D184,Source!F:F,1,FALSE)</f>
        <v>Mass. Water Resources Authority</v>
      </c>
    </row>
    <row r="185" spans="1:8">
      <c r="A185" s="58" t="str">
        <f t="shared" ref="A185" si="57">D185&amp;G185</f>
        <v>Mass. Water Resources Authority2020</v>
      </c>
      <c r="B185" s="368">
        <v>2020</v>
      </c>
      <c r="C185" s="369" t="s">
        <v>572</v>
      </c>
      <c r="D185" s="369" t="s">
        <v>145</v>
      </c>
      <c r="E185" s="370">
        <v>489630562</v>
      </c>
      <c r="F185" s="462">
        <v>2284403</v>
      </c>
      <c r="G185" s="368">
        <v>2020</v>
      </c>
      <c r="H185" s="275" t="str">
        <f>VLOOKUP(D185,Source!F:F,1,FALSE)</f>
        <v>Mass. Water Resources Authority</v>
      </c>
    </row>
    <row r="186" spans="1:8">
      <c r="A186" s="58" t="str">
        <f>D186&amp;G186</f>
        <v>Mass. Water Resources Authority2021</v>
      </c>
      <c r="B186" s="368">
        <v>2021</v>
      </c>
      <c r="C186" s="369" t="s">
        <v>572</v>
      </c>
      <c r="D186" s="369" t="s">
        <v>145</v>
      </c>
      <c r="E186" s="370">
        <v>518739862</v>
      </c>
      <c r="F186" s="462">
        <v>2512880.9</v>
      </c>
      <c r="G186" s="368">
        <v>2021</v>
      </c>
      <c r="H186" s="275" t="str">
        <f>VLOOKUP(D186,Source!F:F,1,FALSE)</f>
        <v>Mass. Water Resources Authority</v>
      </c>
    </row>
    <row r="187" spans="1:8">
      <c r="A187" s="58" t="str">
        <f>D187&amp;G187</f>
        <v>Mass. Water Resources Authority2022</v>
      </c>
      <c r="B187" s="368">
        <v>2022</v>
      </c>
      <c r="C187" s="369" t="s">
        <v>572</v>
      </c>
      <c r="D187" s="369" t="s">
        <v>145</v>
      </c>
      <c r="E187" s="370">
        <v>481186933</v>
      </c>
      <c r="F187" s="576">
        <v>2380403</v>
      </c>
      <c r="G187" s="368">
        <v>2022</v>
      </c>
      <c r="H187" s="275" t="str">
        <f>VLOOKUP(D187,Source!F:F,1,FALSE)</f>
        <v>Mass. Water Resources Authority</v>
      </c>
    </row>
    <row r="188" spans="1:8">
      <c r="A188" s="58" t="str">
        <f>D188&amp;G188</f>
        <v>Mass. Water Resources Authority2023</v>
      </c>
      <c r="B188" s="368">
        <v>2023</v>
      </c>
      <c r="C188" s="369" t="s">
        <v>572</v>
      </c>
      <c r="D188" s="369" t="s">
        <v>145</v>
      </c>
      <c r="E188" s="764">
        <v>502089255</v>
      </c>
      <c r="F188" s="765">
        <v>2757242</v>
      </c>
      <c r="G188" s="368">
        <v>2023</v>
      </c>
      <c r="H188" s="275" t="str">
        <f>VLOOKUP(D188,Source!F:F,1,FALSE)</f>
        <v>Mass. Water Resources Authority</v>
      </c>
    </row>
    <row r="189" spans="1:8">
      <c r="A189" s="58" t="str">
        <f>D189&amp;G189</f>
        <v>Mass. Water Resources Authority2024</v>
      </c>
      <c r="B189" s="368">
        <v>2024</v>
      </c>
      <c r="C189" s="369" t="s">
        <v>572</v>
      </c>
      <c r="D189" s="369" t="s">
        <v>145</v>
      </c>
      <c r="E189" s="827">
        <v>606313260</v>
      </c>
      <c r="F189" s="828">
        <v>2750722</v>
      </c>
      <c r="G189" s="368">
        <v>2024</v>
      </c>
      <c r="H189" s="275" t="str">
        <f>VLOOKUP(D189,Source!F:F,1,FALSE)</f>
        <v>Mass. Water Resources Authority</v>
      </c>
    </row>
    <row r="190" spans="1:8" s="275" customFormat="1">
      <c r="A190" s="278" t="str">
        <f t="shared" si="51"/>
        <v>Massasoit Comm. College2013</v>
      </c>
      <c r="B190" s="366">
        <v>2013</v>
      </c>
      <c r="C190" s="285" t="s">
        <v>438</v>
      </c>
      <c r="D190" s="285" t="s">
        <v>154</v>
      </c>
      <c r="E190" s="367">
        <v>2846602</v>
      </c>
      <c r="F190" s="461">
        <v>22677.38</v>
      </c>
      <c r="G190" s="366">
        <v>2013</v>
      </c>
      <c r="H190" s="275" t="str">
        <f>VLOOKUP(D190,Source!F:F,1,FALSE)</f>
        <v>Massasoit Comm. College</v>
      </c>
    </row>
    <row r="191" spans="1:8" s="275" customFormat="1">
      <c r="A191" s="278" t="str">
        <f t="shared" si="51"/>
        <v>Massasoit Comm. College2014</v>
      </c>
      <c r="B191" s="366">
        <v>2014</v>
      </c>
      <c r="C191" s="285" t="s">
        <v>438</v>
      </c>
      <c r="D191" s="285" t="s">
        <v>154</v>
      </c>
      <c r="E191" s="367">
        <v>2674650</v>
      </c>
      <c r="F191" s="461">
        <v>23150.33</v>
      </c>
      <c r="G191" s="366">
        <v>2014</v>
      </c>
      <c r="H191" s="275" t="str">
        <f>VLOOKUP(D191,Source!F:F,1,FALSE)</f>
        <v>Massasoit Comm. College</v>
      </c>
    </row>
    <row r="192" spans="1:8" s="275" customFormat="1">
      <c r="A192" s="278" t="str">
        <f t="shared" si="51"/>
        <v>Massasoit Comm. College2015</v>
      </c>
      <c r="B192" s="366">
        <v>2015</v>
      </c>
      <c r="C192" s="285" t="s">
        <v>438</v>
      </c>
      <c r="D192" s="285" t="s">
        <v>154</v>
      </c>
      <c r="E192" s="367">
        <v>2841690</v>
      </c>
      <c r="F192" s="461">
        <v>23684.02</v>
      </c>
      <c r="G192" s="366">
        <v>2015</v>
      </c>
      <c r="H192" s="275" t="str">
        <f>VLOOKUP(D192,Source!F:F,1,FALSE)</f>
        <v>Massasoit Comm. College</v>
      </c>
    </row>
    <row r="193" spans="1:8" s="275" customFormat="1">
      <c r="A193" s="278" t="str">
        <f t="shared" si="51"/>
        <v>Massasoit Comm. College2016</v>
      </c>
      <c r="B193" s="366">
        <v>2016</v>
      </c>
      <c r="C193" s="285" t="s">
        <v>438</v>
      </c>
      <c r="D193" s="285" t="s">
        <v>154</v>
      </c>
      <c r="E193" s="367">
        <v>2990332</v>
      </c>
      <c r="F193" s="461">
        <v>23740.89</v>
      </c>
      <c r="G193" s="366">
        <v>2016</v>
      </c>
      <c r="H193" s="275" t="str">
        <f>VLOOKUP(D193,Source!F:F,1,FALSE)</f>
        <v>Massasoit Comm. College</v>
      </c>
    </row>
    <row r="194" spans="1:8" s="275" customFormat="1">
      <c r="A194" s="278" t="str">
        <f t="shared" si="51"/>
        <v>Massasoit Comm. College2017</v>
      </c>
      <c r="B194" s="366">
        <v>2017</v>
      </c>
      <c r="C194" s="285" t="s">
        <v>438</v>
      </c>
      <c r="D194" s="285" t="s">
        <v>154</v>
      </c>
      <c r="E194" s="367">
        <v>2863486</v>
      </c>
      <c r="F194" s="461">
        <v>32008.67</v>
      </c>
      <c r="G194" s="366">
        <v>2017</v>
      </c>
      <c r="H194" s="275" t="str">
        <f>VLOOKUP(D194,Source!F:F,1,FALSE)</f>
        <v>Massasoit Comm. College</v>
      </c>
    </row>
    <row r="195" spans="1:8" s="275" customFormat="1">
      <c r="A195" s="278" t="str">
        <f t="shared" si="51"/>
        <v>Massasoit Comm. College2018</v>
      </c>
      <c r="B195" s="366">
        <v>2018</v>
      </c>
      <c r="C195" s="285" t="s">
        <v>438</v>
      </c>
      <c r="D195" s="285" t="s">
        <v>154</v>
      </c>
      <c r="E195" s="367">
        <v>2661593</v>
      </c>
      <c r="F195" s="461">
        <v>30044.55</v>
      </c>
      <c r="G195" s="366">
        <v>2018</v>
      </c>
      <c r="H195" s="275" t="str">
        <f>VLOOKUP(D195,Source!F:F,1,FALSE)</f>
        <v>Massasoit Comm. College</v>
      </c>
    </row>
    <row r="196" spans="1:8" s="275" customFormat="1">
      <c r="A196" s="278" t="str">
        <f t="shared" ref="A196" si="58">D196&amp;G196</f>
        <v>Massasoit Comm. College2019</v>
      </c>
      <c r="B196" s="366">
        <v>2019</v>
      </c>
      <c r="C196" s="285" t="s">
        <v>438</v>
      </c>
      <c r="D196" s="285" t="s">
        <v>154</v>
      </c>
      <c r="E196" s="370" t="s">
        <v>925</v>
      </c>
      <c r="F196" s="462" t="s">
        <v>925</v>
      </c>
      <c r="G196" s="366">
        <v>2019</v>
      </c>
      <c r="H196" s="275" t="str">
        <f>VLOOKUP(D196,Source!F:F,1,FALSE)</f>
        <v>Massasoit Comm. College</v>
      </c>
    </row>
    <row r="197" spans="1:8" s="275" customFormat="1">
      <c r="A197" s="278" t="str">
        <f t="shared" ref="A197:A198" si="59">D197&amp;G197</f>
        <v>Massasoit Comm. College2020</v>
      </c>
      <c r="B197" s="366">
        <v>2020</v>
      </c>
      <c r="C197" s="285" t="s">
        <v>438</v>
      </c>
      <c r="D197" s="285" t="s">
        <v>154</v>
      </c>
      <c r="E197" s="367" t="s">
        <v>925</v>
      </c>
      <c r="F197" s="461" t="s">
        <v>925</v>
      </c>
      <c r="G197" s="368">
        <v>2020</v>
      </c>
      <c r="H197" s="275" t="str">
        <f>VLOOKUP(D197,Source!F:F,1,FALSE)</f>
        <v>Massasoit Comm. College</v>
      </c>
    </row>
    <row r="198" spans="1:8" s="275" customFormat="1">
      <c r="A198" s="278" t="str">
        <f t="shared" si="59"/>
        <v>Massasoit Comm. College2021</v>
      </c>
      <c r="B198" s="366">
        <v>2021</v>
      </c>
      <c r="C198" s="285" t="s">
        <v>438</v>
      </c>
      <c r="D198" s="285" t="s">
        <v>154</v>
      </c>
      <c r="E198" s="367" t="s">
        <v>925</v>
      </c>
      <c r="F198" s="461" t="s">
        <v>925</v>
      </c>
      <c r="G198" s="368">
        <v>2021</v>
      </c>
      <c r="H198" s="275" t="str">
        <f>VLOOKUP(D198,Source!F:F,1,FALSE)</f>
        <v>Massasoit Comm. College</v>
      </c>
    </row>
    <row r="199" spans="1:8" s="275" customFormat="1">
      <c r="A199" s="278" t="str">
        <f t="shared" ref="A199:A200" si="60">D199&amp;G199</f>
        <v>Massasoit Comm. College2022</v>
      </c>
      <c r="B199" s="366">
        <v>2022</v>
      </c>
      <c r="C199" s="285" t="s">
        <v>438</v>
      </c>
      <c r="D199" s="285" t="s">
        <v>154</v>
      </c>
      <c r="E199" s="367" t="s">
        <v>925</v>
      </c>
      <c r="F199" s="461" t="s">
        <v>925</v>
      </c>
      <c r="G199" s="368">
        <v>2022</v>
      </c>
      <c r="H199" s="275" t="str">
        <f>VLOOKUP(D199,Source!F:F,1,FALSE)</f>
        <v>Massasoit Comm. College</v>
      </c>
    </row>
    <row r="200" spans="1:8" s="275" customFormat="1">
      <c r="A200" s="278" t="str">
        <f t="shared" si="60"/>
        <v>Massasoit Comm. College2023</v>
      </c>
      <c r="B200" s="366">
        <v>2023</v>
      </c>
      <c r="C200" s="285" t="s">
        <v>438</v>
      </c>
      <c r="D200" s="285" t="s">
        <v>154</v>
      </c>
      <c r="E200" s="367" t="s">
        <v>925</v>
      </c>
      <c r="F200" s="461" t="s">
        <v>925</v>
      </c>
      <c r="G200" s="368">
        <v>2023</v>
      </c>
      <c r="H200" s="275" t="str">
        <f>VLOOKUP(D200,Source!F:F,1,FALSE)</f>
        <v>Massasoit Comm. College</v>
      </c>
    </row>
    <row r="201" spans="1:8" s="275" customFormat="1">
      <c r="A201" s="278" t="str">
        <f t="shared" ref="A201" si="61">D201&amp;G201</f>
        <v>Massasoit Comm. College2024</v>
      </c>
      <c r="B201" s="366">
        <v>2024</v>
      </c>
      <c r="C201" s="285" t="s">
        <v>438</v>
      </c>
      <c r="D201" s="285" t="s">
        <v>154</v>
      </c>
      <c r="E201" s="367" t="s">
        <v>925</v>
      </c>
      <c r="F201" s="461" t="s">
        <v>925</v>
      </c>
      <c r="G201" s="368">
        <v>2024</v>
      </c>
      <c r="H201" s="275" t="str">
        <f>VLOOKUP(D201,Source!F:F,1,FALSE)</f>
        <v>Massasoit Comm. College</v>
      </c>
    </row>
    <row r="202" spans="1:8">
      <c r="A202" s="58" t="str">
        <f t="shared" si="51"/>
        <v>MassPort Authority2013</v>
      </c>
      <c r="B202" s="368">
        <v>2013</v>
      </c>
      <c r="C202" s="369" t="s">
        <v>572</v>
      </c>
      <c r="D202" s="369" t="s">
        <v>167</v>
      </c>
      <c r="E202" s="370">
        <v>379052208</v>
      </c>
      <c r="F202" s="462">
        <v>5528976</v>
      </c>
      <c r="G202" s="368">
        <v>2013</v>
      </c>
      <c r="H202" s="275" t="str">
        <f>VLOOKUP(D202,Source!F:F,1,FALSE)</f>
        <v>MassPort Authority</v>
      </c>
    </row>
    <row r="203" spans="1:8">
      <c r="A203" s="58" t="str">
        <f t="shared" si="51"/>
        <v>MassPort Authority2014</v>
      </c>
      <c r="B203" s="368">
        <v>2014</v>
      </c>
      <c r="C203" s="369" t="s">
        <v>572</v>
      </c>
      <c r="D203" s="369" t="s">
        <v>167</v>
      </c>
      <c r="E203" s="370">
        <v>394782432</v>
      </c>
      <c r="F203" s="462">
        <v>4909920</v>
      </c>
      <c r="G203" s="368">
        <v>2014</v>
      </c>
      <c r="H203" s="275" t="str">
        <f>VLOOKUP(D203,Source!F:F,1,FALSE)</f>
        <v>MassPort Authority</v>
      </c>
    </row>
    <row r="204" spans="1:8">
      <c r="A204" s="58" t="str">
        <f t="shared" si="51"/>
        <v>MassPort Authority2015</v>
      </c>
      <c r="B204" s="368">
        <v>2015</v>
      </c>
      <c r="C204" s="369" t="s">
        <v>572</v>
      </c>
      <c r="D204" s="369" t="s">
        <v>167</v>
      </c>
      <c r="E204" s="370">
        <v>351313788</v>
      </c>
      <c r="F204" s="462">
        <v>5669664</v>
      </c>
      <c r="G204" s="368">
        <v>2015</v>
      </c>
      <c r="H204" s="275" t="str">
        <f>VLOOKUP(D204,Source!F:F,1,FALSE)</f>
        <v>MassPort Authority</v>
      </c>
    </row>
    <row r="205" spans="1:8">
      <c r="A205" s="58" t="str">
        <f t="shared" si="51"/>
        <v>MassPort Authority2016</v>
      </c>
      <c r="B205" s="368">
        <v>2016</v>
      </c>
      <c r="C205" s="369" t="s">
        <v>572</v>
      </c>
      <c r="D205" s="369" t="s">
        <v>167</v>
      </c>
      <c r="E205" s="370">
        <v>365704400</v>
      </c>
      <c r="F205" s="462">
        <v>6204414</v>
      </c>
      <c r="G205" s="368">
        <v>2016</v>
      </c>
      <c r="H205" s="275" t="str">
        <f>VLOOKUP(D205,Source!F:F,1,FALSE)</f>
        <v>MassPort Authority</v>
      </c>
    </row>
    <row r="206" spans="1:8">
      <c r="A206" s="58" t="str">
        <f t="shared" si="51"/>
        <v>MassPort Authority2017</v>
      </c>
      <c r="B206" s="368">
        <v>2017</v>
      </c>
      <c r="C206" s="369" t="s">
        <v>572</v>
      </c>
      <c r="D206" s="369" t="s">
        <v>167</v>
      </c>
      <c r="E206" s="370">
        <v>496254228</v>
      </c>
      <c r="F206" s="462">
        <v>6841739</v>
      </c>
      <c r="G206" s="368">
        <v>2017</v>
      </c>
      <c r="H206" s="275" t="str">
        <f>VLOOKUP(D206,Source!F:F,1,FALSE)</f>
        <v>MassPort Authority</v>
      </c>
    </row>
    <row r="207" spans="1:8">
      <c r="A207" s="58" t="str">
        <f t="shared" ref="A207:A208" si="62">D207&amp;G207</f>
        <v>MassPort Authority2018</v>
      </c>
      <c r="B207" s="368">
        <v>2018</v>
      </c>
      <c r="C207" s="369" t="s">
        <v>572</v>
      </c>
      <c r="D207" s="369" t="s">
        <v>167</v>
      </c>
      <c r="E207" s="370">
        <v>404424139</v>
      </c>
      <c r="F207" s="462" t="s">
        <v>50</v>
      </c>
      <c r="G207" s="368">
        <v>2018</v>
      </c>
      <c r="H207" s="275" t="str">
        <f>VLOOKUP(D207,Source!F:F,1,FALSE)</f>
        <v>MassPort Authority</v>
      </c>
    </row>
    <row r="208" spans="1:8">
      <c r="A208" s="58" t="str">
        <f t="shared" si="62"/>
        <v>MassPort Authority2019</v>
      </c>
      <c r="B208" s="368">
        <v>2019</v>
      </c>
      <c r="C208" s="369" t="s">
        <v>572</v>
      </c>
      <c r="D208" s="369" t="s">
        <v>167</v>
      </c>
      <c r="E208" s="370">
        <v>409581607</v>
      </c>
      <c r="F208" s="462">
        <v>3107823</v>
      </c>
      <c r="G208" s="368">
        <v>2019</v>
      </c>
      <c r="H208" s="275" t="str">
        <f>VLOOKUP(D208,Source!F:F,1,FALSE)</f>
        <v>MassPort Authority</v>
      </c>
    </row>
    <row r="209" spans="1:8">
      <c r="A209" s="58" t="str">
        <f t="shared" ref="A209:A210" si="63">D209&amp;G209</f>
        <v>MassPort Authority2020</v>
      </c>
      <c r="B209" s="368">
        <v>2020</v>
      </c>
      <c r="C209" s="369" t="s">
        <v>572</v>
      </c>
      <c r="D209" s="369" t="s">
        <v>167</v>
      </c>
      <c r="E209" s="370">
        <v>387888794</v>
      </c>
      <c r="F209" s="462" t="s">
        <v>50</v>
      </c>
      <c r="G209" s="368">
        <v>2020</v>
      </c>
      <c r="H209" s="275" t="str">
        <f>VLOOKUP(D209,Source!F:F,1,FALSE)</f>
        <v>MassPort Authority</v>
      </c>
    </row>
    <row r="210" spans="1:8">
      <c r="A210" s="58" t="str">
        <f t="shared" si="63"/>
        <v>MassPort Authority2021</v>
      </c>
      <c r="B210" s="368">
        <v>2021</v>
      </c>
      <c r="C210" s="369" t="s">
        <v>572</v>
      </c>
      <c r="D210" s="369" t="s">
        <v>167</v>
      </c>
      <c r="E210" s="767">
        <v>58547084.439999998</v>
      </c>
      <c r="F210" s="765">
        <v>1718755.91</v>
      </c>
      <c r="G210" s="368">
        <v>2021</v>
      </c>
      <c r="H210" s="275" t="str">
        <f>VLOOKUP(D210,Source!F:F,1,FALSE)</f>
        <v>MassPort Authority</v>
      </c>
    </row>
    <row r="211" spans="1:8">
      <c r="A211" s="58" t="str">
        <f t="shared" ref="A211:A212" si="64">D211&amp;G211</f>
        <v>MassPort Authority2022</v>
      </c>
      <c r="B211" s="368">
        <v>2022</v>
      </c>
      <c r="C211" s="369" t="s">
        <v>572</v>
      </c>
      <c r="D211" s="369" t="s">
        <v>167</v>
      </c>
      <c r="E211" s="767">
        <v>125088913.51000001</v>
      </c>
      <c r="F211" s="765">
        <v>3483989.02</v>
      </c>
      <c r="G211" s="368">
        <v>2022</v>
      </c>
      <c r="H211" s="275" t="str">
        <f>VLOOKUP(D211,Source!F:F,1,FALSE)</f>
        <v>MassPort Authority</v>
      </c>
    </row>
    <row r="212" spans="1:8">
      <c r="A212" s="58" t="str">
        <f t="shared" si="64"/>
        <v>MassPort Authority2023</v>
      </c>
      <c r="B212" s="368">
        <v>2023</v>
      </c>
      <c r="C212" s="369" t="s">
        <v>572</v>
      </c>
      <c r="D212" s="369" t="s">
        <v>167</v>
      </c>
      <c r="E212" s="370" t="s">
        <v>925</v>
      </c>
      <c r="F212" s="462" t="s">
        <v>925</v>
      </c>
      <c r="G212" s="368">
        <v>2023</v>
      </c>
      <c r="H212" s="275" t="str">
        <f>VLOOKUP(D212,Source!F:F,1,FALSE)</f>
        <v>MassPort Authority</v>
      </c>
    </row>
    <row r="213" spans="1:8">
      <c r="A213" s="58" t="str">
        <f t="shared" ref="A213" si="65">D213&amp;G213</f>
        <v>MassPort Authority2024</v>
      </c>
      <c r="B213" s="368">
        <v>2024</v>
      </c>
      <c r="C213" s="369" t="s">
        <v>572</v>
      </c>
      <c r="D213" s="369" t="s">
        <v>167</v>
      </c>
      <c r="E213" s="827">
        <v>301239510.30000001</v>
      </c>
      <c r="F213" s="462" t="s">
        <v>925</v>
      </c>
      <c r="G213" s="368">
        <v>2024</v>
      </c>
      <c r="H213" s="275" t="str">
        <f>VLOOKUP(D213,Source!F:F,1,FALSE)</f>
        <v>MassPort Authority</v>
      </c>
    </row>
    <row r="214" spans="1:8" ht="17.100000000000001" customHeight="1">
      <c r="A214" s="58" t="str">
        <f t="shared" si="51"/>
        <v>Mount Wachusett Comm. College2013</v>
      </c>
      <c r="B214" s="368">
        <v>2013</v>
      </c>
      <c r="C214" s="369" t="s">
        <v>438</v>
      </c>
      <c r="D214" s="369" t="s">
        <v>174</v>
      </c>
      <c r="E214" s="370">
        <v>421742</v>
      </c>
      <c r="F214" s="462">
        <v>0</v>
      </c>
      <c r="G214" s="368">
        <v>2013</v>
      </c>
      <c r="H214" s="275" t="str">
        <f>VLOOKUP(D214,Source!F:F,1,FALSE)</f>
        <v>Mount Wachusett Comm. College</v>
      </c>
    </row>
    <row r="215" spans="1:8">
      <c r="A215" s="58" t="str">
        <f t="shared" si="51"/>
        <v>Mount Wachusett Comm. College2014</v>
      </c>
      <c r="B215" s="368">
        <v>2014</v>
      </c>
      <c r="C215" s="369" t="s">
        <v>438</v>
      </c>
      <c r="D215" s="369" t="s">
        <v>174</v>
      </c>
      <c r="E215" s="370">
        <v>413020</v>
      </c>
      <c r="F215" s="462">
        <v>0</v>
      </c>
      <c r="G215" s="368">
        <v>2014</v>
      </c>
      <c r="H215" s="275" t="str">
        <f>VLOOKUP(D215,Source!F:F,1,FALSE)</f>
        <v>Mount Wachusett Comm. College</v>
      </c>
    </row>
    <row r="216" spans="1:8">
      <c r="A216" s="58" t="str">
        <f t="shared" si="51"/>
        <v>Mount Wachusett Comm. College2015</v>
      </c>
      <c r="B216" s="368">
        <v>2015</v>
      </c>
      <c r="C216" s="369" t="s">
        <v>438</v>
      </c>
      <c r="D216" s="369" t="s">
        <v>174</v>
      </c>
      <c r="E216" s="370">
        <v>417170</v>
      </c>
      <c r="F216" s="462">
        <v>0</v>
      </c>
      <c r="G216" s="368">
        <v>2015</v>
      </c>
      <c r="H216" s="275" t="str">
        <f>VLOOKUP(D216,Source!F:F,1,FALSE)</f>
        <v>Mount Wachusett Comm. College</v>
      </c>
    </row>
    <row r="217" spans="1:8">
      <c r="A217" s="58" t="str">
        <f t="shared" si="51"/>
        <v>Mount Wachusett Comm. College2016</v>
      </c>
      <c r="B217" s="368">
        <v>2016</v>
      </c>
      <c r="C217" s="369" t="s">
        <v>438</v>
      </c>
      <c r="D217" s="369" t="s">
        <v>174</v>
      </c>
      <c r="E217" s="370">
        <v>474000</v>
      </c>
      <c r="F217" s="462">
        <v>21269</v>
      </c>
      <c r="G217" s="368">
        <v>2016</v>
      </c>
      <c r="H217" s="275" t="str">
        <f>VLOOKUP(D217,Source!F:F,1,FALSE)</f>
        <v>Mount Wachusett Comm. College</v>
      </c>
    </row>
    <row r="218" spans="1:8">
      <c r="A218" s="58" t="str">
        <f t="shared" si="51"/>
        <v>Mount Wachusett Comm. College2017</v>
      </c>
      <c r="B218" s="368">
        <v>2017</v>
      </c>
      <c r="C218" s="369" t="s">
        <v>438</v>
      </c>
      <c r="D218" s="369" t="s">
        <v>174</v>
      </c>
      <c r="E218" s="370">
        <v>446500</v>
      </c>
      <c r="F218" s="462">
        <v>0</v>
      </c>
      <c r="G218" s="368">
        <v>2017</v>
      </c>
      <c r="H218" s="275" t="str">
        <f>VLOOKUP(D218,Source!F:F,1,FALSE)</f>
        <v>Mount Wachusett Comm. College</v>
      </c>
    </row>
    <row r="219" spans="1:8">
      <c r="A219" s="58" t="str">
        <f t="shared" ref="A219:A220" si="66">D219&amp;G219</f>
        <v>Mount Wachusett Comm. College2018</v>
      </c>
      <c r="B219" s="368">
        <v>2018</v>
      </c>
      <c r="C219" s="369" t="s">
        <v>438</v>
      </c>
      <c r="D219" s="369" t="s">
        <v>174</v>
      </c>
      <c r="E219" s="370" t="s">
        <v>925</v>
      </c>
      <c r="F219" s="462" t="s">
        <v>925</v>
      </c>
      <c r="G219" s="368">
        <v>2018</v>
      </c>
      <c r="H219" s="275" t="str">
        <f>VLOOKUP(D219,Source!F:F,1,FALSE)</f>
        <v>Mount Wachusett Comm. College</v>
      </c>
    </row>
    <row r="220" spans="1:8">
      <c r="A220" s="58" t="str">
        <f t="shared" si="66"/>
        <v>Mount Wachusett Comm. College2019</v>
      </c>
      <c r="B220" s="368">
        <v>2019</v>
      </c>
      <c r="C220" s="369" t="s">
        <v>438</v>
      </c>
      <c r="D220" s="369" t="s">
        <v>174</v>
      </c>
      <c r="E220" s="370" t="s">
        <v>925</v>
      </c>
      <c r="F220" s="462" t="s">
        <v>925</v>
      </c>
      <c r="G220" s="368">
        <v>2019</v>
      </c>
      <c r="H220" s="275" t="str">
        <f>VLOOKUP(D220,Source!F:F,1,FALSE)</f>
        <v>Mount Wachusett Comm. College</v>
      </c>
    </row>
    <row r="221" spans="1:8">
      <c r="A221" s="58" t="str">
        <f t="shared" ref="A221:A222" si="67">D221&amp;G221</f>
        <v>Mount Wachusett Comm. College2020</v>
      </c>
      <c r="B221" s="368">
        <v>2020</v>
      </c>
      <c r="C221" s="369" t="s">
        <v>438</v>
      </c>
      <c r="D221" s="369" t="s">
        <v>174</v>
      </c>
      <c r="E221" s="367" t="s">
        <v>925</v>
      </c>
      <c r="F221" s="461" t="s">
        <v>925</v>
      </c>
      <c r="G221" s="368">
        <v>2020</v>
      </c>
      <c r="H221" s="275" t="str">
        <f>VLOOKUP(D221,Source!F:F,1,FALSE)</f>
        <v>Mount Wachusett Comm. College</v>
      </c>
    </row>
    <row r="222" spans="1:8">
      <c r="A222" s="58" t="str">
        <f t="shared" si="67"/>
        <v>Mount Wachusett Comm. College2021</v>
      </c>
      <c r="B222" s="368">
        <v>2021</v>
      </c>
      <c r="C222" s="369" t="s">
        <v>438</v>
      </c>
      <c r="D222" s="369" t="s">
        <v>174</v>
      </c>
      <c r="E222" s="367" t="s">
        <v>925</v>
      </c>
      <c r="F222" s="461" t="s">
        <v>925</v>
      </c>
      <c r="G222" s="368">
        <v>2021</v>
      </c>
      <c r="H222" s="275" t="str">
        <f>VLOOKUP(D222,Source!F:F,1,FALSE)</f>
        <v>Mount Wachusett Comm. College</v>
      </c>
    </row>
    <row r="223" spans="1:8">
      <c r="A223" s="58" t="str">
        <f t="shared" ref="A223:A224" si="68">D223&amp;G223</f>
        <v>Mount Wachusett Comm. College2022</v>
      </c>
      <c r="B223" s="368">
        <v>2022</v>
      </c>
      <c r="C223" s="369" t="s">
        <v>438</v>
      </c>
      <c r="D223" s="369" t="s">
        <v>174</v>
      </c>
      <c r="E223" s="367" t="s">
        <v>925</v>
      </c>
      <c r="F223" s="461" t="s">
        <v>925</v>
      </c>
      <c r="G223" s="368">
        <v>2022</v>
      </c>
      <c r="H223" s="275" t="str">
        <f>VLOOKUP(D223,Source!F:F,1,FALSE)</f>
        <v>Mount Wachusett Comm. College</v>
      </c>
    </row>
    <row r="224" spans="1:8">
      <c r="A224" s="58" t="str">
        <f t="shared" si="68"/>
        <v>Mount Wachusett Comm. College2023</v>
      </c>
      <c r="B224" s="368">
        <v>2023</v>
      </c>
      <c r="C224" s="369" t="s">
        <v>438</v>
      </c>
      <c r="D224" s="369" t="s">
        <v>174</v>
      </c>
      <c r="E224" s="764">
        <v>4252212</v>
      </c>
      <c r="F224" s="765">
        <v>37000.879999999997</v>
      </c>
      <c r="G224" s="368">
        <v>2023</v>
      </c>
      <c r="H224" s="275" t="str">
        <f>VLOOKUP(D224,Source!F:F,1,FALSE)</f>
        <v>Mount Wachusett Comm. College</v>
      </c>
    </row>
    <row r="225" spans="1:8">
      <c r="A225" s="58" t="str">
        <f t="shared" ref="A225" si="69">D225&amp;G225</f>
        <v>Mount Wachusett Comm. College2024</v>
      </c>
      <c r="B225" s="368">
        <v>2024</v>
      </c>
      <c r="C225" s="369" t="s">
        <v>438</v>
      </c>
      <c r="D225" s="369" t="s">
        <v>174</v>
      </c>
      <c r="E225" s="830">
        <v>2223973</v>
      </c>
      <c r="F225" s="829" t="s">
        <v>2377</v>
      </c>
      <c r="G225" s="368">
        <v>2024</v>
      </c>
      <c r="H225" s="275" t="str">
        <f>VLOOKUP(D225,Source!F:F,1,FALSE)</f>
        <v>Mount Wachusett Comm. College</v>
      </c>
    </row>
    <row r="226" spans="1:8">
      <c r="A226" s="58" t="str">
        <f t="shared" si="51"/>
        <v>North Shore Comm. College2013</v>
      </c>
      <c r="B226" s="368">
        <v>2013</v>
      </c>
      <c r="C226" s="369" t="s">
        <v>438</v>
      </c>
      <c r="D226" s="369" t="s">
        <v>177</v>
      </c>
      <c r="E226" s="370">
        <v>7981479</v>
      </c>
      <c r="F226" s="462">
        <v>58583.37</v>
      </c>
      <c r="G226" s="368">
        <v>2013</v>
      </c>
      <c r="H226" s="275" t="str">
        <f>VLOOKUP(D226,Source!F:F,1,FALSE)</f>
        <v>North Shore Comm. College</v>
      </c>
    </row>
    <row r="227" spans="1:8">
      <c r="A227" s="58" t="str">
        <f t="shared" si="51"/>
        <v>North Shore Comm. College2014</v>
      </c>
      <c r="B227" s="368">
        <v>2014</v>
      </c>
      <c r="C227" s="369" t="s">
        <v>438</v>
      </c>
      <c r="D227" s="369" t="s">
        <v>177</v>
      </c>
      <c r="E227" s="370">
        <v>11095819</v>
      </c>
      <c r="F227" s="462">
        <v>66570</v>
      </c>
      <c r="G227" s="368">
        <v>2014</v>
      </c>
      <c r="H227" s="275" t="str">
        <f>VLOOKUP(D227,Source!F:F,1,FALSE)</f>
        <v>North Shore Comm. College</v>
      </c>
    </row>
    <row r="228" spans="1:8">
      <c r="A228" s="58" t="str">
        <f t="shared" si="51"/>
        <v>North Shore Comm. College2015</v>
      </c>
      <c r="B228" s="368">
        <v>2015</v>
      </c>
      <c r="C228" s="369" t="s">
        <v>438</v>
      </c>
      <c r="D228" s="369" t="s">
        <v>177</v>
      </c>
      <c r="E228" s="370">
        <v>7429381</v>
      </c>
      <c r="F228" s="462">
        <v>74880</v>
      </c>
      <c r="G228" s="368">
        <v>2015</v>
      </c>
      <c r="H228" s="275" t="str">
        <f>VLOOKUP(D228,Source!F:F,1,FALSE)</f>
        <v>North Shore Comm. College</v>
      </c>
    </row>
    <row r="229" spans="1:8">
      <c r="A229" s="58" t="str">
        <f t="shared" si="51"/>
        <v>North Shore Comm. College2016</v>
      </c>
      <c r="B229" s="368">
        <v>2016</v>
      </c>
      <c r="C229" s="369" t="s">
        <v>438</v>
      </c>
      <c r="D229" s="369" t="s">
        <v>177</v>
      </c>
      <c r="E229" s="370">
        <v>8526782.9299999997</v>
      </c>
      <c r="F229" s="462">
        <v>68412.820000000007</v>
      </c>
      <c r="G229" s="368">
        <v>2016</v>
      </c>
      <c r="H229" s="275" t="str">
        <f>VLOOKUP(D229,Source!F:F,1,FALSE)</f>
        <v>North Shore Comm. College</v>
      </c>
    </row>
    <row r="230" spans="1:8">
      <c r="A230" s="58" t="str">
        <f t="shared" si="51"/>
        <v>North Shore Comm. College2017</v>
      </c>
      <c r="B230" s="368">
        <v>2017</v>
      </c>
      <c r="C230" s="369" t="s">
        <v>438</v>
      </c>
      <c r="D230" s="369" t="s">
        <v>177</v>
      </c>
      <c r="E230" s="370">
        <v>6314306</v>
      </c>
      <c r="F230" s="462">
        <v>67190.36</v>
      </c>
      <c r="G230" s="368">
        <v>2017</v>
      </c>
      <c r="H230" s="275" t="str">
        <f>VLOOKUP(D230,Source!F:F,1,FALSE)</f>
        <v>North Shore Comm. College</v>
      </c>
    </row>
    <row r="231" spans="1:8">
      <c r="A231" s="58" t="str">
        <f t="shared" ref="A231:A232" si="70">D231&amp;G231</f>
        <v>North Shore Comm. College2018</v>
      </c>
      <c r="B231" s="368">
        <v>2018</v>
      </c>
      <c r="C231" s="369" t="s">
        <v>438</v>
      </c>
      <c r="D231" s="369" t="s">
        <v>177</v>
      </c>
      <c r="E231" s="370">
        <v>6541260</v>
      </c>
      <c r="F231" s="462">
        <v>69109</v>
      </c>
      <c r="G231" s="368">
        <v>2018</v>
      </c>
      <c r="H231" s="275" t="str">
        <f>VLOOKUP(D231,Source!F:F,1,FALSE)</f>
        <v>North Shore Comm. College</v>
      </c>
    </row>
    <row r="232" spans="1:8">
      <c r="A232" s="58" t="str">
        <f t="shared" si="70"/>
        <v>North Shore Comm. College2019</v>
      </c>
      <c r="B232" s="368">
        <v>2019</v>
      </c>
      <c r="C232" s="369" t="s">
        <v>438</v>
      </c>
      <c r="D232" s="369" t="s">
        <v>177</v>
      </c>
      <c r="E232" s="370">
        <v>6541260</v>
      </c>
      <c r="F232" s="462">
        <v>69109.22</v>
      </c>
      <c r="G232" s="368">
        <v>2019</v>
      </c>
      <c r="H232" s="275" t="str">
        <f>VLOOKUP(D232,Source!F:F,1,FALSE)</f>
        <v>North Shore Comm. College</v>
      </c>
    </row>
    <row r="233" spans="1:8">
      <c r="A233" s="58" t="str">
        <f t="shared" ref="A233" si="71">D233&amp;G233</f>
        <v>North Shore Comm. College2020</v>
      </c>
      <c r="B233" s="368">
        <v>2020</v>
      </c>
      <c r="C233" s="369" t="s">
        <v>438</v>
      </c>
      <c r="D233" s="369" t="s">
        <v>177</v>
      </c>
      <c r="E233" s="370">
        <v>3749902</v>
      </c>
      <c r="F233" s="462">
        <v>52014.01</v>
      </c>
      <c r="G233" s="368">
        <v>2020</v>
      </c>
      <c r="H233" s="275" t="str">
        <f>VLOOKUP(D233,Source!F:F,1,FALSE)</f>
        <v>North Shore Comm. College</v>
      </c>
    </row>
    <row r="234" spans="1:8">
      <c r="A234" s="58" t="str">
        <f>D234&amp;G234</f>
        <v>North Shore Comm. College2021</v>
      </c>
      <c r="B234" s="368">
        <v>2021</v>
      </c>
      <c r="C234" s="369" t="s">
        <v>438</v>
      </c>
      <c r="D234" s="369" t="s">
        <v>177</v>
      </c>
      <c r="E234" s="370">
        <v>5407711</v>
      </c>
      <c r="F234" s="462">
        <v>49498.62</v>
      </c>
      <c r="G234" s="368">
        <v>2021</v>
      </c>
      <c r="H234" s="275" t="str">
        <f>VLOOKUP(D234,Source!F:F,1,FALSE)</f>
        <v>North Shore Comm. College</v>
      </c>
    </row>
    <row r="235" spans="1:8">
      <c r="A235" s="58" t="str">
        <f>D235&amp;G235</f>
        <v>North Shore Comm. College2022</v>
      </c>
      <c r="B235" s="368">
        <v>2022</v>
      </c>
      <c r="C235" s="369" t="s">
        <v>438</v>
      </c>
      <c r="D235" s="369" t="s">
        <v>177</v>
      </c>
      <c r="E235" s="370">
        <v>2022068</v>
      </c>
      <c r="F235" s="462">
        <v>36700.31</v>
      </c>
      <c r="G235" s="368">
        <v>2022</v>
      </c>
      <c r="H235" s="275" t="str">
        <f>VLOOKUP(D235,Source!F:F,1,FALSE)</f>
        <v>North Shore Comm. College</v>
      </c>
    </row>
    <row r="236" spans="1:8">
      <c r="A236" s="58" t="str">
        <f>D236&amp;G236</f>
        <v>North Shore Comm. College2023</v>
      </c>
      <c r="B236" s="368">
        <v>2023</v>
      </c>
      <c r="C236" s="369" t="s">
        <v>438</v>
      </c>
      <c r="D236" s="369" t="s">
        <v>177</v>
      </c>
      <c r="E236" s="764">
        <v>6211392</v>
      </c>
      <c r="F236" s="765">
        <v>72646.36</v>
      </c>
      <c r="G236" s="368">
        <v>2023</v>
      </c>
      <c r="H236" s="275" t="str">
        <f>VLOOKUP(D236,Source!F:F,1,FALSE)</f>
        <v>North Shore Comm. College</v>
      </c>
    </row>
    <row r="237" spans="1:8">
      <c r="A237" s="58" t="str">
        <f>D237&amp;G237</f>
        <v>North Shore Comm. College2024</v>
      </c>
      <c r="B237" s="368">
        <v>2024</v>
      </c>
      <c r="C237" s="369" t="s">
        <v>438</v>
      </c>
      <c r="D237" s="369" t="s">
        <v>177</v>
      </c>
      <c r="E237" s="764">
        <v>3473824</v>
      </c>
      <c r="F237" s="831">
        <v>66797.09</v>
      </c>
      <c r="G237" s="368">
        <v>2024</v>
      </c>
      <c r="H237" s="275" t="str">
        <f>VLOOKUP(D237,Source!F:F,1,FALSE)</f>
        <v>North Shore Comm. College</v>
      </c>
    </row>
    <row r="238" spans="1:8">
      <c r="A238" s="58" t="str">
        <f>D238&amp;G238</f>
        <v>Northern Essex Comm. College2024</v>
      </c>
      <c r="B238" s="368">
        <v>2024</v>
      </c>
      <c r="C238" s="369" t="s">
        <v>438</v>
      </c>
      <c r="D238" s="369" t="s">
        <v>182</v>
      </c>
      <c r="E238" s="764">
        <v>43107</v>
      </c>
      <c r="F238" s="831">
        <v>27385.360000000001</v>
      </c>
      <c r="G238" s="368">
        <v>2024</v>
      </c>
      <c r="H238" s="275" t="s">
        <v>182</v>
      </c>
    </row>
    <row r="239" spans="1:8">
      <c r="A239" s="58" t="str">
        <f t="shared" si="51"/>
        <v>Quinsigamond Comm. College2014</v>
      </c>
      <c r="B239" s="368">
        <v>2014</v>
      </c>
      <c r="C239" s="369" t="s">
        <v>438</v>
      </c>
      <c r="D239" s="369" t="s">
        <v>183</v>
      </c>
      <c r="E239" s="370">
        <v>26339</v>
      </c>
      <c r="F239" s="462">
        <v>12358</v>
      </c>
      <c r="G239" s="368">
        <v>2014</v>
      </c>
      <c r="H239" s="275" t="str">
        <f>VLOOKUP(D239,Source!F:F,1,FALSE)</f>
        <v>Quinsigamond Comm. College</v>
      </c>
    </row>
    <row r="240" spans="1:8">
      <c r="A240" s="58" t="str">
        <f t="shared" si="51"/>
        <v>Quinsigamond Comm. College2015</v>
      </c>
      <c r="B240" s="368">
        <v>2015</v>
      </c>
      <c r="C240" s="369" t="s">
        <v>438</v>
      </c>
      <c r="D240" s="369" t="s">
        <v>183</v>
      </c>
      <c r="E240" s="370">
        <v>25598</v>
      </c>
      <c r="F240" s="462">
        <v>12114</v>
      </c>
      <c r="G240" s="368">
        <v>2015</v>
      </c>
      <c r="H240" s="275" t="str">
        <f>VLOOKUP(D240,Source!F:F,1,FALSE)</f>
        <v>Quinsigamond Comm. College</v>
      </c>
    </row>
    <row r="241" spans="1:8">
      <c r="A241" s="58" t="str">
        <f t="shared" si="51"/>
        <v>Quinsigamond Comm. College2016</v>
      </c>
      <c r="B241" s="368">
        <v>2016</v>
      </c>
      <c r="C241" s="369" t="s">
        <v>438</v>
      </c>
      <c r="D241" s="369" t="s">
        <v>183</v>
      </c>
      <c r="E241" s="370">
        <v>24887.69</v>
      </c>
      <c r="F241" s="462">
        <v>11977</v>
      </c>
      <c r="G241" s="368">
        <v>2016</v>
      </c>
      <c r="H241" s="275" t="str">
        <f>VLOOKUP(D241,Source!F:F,1,FALSE)</f>
        <v>Quinsigamond Comm. College</v>
      </c>
    </row>
    <row r="242" spans="1:8">
      <c r="A242" s="58" t="str">
        <f t="shared" ref="A242:A244" si="72">D242&amp;G242</f>
        <v>Quinsigamond Comm. College2017</v>
      </c>
      <c r="B242" s="368">
        <v>2017</v>
      </c>
      <c r="C242" s="369" t="s">
        <v>438</v>
      </c>
      <c r="D242" s="369" t="s">
        <v>183</v>
      </c>
      <c r="E242" s="370" t="s">
        <v>925</v>
      </c>
      <c r="F242" s="462" t="s">
        <v>925</v>
      </c>
      <c r="G242" s="368">
        <v>2017</v>
      </c>
      <c r="H242" s="275" t="str">
        <f>VLOOKUP(D242,Source!F:F,1,FALSE)</f>
        <v>Quinsigamond Comm. College</v>
      </c>
    </row>
    <row r="243" spans="1:8">
      <c r="A243" s="58" t="str">
        <f t="shared" si="72"/>
        <v>Quinsigamond Comm. College2018</v>
      </c>
      <c r="B243" s="368">
        <v>2018</v>
      </c>
      <c r="C243" s="369" t="s">
        <v>438</v>
      </c>
      <c r="D243" s="369" t="s">
        <v>183</v>
      </c>
      <c r="E243" s="370" t="s">
        <v>925</v>
      </c>
      <c r="F243" s="462">
        <v>15050</v>
      </c>
      <c r="G243" s="368">
        <v>2018</v>
      </c>
      <c r="H243" s="275" t="str">
        <f>VLOOKUP(D243,Source!F:F,1,FALSE)</f>
        <v>Quinsigamond Comm. College</v>
      </c>
    </row>
    <row r="244" spans="1:8">
      <c r="A244" s="58" t="str">
        <f t="shared" si="72"/>
        <v>Quinsigamond Comm. College2019</v>
      </c>
      <c r="B244" s="368">
        <v>2019</v>
      </c>
      <c r="C244" s="369" t="s">
        <v>438</v>
      </c>
      <c r="D244" s="369" t="s">
        <v>183</v>
      </c>
      <c r="E244" s="370">
        <v>47366</v>
      </c>
      <c r="F244" s="462">
        <v>18010</v>
      </c>
      <c r="G244" s="368">
        <v>2019</v>
      </c>
      <c r="H244" s="275" t="str">
        <f>VLOOKUP(D244,Source!F:F,1,FALSE)</f>
        <v>Quinsigamond Comm. College</v>
      </c>
    </row>
    <row r="245" spans="1:8">
      <c r="A245" s="58" t="str">
        <f t="shared" ref="A245:A246" si="73">D245&amp;G245</f>
        <v>Quinsigamond Comm. College2020</v>
      </c>
      <c r="B245" s="368">
        <v>2020</v>
      </c>
      <c r="C245" s="369" t="s">
        <v>438</v>
      </c>
      <c r="D245" s="369" t="s">
        <v>183</v>
      </c>
      <c r="E245" s="370" t="s">
        <v>925</v>
      </c>
      <c r="F245" s="462">
        <v>15568</v>
      </c>
      <c r="G245" s="368">
        <v>2020</v>
      </c>
      <c r="H245" s="275" t="str">
        <f>VLOOKUP(D245,Source!F:F,1,FALSE)</f>
        <v>Quinsigamond Comm. College</v>
      </c>
    </row>
    <row r="246" spans="1:8">
      <c r="A246" s="58" t="str">
        <f t="shared" si="73"/>
        <v>Quinsigamond Comm. College2021</v>
      </c>
      <c r="B246" s="368">
        <v>2021</v>
      </c>
      <c r="C246" s="369" t="s">
        <v>438</v>
      </c>
      <c r="D246" s="369" t="s">
        <v>183</v>
      </c>
      <c r="E246" s="370" t="s">
        <v>925</v>
      </c>
      <c r="F246" s="462">
        <v>11668</v>
      </c>
      <c r="G246" s="368">
        <v>2021</v>
      </c>
      <c r="H246" s="275" t="str">
        <f>VLOOKUP(D246,Source!F:F,1,FALSE)</f>
        <v>Quinsigamond Comm. College</v>
      </c>
    </row>
    <row r="247" spans="1:8">
      <c r="A247" s="58" t="str">
        <f t="shared" ref="A247:A248" si="74">D247&amp;G247</f>
        <v>Quinsigamond Comm. College2022</v>
      </c>
      <c r="B247" s="368">
        <v>2022</v>
      </c>
      <c r="C247" s="369" t="s">
        <v>438</v>
      </c>
      <c r="D247" s="369" t="s">
        <v>183</v>
      </c>
      <c r="E247" s="370" t="s">
        <v>925</v>
      </c>
      <c r="F247" s="370" t="s">
        <v>925</v>
      </c>
      <c r="G247" s="368">
        <v>2022</v>
      </c>
      <c r="H247" s="275" t="str">
        <f>VLOOKUP(D247,Source!F:F,1,FALSE)</f>
        <v>Quinsigamond Comm. College</v>
      </c>
    </row>
    <row r="248" spans="1:8">
      <c r="A248" s="58" t="str">
        <f t="shared" si="74"/>
        <v>Quinsigamond Comm. College2023</v>
      </c>
      <c r="B248" s="368">
        <v>2023</v>
      </c>
      <c r="C248" s="369" t="s">
        <v>438</v>
      </c>
      <c r="D248" s="369" t="s">
        <v>183</v>
      </c>
      <c r="E248" s="370" t="s">
        <v>925</v>
      </c>
      <c r="F248" s="370" t="s">
        <v>925</v>
      </c>
      <c r="G248" s="368">
        <v>2023</v>
      </c>
      <c r="H248" s="275" t="str">
        <f>VLOOKUP(D248,Source!F:F,1,FALSE)</f>
        <v>Quinsigamond Comm. College</v>
      </c>
    </row>
    <row r="249" spans="1:8">
      <c r="A249" s="58" t="str">
        <f t="shared" ref="A249" si="75">D249&amp;G249</f>
        <v>Quinsigamond Comm. College2024</v>
      </c>
      <c r="B249" s="368">
        <v>2024</v>
      </c>
      <c r="C249" s="369" t="s">
        <v>438</v>
      </c>
      <c r="D249" s="369" t="s">
        <v>183</v>
      </c>
      <c r="E249" s="370" t="s">
        <v>925</v>
      </c>
      <c r="F249" s="370" t="s">
        <v>925</v>
      </c>
      <c r="G249" s="368">
        <v>2024</v>
      </c>
      <c r="H249" s="275" t="str">
        <f>VLOOKUP(D249,Source!F:F,1,FALSE)</f>
        <v>Quinsigamond Comm. College</v>
      </c>
    </row>
    <row r="250" spans="1:8">
      <c r="A250" s="58" t="str">
        <f t="shared" si="51"/>
        <v>Roxbury Comm. College2016</v>
      </c>
      <c r="B250" s="368">
        <v>2016</v>
      </c>
      <c r="C250" s="369" t="s">
        <v>438</v>
      </c>
      <c r="D250" s="369" t="s">
        <v>188</v>
      </c>
      <c r="E250" s="370">
        <v>466300</v>
      </c>
      <c r="F250" s="462">
        <v>24685.34</v>
      </c>
      <c r="G250" s="368">
        <v>2016</v>
      </c>
      <c r="H250" s="275" t="str">
        <f>VLOOKUP(D250,Source!F:F,1,FALSE)</f>
        <v>Roxbury Comm. College</v>
      </c>
    </row>
    <row r="251" spans="1:8">
      <c r="A251" s="58" t="str">
        <f t="shared" ref="A251:A253" si="76">D251&amp;G251</f>
        <v>Roxbury Comm. College2017</v>
      </c>
      <c r="B251" s="368">
        <v>2017</v>
      </c>
      <c r="C251" s="369" t="s">
        <v>438</v>
      </c>
      <c r="D251" s="369" t="s">
        <v>188</v>
      </c>
      <c r="E251" s="370" t="s">
        <v>925</v>
      </c>
      <c r="F251" s="462" t="s">
        <v>925</v>
      </c>
      <c r="G251" s="368">
        <v>2017</v>
      </c>
      <c r="H251" s="275" t="str">
        <f>VLOOKUP(D251,Source!F:F,1,FALSE)</f>
        <v>Roxbury Comm. College</v>
      </c>
    </row>
    <row r="252" spans="1:8">
      <c r="A252" s="58" t="str">
        <f t="shared" si="76"/>
        <v>Roxbury Comm. College2018</v>
      </c>
      <c r="B252" s="368">
        <v>2018</v>
      </c>
      <c r="C252" s="369" t="s">
        <v>438</v>
      </c>
      <c r="D252" s="369" t="s">
        <v>188</v>
      </c>
      <c r="E252" s="370" t="s">
        <v>925</v>
      </c>
      <c r="F252" s="462" t="s">
        <v>925</v>
      </c>
      <c r="G252" s="368">
        <v>2018</v>
      </c>
      <c r="H252" s="275" t="str">
        <f>VLOOKUP(D252,Source!F:F,1,FALSE)</f>
        <v>Roxbury Comm. College</v>
      </c>
    </row>
    <row r="253" spans="1:8">
      <c r="A253" s="58" t="str">
        <f t="shared" si="76"/>
        <v>Roxbury Comm. College2019</v>
      </c>
      <c r="B253" s="368">
        <v>2019</v>
      </c>
      <c r="C253" s="369" t="s">
        <v>438</v>
      </c>
      <c r="D253" s="369" t="s">
        <v>188</v>
      </c>
      <c r="E253" s="370" t="s">
        <v>925</v>
      </c>
      <c r="F253" s="462" t="s">
        <v>925</v>
      </c>
      <c r="G253" s="368">
        <v>2019</v>
      </c>
      <c r="H253" s="275" t="str">
        <f>VLOOKUP(D253,Source!F:F,1,FALSE)</f>
        <v>Roxbury Comm. College</v>
      </c>
    </row>
    <row r="254" spans="1:8">
      <c r="A254" s="58" t="str">
        <f t="shared" ref="A254:A255" si="77">D254&amp;G254</f>
        <v>Roxbury Comm. College2020</v>
      </c>
      <c r="B254" s="368">
        <v>2020</v>
      </c>
      <c r="C254" s="369" t="s">
        <v>438</v>
      </c>
      <c r="D254" s="369" t="s">
        <v>188</v>
      </c>
      <c r="E254" s="367" t="s">
        <v>925</v>
      </c>
      <c r="F254" s="461" t="s">
        <v>925</v>
      </c>
      <c r="G254" s="368">
        <v>2020</v>
      </c>
      <c r="H254" s="275" t="str">
        <f>VLOOKUP(D254,Source!F:F,1,FALSE)</f>
        <v>Roxbury Comm. College</v>
      </c>
    </row>
    <row r="255" spans="1:8">
      <c r="A255" s="58" t="str">
        <f t="shared" si="77"/>
        <v>Roxbury Comm. College2021</v>
      </c>
      <c r="B255" s="368">
        <v>2021</v>
      </c>
      <c r="C255" s="369" t="s">
        <v>438</v>
      </c>
      <c r="D255" s="369" t="s">
        <v>188</v>
      </c>
      <c r="E255" s="367" t="s">
        <v>925</v>
      </c>
      <c r="F255" s="461" t="s">
        <v>925</v>
      </c>
      <c r="G255" s="368">
        <v>2021</v>
      </c>
      <c r="H255" s="275" t="str">
        <f>VLOOKUP(D255,Source!F:F,1,FALSE)</f>
        <v>Roxbury Comm. College</v>
      </c>
    </row>
    <row r="256" spans="1:8">
      <c r="A256" s="58" t="str">
        <f t="shared" ref="A256:A257" si="78">D256&amp;G256</f>
        <v>Roxbury Comm. College2022</v>
      </c>
      <c r="B256" s="368">
        <v>2022</v>
      </c>
      <c r="C256" s="369" t="s">
        <v>438</v>
      </c>
      <c r="D256" s="369" t="s">
        <v>188</v>
      </c>
      <c r="E256" s="367" t="s">
        <v>925</v>
      </c>
      <c r="F256" s="461" t="s">
        <v>925</v>
      </c>
      <c r="G256" s="368">
        <v>2022</v>
      </c>
      <c r="H256" s="275" t="str">
        <f>VLOOKUP(D256,Source!F:F,1,FALSE)</f>
        <v>Roxbury Comm. College</v>
      </c>
    </row>
    <row r="257" spans="1:8">
      <c r="A257" s="58" t="str">
        <f t="shared" si="78"/>
        <v>Roxbury Comm. College2023</v>
      </c>
      <c r="B257" s="368">
        <v>2023</v>
      </c>
      <c r="C257" s="369" t="s">
        <v>438</v>
      </c>
      <c r="D257" s="369" t="s">
        <v>188</v>
      </c>
      <c r="E257" s="367" t="s">
        <v>925</v>
      </c>
      <c r="F257" s="461" t="s">
        <v>925</v>
      </c>
      <c r="G257" s="368">
        <v>2023</v>
      </c>
      <c r="H257" s="275" t="str">
        <f>VLOOKUP(D257,Source!F:F,1,FALSE)</f>
        <v>Roxbury Comm. College</v>
      </c>
    </row>
    <row r="258" spans="1:8">
      <c r="A258" s="58" t="str">
        <f t="shared" ref="A258" si="79">D258&amp;G258</f>
        <v>Roxbury Comm. College2024</v>
      </c>
      <c r="B258" s="368">
        <v>2024</v>
      </c>
      <c r="C258" s="369" t="s">
        <v>438</v>
      </c>
      <c r="D258" s="369" t="s">
        <v>188</v>
      </c>
      <c r="E258" s="367" t="s">
        <v>925</v>
      </c>
      <c r="F258" s="461" t="s">
        <v>925</v>
      </c>
      <c r="G258" s="368">
        <v>2024</v>
      </c>
      <c r="H258" s="275" t="str">
        <f>VLOOKUP(D258,Source!F:F,1,FALSE)</f>
        <v>Roxbury Comm. College</v>
      </c>
    </row>
    <row r="259" spans="1:8">
      <c r="A259" s="58" t="str">
        <f t="shared" si="51"/>
        <v>Salem State University2014</v>
      </c>
      <c r="B259" s="368">
        <v>2014</v>
      </c>
      <c r="C259" s="369" t="s">
        <v>438</v>
      </c>
      <c r="D259" s="369" t="s">
        <v>190</v>
      </c>
      <c r="E259" s="370">
        <v>29071781</v>
      </c>
      <c r="F259" s="462">
        <v>449576.31</v>
      </c>
      <c r="G259" s="368">
        <v>2014</v>
      </c>
      <c r="H259" s="275" t="str">
        <f>VLOOKUP(D259,Source!F:F,1,FALSE)</f>
        <v>Salem State University</v>
      </c>
    </row>
    <row r="260" spans="1:8">
      <c r="A260" s="58" t="str">
        <f t="shared" si="51"/>
        <v>Salem State University2015</v>
      </c>
      <c r="B260" s="368">
        <v>2015</v>
      </c>
      <c r="C260" s="369" t="s">
        <v>438</v>
      </c>
      <c r="D260" s="369" t="s">
        <v>190</v>
      </c>
      <c r="E260" s="370">
        <v>27696925</v>
      </c>
      <c r="F260" s="462">
        <v>433166.06</v>
      </c>
      <c r="G260" s="368">
        <v>2015</v>
      </c>
      <c r="H260" s="275" t="str">
        <f>VLOOKUP(D260,Source!F:F,1,FALSE)</f>
        <v>Salem State University</v>
      </c>
    </row>
    <row r="261" spans="1:8">
      <c r="A261" s="58" t="str">
        <f t="shared" ref="A261:A335" si="80">D261&amp;G261</f>
        <v>Salem State University2016</v>
      </c>
      <c r="B261" s="368">
        <v>2016</v>
      </c>
      <c r="C261" s="369" t="s">
        <v>438</v>
      </c>
      <c r="D261" s="369" t="s">
        <v>190</v>
      </c>
      <c r="E261" s="370">
        <v>26144983</v>
      </c>
      <c r="F261" s="462">
        <v>428080.98</v>
      </c>
      <c r="G261" s="368">
        <v>2016</v>
      </c>
      <c r="H261" s="275" t="str">
        <f>VLOOKUP(D261,Source!F:F,1,FALSE)</f>
        <v>Salem State University</v>
      </c>
    </row>
    <row r="262" spans="1:8">
      <c r="A262" s="58" t="str">
        <f t="shared" si="80"/>
        <v>Salem State University2017</v>
      </c>
      <c r="B262" s="368">
        <v>2017</v>
      </c>
      <c r="C262" s="369" t="s">
        <v>438</v>
      </c>
      <c r="D262" s="369" t="s">
        <v>190</v>
      </c>
      <c r="E262" s="370">
        <v>22736866</v>
      </c>
      <c r="F262" s="462">
        <v>387943</v>
      </c>
      <c r="G262" s="368">
        <v>2017</v>
      </c>
      <c r="H262" s="275" t="str">
        <f>VLOOKUP(D262,Source!F:F,1,FALSE)</f>
        <v>Salem State University</v>
      </c>
    </row>
    <row r="263" spans="1:8">
      <c r="A263" s="58" t="str">
        <f t="shared" ref="A263:A264" si="81">D263&amp;G263</f>
        <v>Salem State University2018</v>
      </c>
      <c r="B263" s="368">
        <v>2018</v>
      </c>
      <c r="C263" s="369" t="s">
        <v>438</v>
      </c>
      <c r="D263" s="369" t="s">
        <v>190</v>
      </c>
      <c r="E263" s="370">
        <v>22754663</v>
      </c>
      <c r="F263" s="462">
        <v>383001</v>
      </c>
      <c r="G263" s="368">
        <v>2018</v>
      </c>
      <c r="H263" s="275" t="str">
        <f>VLOOKUP(D263,Source!F:F,1,FALSE)</f>
        <v>Salem State University</v>
      </c>
    </row>
    <row r="264" spans="1:8">
      <c r="A264" s="58" t="str">
        <f t="shared" si="81"/>
        <v>Salem State University2019</v>
      </c>
      <c r="B264" s="368">
        <v>2019</v>
      </c>
      <c r="C264" s="369" t="s">
        <v>438</v>
      </c>
      <c r="D264" s="369" t="s">
        <v>190</v>
      </c>
      <c r="E264" s="370">
        <v>25912445</v>
      </c>
      <c r="F264" s="462">
        <v>476465</v>
      </c>
      <c r="G264" s="368">
        <v>2019</v>
      </c>
      <c r="H264" s="275" t="str">
        <f>VLOOKUP(D264,Source!F:F,1,FALSE)</f>
        <v>Salem State University</v>
      </c>
    </row>
    <row r="265" spans="1:8">
      <c r="A265" s="58" t="str">
        <f t="shared" ref="A265:A266" si="82">D265&amp;G265</f>
        <v>Salem State University2020</v>
      </c>
      <c r="B265" s="368">
        <v>2020</v>
      </c>
      <c r="C265" s="369" t="s">
        <v>438</v>
      </c>
      <c r="D265" s="369" t="s">
        <v>190</v>
      </c>
      <c r="E265" s="370">
        <v>19373423</v>
      </c>
      <c r="F265" s="462">
        <v>391026</v>
      </c>
      <c r="G265" s="368">
        <v>2020</v>
      </c>
      <c r="H265" s="275" t="str">
        <f>VLOOKUP(D265,Source!F:F,1,FALSE)</f>
        <v>Salem State University</v>
      </c>
    </row>
    <row r="266" spans="1:8">
      <c r="A266" s="58" t="str">
        <f t="shared" si="82"/>
        <v>Salem State University2021</v>
      </c>
      <c r="B266" s="368">
        <v>2021</v>
      </c>
      <c r="C266" s="369" t="s">
        <v>438</v>
      </c>
      <c r="D266" s="369" t="s">
        <v>190</v>
      </c>
      <c r="E266" s="370">
        <v>16420952</v>
      </c>
      <c r="F266" s="462">
        <v>326123.51</v>
      </c>
      <c r="G266" s="368">
        <v>2021</v>
      </c>
      <c r="H266" s="275" t="str">
        <f>VLOOKUP(D266,Source!F:F,1,FALSE)</f>
        <v>Salem State University</v>
      </c>
    </row>
    <row r="267" spans="1:8">
      <c r="A267" s="58" t="str">
        <f t="shared" ref="A267:A268" si="83">D267&amp;G267</f>
        <v>Salem State University2022</v>
      </c>
      <c r="B267" s="368">
        <v>2022</v>
      </c>
      <c r="C267" s="369" t="s">
        <v>438</v>
      </c>
      <c r="D267" s="369" t="s">
        <v>190</v>
      </c>
      <c r="E267" s="370">
        <v>19703030</v>
      </c>
      <c r="F267" s="462">
        <v>356523.34</v>
      </c>
      <c r="G267" s="368">
        <v>2022</v>
      </c>
      <c r="H267" s="275" t="str">
        <f>VLOOKUP(D267,Source!F:F,1,FALSE)</f>
        <v>Salem State University</v>
      </c>
    </row>
    <row r="268" spans="1:8">
      <c r="A268" s="58" t="str">
        <f t="shared" si="83"/>
        <v>Salem State University2023</v>
      </c>
      <c r="B268" s="368">
        <v>2023</v>
      </c>
      <c r="C268" s="369" t="s">
        <v>438</v>
      </c>
      <c r="D268" s="369" t="s">
        <v>190</v>
      </c>
      <c r="E268" s="764">
        <v>25589967</v>
      </c>
      <c r="F268" s="765">
        <v>512596</v>
      </c>
      <c r="G268" s="368">
        <v>2023</v>
      </c>
      <c r="H268" s="275" t="str">
        <f>VLOOKUP(D268,Source!F:F,1,FALSE)</f>
        <v>Salem State University</v>
      </c>
    </row>
    <row r="269" spans="1:8">
      <c r="A269" s="58" t="str">
        <f t="shared" ref="A269" si="84">D269&amp;G269</f>
        <v>Salem State University2024</v>
      </c>
      <c r="B269" s="368">
        <v>2024</v>
      </c>
      <c r="C269" s="369" t="s">
        <v>438</v>
      </c>
      <c r="D269" s="369" t="s">
        <v>190</v>
      </c>
      <c r="E269" s="827">
        <v>22933919</v>
      </c>
      <c r="F269" s="828">
        <v>455146.58</v>
      </c>
      <c r="G269" s="368">
        <v>2024</v>
      </c>
      <c r="H269" s="275" t="str">
        <f>VLOOKUP(D269,Source!F:F,1,FALSE)</f>
        <v>Salem State University</v>
      </c>
    </row>
    <row r="270" spans="1:8">
      <c r="A270" s="58" t="str">
        <f t="shared" si="80"/>
        <v>Springfield Technical Comm. College2013</v>
      </c>
      <c r="B270" s="368">
        <v>2013</v>
      </c>
      <c r="C270" s="369" t="s">
        <v>438</v>
      </c>
      <c r="D270" s="369" t="s">
        <v>195</v>
      </c>
      <c r="E270" s="370">
        <v>1807000</v>
      </c>
      <c r="F270" s="462">
        <v>43380.36</v>
      </c>
      <c r="G270" s="368">
        <v>2013</v>
      </c>
      <c r="H270" s="275" t="str">
        <f>VLOOKUP(D270,Source!F:F,1,FALSE)</f>
        <v>Springfield Technical Comm. College</v>
      </c>
    </row>
    <row r="271" spans="1:8">
      <c r="A271" s="58" t="str">
        <f t="shared" si="80"/>
        <v>Springfield Technical Comm. College2014</v>
      </c>
      <c r="B271" s="368">
        <v>2014</v>
      </c>
      <c r="C271" s="369" t="s">
        <v>438</v>
      </c>
      <c r="D271" s="369" t="s">
        <v>195</v>
      </c>
      <c r="E271" s="370">
        <v>1688100</v>
      </c>
      <c r="F271" s="462">
        <v>42214.27</v>
      </c>
      <c r="G271" s="368">
        <v>2014</v>
      </c>
      <c r="H271" s="275" t="str">
        <f>VLOOKUP(D271,Source!F:F,1,FALSE)</f>
        <v>Springfield Technical Comm. College</v>
      </c>
    </row>
    <row r="272" spans="1:8">
      <c r="A272" s="58" t="str">
        <f t="shared" si="80"/>
        <v>Springfield Technical Comm. College2015</v>
      </c>
      <c r="B272" s="368">
        <v>2015</v>
      </c>
      <c r="C272" s="369" t="s">
        <v>438</v>
      </c>
      <c r="D272" s="369" t="s">
        <v>195</v>
      </c>
      <c r="E272" s="370">
        <v>1343500</v>
      </c>
      <c r="F272" s="462">
        <v>37508.47</v>
      </c>
      <c r="G272" s="368">
        <v>2015</v>
      </c>
      <c r="H272" s="275" t="str">
        <f>VLOOKUP(D272,Source!F:F,1,FALSE)</f>
        <v>Springfield Technical Comm. College</v>
      </c>
    </row>
    <row r="273" spans="1:8">
      <c r="A273" s="58" t="str">
        <f t="shared" si="80"/>
        <v>Springfield Technical Comm. College2016</v>
      </c>
      <c r="B273" s="368">
        <v>2016</v>
      </c>
      <c r="C273" s="369" t="s">
        <v>438</v>
      </c>
      <c r="D273" s="369" t="s">
        <v>195</v>
      </c>
      <c r="E273" s="370">
        <v>1768700</v>
      </c>
      <c r="F273" s="462">
        <v>48974.55</v>
      </c>
      <c r="G273" s="368">
        <v>2016</v>
      </c>
      <c r="H273" s="275" t="str">
        <f>VLOOKUP(D273,Source!F:F,1,FALSE)</f>
        <v>Springfield Technical Comm. College</v>
      </c>
    </row>
    <row r="274" spans="1:8">
      <c r="A274" s="58" t="str">
        <f t="shared" si="80"/>
        <v>Springfield Technical Comm. College2017</v>
      </c>
      <c r="B274" s="368">
        <v>2017</v>
      </c>
      <c r="C274" s="369" t="s">
        <v>438</v>
      </c>
      <c r="D274" s="369" t="s">
        <v>195</v>
      </c>
      <c r="E274" s="370">
        <v>6274972</v>
      </c>
      <c r="F274" s="462">
        <v>48663</v>
      </c>
      <c r="G274" s="368">
        <v>2017</v>
      </c>
      <c r="H274" s="275" t="str">
        <f>VLOOKUP(D274,Source!F:F,1,FALSE)</f>
        <v>Springfield Technical Comm. College</v>
      </c>
    </row>
    <row r="275" spans="1:8">
      <c r="A275" s="58" t="str">
        <f t="shared" ref="A275:A276" si="85">D275&amp;G275</f>
        <v>Springfield Technical Comm. College2018</v>
      </c>
      <c r="B275" s="368">
        <v>2018</v>
      </c>
      <c r="C275" s="369" t="s">
        <v>438</v>
      </c>
      <c r="D275" s="369" t="s">
        <v>195</v>
      </c>
      <c r="E275" s="370">
        <v>8157688</v>
      </c>
      <c r="F275" s="462">
        <v>97318</v>
      </c>
      <c r="G275" s="368">
        <v>2018</v>
      </c>
      <c r="H275" s="275" t="str">
        <f>VLOOKUP(D275,Source!F:F,1,FALSE)</f>
        <v>Springfield Technical Comm. College</v>
      </c>
    </row>
    <row r="276" spans="1:8">
      <c r="A276" s="58" t="str">
        <f t="shared" si="85"/>
        <v>Springfield Technical Comm. College2019</v>
      </c>
      <c r="B276" s="368">
        <v>2019</v>
      </c>
      <c r="C276" s="369" t="s">
        <v>438</v>
      </c>
      <c r="D276" s="369" t="s">
        <v>195</v>
      </c>
      <c r="E276" s="370">
        <v>17008024</v>
      </c>
      <c r="F276" s="462">
        <v>211174</v>
      </c>
      <c r="G276" s="368">
        <v>2019</v>
      </c>
      <c r="H276" s="275" t="str">
        <f>VLOOKUP(D276,Source!F:F,1,FALSE)</f>
        <v>Springfield Technical Comm. College</v>
      </c>
    </row>
    <row r="277" spans="1:8">
      <c r="A277" s="58" t="str">
        <f t="shared" ref="A277:A278" si="86">D277&amp;G277</f>
        <v>Springfield Technical Comm. College2020</v>
      </c>
      <c r="B277" s="368">
        <v>2020</v>
      </c>
      <c r="C277" s="369" t="s">
        <v>438</v>
      </c>
      <c r="D277" s="369" t="s">
        <v>195</v>
      </c>
      <c r="E277" s="367">
        <v>6504608</v>
      </c>
      <c r="F277" s="461">
        <v>91017.88</v>
      </c>
      <c r="G277" s="368">
        <v>2020</v>
      </c>
      <c r="H277" s="275" t="str">
        <f>VLOOKUP(D277,Source!F:F,1,FALSE)</f>
        <v>Springfield Technical Comm. College</v>
      </c>
    </row>
    <row r="278" spans="1:8">
      <c r="A278" s="58" t="str">
        <f t="shared" si="86"/>
        <v>Springfield Technical Comm. College2021</v>
      </c>
      <c r="B278" s="368">
        <v>2021</v>
      </c>
      <c r="C278" s="369" t="s">
        <v>438</v>
      </c>
      <c r="D278" s="369" t="s">
        <v>195</v>
      </c>
      <c r="E278" s="367">
        <v>7580980</v>
      </c>
      <c r="F278" s="461">
        <v>97378.72</v>
      </c>
      <c r="G278" s="368">
        <v>2021</v>
      </c>
      <c r="H278" s="275" t="str">
        <f>VLOOKUP(D278,Source!F:F,1,FALSE)</f>
        <v>Springfield Technical Comm. College</v>
      </c>
    </row>
    <row r="279" spans="1:8">
      <c r="A279" s="58" t="str">
        <f t="shared" ref="A279:A280" si="87">D279&amp;G279</f>
        <v>Springfield Technical Comm. College2022</v>
      </c>
      <c r="B279" s="368">
        <v>2022</v>
      </c>
      <c r="C279" s="369" t="s">
        <v>438</v>
      </c>
      <c r="D279" s="369" t="s">
        <v>195</v>
      </c>
      <c r="E279" s="367">
        <v>5924908</v>
      </c>
      <c r="F279" s="461">
        <v>104854.58</v>
      </c>
      <c r="G279" s="368">
        <v>2022</v>
      </c>
      <c r="H279" s="275" t="str">
        <f>VLOOKUP(D279,Source!F:F,1,FALSE)</f>
        <v>Springfield Technical Comm. College</v>
      </c>
    </row>
    <row r="280" spans="1:8">
      <c r="A280" s="58" t="str">
        <f t="shared" si="87"/>
        <v>Springfield Technical Comm. College2023</v>
      </c>
      <c r="B280" s="368">
        <v>2023</v>
      </c>
      <c r="C280" s="369" t="s">
        <v>438</v>
      </c>
      <c r="D280" s="369" t="s">
        <v>195</v>
      </c>
      <c r="E280" s="367" t="s">
        <v>925</v>
      </c>
      <c r="F280" s="461" t="s">
        <v>925</v>
      </c>
      <c r="G280" s="368">
        <v>2023</v>
      </c>
      <c r="H280" s="275" t="str">
        <f>VLOOKUP(D280,Source!F:F,1,FALSE)</f>
        <v>Springfield Technical Comm. College</v>
      </c>
    </row>
    <row r="281" spans="1:8">
      <c r="A281" s="58" t="str">
        <f t="shared" ref="A281" si="88">D281&amp;G281</f>
        <v>Springfield Technical Comm. College2024</v>
      </c>
      <c r="B281" s="368">
        <v>2024</v>
      </c>
      <c r="C281" s="369" t="s">
        <v>438</v>
      </c>
      <c r="D281" s="369" t="s">
        <v>195</v>
      </c>
      <c r="E281" s="827">
        <v>0</v>
      </c>
      <c r="F281" s="828">
        <v>170051</v>
      </c>
      <c r="G281" s="368">
        <v>2024</v>
      </c>
      <c r="H281" s="275" t="str">
        <f>VLOOKUP(D281,Source!F:F,1,FALSE)</f>
        <v>Springfield Technical Comm. College</v>
      </c>
    </row>
    <row r="282" spans="1:8">
      <c r="A282" s="58" t="str">
        <f t="shared" si="80"/>
        <v>Trial Court2013</v>
      </c>
      <c r="B282" s="368">
        <v>2013</v>
      </c>
      <c r="C282" s="369" t="s">
        <v>927</v>
      </c>
      <c r="D282" s="369" t="s">
        <v>200</v>
      </c>
      <c r="E282" s="370">
        <v>44404157</v>
      </c>
      <c r="F282" s="462">
        <v>592788.72</v>
      </c>
      <c r="G282" s="368">
        <v>2013</v>
      </c>
      <c r="H282" s="275" t="str">
        <f>VLOOKUP(D282,Source!F:F,1,FALSE)</f>
        <v>Trial Court</v>
      </c>
    </row>
    <row r="283" spans="1:8">
      <c r="A283" s="58" t="str">
        <f t="shared" si="80"/>
        <v>Trial Court2014</v>
      </c>
      <c r="B283" s="368">
        <v>2014</v>
      </c>
      <c r="C283" s="369" t="s">
        <v>927</v>
      </c>
      <c r="D283" s="369" t="s">
        <v>200</v>
      </c>
      <c r="E283" s="370">
        <v>41786837</v>
      </c>
      <c r="F283" s="462">
        <v>580383.47</v>
      </c>
      <c r="G283" s="368">
        <v>2014</v>
      </c>
      <c r="H283" s="275" t="str">
        <f>VLOOKUP(D283,Source!F:F,1,FALSE)</f>
        <v>Trial Court</v>
      </c>
    </row>
    <row r="284" spans="1:8">
      <c r="A284" s="58" t="str">
        <f t="shared" si="80"/>
        <v>Trial Court2015</v>
      </c>
      <c r="B284" s="368">
        <v>2015</v>
      </c>
      <c r="C284" s="369" t="s">
        <v>927</v>
      </c>
      <c r="D284" s="369" t="s">
        <v>200</v>
      </c>
      <c r="E284" s="370">
        <v>40647499</v>
      </c>
      <c r="F284" s="462">
        <v>586951.03</v>
      </c>
      <c r="G284" s="368">
        <v>2015</v>
      </c>
      <c r="H284" s="275" t="str">
        <f>VLOOKUP(D284,Source!F:F,1,FALSE)</f>
        <v>Trial Court</v>
      </c>
    </row>
    <row r="285" spans="1:8">
      <c r="A285" s="58" t="str">
        <f t="shared" si="80"/>
        <v>Trial Court2016</v>
      </c>
      <c r="B285" s="368">
        <v>2016</v>
      </c>
      <c r="C285" s="369" t="s">
        <v>927</v>
      </c>
      <c r="D285" s="369" t="s">
        <v>200</v>
      </c>
      <c r="E285" s="370">
        <v>39058065</v>
      </c>
      <c r="F285" s="462">
        <v>579321.72</v>
      </c>
      <c r="G285" s="368">
        <v>2016</v>
      </c>
      <c r="H285" s="275" t="str">
        <f>VLOOKUP(D285,Source!F:F,1,FALSE)</f>
        <v>Trial Court</v>
      </c>
    </row>
    <row r="286" spans="1:8">
      <c r="A286" s="58" t="str">
        <f t="shared" si="80"/>
        <v>Trial Court2017</v>
      </c>
      <c r="B286" s="368">
        <v>2017</v>
      </c>
      <c r="C286" s="369" t="s">
        <v>927</v>
      </c>
      <c r="D286" s="369" t="s">
        <v>200</v>
      </c>
      <c r="E286" s="370">
        <v>38425708</v>
      </c>
      <c r="F286" s="462">
        <v>610332.71</v>
      </c>
      <c r="G286" s="368">
        <v>2017</v>
      </c>
      <c r="H286" s="275" t="str">
        <f>VLOOKUP(D286,Source!F:F,1,FALSE)</f>
        <v>Trial Court</v>
      </c>
    </row>
    <row r="287" spans="1:8">
      <c r="A287" s="58" t="str">
        <f t="shared" ref="A287:A288" si="89">D287&amp;G287</f>
        <v>Trial Court2018</v>
      </c>
      <c r="B287" s="368">
        <v>2018</v>
      </c>
      <c r="C287" s="369" t="s">
        <v>927</v>
      </c>
      <c r="D287" s="369" t="s">
        <v>200</v>
      </c>
      <c r="E287" s="370" t="s">
        <v>925</v>
      </c>
      <c r="F287" s="462" t="s">
        <v>925</v>
      </c>
      <c r="G287" s="368">
        <v>2018</v>
      </c>
      <c r="H287" s="275" t="str">
        <f>VLOOKUP(D287,Source!F:F,1,FALSE)</f>
        <v>Trial Court</v>
      </c>
    </row>
    <row r="288" spans="1:8">
      <c r="A288" s="58" t="str">
        <f t="shared" si="89"/>
        <v>Trial Court2019</v>
      </c>
      <c r="B288" s="368">
        <v>2019</v>
      </c>
      <c r="C288" s="369" t="s">
        <v>927</v>
      </c>
      <c r="D288" s="369" t="s">
        <v>200</v>
      </c>
      <c r="E288" s="370" t="s">
        <v>925</v>
      </c>
      <c r="F288" s="462" t="s">
        <v>925</v>
      </c>
      <c r="G288" s="368">
        <v>2019</v>
      </c>
      <c r="H288" s="275" t="str">
        <f>VLOOKUP(D288,Source!F:F,1,FALSE)</f>
        <v>Trial Court</v>
      </c>
    </row>
    <row r="289" spans="1:8">
      <c r="A289" s="58" t="str">
        <f t="shared" ref="A289:A290" si="90">D289&amp;G289</f>
        <v>Trial Court2020</v>
      </c>
      <c r="B289" s="368">
        <v>2020</v>
      </c>
      <c r="C289" s="369" t="s">
        <v>927</v>
      </c>
      <c r="D289" s="369" t="s">
        <v>200</v>
      </c>
      <c r="E289" s="367" t="s">
        <v>925</v>
      </c>
      <c r="F289" s="461" t="s">
        <v>925</v>
      </c>
      <c r="G289" s="368">
        <v>2020</v>
      </c>
      <c r="H289" s="275" t="str">
        <f>VLOOKUP(D289,Source!F:F,1,FALSE)</f>
        <v>Trial Court</v>
      </c>
    </row>
    <row r="290" spans="1:8">
      <c r="A290" s="58" t="str">
        <f t="shared" si="90"/>
        <v>Trial Court2021</v>
      </c>
      <c r="B290" s="368">
        <v>2021</v>
      </c>
      <c r="C290" s="369" t="s">
        <v>927</v>
      </c>
      <c r="D290" s="369" t="s">
        <v>200</v>
      </c>
      <c r="E290" s="367" t="s">
        <v>925</v>
      </c>
      <c r="F290" s="461" t="s">
        <v>925</v>
      </c>
      <c r="G290" s="368">
        <v>2021</v>
      </c>
      <c r="H290" s="275" t="str">
        <f>VLOOKUP(D290,Source!F:F,1,FALSE)</f>
        <v>Trial Court</v>
      </c>
    </row>
    <row r="291" spans="1:8">
      <c r="A291" s="58" t="str">
        <f t="shared" ref="A291:A292" si="91">D291&amp;G291</f>
        <v>Trial Court2022</v>
      </c>
      <c r="B291" s="368">
        <v>2022</v>
      </c>
      <c r="C291" s="369" t="s">
        <v>927</v>
      </c>
      <c r="D291" s="369" t="s">
        <v>200</v>
      </c>
      <c r="E291" s="367" t="s">
        <v>925</v>
      </c>
      <c r="F291" s="461" t="s">
        <v>925</v>
      </c>
      <c r="G291" s="368">
        <v>2022</v>
      </c>
      <c r="H291" s="275" t="str">
        <f>VLOOKUP(D291,Source!F:F,1,FALSE)</f>
        <v>Trial Court</v>
      </c>
    </row>
    <row r="292" spans="1:8">
      <c r="A292" s="58" t="str">
        <f t="shared" si="91"/>
        <v>Trial Court2023</v>
      </c>
      <c r="B292" s="368">
        <v>2023</v>
      </c>
      <c r="C292" s="369" t="s">
        <v>927</v>
      </c>
      <c r="D292" s="369" t="s">
        <v>200</v>
      </c>
      <c r="E292" s="367" t="s">
        <v>925</v>
      </c>
      <c r="F292" s="461" t="s">
        <v>925</v>
      </c>
      <c r="G292" s="368">
        <v>2023</v>
      </c>
      <c r="H292" s="275" t="str">
        <f>VLOOKUP(D292,Source!F:F,1,FALSE)</f>
        <v>Trial Court</v>
      </c>
    </row>
    <row r="293" spans="1:8">
      <c r="A293" s="58" t="str">
        <f t="shared" ref="A293" si="92">D293&amp;G293</f>
        <v>Trial Court2024</v>
      </c>
      <c r="B293" s="368">
        <v>2024</v>
      </c>
      <c r="C293" s="369" t="s">
        <v>927</v>
      </c>
      <c r="D293" s="369" t="s">
        <v>200</v>
      </c>
      <c r="E293" s="367" t="s">
        <v>925</v>
      </c>
      <c r="F293" s="461" t="s">
        <v>925</v>
      </c>
      <c r="G293" s="368">
        <v>2024</v>
      </c>
      <c r="H293" s="275" t="str">
        <f>VLOOKUP(D293,Source!F:F,1,FALSE)</f>
        <v>Trial Court</v>
      </c>
    </row>
    <row r="294" spans="1:8">
      <c r="A294" s="58" t="str">
        <f t="shared" si="80"/>
        <v>UMass Amherst2013</v>
      </c>
      <c r="B294" s="368">
        <v>2013</v>
      </c>
      <c r="C294" s="369" t="s">
        <v>661</v>
      </c>
      <c r="D294" s="369" t="s">
        <v>201</v>
      </c>
      <c r="E294" s="370">
        <v>210872100</v>
      </c>
      <c r="F294" s="462">
        <v>0</v>
      </c>
      <c r="G294" s="368">
        <v>2013</v>
      </c>
      <c r="H294" s="275" t="str">
        <f>VLOOKUP(D294,Source!F:F,1,FALSE)</f>
        <v>UMass Amherst</v>
      </c>
    </row>
    <row r="295" spans="1:8">
      <c r="A295" s="58" t="str">
        <f t="shared" si="80"/>
        <v>UMass Amherst2014</v>
      </c>
      <c r="B295" s="368">
        <v>2014</v>
      </c>
      <c r="C295" s="369" t="s">
        <v>661</v>
      </c>
      <c r="D295" s="369" t="s">
        <v>201</v>
      </c>
      <c r="E295" s="370">
        <v>298649801</v>
      </c>
      <c r="F295" s="462">
        <v>0</v>
      </c>
      <c r="G295" s="368">
        <v>2014</v>
      </c>
      <c r="H295" s="275" t="str">
        <f>VLOOKUP(D295,Source!F:F,1,FALSE)</f>
        <v>UMass Amherst</v>
      </c>
    </row>
    <row r="296" spans="1:8">
      <c r="A296" s="58" t="str">
        <f t="shared" si="80"/>
        <v>UMass Amherst2015</v>
      </c>
      <c r="B296" s="17">
        <v>2015</v>
      </c>
      <c r="C296" s="17" t="s">
        <v>661</v>
      </c>
      <c r="D296" s="17" t="s">
        <v>201</v>
      </c>
      <c r="E296" s="64">
        <v>358777400</v>
      </c>
      <c r="F296" s="465">
        <v>0</v>
      </c>
      <c r="G296" s="17">
        <v>2015</v>
      </c>
      <c r="H296" s="275" t="str">
        <f>VLOOKUP(D296,Source!F:F,1,FALSE)</f>
        <v>UMass Amherst</v>
      </c>
    </row>
    <row r="297" spans="1:8">
      <c r="A297" s="58" t="str">
        <f t="shared" si="80"/>
        <v>UMass Amherst2016</v>
      </c>
      <c r="B297" s="17">
        <v>2016</v>
      </c>
      <c r="C297" s="17" t="s">
        <v>661</v>
      </c>
      <c r="D297" s="17" t="s">
        <v>201</v>
      </c>
      <c r="E297" s="64">
        <v>278825067</v>
      </c>
      <c r="F297" s="465">
        <v>0</v>
      </c>
      <c r="G297" s="17">
        <v>2016</v>
      </c>
      <c r="H297" s="275" t="str">
        <f>VLOOKUP(D297,Source!F:F,1,FALSE)</f>
        <v>UMass Amherst</v>
      </c>
    </row>
    <row r="298" spans="1:8">
      <c r="A298" s="58" t="str">
        <f t="shared" si="80"/>
        <v>UMass Amherst2017</v>
      </c>
      <c r="B298" s="17">
        <v>2017</v>
      </c>
      <c r="C298" s="17" t="s">
        <v>661</v>
      </c>
      <c r="D298" s="17" t="s">
        <v>201</v>
      </c>
      <c r="E298" s="64">
        <v>261328215</v>
      </c>
      <c r="F298" s="465">
        <v>0</v>
      </c>
      <c r="G298" s="17">
        <v>2017</v>
      </c>
      <c r="H298" s="275" t="str">
        <f>VLOOKUP(D298,Source!F:F,1,FALSE)</f>
        <v>UMass Amherst</v>
      </c>
    </row>
    <row r="299" spans="1:8">
      <c r="A299" s="58" t="str">
        <f t="shared" ref="A299:A300" si="93">D299&amp;G299</f>
        <v>UMass Amherst2018</v>
      </c>
      <c r="B299" s="17">
        <v>2018</v>
      </c>
      <c r="C299" s="17" t="s">
        <v>661</v>
      </c>
      <c r="D299" s="17" t="s">
        <v>201</v>
      </c>
      <c r="E299" s="64">
        <v>306251354</v>
      </c>
      <c r="F299" s="465">
        <v>0</v>
      </c>
      <c r="G299" s="17">
        <v>2018</v>
      </c>
      <c r="H299" s="275" t="str">
        <f>VLOOKUP(D299,Source!F:F,1,FALSE)</f>
        <v>UMass Amherst</v>
      </c>
    </row>
    <row r="300" spans="1:8">
      <c r="A300" s="58" t="str">
        <f t="shared" si="93"/>
        <v>UMass Amherst2019</v>
      </c>
      <c r="B300" s="17">
        <v>2019</v>
      </c>
      <c r="C300" s="17" t="s">
        <v>661</v>
      </c>
      <c r="D300" s="17" t="s">
        <v>201</v>
      </c>
      <c r="E300" s="64">
        <v>271223760</v>
      </c>
      <c r="F300" s="465">
        <v>2734937</v>
      </c>
      <c r="G300" s="17">
        <v>2019</v>
      </c>
      <c r="H300" s="275" t="str">
        <f>VLOOKUP(D300,Source!F:F,1,FALSE)</f>
        <v>UMass Amherst</v>
      </c>
    </row>
    <row r="301" spans="1:8">
      <c r="A301" s="58" t="str">
        <f t="shared" ref="A301:A302" si="94">D301&amp;G301</f>
        <v>UMass Amherst2020</v>
      </c>
      <c r="B301" s="17">
        <v>2020</v>
      </c>
      <c r="C301" s="17" t="s">
        <v>661</v>
      </c>
      <c r="D301" s="17" t="s">
        <v>201</v>
      </c>
      <c r="E301" s="64">
        <v>210076600</v>
      </c>
      <c r="F301" s="465">
        <v>2262537</v>
      </c>
      <c r="G301" s="368">
        <v>2020</v>
      </c>
      <c r="H301" s="275" t="str">
        <f>VLOOKUP(D301,Source!F:F,1,FALSE)</f>
        <v>UMass Amherst</v>
      </c>
    </row>
    <row r="302" spans="1:8">
      <c r="A302" s="58" t="str">
        <f t="shared" si="94"/>
        <v>UMass Amherst2021</v>
      </c>
      <c r="B302" s="17">
        <v>2021</v>
      </c>
      <c r="C302" s="17" t="s">
        <v>661</v>
      </c>
      <c r="D302" s="17" t="s">
        <v>201</v>
      </c>
      <c r="E302" s="64">
        <v>155136122</v>
      </c>
      <c r="F302" s="465">
        <v>1339712.03</v>
      </c>
      <c r="G302" s="368">
        <v>2021</v>
      </c>
      <c r="H302" s="275" t="str">
        <f>VLOOKUP(D302,Source!F:F,1,FALSE)</f>
        <v>UMass Amherst</v>
      </c>
    </row>
    <row r="303" spans="1:8">
      <c r="A303" s="58" t="str">
        <f t="shared" ref="A303:A304" si="95">D303&amp;G303</f>
        <v>UMass Amherst2022</v>
      </c>
      <c r="B303" s="17">
        <v>2022</v>
      </c>
      <c r="C303" s="17" t="s">
        <v>661</v>
      </c>
      <c r="D303" s="17" t="s">
        <v>201</v>
      </c>
      <c r="E303" s="64">
        <v>194752272</v>
      </c>
      <c r="F303" s="465">
        <v>2556705</v>
      </c>
      <c r="G303" s="368">
        <v>2022</v>
      </c>
      <c r="H303" s="275" t="str">
        <f>VLOOKUP(D303,Source!F:F,1,FALSE)</f>
        <v>UMass Amherst</v>
      </c>
    </row>
    <row r="304" spans="1:8">
      <c r="A304" s="58" t="str">
        <f t="shared" si="95"/>
        <v>UMass Amherst2023</v>
      </c>
      <c r="B304" s="17">
        <v>2023</v>
      </c>
      <c r="C304" s="17" t="s">
        <v>661</v>
      </c>
      <c r="D304" s="17" t="s">
        <v>201</v>
      </c>
      <c r="E304" s="764">
        <v>279072397</v>
      </c>
      <c r="F304" s="765">
        <v>1774400</v>
      </c>
      <c r="G304" s="368">
        <v>2023</v>
      </c>
      <c r="H304" s="275" t="str">
        <f>VLOOKUP(D304,Source!F:F,1,FALSE)</f>
        <v>UMass Amherst</v>
      </c>
    </row>
    <row r="305" spans="1:8">
      <c r="A305" s="58" t="str">
        <f t="shared" ref="A305" si="96">D305&amp;G305</f>
        <v>UMass Amherst2024</v>
      </c>
      <c r="B305" s="17">
        <v>2024</v>
      </c>
      <c r="C305" s="17" t="s">
        <v>661</v>
      </c>
      <c r="D305" s="17" t="s">
        <v>201</v>
      </c>
      <c r="E305" s="827">
        <v>253753095</v>
      </c>
      <c r="F305" s="828" t="s">
        <v>925</v>
      </c>
      <c r="G305" s="368">
        <v>2024</v>
      </c>
      <c r="H305" s="275" t="str">
        <f>VLOOKUP(D305,Source!F:F,1,FALSE)</f>
        <v>UMass Amherst</v>
      </c>
    </row>
    <row r="306" spans="1:8">
      <c r="A306" s="58" t="str">
        <f t="shared" si="80"/>
        <v>UMass Boston2013</v>
      </c>
      <c r="B306" s="17">
        <v>2013</v>
      </c>
      <c r="C306" s="17" t="s">
        <v>661</v>
      </c>
      <c r="D306" s="17" t="s">
        <v>206</v>
      </c>
      <c r="E306" s="64">
        <v>10026940</v>
      </c>
      <c r="F306" s="465">
        <v>176525</v>
      </c>
      <c r="G306" s="17">
        <v>2013</v>
      </c>
      <c r="H306" s="275" t="str">
        <f>VLOOKUP(D306,Source!F:F,1,FALSE)</f>
        <v>UMass Boston</v>
      </c>
    </row>
    <row r="307" spans="1:8">
      <c r="A307" s="58" t="str">
        <f t="shared" si="80"/>
        <v>UMass Boston2014</v>
      </c>
      <c r="B307" s="17">
        <v>2014</v>
      </c>
      <c r="C307" s="17" t="s">
        <v>661</v>
      </c>
      <c r="D307" s="17" t="s">
        <v>206</v>
      </c>
      <c r="E307" s="64">
        <v>18161440</v>
      </c>
      <c r="F307" s="465">
        <v>355473</v>
      </c>
      <c r="G307" s="17">
        <v>2014</v>
      </c>
      <c r="H307" s="275" t="str">
        <f>VLOOKUP(D307,Source!F:F,1,FALSE)</f>
        <v>UMass Boston</v>
      </c>
    </row>
    <row r="308" spans="1:8">
      <c r="A308" s="58" t="str">
        <f t="shared" si="80"/>
        <v>UMass Boston2015</v>
      </c>
      <c r="B308" s="17">
        <v>2015</v>
      </c>
      <c r="C308" s="17" t="s">
        <v>661</v>
      </c>
      <c r="D308" s="17" t="s">
        <v>206</v>
      </c>
      <c r="E308" s="64">
        <v>23197012</v>
      </c>
      <c r="F308" s="465">
        <v>532640</v>
      </c>
      <c r="G308" s="17">
        <v>2015</v>
      </c>
      <c r="H308" s="275" t="str">
        <f>VLOOKUP(D308,Source!F:F,1,FALSE)</f>
        <v>UMass Boston</v>
      </c>
    </row>
    <row r="309" spans="1:8">
      <c r="A309" s="58" t="str">
        <f t="shared" si="80"/>
        <v>UMass Boston2016</v>
      </c>
      <c r="B309" s="17">
        <v>2016</v>
      </c>
      <c r="C309" s="17" t="s">
        <v>661</v>
      </c>
      <c r="D309" s="17" t="s">
        <v>206</v>
      </c>
      <c r="E309" s="64">
        <v>30840519</v>
      </c>
      <c r="F309" s="465">
        <v>575671</v>
      </c>
      <c r="G309" s="17">
        <v>2016</v>
      </c>
      <c r="H309" s="275" t="str">
        <f>VLOOKUP(D309,Source!F:F,1,FALSE)</f>
        <v>UMass Boston</v>
      </c>
    </row>
    <row r="310" spans="1:8">
      <c r="A310" s="58" t="str">
        <f t="shared" si="80"/>
        <v>UMass Boston2017</v>
      </c>
      <c r="B310" s="17">
        <v>2017</v>
      </c>
      <c r="C310" s="17" t="s">
        <v>661</v>
      </c>
      <c r="D310" s="17" t="s">
        <v>206</v>
      </c>
      <c r="E310" s="64">
        <v>16071154</v>
      </c>
      <c r="F310" s="465">
        <v>641600</v>
      </c>
      <c r="G310" s="17">
        <v>2017</v>
      </c>
      <c r="H310" s="275" t="str">
        <f>VLOOKUP(D310,Source!F:F,1,FALSE)</f>
        <v>UMass Boston</v>
      </c>
    </row>
    <row r="311" spans="1:8">
      <c r="A311" s="58" t="str">
        <f t="shared" ref="A311:A312" si="97">D311&amp;G311</f>
        <v>UMass Boston2018</v>
      </c>
      <c r="B311" s="17">
        <v>2018</v>
      </c>
      <c r="C311" s="17" t="s">
        <v>661</v>
      </c>
      <c r="D311" s="17" t="s">
        <v>206</v>
      </c>
      <c r="E311" s="64">
        <v>34774146</v>
      </c>
      <c r="F311" s="465">
        <v>700464</v>
      </c>
      <c r="G311" s="17">
        <v>2018</v>
      </c>
      <c r="H311" s="275" t="str">
        <f>VLOOKUP(D311,Source!F:F,1,FALSE)</f>
        <v>UMass Boston</v>
      </c>
    </row>
    <row r="312" spans="1:8">
      <c r="A312" s="58" t="str">
        <f t="shared" si="97"/>
        <v>UMass Boston2019</v>
      </c>
      <c r="B312" s="17">
        <v>2019</v>
      </c>
      <c r="C312" s="17" t="s">
        <v>661</v>
      </c>
      <c r="D312" s="17" t="s">
        <v>206</v>
      </c>
      <c r="E312" s="64">
        <v>36844984</v>
      </c>
      <c r="F312" s="465">
        <v>781357</v>
      </c>
      <c r="G312" s="17">
        <v>2019</v>
      </c>
      <c r="H312" s="275" t="str">
        <f>VLOOKUP(D312,Source!F:F,1,FALSE)</f>
        <v>UMass Boston</v>
      </c>
    </row>
    <row r="313" spans="1:8">
      <c r="A313" s="58" t="str">
        <f t="shared" ref="A313:A314" si="98">D313&amp;G313</f>
        <v>UMass Boston2020</v>
      </c>
      <c r="B313" s="17">
        <v>2020</v>
      </c>
      <c r="C313" s="17" t="s">
        <v>661</v>
      </c>
      <c r="D313" s="17" t="s">
        <v>206</v>
      </c>
      <c r="E313" s="64">
        <v>30981351</v>
      </c>
      <c r="F313" s="465">
        <v>691182.44</v>
      </c>
      <c r="G313" s="368">
        <v>2020</v>
      </c>
      <c r="H313" s="275" t="str">
        <f>VLOOKUP(D313,Source!F:F,1,FALSE)</f>
        <v>UMass Boston</v>
      </c>
    </row>
    <row r="314" spans="1:8">
      <c r="A314" s="58" t="str">
        <f t="shared" si="98"/>
        <v>UMass Boston2021</v>
      </c>
      <c r="B314" s="17">
        <v>2021</v>
      </c>
      <c r="C314" s="17" t="s">
        <v>661</v>
      </c>
      <c r="D314" s="17" t="s">
        <v>206</v>
      </c>
      <c r="E314" s="64">
        <v>25588522</v>
      </c>
      <c r="F314" s="465">
        <v>615070</v>
      </c>
      <c r="G314" s="368">
        <v>2021</v>
      </c>
      <c r="H314" s="275" t="str">
        <f>VLOOKUP(D314,Source!F:F,1,FALSE)</f>
        <v>UMass Boston</v>
      </c>
    </row>
    <row r="315" spans="1:8">
      <c r="A315" s="58" t="str">
        <f t="shared" ref="A315:A316" si="99">D315&amp;G315</f>
        <v>UMass Boston2022</v>
      </c>
      <c r="B315" s="17">
        <v>2022</v>
      </c>
      <c r="C315" s="17" t="s">
        <v>661</v>
      </c>
      <c r="D315" s="17" t="s">
        <v>206</v>
      </c>
      <c r="E315" s="64">
        <v>31655780</v>
      </c>
      <c r="F315" s="465">
        <v>860866</v>
      </c>
      <c r="G315" s="368">
        <v>2022</v>
      </c>
      <c r="H315" s="275" t="str">
        <f>VLOOKUP(D315,Source!F:F,1,FALSE)</f>
        <v>UMass Boston</v>
      </c>
    </row>
    <row r="316" spans="1:8">
      <c r="A316" s="58" t="str">
        <f t="shared" si="99"/>
        <v>UMass Boston2023</v>
      </c>
      <c r="B316" s="17">
        <v>2023</v>
      </c>
      <c r="C316" s="17" t="s">
        <v>661</v>
      </c>
      <c r="D316" s="17" t="s">
        <v>206</v>
      </c>
      <c r="E316" s="764">
        <v>34011041</v>
      </c>
      <c r="F316" s="765">
        <v>972613.2</v>
      </c>
      <c r="G316" s="368">
        <v>2023</v>
      </c>
      <c r="H316" s="275" t="str">
        <f>VLOOKUP(D316,Source!F:F,1,FALSE)</f>
        <v>UMass Boston</v>
      </c>
    </row>
    <row r="317" spans="1:8">
      <c r="A317" s="58" t="str">
        <f t="shared" ref="A317" si="100">D317&amp;G317</f>
        <v>UMass Boston2024</v>
      </c>
      <c r="B317" s="17">
        <v>2024</v>
      </c>
      <c r="C317" s="17" t="s">
        <v>661</v>
      </c>
      <c r="D317" s="17" t="s">
        <v>206</v>
      </c>
      <c r="E317" s="764" t="s">
        <v>925</v>
      </c>
      <c r="F317" s="764" t="s">
        <v>925</v>
      </c>
      <c r="G317" s="368">
        <v>2024</v>
      </c>
      <c r="H317" s="275" t="str">
        <f>VLOOKUP(D317,Source!F:F,1,FALSE)</f>
        <v>UMass Boston</v>
      </c>
    </row>
    <row r="318" spans="1:8">
      <c r="A318" s="58" t="str">
        <f t="shared" si="80"/>
        <v>UMass Dartmouth2013</v>
      </c>
      <c r="B318" s="17">
        <v>2013</v>
      </c>
      <c r="C318" s="17" t="s">
        <v>661</v>
      </c>
      <c r="D318" s="17" t="s">
        <v>207</v>
      </c>
      <c r="E318" s="64">
        <v>2045350</v>
      </c>
      <c r="F318" s="465">
        <v>377670.17</v>
      </c>
      <c r="G318" s="17">
        <v>2013</v>
      </c>
      <c r="H318" s="275" t="str">
        <f>VLOOKUP(D318,Source!F:F,1,FALSE)</f>
        <v>UMass Dartmouth</v>
      </c>
    </row>
    <row r="319" spans="1:8">
      <c r="A319" s="58" t="str">
        <f t="shared" si="80"/>
        <v>UMass Dartmouth2014</v>
      </c>
      <c r="B319" s="17">
        <v>2014</v>
      </c>
      <c r="C319" s="17" t="s">
        <v>661</v>
      </c>
      <c r="D319" s="17" t="s">
        <v>207</v>
      </c>
      <c r="E319" s="64">
        <v>2709527</v>
      </c>
      <c r="F319" s="465">
        <v>522212.34</v>
      </c>
      <c r="G319" s="17">
        <v>2014</v>
      </c>
      <c r="H319" s="275" t="str">
        <f>VLOOKUP(D319,Source!F:F,1,FALSE)</f>
        <v>UMass Dartmouth</v>
      </c>
    </row>
    <row r="320" spans="1:8">
      <c r="A320" s="58" t="str">
        <f t="shared" si="80"/>
        <v>UMass Dartmouth2015</v>
      </c>
      <c r="B320" s="17">
        <v>2015</v>
      </c>
      <c r="C320" s="17" t="s">
        <v>661</v>
      </c>
      <c r="D320" s="17" t="s">
        <v>207</v>
      </c>
      <c r="E320" s="64">
        <v>1800413</v>
      </c>
      <c r="F320" s="465">
        <v>390964.88</v>
      </c>
      <c r="G320" s="17">
        <v>2015</v>
      </c>
      <c r="H320" s="275" t="str">
        <f>VLOOKUP(D320,Source!F:F,1,FALSE)</f>
        <v>UMass Dartmouth</v>
      </c>
    </row>
    <row r="321" spans="1:8">
      <c r="A321" s="58" t="str">
        <f t="shared" si="80"/>
        <v>UMass Dartmouth2016</v>
      </c>
      <c r="B321" s="17">
        <v>2016</v>
      </c>
      <c r="C321" s="17" t="s">
        <v>661</v>
      </c>
      <c r="D321" s="17" t="s">
        <v>207</v>
      </c>
      <c r="E321" s="64">
        <v>1875594</v>
      </c>
      <c r="F321" s="465">
        <v>374797</v>
      </c>
      <c r="G321" s="17">
        <v>2016</v>
      </c>
      <c r="H321" s="275" t="str">
        <f>VLOOKUP(D321,Source!F:F,1,FALSE)</f>
        <v>UMass Dartmouth</v>
      </c>
    </row>
    <row r="322" spans="1:8">
      <c r="A322" s="58" t="str">
        <f t="shared" si="80"/>
        <v>UMass Dartmouth2017</v>
      </c>
      <c r="B322" s="17">
        <v>2017</v>
      </c>
      <c r="C322" s="17" t="s">
        <v>661</v>
      </c>
      <c r="D322" s="17" t="s">
        <v>207</v>
      </c>
      <c r="E322" s="64">
        <v>279251534</v>
      </c>
      <c r="F322" s="465">
        <v>1880524</v>
      </c>
      <c r="G322" s="17">
        <v>2017</v>
      </c>
      <c r="H322" s="275" t="str">
        <f>VLOOKUP(D322,Source!F:F,1,FALSE)</f>
        <v>UMass Dartmouth</v>
      </c>
    </row>
    <row r="323" spans="1:8">
      <c r="A323" s="58" t="str">
        <f t="shared" ref="A323:A324" si="101">D323&amp;G323</f>
        <v>UMass Dartmouth2018</v>
      </c>
      <c r="B323" s="17">
        <v>2018</v>
      </c>
      <c r="C323" s="17" t="s">
        <v>661</v>
      </c>
      <c r="D323" s="17" t="s">
        <v>207</v>
      </c>
      <c r="E323" s="64">
        <v>263507284</v>
      </c>
      <c r="F323" s="465">
        <v>1902137</v>
      </c>
      <c r="G323" s="17">
        <v>2018</v>
      </c>
      <c r="H323" s="275" t="str">
        <f>VLOOKUP(D323,Source!F:F,1,FALSE)</f>
        <v>UMass Dartmouth</v>
      </c>
    </row>
    <row r="324" spans="1:8">
      <c r="A324" s="58" t="str">
        <f t="shared" si="101"/>
        <v>UMass Dartmouth2019</v>
      </c>
      <c r="B324" s="17">
        <v>2019</v>
      </c>
      <c r="C324" s="17" t="s">
        <v>661</v>
      </c>
      <c r="D324" s="17" t="s">
        <v>207</v>
      </c>
      <c r="E324" s="64">
        <v>269633056</v>
      </c>
      <c r="F324" s="465">
        <v>1998881</v>
      </c>
      <c r="G324" s="17">
        <v>2019</v>
      </c>
      <c r="H324" s="275" t="str">
        <f>VLOOKUP(D324,Source!F:F,1,FALSE)</f>
        <v>UMass Dartmouth</v>
      </c>
    </row>
    <row r="325" spans="1:8">
      <c r="A325" s="58" t="str">
        <f t="shared" ref="A325:A326" si="102">D325&amp;G325</f>
        <v>UMass Dartmouth2020</v>
      </c>
      <c r="B325" s="17">
        <v>2020</v>
      </c>
      <c r="C325" s="17" t="s">
        <v>661</v>
      </c>
      <c r="D325" s="17" t="s">
        <v>207</v>
      </c>
      <c r="E325" s="367" t="s">
        <v>925</v>
      </c>
      <c r="F325" s="461" t="s">
        <v>925</v>
      </c>
      <c r="G325" s="368">
        <v>2020</v>
      </c>
      <c r="H325" s="275" t="str">
        <f>VLOOKUP(D325,Source!F:F,1,FALSE)</f>
        <v>UMass Dartmouth</v>
      </c>
    </row>
    <row r="326" spans="1:8">
      <c r="A326" s="58" t="str">
        <f t="shared" si="102"/>
        <v>UMass Dartmouth2021</v>
      </c>
      <c r="B326" s="17">
        <v>2021</v>
      </c>
      <c r="C326" s="17" t="s">
        <v>661</v>
      </c>
      <c r="D326" s="17" t="s">
        <v>207</v>
      </c>
      <c r="E326" s="367">
        <v>300325740</v>
      </c>
      <c r="F326" s="461">
        <v>2271283</v>
      </c>
      <c r="G326" s="368">
        <v>2021</v>
      </c>
      <c r="H326" s="275" t="str">
        <f>VLOOKUP(D326,Source!F:F,1,FALSE)</f>
        <v>UMass Dartmouth</v>
      </c>
    </row>
    <row r="327" spans="1:8">
      <c r="A327" s="58" t="str">
        <f t="shared" ref="A327:A328" si="103">D327&amp;G327</f>
        <v>UMass Dartmouth2022</v>
      </c>
      <c r="B327" s="17">
        <v>2022</v>
      </c>
      <c r="C327" s="17" t="s">
        <v>661</v>
      </c>
      <c r="D327" s="17" t="s">
        <v>207</v>
      </c>
      <c r="E327" s="367">
        <v>215232063</v>
      </c>
      <c r="F327" s="461">
        <v>1685405.41</v>
      </c>
      <c r="G327" s="368">
        <v>2022</v>
      </c>
      <c r="H327" s="275" t="str">
        <f>VLOOKUP(D327,Source!F:F,1,FALSE)</f>
        <v>UMass Dartmouth</v>
      </c>
    </row>
    <row r="328" spans="1:8">
      <c r="A328" s="58" t="str">
        <f t="shared" si="103"/>
        <v>UMass Dartmouth2023</v>
      </c>
      <c r="B328" s="17">
        <v>2023</v>
      </c>
      <c r="C328" s="17" t="s">
        <v>661</v>
      </c>
      <c r="D328" s="17" t="s">
        <v>207</v>
      </c>
      <c r="E328" s="764">
        <v>176936258</v>
      </c>
      <c r="F328" s="765">
        <v>1515558.4</v>
      </c>
      <c r="G328" s="368">
        <v>2023</v>
      </c>
      <c r="H328" s="275" t="str">
        <f>VLOOKUP(D328,Source!F:F,1,FALSE)</f>
        <v>UMass Dartmouth</v>
      </c>
    </row>
    <row r="329" spans="1:8">
      <c r="A329" s="58" t="str">
        <f t="shared" ref="A329" si="104">D329&amp;G329</f>
        <v>UMass Dartmouth2024</v>
      </c>
      <c r="B329" s="17">
        <v>2024</v>
      </c>
      <c r="C329" s="17" t="s">
        <v>661</v>
      </c>
      <c r="D329" s="17" t="s">
        <v>207</v>
      </c>
      <c r="E329" s="827">
        <v>213381436.40000001</v>
      </c>
      <c r="F329" s="828">
        <v>1917693.77</v>
      </c>
      <c r="G329" s="368">
        <v>2024</v>
      </c>
      <c r="H329" s="275" t="str">
        <f>VLOOKUP(D329,Source!F:F,1,FALSE)</f>
        <v>UMass Dartmouth</v>
      </c>
    </row>
    <row r="330" spans="1:8">
      <c r="A330" s="58" t="str">
        <f t="shared" si="80"/>
        <v>UMass Lowell2013</v>
      </c>
      <c r="B330" s="17">
        <v>2013</v>
      </c>
      <c r="C330" s="17" t="s">
        <v>661</v>
      </c>
      <c r="D330" s="17" t="s">
        <v>212</v>
      </c>
      <c r="E330" s="64">
        <v>69981384</v>
      </c>
      <c r="F330" s="465">
        <v>504153.25</v>
      </c>
      <c r="G330" s="17">
        <v>2013</v>
      </c>
      <c r="H330" s="275" t="str">
        <f>VLOOKUP(D330,Source!F:F,1,FALSE)</f>
        <v>UMass Lowell</v>
      </c>
    </row>
    <row r="331" spans="1:8">
      <c r="A331" s="58" t="str">
        <f t="shared" si="80"/>
        <v>UMass Lowell2014</v>
      </c>
      <c r="B331" s="17">
        <v>2014</v>
      </c>
      <c r="C331" s="17" t="s">
        <v>661</v>
      </c>
      <c r="D331" s="17" t="s">
        <v>212</v>
      </c>
      <c r="E331" s="64">
        <v>78903528</v>
      </c>
      <c r="F331" s="465">
        <v>882405.6</v>
      </c>
      <c r="G331" s="17">
        <v>2014</v>
      </c>
      <c r="H331" s="275" t="str">
        <f>VLOOKUP(D331,Source!F:F,1,FALSE)</f>
        <v>UMass Lowell</v>
      </c>
    </row>
    <row r="332" spans="1:8">
      <c r="A332" s="58" t="str">
        <f t="shared" si="80"/>
        <v>UMass Lowell2015</v>
      </c>
      <c r="B332" s="17">
        <v>2015</v>
      </c>
      <c r="C332" s="17" t="s">
        <v>661</v>
      </c>
      <c r="D332" s="17" t="s">
        <v>212</v>
      </c>
      <c r="E332" s="64">
        <v>52534284</v>
      </c>
      <c r="F332" s="465">
        <v>438569.83</v>
      </c>
      <c r="G332" s="17">
        <v>2015</v>
      </c>
      <c r="H332" s="275" t="str">
        <f>VLOOKUP(D332,Source!F:F,1,FALSE)</f>
        <v>UMass Lowell</v>
      </c>
    </row>
    <row r="333" spans="1:8">
      <c r="A333" s="58" t="str">
        <f t="shared" si="80"/>
        <v>UMass Lowell2016</v>
      </c>
      <c r="B333" s="17">
        <v>2016</v>
      </c>
      <c r="C333" s="17" t="s">
        <v>661</v>
      </c>
      <c r="D333" s="17" t="s">
        <v>212</v>
      </c>
      <c r="E333" s="64">
        <v>69245672.719999999</v>
      </c>
      <c r="F333" s="465">
        <v>662076.42000000004</v>
      </c>
      <c r="G333" s="17">
        <v>2016</v>
      </c>
      <c r="H333" s="275" t="str">
        <f>VLOOKUP(D333,Source!F:F,1,FALSE)</f>
        <v>UMass Lowell</v>
      </c>
    </row>
    <row r="334" spans="1:8">
      <c r="A334" s="58" t="str">
        <f t="shared" si="80"/>
        <v>UMass Lowell2017</v>
      </c>
      <c r="B334" s="17">
        <v>2017</v>
      </c>
      <c r="C334" s="17" t="s">
        <v>661</v>
      </c>
      <c r="D334" s="17" t="s">
        <v>212</v>
      </c>
      <c r="E334" s="64">
        <v>51747855</v>
      </c>
      <c r="F334" s="465">
        <v>476768.53</v>
      </c>
      <c r="G334" s="17">
        <v>2017</v>
      </c>
      <c r="H334" s="275" t="str">
        <f>VLOOKUP(D334,Source!F:F,1,FALSE)</f>
        <v>UMass Lowell</v>
      </c>
    </row>
    <row r="335" spans="1:8">
      <c r="A335" s="58" t="str">
        <f t="shared" si="80"/>
        <v>UMass Lowell2018</v>
      </c>
      <c r="B335" s="17">
        <v>2018</v>
      </c>
      <c r="C335" s="17" t="s">
        <v>661</v>
      </c>
      <c r="D335" s="17" t="s">
        <v>212</v>
      </c>
      <c r="E335" s="64">
        <v>79436104</v>
      </c>
      <c r="F335" s="465">
        <v>800890</v>
      </c>
      <c r="G335" s="17">
        <v>2018</v>
      </c>
      <c r="H335" s="275" t="str">
        <f>VLOOKUP(D335,Source!F:F,1,FALSE)</f>
        <v>UMass Lowell</v>
      </c>
    </row>
    <row r="336" spans="1:8">
      <c r="A336" s="58" t="str">
        <f t="shared" ref="A336" si="105">D336&amp;G336</f>
        <v>UMass Lowell2019</v>
      </c>
      <c r="B336" s="17">
        <v>2019</v>
      </c>
      <c r="C336" s="17" t="s">
        <v>661</v>
      </c>
      <c r="D336" s="17" t="s">
        <v>212</v>
      </c>
      <c r="E336" s="64">
        <v>86452344</v>
      </c>
      <c r="F336" s="465">
        <v>848084</v>
      </c>
      <c r="G336" s="17">
        <v>2019</v>
      </c>
      <c r="H336" s="275" t="str">
        <f>VLOOKUP(D336,Source!F:F,1,FALSE)</f>
        <v>UMass Lowell</v>
      </c>
    </row>
    <row r="337" spans="1:8">
      <c r="A337" s="58" t="str">
        <f t="shared" ref="A337:A338" si="106">D337&amp;G337</f>
        <v>UMass Lowell2020</v>
      </c>
      <c r="B337" s="17">
        <v>2020</v>
      </c>
      <c r="C337" s="17" t="s">
        <v>661</v>
      </c>
      <c r="D337" s="17" t="s">
        <v>212</v>
      </c>
      <c r="E337" s="64">
        <v>74312304</v>
      </c>
      <c r="F337" s="465">
        <v>817716.56</v>
      </c>
      <c r="G337" s="368">
        <v>2020</v>
      </c>
      <c r="H337" s="275" t="str">
        <f>VLOOKUP(D337,Source!F:F,1,FALSE)</f>
        <v>UMass Lowell</v>
      </c>
    </row>
    <row r="338" spans="1:8">
      <c r="A338" s="58" t="str">
        <f t="shared" si="106"/>
        <v>UMass Lowell2021</v>
      </c>
      <c r="B338" s="17">
        <v>2021</v>
      </c>
      <c r="C338" s="17" t="s">
        <v>661</v>
      </c>
      <c r="D338" s="17" t="s">
        <v>212</v>
      </c>
      <c r="E338" s="64">
        <v>48176708</v>
      </c>
      <c r="F338" s="465">
        <v>463143.35</v>
      </c>
      <c r="G338" s="368">
        <v>2021</v>
      </c>
      <c r="H338" s="275" t="str">
        <f>VLOOKUP(D338,Source!F:F,1,FALSE)</f>
        <v>UMass Lowell</v>
      </c>
    </row>
    <row r="339" spans="1:8">
      <c r="A339" s="58" t="str">
        <f t="shared" ref="A339:A340" si="107">D339&amp;G339</f>
        <v>UMass Lowell2022</v>
      </c>
      <c r="B339" s="17">
        <v>2022</v>
      </c>
      <c r="C339" s="17" t="s">
        <v>661</v>
      </c>
      <c r="D339" s="17" t="s">
        <v>212</v>
      </c>
      <c r="E339" s="64">
        <v>67281289</v>
      </c>
      <c r="F339" s="465">
        <v>720527.33</v>
      </c>
      <c r="G339" s="368">
        <v>2022</v>
      </c>
      <c r="H339" s="275" t="str">
        <f>VLOOKUP(D339,Source!F:F,1,FALSE)</f>
        <v>UMass Lowell</v>
      </c>
    </row>
    <row r="340" spans="1:8">
      <c r="A340" s="58" t="str">
        <f t="shared" si="107"/>
        <v>UMass Lowell2023</v>
      </c>
      <c r="B340" s="17">
        <v>2023</v>
      </c>
      <c r="C340" s="17" t="s">
        <v>661</v>
      </c>
      <c r="D340" s="17" t="s">
        <v>212</v>
      </c>
      <c r="E340" s="64" t="s">
        <v>925</v>
      </c>
      <c r="F340" s="64" t="s">
        <v>925</v>
      </c>
      <c r="G340" s="368">
        <v>2023</v>
      </c>
      <c r="H340" s="275" t="str">
        <f>VLOOKUP(D340,Source!F:F,1,FALSE)</f>
        <v>UMass Lowell</v>
      </c>
    </row>
    <row r="341" spans="1:8">
      <c r="A341" s="58" t="str">
        <f t="shared" ref="A341" si="108">D341&amp;G341</f>
        <v>UMass Lowell2024</v>
      </c>
      <c r="B341" s="17">
        <v>2024</v>
      </c>
      <c r="C341" s="17" t="s">
        <v>661</v>
      </c>
      <c r="D341" s="17" t="s">
        <v>212</v>
      </c>
      <c r="E341" s="64" t="s">
        <v>925</v>
      </c>
      <c r="F341" s="64" t="s">
        <v>925</v>
      </c>
      <c r="G341" s="368">
        <v>2024</v>
      </c>
      <c r="H341" s="275" t="str">
        <f>VLOOKUP(D341,Source!F:F,1,FALSE)</f>
        <v>UMass Lowell</v>
      </c>
    </row>
    <row r="342" spans="1:8">
      <c r="A342" s="58" t="str">
        <f t="shared" ref="A342:A366" si="109">D342&amp;G342</f>
        <v>UMass Medical2013</v>
      </c>
      <c r="B342" s="17">
        <v>2013</v>
      </c>
      <c r="C342" s="17" t="s">
        <v>661</v>
      </c>
      <c r="D342" s="17" t="s">
        <v>213</v>
      </c>
      <c r="E342" s="64">
        <v>205086592</v>
      </c>
      <c r="F342" s="465">
        <v>922889.66399999999</v>
      </c>
      <c r="G342" s="17">
        <v>2013</v>
      </c>
      <c r="H342" s="275" t="str">
        <f>VLOOKUP(D342,Source!F:F,1,FALSE)</f>
        <v>UMass Medical</v>
      </c>
    </row>
    <row r="343" spans="1:8">
      <c r="A343" s="58" t="str">
        <f t="shared" si="109"/>
        <v>UMass Medical2014</v>
      </c>
      <c r="B343" s="17">
        <v>2014</v>
      </c>
      <c r="C343" s="17" t="s">
        <v>661</v>
      </c>
      <c r="D343" s="17" t="s">
        <v>213</v>
      </c>
      <c r="E343" s="64">
        <v>208071144</v>
      </c>
      <c r="F343" s="465">
        <v>728249.00399999996</v>
      </c>
      <c r="G343" s="17">
        <v>2014</v>
      </c>
      <c r="H343" s="275" t="str">
        <f>VLOOKUP(D343,Source!F:F,1,FALSE)</f>
        <v>UMass Medical</v>
      </c>
    </row>
    <row r="344" spans="1:8">
      <c r="A344" s="58" t="str">
        <f t="shared" si="109"/>
        <v>UMass Medical2015</v>
      </c>
      <c r="B344" s="17">
        <v>2015</v>
      </c>
      <c r="C344" s="17" t="s">
        <v>661</v>
      </c>
      <c r="D344" s="17" t="s">
        <v>213</v>
      </c>
      <c r="E344" s="64">
        <v>191263351</v>
      </c>
      <c r="F344" s="465">
        <v>726800.73380000005</v>
      </c>
      <c r="G344" s="17">
        <v>2015</v>
      </c>
      <c r="H344" s="275" t="str">
        <f>VLOOKUP(D344,Source!F:F,1,FALSE)</f>
        <v>UMass Medical</v>
      </c>
    </row>
    <row r="345" spans="1:8">
      <c r="A345" s="58" t="str">
        <f t="shared" si="109"/>
        <v>UMass Medical2016</v>
      </c>
      <c r="B345" s="17">
        <v>2016</v>
      </c>
      <c r="C345" s="17" t="s">
        <v>661</v>
      </c>
      <c r="D345" s="17" t="s">
        <v>213</v>
      </c>
      <c r="E345" s="64">
        <v>197875920</v>
      </c>
      <c r="F345" s="465">
        <v>952344</v>
      </c>
      <c r="G345" s="17">
        <v>2016</v>
      </c>
      <c r="H345" s="275" t="str">
        <f>VLOOKUP(D345,Source!F:F,1,FALSE)</f>
        <v>UMass Medical</v>
      </c>
    </row>
    <row r="346" spans="1:8">
      <c r="A346" s="58" t="str">
        <f t="shared" si="109"/>
        <v>UMass Medical2017</v>
      </c>
      <c r="B346" s="17">
        <v>2017</v>
      </c>
      <c r="C346" s="17" t="s">
        <v>661</v>
      </c>
      <c r="D346" s="17" t="s">
        <v>213</v>
      </c>
      <c r="E346" s="64">
        <v>203732760</v>
      </c>
      <c r="F346" s="465">
        <v>980532</v>
      </c>
      <c r="G346" s="17">
        <v>2017</v>
      </c>
      <c r="H346" s="275" t="str">
        <f>VLOOKUP(D346,Source!F:F,1,FALSE)</f>
        <v>UMass Medical</v>
      </c>
    </row>
    <row r="347" spans="1:8">
      <c r="A347" s="58" t="str">
        <f t="shared" ref="A347:A348" si="110">D347&amp;G347</f>
        <v>UMass Medical2018</v>
      </c>
      <c r="B347" s="17">
        <v>2018</v>
      </c>
      <c r="C347" s="17" t="s">
        <v>661</v>
      </c>
      <c r="D347" s="17" t="s">
        <v>213</v>
      </c>
      <c r="E347" s="64">
        <v>195699240</v>
      </c>
      <c r="F347" s="465">
        <v>2220341</v>
      </c>
      <c r="G347" s="17">
        <v>2018</v>
      </c>
      <c r="H347" s="275" t="str">
        <f>VLOOKUP(D347,Source!F:F,1,FALSE)</f>
        <v>UMass Medical</v>
      </c>
    </row>
    <row r="348" spans="1:8">
      <c r="A348" s="58" t="str">
        <f t="shared" si="110"/>
        <v>UMass Medical2019</v>
      </c>
      <c r="B348" s="17">
        <v>2019</v>
      </c>
      <c r="C348" s="17" t="s">
        <v>661</v>
      </c>
      <c r="D348" s="17" t="s">
        <v>213</v>
      </c>
      <c r="E348" s="64">
        <v>203014680</v>
      </c>
      <c r="F348" s="465">
        <v>996075</v>
      </c>
      <c r="G348" s="17">
        <v>2019</v>
      </c>
      <c r="H348" s="275" t="str">
        <f>VLOOKUP(D348,Source!F:F,1,FALSE)</f>
        <v>UMass Medical</v>
      </c>
    </row>
    <row r="349" spans="1:8">
      <c r="A349" s="58" t="str">
        <f t="shared" ref="A349:A350" si="111">D349&amp;G349</f>
        <v>UMass Medical2020</v>
      </c>
      <c r="B349" s="17">
        <v>2020</v>
      </c>
      <c r="C349" s="17" t="s">
        <v>661</v>
      </c>
      <c r="D349" s="17" t="s">
        <v>213</v>
      </c>
      <c r="E349" s="64">
        <v>197367280</v>
      </c>
      <c r="F349" s="465">
        <v>968366.2</v>
      </c>
      <c r="G349" s="368">
        <v>2020</v>
      </c>
      <c r="H349" s="275" t="str">
        <f>VLOOKUP(D349,Source!F:F,1,FALSE)</f>
        <v>UMass Medical</v>
      </c>
    </row>
    <row r="350" spans="1:8">
      <c r="A350" s="58" t="str">
        <f t="shared" si="111"/>
        <v>UMass Medical2021</v>
      </c>
      <c r="B350" s="17">
        <v>2021</v>
      </c>
      <c r="C350" s="17" t="s">
        <v>661</v>
      </c>
      <c r="D350" s="17" t="s">
        <v>213</v>
      </c>
      <c r="E350" s="64">
        <v>186548208</v>
      </c>
      <c r="F350" s="465">
        <v>915283.32</v>
      </c>
      <c r="G350" s="368">
        <v>2021</v>
      </c>
      <c r="H350" s="275" t="str">
        <f>VLOOKUP(D350,Source!F:F,1,FALSE)</f>
        <v>UMass Medical</v>
      </c>
    </row>
    <row r="351" spans="1:8">
      <c r="A351" s="58" t="str">
        <f t="shared" ref="A351:A352" si="112">D351&amp;G351</f>
        <v>UMass Medical2022</v>
      </c>
      <c r="B351" s="17">
        <v>2022</v>
      </c>
      <c r="C351" s="17" t="s">
        <v>661</v>
      </c>
      <c r="D351" s="17" t="s">
        <v>213</v>
      </c>
      <c r="E351" s="64">
        <v>224584756</v>
      </c>
      <c r="F351" s="465">
        <v>1101906.49</v>
      </c>
      <c r="G351" s="368">
        <v>2022</v>
      </c>
      <c r="H351" s="275" t="str">
        <f>VLOOKUP(D351,Source!F:F,1,FALSE)</f>
        <v>UMass Medical</v>
      </c>
    </row>
    <row r="352" spans="1:8">
      <c r="A352" s="58" t="str">
        <f t="shared" si="112"/>
        <v>UMass Medical2023</v>
      </c>
      <c r="B352" s="17">
        <v>2023</v>
      </c>
      <c r="C352" s="17" t="s">
        <v>661</v>
      </c>
      <c r="D352" s="17" t="s">
        <v>213</v>
      </c>
      <c r="E352" s="764">
        <v>196485388</v>
      </c>
      <c r="F352" s="765">
        <v>1142015</v>
      </c>
      <c r="G352" s="368">
        <v>2023</v>
      </c>
      <c r="H352" s="275" t="str">
        <f>VLOOKUP(D352,Source!F:F,1,FALSE)</f>
        <v>UMass Medical</v>
      </c>
    </row>
    <row r="353" spans="1:8">
      <c r="A353" s="58" t="str">
        <f t="shared" ref="A353" si="113">D353&amp;G353</f>
        <v>UMass Medical2024</v>
      </c>
      <c r="B353" s="17">
        <v>2024</v>
      </c>
      <c r="C353" s="17" t="s">
        <v>661</v>
      </c>
      <c r="D353" s="17" t="s">
        <v>213</v>
      </c>
      <c r="E353" s="827">
        <v>195413504</v>
      </c>
      <c r="F353" s="828">
        <v>1183421</v>
      </c>
      <c r="G353" s="368">
        <v>2024</v>
      </c>
      <c r="H353" s="275" t="str">
        <f>VLOOKUP(D353,Source!F:F,1,FALSE)</f>
        <v>UMass Medical</v>
      </c>
    </row>
    <row r="354" spans="1:8">
      <c r="A354" s="58" t="str">
        <f t="shared" si="109"/>
        <v>Westfield State University2016</v>
      </c>
      <c r="B354" s="17">
        <v>2016</v>
      </c>
      <c r="C354" s="17" t="s">
        <v>438</v>
      </c>
      <c r="D354" s="17" t="s">
        <v>218</v>
      </c>
      <c r="E354" s="64">
        <v>41118700</v>
      </c>
      <c r="F354" s="465">
        <v>296465</v>
      </c>
      <c r="G354" s="17">
        <v>2016</v>
      </c>
      <c r="H354" s="275" t="str">
        <f>VLOOKUP(D354,Source!F:F,1,FALSE)</f>
        <v>Westfield State University</v>
      </c>
    </row>
    <row r="355" spans="1:8">
      <c r="A355" s="58" t="str">
        <f t="shared" ref="A355:A357" si="114">D355&amp;G355</f>
        <v>Westfield State University2017</v>
      </c>
      <c r="B355" s="17">
        <v>2017</v>
      </c>
      <c r="C355" s="17" t="s">
        <v>438</v>
      </c>
      <c r="D355" s="17" t="s">
        <v>218</v>
      </c>
      <c r="E355" s="64">
        <v>39617030</v>
      </c>
      <c r="F355" s="465">
        <v>326673</v>
      </c>
      <c r="G355" s="17">
        <v>2017</v>
      </c>
      <c r="H355" s="275" t="str">
        <f>VLOOKUP(D355,Source!F:F,1,FALSE)</f>
        <v>Westfield State University</v>
      </c>
    </row>
    <row r="356" spans="1:8">
      <c r="A356" s="58" t="str">
        <f t="shared" si="114"/>
        <v>Westfield State University2018</v>
      </c>
      <c r="B356" s="17">
        <v>2018</v>
      </c>
      <c r="C356" s="17" t="s">
        <v>438</v>
      </c>
      <c r="D356" s="17" t="s">
        <v>218</v>
      </c>
      <c r="E356" s="64">
        <v>32617400</v>
      </c>
      <c r="F356" s="465">
        <v>283769</v>
      </c>
      <c r="G356" s="17">
        <v>2018</v>
      </c>
      <c r="H356" s="275" t="str">
        <f>VLOOKUP(D356,Source!F:F,1,FALSE)</f>
        <v>Westfield State University</v>
      </c>
    </row>
    <row r="357" spans="1:8">
      <c r="A357" s="58" t="str">
        <f t="shared" si="114"/>
        <v>Westfield State University2019</v>
      </c>
      <c r="B357" s="17">
        <v>2019</v>
      </c>
      <c r="C357" s="17" t="s">
        <v>438</v>
      </c>
      <c r="D357" s="17" t="s">
        <v>218</v>
      </c>
      <c r="E357" s="64">
        <v>27889130</v>
      </c>
      <c r="F357" s="465">
        <v>266599</v>
      </c>
      <c r="G357" s="17">
        <v>2019</v>
      </c>
      <c r="H357" s="275" t="str">
        <f>VLOOKUP(D357,Source!F:F,1,FALSE)</f>
        <v>Westfield State University</v>
      </c>
    </row>
    <row r="358" spans="1:8">
      <c r="A358" s="58" t="str">
        <f t="shared" ref="A358:A359" si="115">D358&amp;G358</f>
        <v>Westfield State University2020</v>
      </c>
      <c r="B358" s="17">
        <v>2020</v>
      </c>
      <c r="C358" s="17" t="s">
        <v>438</v>
      </c>
      <c r="D358" s="17" t="s">
        <v>218</v>
      </c>
      <c r="E358" s="367" t="s">
        <v>925</v>
      </c>
      <c r="F358" s="461" t="s">
        <v>925</v>
      </c>
      <c r="G358" s="368">
        <v>2020</v>
      </c>
      <c r="H358" s="275" t="str">
        <f>VLOOKUP(D358,Source!F:F,1,FALSE)</f>
        <v>Westfield State University</v>
      </c>
    </row>
    <row r="359" spans="1:8">
      <c r="A359" s="58" t="str">
        <f t="shared" si="115"/>
        <v>Westfield State University2021</v>
      </c>
      <c r="B359" s="17">
        <v>2021</v>
      </c>
      <c r="C359" s="17" t="s">
        <v>438</v>
      </c>
      <c r="D359" s="17" t="s">
        <v>218</v>
      </c>
      <c r="E359" s="367" t="s">
        <v>925</v>
      </c>
      <c r="F359" s="461" t="s">
        <v>925</v>
      </c>
      <c r="G359" s="368">
        <v>2021</v>
      </c>
      <c r="H359" s="275" t="str">
        <f>VLOOKUP(D359,Source!F:F,1,FALSE)</f>
        <v>Westfield State University</v>
      </c>
    </row>
    <row r="360" spans="1:8">
      <c r="A360" s="58" t="str">
        <f t="shared" ref="A360:A361" si="116">D360&amp;G360</f>
        <v>Westfield State University2022</v>
      </c>
      <c r="B360" s="17">
        <v>2022</v>
      </c>
      <c r="C360" s="17" t="s">
        <v>438</v>
      </c>
      <c r="D360" s="17" t="s">
        <v>218</v>
      </c>
      <c r="E360" s="367" t="s">
        <v>925</v>
      </c>
      <c r="F360" s="461" t="s">
        <v>925</v>
      </c>
      <c r="G360" s="368">
        <v>2022</v>
      </c>
      <c r="H360" s="275" t="str">
        <f>VLOOKUP(D360,Source!F:F,1,FALSE)</f>
        <v>Westfield State University</v>
      </c>
    </row>
    <row r="361" spans="1:8">
      <c r="A361" s="58" t="str">
        <f t="shared" si="116"/>
        <v>Westfield State University2023</v>
      </c>
      <c r="B361" s="17">
        <v>2023</v>
      </c>
      <c r="C361" s="17" t="s">
        <v>438</v>
      </c>
      <c r="D361" s="17" t="s">
        <v>218</v>
      </c>
      <c r="E361" s="367" t="s">
        <v>925</v>
      </c>
      <c r="F361" s="461" t="s">
        <v>925</v>
      </c>
      <c r="G361" s="368">
        <v>2023</v>
      </c>
      <c r="H361" s="275" t="str">
        <f>VLOOKUP(D361,Source!F:F,1,FALSE)</f>
        <v>Westfield State University</v>
      </c>
    </row>
    <row r="362" spans="1:8">
      <c r="A362" s="58" t="str">
        <f t="shared" ref="A362" si="117">D362&amp;G362</f>
        <v>Westfield State University2024</v>
      </c>
      <c r="B362" s="17">
        <v>2024</v>
      </c>
      <c r="C362" s="17" t="s">
        <v>438</v>
      </c>
      <c r="D362" s="17" t="s">
        <v>218</v>
      </c>
      <c r="E362" s="827">
        <v>33485367</v>
      </c>
      <c r="F362" s="828">
        <v>277597.98</v>
      </c>
      <c r="G362" s="368">
        <v>2024</v>
      </c>
      <c r="H362" s="275" t="str">
        <f>VLOOKUP(D362,Source!F:F,1,FALSE)</f>
        <v>Westfield State University</v>
      </c>
    </row>
    <row r="363" spans="1:8">
      <c r="A363" s="58" t="str">
        <f t="shared" si="109"/>
        <v>Worcester State University2014</v>
      </c>
      <c r="B363" s="17">
        <v>2014</v>
      </c>
      <c r="C363" s="17" t="s">
        <v>438</v>
      </c>
      <c r="D363" s="17" t="s">
        <v>220</v>
      </c>
      <c r="E363" s="64">
        <v>13423792</v>
      </c>
      <c r="F363" s="465">
        <v>63164</v>
      </c>
      <c r="G363" s="17">
        <v>2014</v>
      </c>
      <c r="H363" s="275" t="str">
        <f>VLOOKUP(D363,Source!F:F,1,FALSE)</f>
        <v>Worcester State University</v>
      </c>
    </row>
    <row r="364" spans="1:8">
      <c r="A364" s="58" t="str">
        <f t="shared" si="109"/>
        <v>Worcester State University2015</v>
      </c>
      <c r="B364" s="17">
        <v>2015</v>
      </c>
      <c r="C364" s="17" t="s">
        <v>438</v>
      </c>
      <c r="D364" s="17" t="s">
        <v>220</v>
      </c>
      <c r="E364" s="64">
        <v>17101963</v>
      </c>
      <c r="F364" s="465">
        <v>81038.28</v>
      </c>
      <c r="G364" s="17">
        <v>2015</v>
      </c>
      <c r="H364" s="275" t="str">
        <f>VLOOKUP(D364,Source!F:F,1,FALSE)</f>
        <v>Worcester State University</v>
      </c>
    </row>
    <row r="365" spans="1:8">
      <c r="A365" s="58" t="str">
        <f t="shared" si="109"/>
        <v>Worcester State University2016</v>
      </c>
      <c r="B365" s="17">
        <v>2016</v>
      </c>
      <c r="C365" s="17" t="s">
        <v>438</v>
      </c>
      <c r="D365" s="17" t="s">
        <v>220</v>
      </c>
      <c r="E365" s="64">
        <v>19789115</v>
      </c>
      <c r="F365" s="465">
        <v>95254.2</v>
      </c>
      <c r="G365" s="17">
        <v>2016</v>
      </c>
      <c r="H365" s="275" t="str">
        <f>VLOOKUP(D365,Source!F:F,1,FALSE)</f>
        <v>Worcester State University</v>
      </c>
    </row>
    <row r="366" spans="1:8">
      <c r="A366" s="58" t="str">
        <f t="shared" si="109"/>
        <v>Worcester State University2017</v>
      </c>
      <c r="B366" s="17">
        <v>2017</v>
      </c>
      <c r="C366" s="17" t="s">
        <v>438</v>
      </c>
      <c r="D366" s="17" t="s">
        <v>220</v>
      </c>
      <c r="E366" s="64">
        <v>17646068</v>
      </c>
      <c r="F366" s="465">
        <v>84891.6</v>
      </c>
      <c r="G366" s="17">
        <v>2017</v>
      </c>
      <c r="H366" s="275" t="str">
        <f>VLOOKUP(D366,Source!F:F,1,FALSE)</f>
        <v>Worcester State University</v>
      </c>
    </row>
    <row r="367" spans="1:8">
      <c r="A367" s="58" t="str">
        <f t="shared" ref="A367:A368" si="118">D367&amp;G367</f>
        <v>Worcester State University2018</v>
      </c>
      <c r="B367" s="17">
        <v>2018</v>
      </c>
      <c r="C367" s="17" t="s">
        <v>438</v>
      </c>
      <c r="D367" s="17" t="s">
        <v>220</v>
      </c>
      <c r="E367" s="64">
        <v>17791928</v>
      </c>
      <c r="F367" s="465">
        <v>86444.55</v>
      </c>
      <c r="G367" s="17">
        <v>2018</v>
      </c>
      <c r="H367" s="275" t="str">
        <f>VLOOKUP(D367,Source!F:F,1,FALSE)</f>
        <v>Worcester State University</v>
      </c>
    </row>
    <row r="368" spans="1:8">
      <c r="A368" s="58" t="str">
        <f t="shared" si="118"/>
        <v>Worcester State University2019</v>
      </c>
      <c r="B368" s="17">
        <v>2019</v>
      </c>
      <c r="C368" s="17" t="s">
        <v>438</v>
      </c>
      <c r="D368" s="17" t="s">
        <v>220</v>
      </c>
      <c r="E368" s="64">
        <v>16556635</v>
      </c>
      <c r="F368" s="465">
        <v>80793.52</v>
      </c>
      <c r="G368" s="17">
        <v>2019</v>
      </c>
      <c r="H368" s="275" t="str">
        <f>VLOOKUP(D368,Source!F:F,1,FALSE)</f>
        <v>Worcester State University</v>
      </c>
    </row>
    <row r="369" spans="1:8">
      <c r="A369" s="505" t="str">
        <f t="shared" ref="A369" si="119">D369&amp;G369</f>
        <v>Worcester State University2020</v>
      </c>
      <c r="B369" s="175">
        <v>2020</v>
      </c>
      <c r="C369" s="175" t="s">
        <v>438</v>
      </c>
      <c r="D369" s="175" t="s">
        <v>220</v>
      </c>
      <c r="E369" s="63">
        <v>13481377</v>
      </c>
      <c r="F369" s="466">
        <v>66212.61</v>
      </c>
      <c r="G369" s="506">
        <v>2020</v>
      </c>
      <c r="H369" s="275" t="str">
        <f>VLOOKUP(D369,Source!F:F,1,FALSE)</f>
        <v>Worcester State University</v>
      </c>
    </row>
    <row r="370" spans="1:8">
      <c r="A370" s="17" t="str">
        <f>D370&amp;G370</f>
        <v>Worcester State University2021</v>
      </c>
      <c r="B370" s="17">
        <v>2021</v>
      </c>
      <c r="C370" s="17" t="s">
        <v>438</v>
      </c>
      <c r="D370" s="17" t="s">
        <v>220</v>
      </c>
      <c r="E370" s="64">
        <v>10238575</v>
      </c>
      <c r="F370" s="465">
        <v>67489.3</v>
      </c>
      <c r="G370" s="17">
        <v>2021</v>
      </c>
      <c r="H370" s="275" t="str">
        <f>VLOOKUP(D370,Source!F:F,1,FALSE)</f>
        <v>Worcester State University</v>
      </c>
    </row>
    <row r="371" spans="1:8">
      <c r="A371" s="17" t="str">
        <f>D371&amp;G371</f>
        <v>Worcester State University2022</v>
      </c>
      <c r="B371" s="17">
        <v>2022</v>
      </c>
      <c r="C371" s="17" t="s">
        <v>438</v>
      </c>
      <c r="D371" s="17" t="s">
        <v>220</v>
      </c>
      <c r="E371" s="64">
        <v>13146000</v>
      </c>
      <c r="F371" s="465">
        <v>64332.85</v>
      </c>
      <c r="G371" s="17">
        <v>2022</v>
      </c>
      <c r="H371" s="275" t="str">
        <f>VLOOKUP(D371,Source!F:F,1,FALSE)</f>
        <v>Worcester State University</v>
      </c>
    </row>
    <row r="372" spans="1:8">
      <c r="A372" s="17" t="str">
        <f>D372&amp;G372</f>
        <v>Worcester State University2023</v>
      </c>
      <c r="B372" s="17">
        <v>2023</v>
      </c>
      <c r="C372" s="17" t="s">
        <v>438</v>
      </c>
      <c r="D372" s="17" t="s">
        <v>220</v>
      </c>
      <c r="E372" s="764">
        <v>12645000</v>
      </c>
      <c r="F372" s="765">
        <v>62048.08</v>
      </c>
      <c r="G372" s="17">
        <v>2023</v>
      </c>
      <c r="H372" s="275" t="str">
        <f>VLOOKUP(D372,Source!F:F,1,FALSE)</f>
        <v>Worcester State University</v>
      </c>
    </row>
    <row r="373" spans="1:8">
      <c r="A373" s="17" t="str">
        <f>D373&amp;G373</f>
        <v>Worcester State University2024</v>
      </c>
      <c r="B373" s="17">
        <v>2024</v>
      </c>
      <c r="C373" s="17" t="s">
        <v>438</v>
      </c>
      <c r="D373" s="17" t="s">
        <v>220</v>
      </c>
      <c r="E373" s="764">
        <v>13382250</v>
      </c>
      <c r="F373" s="831">
        <v>67456.11</v>
      </c>
      <c r="G373" s="17">
        <v>2024</v>
      </c>
      <c r="H373" s="275" t="str">
        <f>VLOOKUP(D373,Source!F:F,1,FALSE)</f>
        <v>Worcester State University</v>
      </c>
    </row>
  </sheetData>
  <autoFilter ref="A1:H370" xr:uid="{00000000-0009-0000-0000-000015000000}">
    <sortState xmlns:xlrd2="http://schemas.microsoft.com/office/spreadsheetml/2017/richdata2" ref="A2:H366">
      <sortCondition ref="A1:A366"/>
    </sortState>
  </autoFilter>
  <sortState xmlns:xlrd2="http://schemas.microsoft.com/office/spreadsheetml/2017/richdata2" ref="A3:H366">
    <sortCondition ref="A1"/>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B2446-8FA5-43EA-B80A-11D455DCB600}">
  <dimension ref="A1:Q55"/>
  <sheetViews>
    <sheetView showGridLines="0" topLeftCell="A38" zoomScale="70" zoomScaleNormal="70" workbookViewId="0">
      <selection activeCell="B46" sqref="B46"/>
    </sheetView>
  </sheetViews>
  <sheetFormatPr defaultColWidth="0" defaultRowHeight="15.75" zeroHeight="1"/>
  <cols>
    <col min="1" max="1" width="3.42578125" style="194" customWidth="1"/>
    <col min="2" max="2" width="22.28515625" style="194" customWidth="1"/>
    <col min="3" max="3" width="20.5703125" style="194" customWidth="1"/>
    <col min="4" max="4" width="74.140625" style="194" customWidth="1"/>
    <col min="5" max="5" width="16.42578125" style="194" customWidth="1"/>
    <col min="6" max="6" width="20.42578125" style="194" customWidth="1"/>
    <col min="7" max="7" width="20" style="194" customWidth="1"/>
    <col min="8" max="8" width="20.28515625" style="194" customWidth="1"/>
    <col min="9" max="9" width="16.140625" style="194" customWidth="1"/>
    <col min="10" max="10" width="9.42578125" style="194" customWidth="1"/>
    <col min="11" max="17" width="0" style="194" hidden="1" customWidth="1"/>
    <col min="18" max="16384" width="9.140625" style="194" hidden="1"/>
  </cols>
  <sheetData>
    <row r="1" spans="1:16" s="6" customFormat="1" ht="16.5" hidden="1" thickBot="1">
      <c r="A1" s="471"/>
      <c r="B1" s="1018" t="s">
        <v>22</v>
      </c>
      <c r="C1" s="1018"/>
      <c r="D1" s="1018"/>
      <c r="E1" s="1018"/>
      <c r="F1" s="1018"/>
      <c r="G1" s="1018"/>
      <c r="H1" s="1018"/>
      <c r="I1" s="1018"/>
      <c r="J1" s="471"/>
      <c r="K1" s="471"/>
      <c r="L1" s="471"/>
      <c r="M1" s="471"/>
      <c r="N1" s="471"/>
      <c r="O1" s="471"/>
      <c r="P1" s="471"/>
    </row>
    <row r="2" spans="1:16" s="6" customFormat="1" ht="15.75" customHeight="1">
      <c r="A2" s="471"/>
      <c r="B2" s="1200" t="s">
        <v>2570</v>
      </c>
      <c r="C2" s="1198" t="s">
        <v>2590</v>
      </c>
      <c r="D2" s="1199"/>
      <c r="E2" s="1199"/>
      <c r="F2" s="1199"/>
      <c r="G2" s="1199"/>
      <c r="H2" s="1199"/>
      <c r="I2" s="1199"/>
      <c r="J2" s="15"/>
      <c r="K2" s="15"/>
      <c r="L2" s="15"/>
      <c r="M2" s="15"/>
      <c r="N2" s="15"/>
      <c r="O2" s="15"/>
      <c r="P2" s="15"/>
    </row>
    <row r="3" spans="1:16" s="6" customFormat="1" ht="24" customHeight="1">
      <c r="A3" s="471"/>
      <c r="B3" s="1200"/>
      <c r="C3" s="1198"/>
      <c r="D3" s="1199"/>
      <c r="E3" s="1199"/>
      <c r="F3" s="1199"/>
      <c r="G3" s="1199"/>
      <c r="H3" s="1199"/>
      <c r="I3" s="1199"/>
      <c r="J3" s="15"/>
      <c r="K3" s="15"/>
      <c r="L3" s="15"/>
      <c r="M3" s="15"/>
      <c r="N3" s="15"/>
      <c r="O3" s="15"/>
      <c r="P3" s="15"/>
    </row>
    <row r="4" spans="1:16" s="6" customFormat="1" ht="16.5" hidden="1" thickBot="1">
      <c r="A4" s="471"/>
      <c r="B4" s="471"/>
      <c r="C4" s="471"/>
      <c r="D4" s="471"/>
      <c r="E4" s="471"/>
      <c r="F4" s="471"/>
      <c r="G4" s="471"/>
      <c r="H4" s="471"/>
      <c r="I4" s="471"/>
      <c r="J4" s="471"/>
      <c r="K4" s="471"/>
      <c r="L4" s="471"/>
      <c r="M4" s="471"/>
      <c r="N4" s="471"/>
      <c r="O4" s="471"/>
      <c r="P4" s="471"/>
    </row>
    <row r="5" spans="1:16" s="6" customFormat="1" ht="21.75" hidden="1" thickBot="1">
      <c r="A5" s="471"/>
      <c r="B5" s="1148" t="s">
        <v>2564</v>
      </c>
      <c r="C5" s="1148"/>
      <c r="D5" s="1148"/>
      <c r="E5" s="1148"/>
      <c r="F5" s="1148"/>
      <c r="G5" s="1148"/>
      <c r="H5" s="1148"/>
      <c r="I5" s="1148"/>
      <c r="J5" s="471"/>
      <c r="K5" s="471"/>
      <c r="L5" s="471"/>
      <c r="M5" s="471"/>
      <c r="N5" s="471"/>
      <c r="O5" s="471"/>
      <c r="P5" s="471"/>
    </row>
    <row r="6" spans="1:16" s="6" customFormat="1" ht="21">
      <c r="A6" s="471"/>
      <c r="B6" s="882"/>
      <c r="C6" s="882"/>
      <c r="D6" s="882"/>
      <c r="E6" s="882"/>
      <c r="F6" s="882"/>
      <c r="G6" s="882"/>
      <c r="H6" s="882"/>
      <c r="I6" s="882"/>
      <c r="J6" s="471"/>
      <c r="K6" s="471"/>
      <c r="L6" s="471"/>
      <c r="M6" s="471"/>
      <c r="N6" s="471"/>
      <c r="O6" s="471"/>
      <c r="P6" s="471"/>
    </row>
    <row r="7" spans="1:16" s="227" customFormat="1" ht="20.45" customHeight="1">
      <c r="B7" s="1209" t="s">
        <v>2574</v>
      </c>
      <c r="C7" s="1209"/>
      <c r="D7" s="1209"/>
      <c r="E7" s="1209"/>
      <c r="F7" s="1209"/>
      <c r="G7" s="1209"/>
      <c r="H7" s="1209"/>
      <c r="I7" s="1209"/>
    </row>
    <row r="8" spans="1:16" s="227" customFormat="1" ht="13.5" customHeight="1">
      <c r="B8" s="1055" t="s">
        <v>275</v>
      </c>
      <c r="C8" s="1055" t="s">
        <v>2571</v>
      </c>
      <c r="D8" s="1056" t="s">
        <v>2572</v>
      </c>
      <c r="E8" s="1056" t="s">
        <v>2573</v>
      </c>
      <c r="F8" s="1056"/>
      <c r="G8" s="1056"/>
      <c r="H8" s="1056"/>
      <c r="I8" s="1056"/>
    </row>
    <row r="9" spans="1:16" s="227" customFormat="1" ht="13.5" customHeight="1">
      <c r="B9" s="1055"/>
      <c r="C9" s="1055"/>
      <c r="D9" s="1056"/>
      <c r="E9" s="1056"/>
      <c r="F9" s="1056"/>
      <c r="G9" s="1056"/>
      <c r="H9" s="1056"/>
      <c r="I9" s="1056"/>
    </row>
    <row r="10" spans="1:16" s="227" customFormat="1" ht="13.5" customHeight="1">
      <c r="B10" s="1055"/>
      <c r="C10" s="1055"/>
      <c r="D10" s="1056"/>
      <c r="E10" s="1056"/>
      <c r="F10" s="1056"/>
      <c r="G10" s="1056"/>
      <c r="H10" s="1056"/>
      <c r="I10" s="1056"/>
    </row>
    <row r="11" spans="1:16" s="227" customFormat="1" ht="13.5" customHeight="1" thickBot="1">
      <c r="B11" s="1207"/>
      <c r="C11" s="1207"/>
      <c r="D11" s="1204"/>
      <c r="E11" s="1204"/>
      <c r="F11" s="1204"/>
      <c r="G11" s="1204"/>
      <c r="H11" s="1204"/>
      <c r="I11" s="1204"/>
    </row>
    <row r="12" spans="1:16" s="227" customFormat="1" ht="13.5" customHeight="1" thickBot="1">
      <c r="B12" s="228"/>
      <c r="C12" s="229"/>
      <c r="D12" s="229"/>
      <c r="E12" s="1205"/>
      <c r="F12" s="1206"/>
      <c r="G12" s="1206"/>
      <c r="H12" s="1206"/>
      <c r="I12" s="1206"/>
    </row>
    <row r="13" spans="1:16" s="227" customFormat="1" ht="13.5" customHeight="1" thickBot="1">
      <c r="B13" s="228"/>
      <c r="C13" s="229"/>
      <c r="D13" s="229"/>
      <c r="E13" s="1205"/>
      <c r="F13" s="1206"/>
      <c r="G13" s="1206"/>
      <c r="H13" s="1206"/>
      <c r="I13" s="1206"/>
    </row>
    <row r="14" spans="1:16" s="227" customFormat="1" ht="13.5" customHeight="1" thickBot="1">
      <c r="B14" s="228"/>
      <c r="C14" s="229"/>
      <c r="D14" s="229"/>
      <c r="E14" s="1205"/>
      <c r="F14" s="1206"/>
      <c r="G14" s="1206"/>
      <c r="H14" s="1206"/>
      <c r="I14" s="1206"/>
    </row>
    <row r="15" spans="1:16" s="227" customFormat="1" ht="13.5" customHeight="1" thickBot="1">
      <c r="B15" s="228"/>
      <c r="C15" s="229"/>
      <c r="D15" s="229"/>
      <c r="E15" s="880"/>
      <c r="F15" s="881"/>
      <c r="G15" s="881"/>
      <c r="H15" s="881"/>
      <c r="I15" s="881"/>
    </row>
    <row r="16" spans="1:16" s="227" customFormat="1" ht="13.5" customHeight="1" thickBot="1">
      <c r="B16" s="228"/>
      <c r="C16" s="229"/>
      <c r="D16" s="229"/>
      <c r="E16" s="880"/>
      <c r="F16" s="881"/>
      <c r="G16" s="881"/>
      <c r="H16" s="881"/>
      <c r="I16" s="881"/>
    </row>
    <row r="17" spans="2:14" s="227" customFormat="1" ht="13.5" customHeight="1" thickBot="1">
      <c r="B17" s="228"/>
      <c r="C17" s="229"/>
      <c r="D17" s="229"/>
      <c r="E17" s="1205"/>
      <c r="F17" s="1206"/>
      <c r="G17" s="1206"/>
      <c r="H17" s="1206"/>
      <c r="I17" s="1206"/>
    </row>
    <row r="18" spans="2:14" s="227" customFormat="1" ht="13.5" customHeight="1">
      <c r="E18" s="230"/>
      <c r="F18" s="231"/>
      <c r="G18" s="231"/>
      <c r="H18" s="231"/>
      <c r="I18" s="230"/>
    </row>
    <row r="19" spans="2:14" s="227" customFormat="1" ht="13.5" customHeight="1">
      <c r="E19" s="230"/>
      <c r="F19" s="231"/>
      <c r="G19" s="231"/>
      <c r="H19" s="231"/>
      <c r="I19" s="230"/>
    </row>
    <row r="20" spans="2:14" s="18" customFormat="1" ht="15.75" customHeight="1" thickBot="1">
      <c r="B20" s="1201" t="s">
        <v>2591</v>
      </c>
      <c r="C20" s="1201"/>
      <c r="D20" s="1201"/>
      <c r="E20" s="1201"/>
      <c r="F20" s="1201"/>
      <c r="G20" s="1201"/>
      <c r="H20" s="1211" t="s">
        <v>225</v>
      </c>
      <c r="I20" s="1211"/>
      <c r="J20" s="232"/>
      <c r="K20" s="233"/>
      <c r="L20" s="233"/>
      <c r="M20" s="233"/>
      <c r="N20" s="234"/>
    </row>
    <row r="21" spans="2:14" s="18" customFormat="1" ht="15.75" customHeight="1">
      <c r="B21" s="1210" t="s">
        <v>2575</v>
      </c>
      <c r="C21" s="1210"/>
      <c r="D21" s="1210"/>
      <c r="E21" s="1210"/>
      <c r="F21" s="1210"/>
      <c r="G21" s="1210"/>
      <c r="H21" s="1210"/>
      <c r="I21" s="1210"/>
      <c r="J21" s="232"/>
      <c r="K21" s="883"/>
      <c r="L21" s="883"/>
      <c r="M21" s="883"/>
      <c r="N21" s="884"/>
    </row>
    <row r="22" spans="2:14" s="18" customFormat="1" ht="15.75" customHeight="1">
      <c r="B22" s="1202"/>
      <c r="C22" s="1202"/>
      <c r="D22" s="1202"/>
      <c r="E22" s="1202"/>
      <c r="F22" s="1202"/>
      <c r="G22" s="1202"/>
      <c r="H22" s="1202"/>
      <c r="I22" s="1202"/>
      <c r="J22" s="235"/>
      <c r="K22" s="236"/>
      <c r="L22" s="236"/>
      <c r="M22" s="236"/>
      <c r="N22" s="237"/>
    </row>
    <row r="23" spans="2:14" s="18" customFormat="1" ht="15.75" customHeight="1">
      <c r="B23" s="1202"/>
      <c r="C23" s="1202"/>
      <c r="D23" s="1202"/>
      <c r="E23" s="1202"/>
      <c r="F23" s="1202"/>
      <c r="G23" s="1202"/>
      <c r="H23" s="1202"/>
      <c r="I23" s="1202"/>
      <c r="J23" s="235"/>
      <c r="K23" s="238"/>
      <c r="L23" s="238"/>
      <c r="M23" s="238"/>
      <c r="N23" s="239"/>
    </row>
    <row r="24" spans="2:14" s="18" customFormat="1" ht="15.75" customHeight="1">
      <c r="B24" s="1202"/>
      <c r="C24" s="1202"/>
      <c r="D24" s="1202"/>
      <c r="E24" s="1202"/>
      <c r="F24" s="1202"/>
      <c r="G24" s="1202"/>
      <c r="H24" s="1202"/>
      <c r="I24" s="1202"/>
      <c r="J24" s="235"/>
      <c r="K24" s="238"/>
      <c r="L24" s="238"/>
      <c r="M24" s="238"/>
      <c r="N24" s="239"/>
    </row>
    <row r="25" spans="2:14" s="18" customFormat="1" ht="15.75" customHeight="1">
      <c r="B25" s="1202"/>
      <c r="C25" s="1202"/>
      <c r="D25" s="1202"/>
      <c r="E25" s="1202"/>
      <c r="F25" s="1202"/>
      <c r="G25" s="1202"/>
      <c r="H25" s="1202"/>
      <c r="I25" s="1202"/>
      <c r="J25" s="235"/>
      <c r="K25" s="238"/>
      <c r="L25" s="238"/>
      <c r="M25" s="238"/>
      <c r="N25" s="239"/>
    </row>
    <row r="26" spans="2:14" s="227" customFormat="1" hidden="1">
      <c r="B26" s="235"/>
      <c r="C26" s="235"/>
      <c r="D26" s="235"/>
      <c r="E26" s="235"/>
      <c r="F26" s="235"/>
      <c r="G26" s="235"/>
      <c r="H26" s="235"/>
      <c r="I26" s="235"/>
      <c r="J26" s="235"/>
      <c r="K26" s="235"/>
      <c r="L26" s="235"/>
      <c r="M26" s="235"/>
      <c r="N26" s="235"/>
    </row>
    <row r="27" spans="2:14" s="227" customFormat="1" ht="12" customHeight="1"/>
    <row r="28" spans="2:14" ht="0.75" customHeight="1">
      <c r="B28" s="470"/>
      <c r="C28" s="470"/>
      <c r="D28" s="470"/>
      <c r="E28" s="470"/>
      <c r="F28" s="470"/>
      <c r="G28" s="470"/>
      <c r="H28" s="470"/>
      <c r="I28" s="470"/>
      <c r="J28" s="470"/>
      <c r="K28" s="470"/>
      <c r="L28" s="470"/>
      <c r="M28" s="470"/>
      <c r="N28" s="470"/>
    </row>
    <row r="29" spans="2:14" ht="15.75" customHeight="1" thickBot="1">
      <c r="B29" s="1201" t="s">
        <v>2576</v>
      </c>
      <c r="C29" s="1201"/>
      <c r="D29" s="1201"/>
      <c r="E29" s="1201"/>
      <c r="F29" s="1201"/>
      <c r="G29" s="1201"/>
      <c r="H29" s="1201"/>
      <c r="I29" s="1201"/>
      <c r="J29" s="470"/>
      <c r="K29" s="470"/>
      <c r="L29" s="470"/>
      <c r="M29" s="470"/>
      <c r="N29" s="470"/>
    </row>
    <row r="30" spans="2:14" ht="15.75" customHeight="1">
      <c r="B30" s="886" t="b">
        <v>0</v>
      </c>
      <c r="C30" s="1213" t="s">
        <v>2577</v>
      </c>
      <c r="D30" s="1213"/>
      <c r="E30" s="885"/>
      <c r="F30" s="885"/>
      <c r="G30" s="885"/>
      <c r="H30" s="885"/>
      <c r="I30" s="885"/>
      <c r="J30" s="470"/>
      <c r="K30" s="470"/>
      <c r="L30" s="470"/>
      <c r="M30" s="470"/>
      <c r="N30" s="470"/>
    </row>
    <row r="31" spans="2:14" ht="15.6" customHeight="1">
      <c r="B31" s="886" t="b">
        <v>0</v>
      </c>
      <c r="C31" s="1212" t="s">
        <v>2578</v>
      </c>
      <c r="D31" s="1212"/>
      <c r="E31" s="885"/>
      <c r="F31" s="885"/>
      <c r="G31" s="885"/>
      <c r="H31" s="885"/>
      <c r="I31" s="885"/>
      <c r="J31" s="470"/>
      <c r="K31" s="470"/>
      <c r="L31" s="470"/>
      <c r="M31" s="470"/>
      <c r="N31" s="470"/>
    </row>
    <row r="32" spans="2:14" ht="15.6" customHeight="1">
      <c r="B32" s="886" t="b">
        <v>0</v>
      </c>
      <c r="C32" s="1212" t="s">
        <v>2579</v>
      </c>
      <c r="D32" s="1212"/>
      <c r="E32" s="885"/>
      <c r="F32" s="885"/>
      <c r="G32" s="885"/>
      <c r="H32" s="885"/>
      <c r="I32" s="885"/>
      <c r="J32" s="470"/>
      <c r="K32" s="470"/>
      <c r="L32" s="470"/>
      <c r="M32" s="470"/>
      <c r="N32" s="470"/>
    </row>
    <row r="33" spans="2:14" ht="32.1" customHeight="1" thickBot="1">
      <c r="B33" s="887" t="s">
        <v>2592</v>
      </c>
      <c r="C33" s="1214"/>
      <c r="D33" s="1214"/>
      <c r="E33" s="1214"/>
      <c r="F33" s="1214"/>
      <c r="G33" s="1214"/>
      <c r="H33" s="1214"/>
      <c r="I33" s="1214"/>
      <c r="J33" s="470"/>
      <c r="K33" s="470"/>
      <c r="L33" s="470"/>
      <c r="M33" s="470"/>
      <c r="N33" s="470"/>
    </row>
    <row r="34" spans="2:14">
      <c r="B34" s="470"/>
      <c r="C34" s="470"/>
      <c r="D34" s="470"/>
      <c r="E34" s="470"/>
      <c r="F34" s="470"/>
      <c r="G34" s="470"/>
      <c r="H34" s="470"/>
      <c r="I34" s="470"/>
      <c r="J34" s="470"/>
      <c r="K34" s="470"/>
      <c r="L34" s="470"/>
      <c r="M34" s="470"/>
      <c r="N34" s="470"/>
    </row>
    <row r="35" spans="2:14" ht="16.5" thickBot="1">
      <c r="B35" s="1201" t="s">
        <v>2580</v>
      </c>
      <c r="C35" s="1201"/>
      <c r="D35" s="1201"/>
      <c r="E35" s="1201"/>
      <c r="F35" s="1201"/>
      <c r="G35" s="1201"/>
      <c r="H35" s="1201"/>
      <c r="I35" s="1201"/>
    </row>
    <row r="36" spans="2:14">
      <c r="B36" s="886" t="b">
        <v>0</v>
      </c>
      <c r="C36" s="1213" t="s">
        <v>2583</v>
      </c>
      <c r="D36" s="1213"/>
      <c r="E36" s="885"/>
      <c r="F36" s="885"/>
      <c r="G36" s="885"/>
      <c r="H36" s="885"/>
      <c r="I36" s="885"/>
    </row>
    <row r="37" spans="2:14">
      <c r="B37" s="886" t="b">
        <v>0</v>
      </c>
      <c r="C37" s="1212" t="s">
        <v>2581</v>
      </c>
      <c r="D37" s="1212"/>
      <c r="E37" s="885"/>
      <c r="F37" s="885"/>
      <c r="G37" s="885"/>
      <c r="H37" s="885"/>
      <c r="I37" s="885"/>
    </row>
    <row r="38" spans="2:14">
      <c r="B38" s="886" t="b">
        <v>0</v>
      </c>
      <c r="C38" s="1212" t="s">
        <v>2582</v>
      </c>
      <c r="D38" s="1212"/>
      <c r="E38" s="885"/>
      <c r="F38" s="885"/>
      <c r="G38" s="885"/>
      <c r="H38" s="885"/>
      <c r="I38" s="885"/>
    </row>
    <row r="39" spans="2:14">
      <c r="B39" s="886" t="b">
        <v>0</v>
      </c>
      <c r="C39" s="1212" t="s">
        <v>2584</v>
      </c>
      <c r="D39" s="1212"/>
      <c r="E39" s="885"/>
      <c r="F39" s="885"/>
      <c r="G39" s="885"/>
      <c r="H39" s="885"/>
      <c r="I39" s="885"/>
    </row>
    <row r="40" spans="2:14">
      <c r="B40" s="886" t="b">
        <v>0</v>
      </c>
      <c r="C40" s="1212" t="s">
        <v>2585</v>
      </c>
      <c r="D40" s="1212"/>
      <c r="E40" s="885"/>
      <c r="F40" s="885"/>
      <c r="G40" s="885"/>
      <c r="H40" s="885"/>
      <c r="I40" s="885"/>
    </row>
    <row r="41" spans="2:14">
      <c r="B41" s="886" t="b">
        <v>0</v>
      </c>
      <c r="C41" s="1212" t="s">
        <v>2586</v>
      </c>
      <c r="D41" s="1212"/>
      <c r="E41" s="885"/>
      <c r="F41" s="885"/>
      <c r="G41" s="885"/>
      <c r="H41" s="885"/>
      <c r="I41" s="885"/>
    </row>
    <row r="42" spans="2:14">
      <c r="B42" s="886" t="b">
        <v>0</v>
      </c>
      <c r="C42" s="1212" t="s">
        <v>2587</v>
      </c>
      <c r="D42" s="1212"/>
      <c r="E42" s="885"/>
      <c r="F42" s="885"/>
      <c r="G42" s="885"/>
      <c r="H42" s="885"/>
      <c r="I42" s="885"/>
    </row>
    <row r="43" spans="2:14">
      <c r="B43" s="886" t="b">
        <v>0</v>
      </c>
      <c r="C43" s="1212" t="s">
        <v>2588</v>
      </c>
      <c r="D43" s="1212"/>
      <c r="E43" s="885"/>
      <c r="F43" s="885"/>
      <c r="G43" s="885"/>
      <c r="H43" s="885"/>
      <c r="I43" s="885"/>
    </row>
    <row r="44" spans="2:14">
      <c r="B44" s="886" t="b">
        <v>0</v>
      </c>
      <c r="C44" s="1212" t="s">
        <v>2579</v>
      </c>
      <c r="D44" s="1212"/>
      <c r="E44" s="885"/>
      <c r="F44" s="885"/>
      <c r="G44" s="885"/>
      <c r="H44" s="885"/>
      <c r="I44" s="885"/>
    </row>
    <row r="45" spans="2:14" ht="33.950000000000003" customHeight="1" thickBot="1">
      <c r="B45" s="887" t="s">
        <v>2592</v>
      </c>
      <c r="C45" s="1214"/>
      <c r="D45" s="1214"/>
      <c r="E45" s="1214"/>
      <c r="F45" s="1214"/>
      <c r="G45" s="1214"/>
      <c r="H45" s="1214"/>
      <c r="I45" s="1214"/>
    </row>
    <row r="46" spans="2:14"/>
    <row r="47" spans="2:14" ht="16.5" thickBot="1">
      <c r="B47" s="1201" t="s">
        <v>2589</v>
      </c>
      <c r="C47" s="1201"/>
      <c r="D47" s="1201"/>
      <c r="E47" s="1201"/>
      <c r="F47" s="1201"/>
      <c r="G47" s="1201"/>
      <c r="H47" s="1211"/>
      <c r="I47" s="1211"/>
    </row>
    <row r="48" spans="2:14">
      <c r="B48" s="1202"/>
      <c r="C48" s="1202"/>
      <c r="D48" s="1202"/>
      <c r="E48" s="1202"/>
      <c r="F48" s="1202"/>
      <c r="G48" s="1202"/>
      <c r="H48" s="1202"/>
      <c r="I48" s="1202"/>
    </row>
    <row r="49" spans="2:9">
      <c r="B49" s="1202"/>
      <c r="C49" s="1202"/>
      <c r="D49" s="1202"/>
      <c r="E49" s="1202"/>
      <c r="F49" s="1202"/>
      <c r="G49" s="1202"/>
      <c r="H49" s="1202"/>
      <c r="I49" s="1202"/>
    </row>
    <row r="50" spans="2:9">
      <c r="B50" s="1202"/>
      <c r="C50" s="1202"/>
      <c r="D50" s="1202"/>
      <c r="E50" s="1202"/>
      <c r="F50" s="1202"/>
      <c r="G50" s="1202"/>
      <c r="H50" s="1202"/>
      <c r="I50" s="1202"/>
    </row>
    <row r="51" spans="2:9">
      <c r="B51" s="1202"/>
      <c r="C51" s="1202"/>
      <c r="D51" s="1202"/>
      <c r="E51" s="1202"/>
      <c r="F51" s="1202"/>
      <c r="G51" s="1202"/>
      <c r="H51" s="1202"/>
      <c r="I51" s="1202"/>
    </row>
    <row r="52" spans="2:9"/>
    <row r="53" spans="2:9"/>
    <row r="54" spans="2:9"/>
    <row r="55" spans="2:9"/>
  </sheetData>
  <sheetProtection selectLockedCells="1"/>
  <mergeCells count="36">
    <mergeCell ref="B48:I51"/>
    <mergeCell ref="C41:D41"/>
    <mergeCell ref="C42:D42"/>
    <mergeCell ref="C43:D43"/>
    <mergeCell ref="C44:D44"/>
    <mergeCell ref="C45:I45"/>
    <mergeCell ref="B47:G47"/>
    <mergeCell ref="H47:I47"/>
    <mergeCell ref="C40:D40"/>
    <mergeCell ref="C38:D38"/>
    <mergeCell ref="B29:I29"/>
    <mergeCell ref="C30:D30"/>
    <mergeCell ref="C31:D31"/>
    <mergeCell ref="C33:I33"/>
    <mergeCell ref="B35:I35"/>
    <mergeCell ref="C36:D36"/>
    <mergeCell ref="C37:D37"/>
    <mergeCell ref="C32:D32"/>
    <mergeCell ref="C39:D39"/>
    <mergeCell ref="B22:I25"/>
    <mergeCell ref="B8:B11"/>
    <mergeCell ref="C8:C11"/>
    <mergeCell ref="D8:D11"/>
    <mergeCell ref="E8:I11"/>
    <mergeCell ref="E12:I12"/>
    <mergeCell ref="E13:I13"/>
    <mergeCell ref="E14:I14"/>
    <mergeCell ref="E17:I17"/>
    <mergeCell ref="B21:I21"/>
    <mergeCell ref="B20:G20"/>
    <mergeCell ref="H20:I20"/>
    <mergeCell ref="B1:I1"/>
    <mergeCell ref="B2:B3"/>
    <mergeCell ref="C2:I3"/>
    <mergeCell ref="B5:I5"/>
    <mergeCell ref="B7:I7"/>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EB95444-F9EB-47F3-BDB7-5320673E1CDD}">
          <x14:formula1>
            <xm:f>Source!$I$1:$I$3</xm:f>
          </x14:formula1>
          <xm:sqref>H20:I20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25703-9571-43E1-99DB-C7676A64FA07}">
  <sheetPr>
    <tabColor theme="3" tint="0.59999389629810485"/>
  </sheetPr>
  <dimension ref="A1:K63"/>
  <sheetViews>
    <sheetView showGridLines="0" zoomScale="80" zoomScaleNormal="80" workbookViewId="0">
      <selection activeCell="B8" sqref="B8:F8"/>
    </sheetView>
  </sheetViews>
  <sheetFormatPr defaultColWidth="8.7109375" defaultRowHeight="15"/>
  <cols>
    <col min="1" max="1" width="36.5703125" style="801" customWidth="1"/>
    <col min="2" max="2" width="17.28515625" style="801" customWidth="1"/>
    <col min="3" max="4" width="18.42578125" style="801" customWidth="1"/>
    <col min="5" max="5" width="15.28515625" style="801" customWidth="1"/>
    <col min="6" max="7" width="14.85546875" style="801" customWidth="1"/>
    <col min="8" max="8" width="14.140625" style="801" customWidth="1"/>
    <col min="9" max="9" width="21.42578125" style="802" customWidth="1"/>
    <col min="10" max="10" width="8.7109375" style="802"/>
    <col min="11" max="11" width="19.7109375" style="802" customWidth="1"/>
    <col min="12" max="16384" width="8.7109375" style="802"/>
  </cols>
  <sheetData>
    <row r="1" spans="1:9" ht="26.1" customHeight="1">
      <c r="A1" s="919" t="s">
        <v>2184</v>
      </c>
      <c r="B1" s="919"/>
      <c r="C1" s="919"/>
      <c r="D1" s="919"/>
      <c r="E1" s="919"/>
      <c r="F1" s="919"/>
    </row>
    <row r="2" spans="1:9" ht="27.95" customHeight="1">
      <c r="A2" s="919"/>
      <c r="B2" s="919"/>
      <c r="C2" s="919"/>
      <c r="D2" s="919"/>
      <c r="E2" s="919"/>
      <c r="F2" s="919"/>
    </row>
    <row r="4" spans="1:9">
      <c r="A4" s="921" t="s">
        <v>2094</v>
      </c>
      <c r="B4" s="921"/>
      <c r="C4" s="921"/>
      <c r="D4" s="921"/>
      <c r="E4" s="921"/>
      <c r="F4" s="921"/>
    </row>
    <row r="5" spans="1:9" ht="57" customHeight="1">
      <c r="A5" s="811" t="s">
        <v>2095</v>
      </c>
      <c r="B5" s="920" t="s">
        <v>2172</v>
      </c>
      <c r="C5" s="920"/>
      <c r="D5" s="920"/>
      <c r="E5" s="920"/>
      <c r="F5" s="920"/>
    </row>
    <row r="6" spans="1:9" ht="41.45" customHeight="1">
      <c r="A6" s="819" t="s">
        <v>2176</v>
      </c>
      <c r="B6" s="920" t="s">
        <v>2171</v>
      </c>
      <c r="C6" s="920"/>
      <c r="D6" s="920"/>
      <c r="E6" s="920"/>
      <c r="F6" s="920"/>
    </row>
    <row r="7" spans="1:9" ht="47.45" customHeight="1">
      <c r="A7" s="819" t="s">
        <v>2177</v>
      </c>
      <c r="B7" s="920" t="s">
        <v>2173</v>
      </c>
      <c r="C7" s="920"/>
      <c r="D7" s="920"/>
      <c r="E7" s="920"/>
      <c r="F7" s="920"/>
    </row>
    <row r="8" spans="1:9" ht="75.599999999999994" customHeight="1">
      <c r="A8" s="811" t="s">
        <v>2097</v>
      </c>
      <c r="B8" s="920" t="s">
        <v>2174</v>
      </c>
      <c r="C8" s="920"/>
      <c r="D8" s="920"/>
      <c r="E8" s="920"/>
      <c r="F8" s="920"/>
    </row>
    <row r="9" spans="1:9" ht="60.95" customHeight="1">
      <c r="A9" s="811" t="s">
        <v>2098</v>
      </c>
      <c r="B9" s="920" t="s">
        <v>2175</v>
      </c>
      <c r="C9" s="920"/>
      <c r="D9" s="920"/>
      <c r="E9" s="920"/>
      <c r="F9" s="920"/>
    </row>
    <row r="10" spans="1:9" ht="47.1" customHeight="1">
      <c r="A10" s="811" t="s">
        <v>2099</v>
      </c>
      <c r="B10" s="920" t="s">
        <v>2194</v>
      </c>
      <c r="C10" s="920"/>
      <c r="D10" s="920"/>
      <c r="E10" s="920"/>
      <c r="F10" s="920"/>
    </row>
    <row r="12" spans="1:9" s="805" customFormat="1">
      <c r="A12" s="803" t="s">
        <v>2100</v>
      </c>
      <c r="B12" s="803" t="s">
        <v>2182</v>
      </c>
      <c r="C12" s="803" t="s">
        <v>314</v>
      </c>
      <c r="D12" s="803" t="s">
        <v>2101</v>
      </c>
      <c r="E12" s="804" t="s">
        <v>2102</v>
      </c>
      <c r="F12" s="803" t="s">
        <v>346</v>
      </c>
      <c r="G12" s="803" t="s">
        <v>2103</v>
      </c>
      <c r="H12" s="803" t="s">
        <v>2104</v>
      </c>
      <c r="I12" s="803" t="s">
        <v>2183</v>
      </c>
    </row>
    <row r="13" spans="1:9" s="805" customFormat="1" ht="30">
      <c r="A13" s="811" t="s">
        <v>51</v>
      </c>
      <c r="B13" s="807" t="s">
        <v>2096</v>
      </c>
      <c r="C13" s="806" t="s">
        <v>2105</v>
      </c>
      <c r="D13" s="806" t="s">
        <v>399</v>
      </c>
      <c r="E13" s="806" t="s">
        <v>2097</v>
      </c>
      <c r="F13" s="806" t="s">
        <v>654</v>
      </c>
      <c r="G13" s="806" t="s">
        <v>399</v>
      </c>
      <c r="H13" s="806" t="s">
        <v>399</v>
      </c>
      <c r="I13" s="806" t="s">
        <v>399</v>
      </c>
    </row>
    <row r="14" spans="1:9" s="805" customFormat="1" ht="30">
      <c r="A14" s="811" t="s">
        <v>58</v>
      </c>
      <c r="B14" s="807" t="s">
        <v>2096</v>
      </c>
      <c r="C14" s="807" t="s">
        <v>2096</v>
      </c>
      <c r="D14" s="807" t="s">
        <v>2097</v>
      </c>
      <c r="E14" s="806" t="s">
        <v>2097</v>
      </c>
      <c r="F14" s="806" t="s">
        <v>654</v>
      </c>
      <c r="G14" s="806" t="s">
        <v>399</v>
      </c>
      <c r="H14" s="806" t="s">
        <v>399</v>
      </c>
      <c r="I14" s="806" t="s">
        <v>399</v>
      </c>
    </row>
    <row r="15" spans="1:9" s="805" customFormat="1" ht="30">
      <c r="A15" s="811" t="s">
        <v>27</v>
      </c>
      <c r="B15" s="806" t="s">
        <v>2105</v>
      </c>
      <c r="C15" s="807" t="s">
        <v>2096</v>
      </c>
      <c r="D15" s="806" t="s">
        <v>399</v>
      </c>
      <c r="E15" s="806" t="s">
        <v>2097</v>
      </c>
      <c r="F15" s="806" t="s">
        <v>654</v>
      </c>
      <c r="G15" s="806" t="s">
        <v>399</v>
      </c>
      <c r="H15" s="806" t="s">
        <v>399</v>
      </c>
      <c r="I15" s="806" t="s">
        <v>399</v>
      </c>
    </row>
    <row r="16" spans="1:9" s="805" customFormat="1">
      <c r="A16" s="811" t="s">
        <v>73</v>
      </c>
      <c r="B16" s="806" t="s">
        <v>2105</v>
      </c>
      <c r="C16" s="806" t="s">
        <v>2105</v>
      </c>
      <c r="D16" s="806" t="s">
        <v>399</v>
      </c>
      <c r="E16" s="806" t="s">
        <v>2097</v>
      </c>
      <c r="F16" s="806" t="s">
        <v>654</v>
      </c>
      <c r="G16" s="806" t="s">
        <v>399</v>
      </c>
      <c r="H16" s="806" t="s">
        <v>399</v>
      </c>
      <c r="I16" s="806" t="s">
        <v>399</v>
      </c>
    </row>
    <row r="17" spans="1:9" s="805" customFormat="1">
      <c r="A17" s="811" t="s">
        <v>78</v>
      </c>
      <c r="B17" s="806" t="s">
        <v>2105</v>
      </c>
      <c r="C17" s="806" t="s">
        <v>2105</v>
      </c>
      <c r="D17" s="806" t="s">
        <v>2097</v>
      </c>
      <c r="E17" s="806" t="s">
        <v>2097</v>
      </c>
      <c r="F17" s="806" t="s">
        <v>654</v>
      </c>
      <c r="G17" s="806" t="s">
        <v>2098</v>
      </c>
      <c r="H17" s="806" t="s">
        <v>399</v>
      </c>
      <c r="I17" s="806" t="s">
        <v>399</v>
      </c>
    </row>
    <row r="18" spans="1:9" s="805" customFormat="1">
      <c r="A18" s="811" t="s">
        <v>79</v>
      </c>
      <c r="B18" s="806" t="s">
        <v>2105</v>
      </c>
      <c r="C18" s="806" t="s">
        <v>2105</v>
      </c>
      <c r="D18" s="806" t="s">
        <v>399</v>
      </c>
      <c r="E18" s="806" t="s">
        <v>2097</v>
      </c>
      <c r="F18" s="806" t="s">
        <v>654</v>
      </c>
      <c r="G18" s="806" t="s">
        <v>399</v>
      </c>
      <c r="H18" s="806" t="s">
        <v>399</v>
      </c>
      <c r="I18" s="806" t="s">
        <v>399</v>
      </c>
    </row>
    <row r="19" spans="1:9" s="805" customFormat="1">
      <c r="A19" s="811" t="s">
        <v>1637</v>
      </c>
      <c r="B19" s="806" t="s">
        <v>2105</v>
      </c>
      <c r="C19" s="806" t="s">
        <v>2105</v>
      </c>
      <c r="D19" s="806" t="s">
        <v>2097</v>
      </c>
      <c r="E19" s="806" t="s">
        <v>2097</v>
      </c>
      <c r="F19" s="806" t="s">
        <v>654</v>
      </c>
      <c r="G19" s="806" t="s">
        <v>2098</v>
      </c>
      <c r="H19" s="806" t="s">
        <v>399</v>
      </c>
      <c r="I19" s="806" t="s">
        <v>399</v>
      </c>
    </row>
    <row r="20" spans="1:9" s="805" customFormat="1">
      <c r="A20" s="811" t="s">
        <v>92</v>
      </c>
      <c r="B20" s="806" t="s">
        <v>2105</v>
      </c>
      <c r="C20" s="806" t="s">
        <v>2105</v>
      </c>
      <c r="D20" s="806" t="s">
        <v>2097</v>
      </c>
      <c r="E20" s="806" t="s">
        <v>2097</v>
      </c>
      <c r="F20" s="806" t="s">
        <v>399</v>
      </c>
      <c r="G20" s="806" t="s">
        <v>2098</v>
      </c>
      <c r="H20" s="806" t="s">
        <v>399</v>
      </c>
      <c r="I20" s="806" t="s">
        <v>399</v>
      </c>
    </row>
    <row r="21" spans="1:9" s="805" customFormat="1">
      <c r="A21" s="811" t="s">
        <v>93</v>
      </c>
      <c r="B21" s="806" t="s">
        <v>2105</v>
      </c>
      <c r="C21" s="806" t="s">
        <v>2105</v>
      </c>
      <c r="D21" s="806" t="s">
        <v>2097</v>
      </c>
      <c r="E21" s="806" t="s">
        <v>2097</v>
      </c>
      <c r="F21" s="806" t="s">
        <v>399</v>
      </c>
      <c r="G21" s="806" t="s">
        <v>2098</v>
      </c>
      <c r="H21" s="806" t="s">
        <v>399</v>
      </c>
      <c r="I21" s="806" t="s">
        <v>399</v>
      </c>
    </row>
    <row r="22" spans="1:9" s="805" customFormat="1">
      <c r="A22" s="811" t="s">
        <v>98</v>
      </c>
      <c r="B22" s="806" t="s">
        <v>2105</v>
      </c>
      <c r="C22" s="806" t="s">
        <v>2105</v>
      </c>
      <c r="D22" s="806" t="s">
        <v>2097</v>
      </c>
      <c r="E22" s="806" t="s">
        <v>2097</v>
      </c>
      <c r="F22" s="806" t="s">
        <v>399</v>
      </c>
      <c r="G22" s="806" t="s">
        <v>2098</v>
      </c>
      <c r="H22" s="806" t="s">
        <v>399</v>
      </c>
      <c r="I22" s="806" t="s">
        <v>399</v>
      </c>
    </row>
    <row r="23" spans="1:9" s="805" customFormat="1">
      <c r="A23" s="811" t="s">
        <v>99</v>
      </c>
      <c r="B23" s="806" t="s">
        <v>2105</v>
      </c>
      <c r="C23" s="806" t="s">
        <v>2105</v>
      </c>
      <c r="D23" s="806" t="s">
        <v>2097</v>
      </c>
      <c r="E23" s="806" t="s">
        <v>2097</v>
      </c>
      <c r="F23" s="806" t="s">
        <v>399</v>
      </c>
      <c r="G23" s="806" t="s">
        <v>2098</v>
      </c>
      <c r="H23" s="806" t="s">
        <v>399</v>
      </c>
      <c r="I23" s="806" t="s">
        <v>399</v>
      </c>
    </row>
    <row r="24" spans="1:9" s="805" customFormat="1">
      <c r="A24" s="811" t="s">
        <v>100</v>
      </c>
      <c r="B24" s="806" t="s">
        <v>2105</v>
      </c>
      <c r="C24" s="806" t="s">
        <v>2105</v>
      </c>
      <c r="D24" s="806" t="s">
        <v>2097</v>
      </c>
      <c r="E24" s="806" t="s">
        <v>2097</v>
      </c>
      <c r="F24" s="806" t="s">
        <v>399</v>
      </c>
      <c r="G24" s="806" t="s">
        <v>2098</v>
      </c>
      <c r="H24" s="806" t="s">
        <v>399</v>
      </c>
      <c r="I24" s="806" t="s">
        <v>399</v>
      </c>
    </row>
    <row r="25" spans="1:9" s="805" customFormat="1">
      <c r="A25" s="811" t="s">
        <v>101</v>
      </c>
      <c r="B25" s="806" t="s">
        <v>2105</v>
      </c>
      <c r="C25" s="806" t="s">
        <v>2105</v>
      </c>
      <c r="D25" s="806" t="s">
        <v>2097</v>
      </c>
      <c r="E25" s="806" t="s">
        <v>2097</v>
      </c>
      <c r="F25" s="806" t="s">
        <v>399</v>
      </c>
      <c r="G25" s="806" t="s">
        <v>2098</v>
      </c>
      <c r="H25" s="806" t="s">
        <v>399</v>
      </c>
      <c r="I25" s="806" t="s">
        <v>399</v>
      </c>
    </row>
    <row r="26" spans="1:9" s="805" customFormat="1">
      <c r="A26" s="811" t="s">
        <v>102</v>
      </c>
      <c r="B26" s="806" t="s">
        <v>2105</v>
      </c>
      <c r="C26" s="806" t="s">
        <v>2105</v>
      </c>
      <c r="D26" s="806" t="s">
        <v>2097</v>
      </c>
      <c r="E26" s="806" t="s">
        <v>2097</v>
      </c>
      <c r="F26" s="806" t="s">
        <v>399</v>
      </c>
      <c r="G26" s="806" t="s">
        <v>2098</v>
      </c>
      <c r="H26" s="806" t="s">
        <v>399</v>
      </c>
      <c r="I26" s="806" t="s">
        <v>399</v>
      </c>
    </row>
    <row r="27" spans="1:9" s="805" customFormat="1">
      <c r="A27" s="811" t="s">
        <v>103</v>
      </c>
      <c r="B27" s="806" t="s">
        <v>2105</v>
      </c>
      <c r="C27" s="806" t="s">
        <v>2105</v>
      </c>
      <c r="D27" s="806" t="s">
        <v>2097</v>
      </c>
      <c r="E27" s="806" t="s">
        <v>2097</v>
      </c>
      <c r="F27" s="806" t="s">
        <v>399</v>
      </c>
      <c r="G27" s="806" t="s">
        <v>2098</v>
      </c>
      <c r="H27" s="806" t="s">
        <v>399</v>
      </c>
      <c r="I27" s="806" t="s">
        <v>399</v>
      </c>
    </row>
    <row r="28" spans="1:9" s="805" customFormat="1">
      <c r="A28" s="811" t="s">
        <v>104</v>
      </c>
      <c r="B28" s="806" t="s">
        <v>2105</v>
      </c>
      <c r="C28" s="806" t="s">
        <v>2105</v>
      </c>
      <c r="D28" s="806" t="s">
        <v>2097</v>
      </c>
      <c r="E28" s="806" t="s">
        <v>2097</v>
      </c>
      <c r="F28" s="806" t="s">
        <v>399</v>
      </c>
      <c r="G28" s="806" t="s">
        <v>2098</v>
      </c>
      <c r="H28" s="806" t="s">
        <v>399</v>
      </c>
      <c r="I28" s="806" t="s">
        <v>399</v>
      </c>
    </row>
    <row r="29" spans="1:9" s="805" customFormat="1">
      <c r="A29" s="811" t="s">
        <v>105</v>
      </c>
      <c r="B29" s="806" t="s">
        <v>2105</v>
      </c>
      <c r="C29" s="806" t="s">
        <v>2105</v>
      </c>
      <c r="D29" s="806" t="s">
        <v>2097</v>
      </c>
      <c r="E29" s="806" t="s">
        <v>2097</v>
      </c>
      <c r="F29" s="806" t="s">
        <v>399</v>
      </c>
      <c r="G29" s="806" t="s">
        <v>2098</v>
      </c>
      <c r="H29" s="806" t="s">
        <v>399</v>
      </c>
      <c r="I29" s="806" t="s">
        <v>399</v>
      </c>
    </row>
    <row r="30" spans="1:9" s="805" customFormat="1" ht="30">
      <c r="A30" s="811" t="s">
        <v>106</v>
      </c>
      <c r="B30" s="807" t="s">
        <v>2096</v>
      </c>
      <c r="C30" s="807" t="s">
        <v>2096</v>
      </c>
      <c r="D30" s="807" t="s">
        <v>399</v>
      </c>
      <c r="E30" s="806" t="s">
        <v>399</v>
      </c>
      <c r="F30" s="806" t="s">
        <v>399</v>
      </c>
      <c r="G30" s="806" t="s">
        <v>2098</v>
      </c>
      <c r="H30" s="806" t="s">
        <v>399</v>
      </c>
      <c r="I30" s="806" t="s">
        <v>399</v>
      </c>
    </row>
    <row r="31" spans="1:9" s="805" customFormat="1" ht="30">
      <c r="A31" s="811" t="s">
        <v>107</v>
      </c>
      <c r="B31" s="807" t="s">
        <v>2096</v>
      </c>
      <c r="C31" s="807" t="s">
        <v>2096</v>
      </c>
      <c r="D31" s="807" t="s">
        <v>399</v>
      </c>
      <c r="E31" s="806" t="s">
        <v>2097</v>
      </c>
      <c r="F31" s="806" t="s">
        <v>654</v>
      </c>
      <c r="G31" s="806" t="s">
        <v>399</v>
      </c>
      <c r="H31" s="806" t="s">
        <v>399</v>
      </c>
      <c r="I31" s="806" t="s">
        <v>399</v>
      </c>
    </row>
    <row r="32" spans="1:9" s="805" customFormat="1" ht="30">
      <c r="A32" s="811" t="s">
        <v>35</v>
      </c>
      <c r="B32" s="807" t="s">
        <v>2096</v>
      </c>
      <c r="C32" s="807" t="s">
        <v>2096</v>
      </c>
      <c r="D32" s="807" t="s">
        <v>399</v>
      </c>
      <c r="E32" s="806" t="s">
        <v>2097</v>
      </c>
      <c r="F32" s="806" t="s">
        <v>654</v>
      </c>
      <c r="G32" s="806" t="s">
        <v>399</v>
      </c>
      <c r="H32" s="806" t="s">
        <v>399</v>
      </c>
      <c r="I32" s="806" t="s">
        <v>399</v>
      </c>
    </row>
    <row r="33" spans="1:9" s="805" customFormat="1">
      <c r="A33" s="811" t="s">
        <v>1155</v>
      </c>
      <c r="B33" s="806" t="s">
        <v>2106</v>
      </c>
      <c r="C33" s="806" t="s">
        <v>2105</v>
      </c>
      <c r="D33" s="806" t="s">
        <v>399</v>
      </c>
      <c r="E33" s="806" t="s">
        <v>399</v>
      </c>
      <c r="F33" s="806" t="s">
        <v>654</v>
      </c>
      <c r="G33" s="806" t="s">
        <v>399</v>
      </c>
      <c r="H33" s="806" t="s">
        <v>399</v>
      </c>
      <c r="I33" s="806" t="s">
        <v>399</v>
      </c>
    </row>
    <row r="34" spans="1:9" s="805" customFormat="1">
      <c r="A34" s="811" t="s">
        <v>121</v>
      </c>
      <c r="B34" s="806" t="s">
        <v>2105</v>
      </c>
      <c r="C34" s="806" t="s">
        <v>2105</v>
      </c>
      <c r="D34" s="806" t="s">
        <v>399</v>
      </c>
      <c r="E34" s="806" t="s">
        <v>2097</v>
      </c>
      <c r="F34" s="806" t="s">
        <v>654</v>
      </c>
      <c r="G34" s="806" t="s">
        <v>399</v>
      </c>
      <c r="H34" s="806" t="s">
        <v>399</v>
      </c>
      <c r="I34" s="806" t="s">
        <v>399</v>
      </c>
    </row>
    <row r="35" spans="1:9" s="805" customFormat="1">
      <c r="A35" s="811" t="s">
        <v>2378</v>
      </c>
      <c r="B35" s="806" t="s">
        <v>2105</v>
      </c>
      <c r="C35" s="806" t="s">
        <v>2105</v>
      </c>
      <c r="D35" s="806" t="s">
        <v>2097</v>
      </c>
      <c r="E35" s="806" t="s">
        <v>2097</v>
      </c>
      <c r="F35" s="806" t="s">
        <v>654</v>
      </c>
      <c r="G35" s="806" t="s">
        <v>2098</v>
      </c>
      <c r="H35" s="806" t="s">
        <v>399</v>
      </c>
      <c r="I35" s="806" t="s">
        <v>399</v>
      </c>
    </row>
    <row r="36" spans="1:9" s="805" customFormat="1">
      <c r="A36" s="811" t="s">
        <v>127</v>
      </c>
      <c r="B36" s="806" t="s">
        <v>2105</v>
      </c>
      <c r="C36" s="806" t="s">
        <v>2105</v>
      </c>
      <c r="D36" s="806" t="s">
        <v>2097</v>
      </c>
      <c r="E36" s="806" t="s">
        <v>2097</v>
      </c>
      <c r="F36" s="806" t="s">
        <v>654</v>
      </c>
      <c r="G36" s="806" t="s">
        <v>2098</v>
      </c>
      <c r="H36" s="806" t="s">
        <v>399</v>
      </c>
      <c r="I36" s="806" t="s">
        <v>399</v>
      </c>
    </row>
    <row r="37" spans="1:9" s="805" customFormat="1">
      <c r="A37" s="811" t="s">
        <v>128</v>
      </c>
      <c r="B37" s="806" t="s">
        <v>2105</v>
      </c>
      <c r="C37" s="806" t="s">
        <v>2105</v>
      </c>
      <c r="D37" s="806" t="s">
        <v>399</v>
      </c>
      <c r="E37" s="806" t="s">
        <v>2097</v>
      </c>
      <c r="F37" s="806" t="s">
        <v>654</v>
      </c>
      <c r="G37" s="806" t="s">
        <v>399</v>
      </c>
      <c r="H37" s="806" t="s">
        <v>399</v>
      </c>
      <c r="I37" s="806" t="s">
        <v>399</v>
      </c>
    </row>
    <row r="38" spans="1:9" s="805" customFormat="1">
      <c r="A38" s="811" t="s">
        <v>132</v>
      </c>
      <c r="B38" s="806" t="s">
        <v>2105</v>
      </c>
      <c r="C38" s="806" t="s">
        <v>2105</v>
      </c>
      <c r="D38" s="806" t="s">
        <v>399</v>
      </c>
      <c r="E38" s="806" t="s">
        <v>2097</v>
      </c>
      <c r="F38" s="806" t="s">
        <v>654</v>
      </c>
      <c r="G38" s="806" t="s">
        <v>399</v>
      </c>
      <c r="H38" s="806" t="s">
        <v>399</v>
      </c>
      <c r="I38" s="806" t="s">
        <v>399</v>
      </c>
    </row>
    <row r="39" spans="1:9" s="805" customFormat="1">
      <c r="A39" s="811" t="s">
        <v>134</v>
      </c>
      <c r="B39" s="806" t="s">
        <v>2105</v>
      </c>
      <c r="C39" s="806" t="s">
        <v>2105</v>
      </c>
      <c r="D39" s="806" t="s">
        <v>399</v>
      </c>
      <c r="E39" s="806" t="s">
        <v>2097</v>
      </c>
      <c r="F39" s="806" t="s">
        <v>654</v>
      </c>
      <c r="G39" s="806" t="s">
        <v>399</v>
      </c>
      <c r="H39" s="806" t="s">
        <v>399</v>
      </c>
      <c r="I39" s="806" t="s">
        <v>399</v>
      </c>
    </row>
    <row r="40" spans="1:9" s="805" customFormat="1" ht="30">
      <c r="A40" s="811" t="s">
        <v>137</v>
      </c>
      <c r="B40" s="807" t="s">
        <v>2096</v>
      </c>
      <c r="C40" s="807" t="s">
        <v>2096</v>
      </c>
      <c r="D40" s="806" t="s">
        <v>399</v>
      </c>
      <c r="E40" s="806" t="s">
        <v>399</v>
      </c>
      <c r="F40" s="806" t="s">
        <v>399</v>
      </c>
      <c r="G40" s="806" t="s">
        <v>399</v>
      </c>
      <c r="H40" s="806" t="s">
        <v>399</v>
      </c>
      <c r="I40" s="806" t="s">
        <v>399</v>
      </c>
    </row>
    <row r="41" spans="1:9" s="805" customFormat="1">
      <c r="A41" s="811" t="s">
        <v>145</v>
      </c>
      <c r="B41" s="806" t="s">
        <v>399</v>
      </c>
      <c r="C41" s="806" t="s">
        <v>399</v>
      </c>
      <c r="D41" s="806" t="s">
        <v>399</v>
      </c>
      <c r="E41" s="806" t="s">
        <v>399</v>
      </c>
      <c r="F41" s="806" t="s">
        <v>399</v>
      </c>
      <c r="G41" s="806" t="s">
        <v>399</v>
      </c>
      <c r="H41" s="806" t="s">
        <v>399</v>
      </c>
      <c r="I41" s="806" t="s">
        <v>399</v>
      </c>
    </row>
    <row r="42" spans="1:9" s="805" customFormat="1">
      <c r="A42" s="811" t="s">
        <v>154</v>
      </c>
      <c r="B42" s="806" t="s">
        <v>2105</v>
      </c>
      <c r="C42" s="806" t="s">
        <v>2105</v>
      </c>
      <c r="D42" s="806" t="s">
        <v>399</v>
      </c>
      <c r="E42" s="806" t="s">
        <v>2097</v>
      </c>
      <c r="F42" s="806" t="s">
        <v>654</v>
      </c>
      <c r="G42" s="806" t="s">
        <v>399</v>
      </c>
      <c r="H42" s="806" t="s">
        <v>399</v>
      </c>
      <c r="I42" s="806" t="s">
        <v>399</v>
      </c>
    </row>
    <row r="43" spans="1:9" s="805" customFormat="1">
      <c r="A43" s="811" t="s">
        <v>165</v>
      </c>
      <c r="B43" s="806" t="s">
        <v>2105</v>
      </c>
      <c r="C43" s="806" t="s">
        <v>2105</v>
      </c>
      <c r="D43" s="806" t="s">
        <v>2097</v>
      </c>
      <c r="E43" s="806" t="s">
        <v>2097</v>
      </c>
      <c r="F43" s="806" t="s">
        <v>399</v>
      </c>
      <c r="G43" s="806" t="s">
        <v>2098</v>
      </c>
      <c r="H43" s="806" t="s">
        <v>399</v>
      </c>
      <c r="I43" s="806" t="s">
        <v>399</v>
      </c>
    </row>
    <row r="44" spans="1:9" s="805" customFormat="1">
      <c r="A44" s="811" t="s">
        <v>166</v>
      </c>
      <c r="B44" s="806" t="s">
        <v>2105</v>
      </c>
      <c r="C44" s="806" t="s">
        <v>2105</v>
      </c>
      <c r="D44" s="806" t="s">
        <v>2097</v>
      </c>
      <c r="E44" s="806" t="s">
        <v>2097</v>
      </c>
      <c r="F44" s="806" t="s">
        <v>399</v>
      </c>
      <c r="G44" s="806" t="s">
        <v>399</v>
      </c>
      <c r="H44" s="806" t="s">
        <v>399</v>
      </c>
      <c r="I44" s="806" t="s">
        <v>399</v>
      </c>
    </row>
    <row r="45" spans="1:9" s="805" customFormat="1">
      <c r="A45" s="811" t="s">
        <v>167</v>
      </c>
      <c r="B45" s="806" t="s">
        <v>399</v>
      </c>
      <c r="C45" s="806" t="s">
        <v>399</v>
      </c>
      <c r="D45" s="806" t="s">
        <v>399</v>
      </c>
      <c r="E45" s="806" t="s">
        <v>399</v>
      </c>
      <c r="F45" s="806" t="s">
        <v>399</v>
      </c>
      <c r="G45" s="806" t="s">
        <v>399</v>
      </c>
      <c r="H45" s="806" t="s">
        <v>399</v>
      </c>
      <c r="I45" s="806" t="s">
        <v>399</v>
      </c>
    </row>
    <row r="46" spans="1:9" s="805" customFormat="1" ht="30">
      <c r="A46" s="811" t="s">
        <v>172</v>
      </c>
      <c r="B46" s="806" t="s">
        <v>2105</v>
      </c>
      <c r="C46" s="807" t="s">
        <v>2096</v>
      </c>
      <c r="D46" s="806" t="s">
        <v>399</v>
      </c>
      <c r="E46" s="806" t="s">
        <v>2097</v>
      </c>
      <c r="F46" s="806" t="s">
        <v>654</v>
      </c>
      <c r="G46" s="806" t="s">
        <v>399</v>
      </c>
      <c r="H46" s="806" t="s">
        <v>399</v>
      </c>
      <c r="I46" s="806" t="s">
        <v>399</v>
      </c>
    </row>
    <row r="47" spans="1:9" s="805" customFormat="1">
      <c r="A47" s="811" t="s">
        <v>173</v>
      </c>
      <c r="B47" s="806" t="s">
        <v>2105</v>
      </c>
      <c r="C47" s="806" t="s">
        <v>2105</v>
      </c>
      <c r="D47" s="806" t="s">
        <v>2097</v>
      </c>
      <c r="E47" s="806" t="s">
        <v>2097</v>
      </c>
      <c r="F47" s="806" t="s">
        <v>399</v>
      </c>
      <c r="G47" s="806" t="s">
        <v>2098</v>
      </c>
      <c r="H47" s="806" t="s">
        <v>399</v>
      </c>
      <c r="I47" s="806" t="s">
        <v>399</v>
      </c>
    </row>
    <row r="48" spans="1:9" s="805" customFormat="1">
      <c r="A48" s="811" t="s">
        <v>174</v>
      </c>
      <c r="B48" s="806" t="s">
        <v>2105</v>
      </c>
      <c r="C48" s="806" t="s">
        <v>2105</v>
      </c>
      <c r="D48" s="806" t="s">
        <v>399</v>
      </c>
      <c r="E48" s="806" t="s">
        <v>399</v>
      </c>
      <c r="F48" s="806" t="s">
        <v>399</v>
      </c>
      <c r="G48" s="806" t="s">
        <v>399</v>
      </c>
      <c r="H48" s="806" t="s">
        <v>399</v>
      </c>
      <c r="I48" s="806" t="s">
        <v>399</v>
      </c>
    </row>
    <row r="49" spans="1:11" s="805" customFormat="1" ht="30">
      <c r="A49" s="811" t="s">
        <v>177</v>
      </c>
      <c r="B49" s="807" t="s">
        <v>2096</v>
      </c>
      <c r="C49" s="807" t="s">
        <v>2096</v>
      </c>
      <c r="D49" s="806" t="s">
        <v>399</v>
      </c>
      <c r="E49" s="806" t="s">
        <v>399</v>
      </c>
      <c r="F49" s="806" t="s">
        <v>654</v>
      </c>
      <c r="G49" s="806" t="s">
        <v>399</v>
      </c>
      <c r="H49" s="806" t="s">
        <v>399</v>
      </c>
      <c r="I49" s="806" t="s">
        <v>399</v>
      </c>
    </row>
    <row r="50" spans="1:11" s="805" customFormat="1">
      <c r="A50" s="811" t="s">
        <v>182</v>
      </c>
      <c r="B50" s="806" t="s">
        <v>2105</v>
      </c>
      <c r="C50" s="806" t="s">
        <v>2105</v>
      </c>
      <c r="D50" s="806" t="s">
        <v>399</v>
      </c>
      <c r="E50" s="806" t="s">
        <v>399</v>
      </c>
      <c r="F50" s="806" t="s">
        <v>654</v>
      </c>
      <c r="G50" s="806" t="s">
        <v>399</v>
      </c>
      <c r="H50" s="806" t="s">
        <v>399</v>
      </c>
      <c r="I50" s="806" t="s">
        <v>399</v>
      </c>
    </row>
    <row r="51" spans="1:11" s="805" customFormat="1" ht="30">
      <c r="A51" s="811" t="s">
        <v>183</v>
      </c>
      <c r="B51" s="807" t="s">
        <v>2096</v>
      </c>
      <c r="C51" s="807" t="s">
        <v>2096</v>
      </c>
      <c r="D51" s="806" t="s">
        <v>399</v>
      </c>
      <c r="E51" s="806" t="s">
        <v>2097</v>
      </c>
      <c r="F51" s="806" t="s">
        <v>654</v>
      </c>
      <c r="G51" s="806" t="s">
        <v>399</v>
      </c>
      <c r="H51" s="806" t="s">
        <v>399</v>
      </c>
      <c r="I51" s="806" t="s">
        <v>399</v>
      </c>
    </row>
    <row r="52" spans="1:11" s="805" customFormat="1">
      <c r="A52" s="811" t="s">
        <v>188</v>
      </c>
      <c r="B52" s="806" t="s">
        <v>2105</v>
      </c>
      <c r="C52" s="806" t="s">
        <v>2105</v>
      </c>
      <c r="D52" s="806" t="s">
        <v>399</v>
      </c>
      <c r="E52" s="806" t="s">
        <v>2097</v>
      </c>
      <c r="F52" s="806" t="s">
        <v>654</v>
      </c>
      <c r="G52" s="806" t="s">
        <v>399</v>
      </c>
      <c r="H52" s="806" t="s">
        <v>399</v>
      </c>
      <c r="I52" s="806" t="s">
        <v>399</v>
      </c>
    </row>
    <row r="53" spans="1:11" s="805" customFormat="1" ht="30">
      <c r="A53" s="811" t="s">
        <v>190</v>
      </c>
      <c r="B53" s="807" t="s">
        <v>2096</v>
      </c>
      <c r="C53" s="807" t="s">
        <v>2096</v>
      </c>
      <c r="D53" s="807" t="s">
        <v>399</v>
      </c>
      <c r="E53" s="806" t="s">
        <v>2097</v>
      </c>
      <c r="F53" s="806" t="s">
        <v>654</v>
      </c>
      <c r="G53" s="806" t="s">
        <v>399</v>
      </c>
      <c r="H53" s="806" t="s">
        <v>399</v>
      </c>
      <c r="I53" s="806" t="s">
        <v>399</v>
      </c>
    </row>
    <row r="54" spans="1:11" s="805" customFormat="1" ht="30">
      <c r="A54" s="811" t="s">
        <v>195</v>
      </c>
      <c r="B54" s="807" t="s">
        <v>2096</v>
      </c>
      <c r="C54" s="807" t="s">
        <v>2096</v>
      </c>
      <c r="D54" s="806" t="s">
        <v>399</v>
      </c>
      <c r="E54" s="806" t="s">
        <v>2097</v>
      </c>
      <c r="F54" s="806" t="s">
        <v>399</v>
      </c>
      <c r="G54" s="806" t="s">
        <v>399</v>
      </c>
      <c r="H54" s="806" t="s">
        <v>399</v>
      </c>
      <c r="I54" s="806" t="s">
        <v>399</v>
      </c>
    </row>
    <row r="55" spans="1:11" s="805" customFormat="1">
      <c r="A55" s="811" t="s">
        <v>200</v>
      </c>
      <c r="B55" s="806" t="s">
        <v>2105</v>
      </c>
      <c r="C55" s="806" t="s">
        <v>2105</v>
      </c>
      <c r="D55" s="806" t="s">
        <v>2097</v>
      </c>
      <c r="E55" s="806" t="s">
        <v>2097</v>
      </c>
      <c r="F55" s="806" t="s">
        <v>654</v>
      </c>
      <c r="G55" s="806" t="s">
        <v>2098</v>
      </c>
      <c r="H55" s="806" t="s">
        <v>399</v>
      </c>
      <c r="I55" s="806" t="s">
        <v>399</v>
      </c>
    </row>
    <row r="56" spans="1:11" s="805" customFormat="1">
      <c r="A56" s="811" t="s">
        <v>201</v>
      </c>
      <c r="B56" s="806" t="s">
        <v>399</v>
      </c>
      <c r="C56" s="806" t="s">
        <v>399</v>
      </c>
      <c r="D56" s="806" t="s">
        <v>399</v>
      </c>
      <c r="E56" s="806" t="s">
        <v>399</v>
      </c>
      <c r="F56" s="806" t="s">
        <v>399</v>
      </c>
      <c r="G56" s="806" t="s">
        <v>399</v>
      </c>
      <c r="H56" s="806" t="s">
        <v>399</v>
      </c>
      <c r="I56" s="806" t="s">
        <v>399</v>
      </c>
    </row>
    <row r="57" spans="1:11" s="805" customFormat="1">
      <c r="A57" s="811" t="s">
        <v>206</v>
      </c>
      <c r="B57" s="806" t="s">
        <v>399</v>
      </c>
      <c r="C57" s="806" t="s">
        <v>399</v>
      </c>
      <c r="D57" s="806" t="s">
        <v>399</v>
      </c>
      <c r="E57" s="806" t="s">
        <v>399</v>
      </c>
      <c r="F57" s="806" t="s">
        <v>399</v>
      </c>
      <c r="G57" s="806" t="s">
        <v>399</v>
      </c>
      <c r="H57" s="806" t="s">
        <v>399</v>
      </c>
      <c r="I57" s="806" t="s">
        <v>399</v>
      </c>
    </row>
    <row r="58" spans="1:11" s="805" customFormat="1">
      <c r="A58" s="811" t="s">
        <v>207</v>
      </c>
      <c r="B58" s="806" t="s">
        <v>399</v>
      </c>
      <c r="C58" s="806" t="s">
        <v>399</v>
      </c>
      <c r="D58" s="806" t="s">
        <v>399</v>
      </c>
      <c r="E58" s="806" t="s">
        <v>399</v>
      </c>
      <c r="F58" s="806" t="s">
        <v>399</v>
      </c>
      <c r="G58" s="806" t="s">
        <v>399</v>
      </c>
      <c r="H58" s="806" t="s">
        <v>399</v>
      </c>
      <c r="I58" s="806" t="s">
        <v>399</v>
      </c>
    </row>
    <row r="59" spans="1:11" s="805" customFormat="1">
      <c r="A59" s="811" t="s">
        <v>212</v>
      </c>
      <c r="B59" s="806" t="s">
        <v>399</v>
      </c>
      <c r="C59" s="806" t="s">
        <v>399</v>
      </c>
      <c r="D59" s="806" t="s">
        <v>399</v>
      </c>
      <c r="E59" s="806" t="s">
        <v>399</v>
      </c>
      <c r="F59" s="806" t="s">
        <v>654</v>
      </c>
      <c r="G59" s="806" t="s">
        <v>399</v>
      </c>
      <c r="H59" s="806" t="s">
        <v>399</v>
      </c>
      <c r="I59" s="806" t="s">
        <v>399</v>
      </c>
    </row>
    <row r="60" spans="1:11" s="805" customFormat="1">
      <c r="A60" s="811" t="s">
        <v>213</v>
      </c>
      <c r="B60" s="806" t="s">
        <v>399</v>
      </c>
      <c r="C60" s="806" t="s">
        <v>399</v>
      </c>
      <c r="D60" s="806" t="s">
        <v>399</v>
      </c>
      <c r="E60" s="806" t="s">
        <v>399</v>
      </c>
      <c r="F60" s="806" t="s">
        <v>654</v>
      </c>
      <c r="G60" s="806" t="s">
        <v>399</v>
      </c>
      <c r="H60" s="806" t="s">
        <v>399</v>
      </c>
      <c r="I60" s="806" t="s">
        <v>399</v>
      </c>
    </row>
    <row r="61" spans="1:11" s="805" customFormat="1">
      <c r="A61" s="811" t="s">
        <v>218</v>
      </c>
      <c r="B61" s="806" t="s">
        <v>2105</v>
      </c>
      <c r="C61" s="806" t="s">
        <v>2105</v>
      </c>
      <c r="D61" s="806" t="s">
        <v>399</v>
      </c>
      <c r="E61" s="806" t="s">
        <v>2097</v>
      </c>
      <c r="F61" s="806" t="s">
        <v>654</v>
      </c>
      <c r="G61" s="806" t="s">
        <v>399</v>
      </c>
      <c r="H61" s="806" t="s">
        <v>399</v>
      </c>
      <c r="I61" s="806" t="s">
        <v>399</v>
      </c>
    </row>
    <row r="62" spans="1:11" s="805" customFormat="1" ht="30">
      <c r="A62" s="811" t="s">
        <v>220</v>
      </c>
      <c r="B62" s="807" t="s">
        <v>2096</v>
      </c>
      <c r="C62" s="807" t="s">
        <v>2096</v>
      </c>
      <c r="D62" s="807" t="s">
        <v>399</v>
      </c>
      <c r="E62" s="806" t="s">
        <v>2097</v>
      </c>
      <c r="F62" s="806" t="s">
        <v>399</v>
      </c>
      <c r="G62" s="806" t="s">
        <v>399</v>
      </c>
      <c r="H62" s="806" t="s">
        <v>399</v>
      </c>
      <c r="I62" s="806" t="s">
        <v>399</v>
      </c>
    </row>
    <row r="63" spans="1:11">
      <c r="K63" s="805"/>
    </row>
  </sheetData>
  <autoFilter ref="A12:I12" xr:uid="{76025703-9571-43E1-99DB-C7676A64FA07}"/>
  <mergeCells count="8">
    <mergeCell ref="A1:F2"/>
    <mergeCell ref="B10:F10"/>
    <mergeCell ref="A4:F4"/>
    <mergeCell ref="B5:F5"/>
    <mergeCell ref="B6:F6"/>
    <mergeCell ref="B7:F7"/>
    <mergeCell ref="B8:F8"/>
    <mergeCell ref="B9:F9"/>
  </mergeCells>
  <conditionalFormatting sqref="B13:I62">
    <cfRule type="containsText" dxfId="39" priority="1" operator="containsText" text="Agency">
      <formula>NOT(ISERROR(SEARCH("Agency",B13)))</formula>
    </cfRule>
  </conditionalFormatting>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
  <dimension ref="A1:O140"/>
  <sheetViews>
    <sheetView showGridLines="0" topLeftCell="A9" zoomScale="70" zoomScaleNormal="70" workbookViewId="0">
      <selection activeCell="C36" sqref="C36"/>
    </sheetView>
  </sheetViews>
  <sheetFormatPr defaultColWidth="0" defaultRowHeight="15"/>
  <cols>
    <col min="1" max="1" width="3.140625" style="242" customWidth="1"/>
    <col min="2" max="2" width="3.7109375" style="42" customWidth="1"/>
    <col min="3" max="3" width="9.140625" style="42" bestFit="1" customWidth="1"/>
    <col min="4" max="4" width="12" style="42" customWidth="1"/>
    <col min="5" max="5" width="14.140625" style="42" customWidth="1"/>
    <col min="6" max="6" width="12.28515625" style="42" customWidth="1"/>
    <col min="7" max="7" width="11.140625" style="42" customWidth="1"/>
    <col min="8" max="8" width="11.7109375" style="42" customWidth="1"/>
    <col min="9" max="9" width="15" style="42" customWidth="1"/>
    <col min="10" max="10" width="48.140625" style="42" customWidth="1"/>
    <col min="11" max="11" width="90.140625" style="42" customWidth="1"/>
    <col min="12" max="12" width="9.140625" style="42" customWidth="1"/>
    <col min="13" max="16384" width="9.140625" style="42" hidden="1"/>
  </cols>
  <sheetData>
    <row r="1" spans="2:11" ht="15.75" thickBot="1">
      <c r="B1" s="1018" t="s">
        <v>22</v>
      </c>
      <c r="C1" s="1018"/>
      <c r="D1" s="1018"/>
      <c r="E1" s="1018"/>
      <c r="F1" s="1018"/>
      <c r="G1" s="1018"/>
      <c r="H1" s="1018"/>
      <c r="I1" s="1018"/>
      <c r="J1" s="1018"/>
      <c r="K1" s="1018"/>
    </row>
    <row r="2" spans="2:11" ht="15" customHeight="1">
      <c r="B2" s="1200" t="s">
        <v>928</v>
      </c>
      <c r="C2" s="966"/>
      <c r="D2" s="1252" t="s">
        <v>929</v>
      </c>
      <c r="E2" s="1253"/>
      <c r="F2" s="1253"/>
      <c r="G2" s="1253"/>
      <c r="H2" s="1253"/>
      <c r="I2" s="1253"/>
      <c r="J2" s="1253"/>
      <c r="K2" s="1253"/>
    </row>
    <row r="3" spans="2:11">
      <c r="B3" s="1200"/>
      <c r="C3" s="966"/>
      <c r="D3" s="1254"/>
      <c r="E3" s="1255"/>
      <c r="F3" s="1255"/>
      <c r="G3" s="1255"/>
      <c r="H3" s="1255"/>
      <c r="I3" s="1255"/>
      <c r="J3" s="1255"/>
      <c r="K3" s="1255"/>
    </row>
    <row r="4" spans="2:11" ht="15.75" thickBot="1">
      <c r="B4" s="1200"/>
      <c r="C4" s="966"/>
      <c r="D4" s="1256"/>
      <c r="E4" s="1257"/>
      <c r="F4" s="1257"/>
      <c r="G4" s="1257"/>
      <c r="H4" s="1257"/>
      <c r="I4" s="1257"/>
      <c r="J4" s="1257"/>
      <c r="K4" s="1257"/>
    </row>
    <row r="5" spans="2:11" ht="15" customHeight="1">
      <c r="B5" s="1200"/>
      <c r="C5" s="966"/>
      <c r="D5" s="1258" t="s">
        <v>930</v>
      </c>
      <c r="E5" s="1259"/>
      <c r="F5" s="1259"/>
      <c r="G5" s="1259"/>
      <c r="H5" s="1259"/>
      <c r="I5" s="1259"/>
      <c r="J5" s="1259"/>
      <c r="K5" s="1259"/>
    </row>
    <row r="6" spans="2:11" ht="15.75" thickBot="1">
      <c r="B6" s="71"/>
      <c r="C6" s="71"/>
      <c r="D6" s="71"/>
      <c r="E6" s="71"/>
      <c r="F6" s="71"/>
      <c r="G6" s="71"/>
      <c r="H6" s="71"/>
      <c r="I6" s="71"/>
      <c r="J6" s="71"/>
      <c r="K6" s="71"/>
    </row>
    <row r="7" spans="2:11" ht="18.95" customHeight="1" thickBot="1">
      <c r="B7" s="1228" t="s">
        <v>360</v>
      </c>
      <c r="C7" s="1228"/>
      <c r="D7" s="1232" t="s">
        <v>931</v>
      </c>
      <c r="E7" s="1232"/>
      <c r="F7" s="1232"/>
      <c r="G7" s="1232"/>
      <c r="H7" s="1232"/>
      <c r="I7" s="1232"/>
      <c r="J7" s="1232"/>
      <c r="K7" s="1232"/>
    </row>
    <row r="8" spans="2:11" ht="18.95" customHeight="1" thickBot="1">
      <c r="B8" s="1229" t="s">
        <v>251</v>
      </c>
      <c r="C8" s="1229"/>
      <c r="D8" s="1232" t="s">
        <v>932</v>
      </c>
      <c r="E8" s="1232"/>
      <c r="F8" s="1232"/>
      <c r="G8" s="1232"/>
      <c r="H8" s="1232"/>
      <c r="I8" s="1232"/>
      <c r="J8" s="1232"/>
      <c r="K8" s="1232"/>
    </row>
    <row r="9" spans="2:11" ht="18.95" customHeight="1" thickBot="1">
      <c r="B9" s="1229" t="s">
        <v>268</v>
      </c>
      <c r="C9" s="1229"/>
      <c r="D9" s="1232" t="s">
        <v>933</v>
      </c>
      <c r="E9" s="1232"/>
      <c r="F9" s="1232"/>
      <c r="G9" s="1232"/>
      <c r="H9" s="1232"/>
      <c r="I9" s="1232"/>
      <c r="J9" s="1232"/>
      <c r="K9" s="1232"/>
    </row>
    <row r="10" spans="2:11" ht="18.95" customHeight="1" thickBot="1">
      <c r="B10" s="1229" t="s">
        <v>273</v>
      </c>
      <c r="C10" s="1229"/>
      <c r="D10" s="1232" t="s">
        <v>934</v>
      </c>
      <c r="E10" s="1232"/>
      <c r="F10" s="1232"/>
      <c r="G10" s="1232"/>
      <c r="H10" s="1232"/>
      <c r="I10" s="1232"/>
      <c r="J10" s="1232"/>
      <c r="K10" s="1232"/>
    </row>
    <row r="11" spans="2:11">
      <c r="B11" s="71"/>
      <c r="C11" s="71"/>
      <c r="D11" s="71"/>
      <c r="E11" s="71"/>
      <c r="F11" s="71"/>
      <c r="G11" s="71"/>
      <c r="H11" s="71"/>
      <c r="I11" s="71"/>
      <c r="J11" s="71"/>
      <c r="K11" s="71"/>
    </row>
    <row r="12" spans="2:11">
      <c r="B12" s="71"/>
      <c r="C12" s="71"/>
      <c r="D12" s="71"/>
      <c r="E12" s="71"/>
      <c r="F12" s="71"/>
      <c r="G12" s="71"/>
      <c r="H12" s="71"/>
      <c r="I12" s="71"/>
      <c r="J12" s="71"/>
      <c r="K12" s="71"/>
    </row>
    <row r="13" spans="2:11" ht="39.950000000000003" customHeight="1">
      <c r="B13" s="1220" t="s">
        <v>935</v>
      </c>
      <c r="C13" s="1220"/>
      <c r="D13" s="1220"/>
      <c r="E13" s="1220"/>
      <c r="F13" s="1220"/>
      <c r="G13" s="1220"/>
      <c r="H13" s="1220"/>
      <c r="I13" s="1220"/>
      <c r="J13" s="1220"/>
      <c r="K13" s="1220"/>
    </row>
    <row r="14" spans="2:11" ht="11.25" customHeight="1">
      <c r="B14" s="243"/>
      <c r="C14" s="243"/>
      <c r="D14" s="243"/>
      <c r="E14" s="243"/>
      <c r="F14" s="243"/>
      <c r="G14" s="243"/>
      <c r="H14" s="243"/>
      <c r="I14" s="243"/>
      <c r="J14" s="243"/>
      <c r="K14" s="243"/>
    </row>
    <row r="15" spans="2:11" s="65" customFormat="1" ht="31.5" hidden="1" customHeight="1">
      <c r="D15" s="932" t="s">
        <v>26</v>
      </c>
      <c r="E15" s="932"/>
      <c r="F15" s="932"/>
      <c r="G15" s="932"/>
      <c r="H15" s="932"/>
      <c r="I15" s="933"/>
      <c r="J15" s="973" t="str">
        <f>'Contact Information '!J9</f>
        <v>Please select your answer from the dropdown</v>
      </c>
      <c r="K15" s="974"/>
    </row>
    <row r="16" spans="2:11" ht="3" customHeight="1" thickBot="1">
      <c r="B16" s="1246"/>
      <c r="C16" s="1246"/>
      <c r="D16" s="1246"/>
      <c r="E16" s="1246"/>
      <c r="F16" s="1246"/>
      <c r="G16" s="1246"/>
      <c r="H16" s="1246"/>
      <c r="I16" s="1246"/>
      <c r="J16" s="1246"/>
      <c r="K16" s="1246"/>
    </row>
    <row r="17" spans="1:15" ht="21" customHeight="1" thickBot="1">
      <c r="A17" s="244"/>
      <c r="B17" s="416">
        <v>1</v>
      </c>
      <c r="C17" s="1260" t="s">
        <v>936</v>
      </c>
      <c r="D17" s="1261"/>
      <c r="E17" s="1261"/>
      <c r="F17" s="1261"/>
      <c r="G17" s="1261"/>
      <c r="H17" s="1261"/>
      <c r="I17" s="1261"/>
      <c r="J17" s="1262"/>
      <c r="K17" s="413"/>
    </row>
    <row r="18" spans="1:15" ht="30.6" customHeight="1" thickBot="1">
      <c r="B18" s="414">
        <v>2</v>
      </c>
      <c r="C18" s="1263" t="s">
        <v>937</v>
      </c>
      <c r="D18" s="1264"/>
      <c r="E18" s="1264"/>
      <c r="F18" s="1264"/>
      <c r="G18" s="1264"/>
      <c r="H18" s="1264"/>
      <c r="I18" s="1264"/>
      <c r="J18" s="1265"/>
      <c r="K18" s="413"/>
    </row>
    <row r="19" spans="1:15" s="49" customFormat="1" ht="17.25" customHeight="1">
      <c r="A19" s="245"/>
      <c r="B19" s="241"/>
      <c r="C19" s="240"/>
      <c r="D19" s="240"/>
      <c r="E19" s="240"/>
      <c r="F19" s="45"/>
      <c r="H19" s="415" t="s">
        <v>938</v>
      </c>
      <c r="I19" s="415"/>
      <c r="J19" s="415"/>
      <c r="K19" s="417" t="str">
        <f>IFERROR(K17/(K17+K18),"")</f>
        <v/>
      </c>
    </row>
    <row r="21" spans="1:15" ht="20.100000000000001" customHeight="1" thickBot="1">
      <c r="B21" s="414">
        <v>4</v>
      </c>
      <c r="C21" s="1247" t="s">
        <v>939</v>
      </c>
      <c r="D21" s="1201"/>
      <c r="E21" s="1201"/>
      <c r="F21" s="1201"/>
      <c r="G21" s="1201"/>
      <c r="H21" s="1201"/>
      <c r="I21" s="1201"/>
      <c r="J21" s="1201"/>
      <c r="K21" s="1201"/>
    </row>
    <row r="22" spans="1:15" ht="15" customHeight="1">
      <c r="B22" s="1248"/>
      <c r="C22" s="1248"/>
      <c r="D22" s="1248"/>
      <c r="E22" s="1248"/>
      <c r="F22" s="1248"/>
      <c r="G22" s="1248"/>
      <c r="H22" s="1248"/>
      <c r="I22" s="1248"/>
      <c r="J22" s="1248"/>
      <c r="K22" s="1248"/>
    </row>
    <row r="23" spans="1:15" ht="3.75" customHeight="1">
      <c r="B23" s="1249"/>
      <c r="C23" s="1249"/>
      <c r="D23" s="1249"/>
      <c r="E23" s="1249"/>
      <c r="F23" s="1249"/>
      <c r="G23" s="1249"/>
      <c r="H23" s="1249"/>
      <c r="I23" s="1249"/>
      <c r="J23" s="1249"/>
      <c r="K23" s="1249"/>
    </row>
    <row r="24" spans="1:15" s="220" customFormat="1" ht="15" customHeight="1">
      <c r="B24" s="1249"/>
      <c r="C24" s="1249"/>
      <c r="D24" s="1249"/>
      <c r="E24" s="1249"/>
      <c r="F24" s="1249"/>
      <c r="G24" s="1249"/>
      <c r="H24" s="1249"/>
      <c r="I24" s="1249"/>
      <c r="J24" s="1249"/>
      <c r="K24" s="1249"/>
    </row>
    <row r="25" spans="1:15">
      <c r="B25" s="1249"/>
      <c r="C25" s="1249"/>
      <c r="D25" s="1249"/>
      <c r="E25" s="1249"/>
      <c r="F25" s="1249"/>
      <c r="G25" s="1249"/>
      <c r="H25" s="1249"/>
      <c r="I25" s="1249"/>
      <c r="J25" s="1249"/>
      <c r="K25" s="1249"/>
      <c r="L25" s="246"/>
      <c r="M25" s="246"/>
      <c r="N25" s="246"/>
      <c r="O25" s="246"/>
    </row>
    <row r="26" spans="1:15">
      <c r="B26" s="577"/>
      <c r="C26" s="577"/>
      <c r="D26" s="577"/>
      <c r="E26" s="577"/>
      <c r="F26" s="577"/>
      <c r="G26" s="577"/>
      <c r="H26" s="577"/>
      <c r="I26" s="577"/>
      <c r="J26" s="577"/>
      <c r="K26" s="577"/>
      <c r="L26" s="246"/>
      <c r="M26" s="246"/>
      <c r="N26" s="246"/>
      <c r="O26" s="246"/>
    </row>
    <row r="27" spans="1:15">
      <c r="B27" s="606">
        <v>5</v>
      </c>
      <c r="C27" s="1227" t="s">
        <v>1413</v>
      </c>
      <c r="D27" s="1227"/>
      <c r="E27" s="1227"/>
      <c r="F27" s="1227"/>
      <c r="G27" s="1227"/>
      <c r="H27" s="1227"/>
      <c r="I27" s="1227"/>
      <c r="J27" s="1227"/>
      <c r="K27" s="607" t="s">
        <v>1342</v>
      </c>
      <c r="L27" s="246"/>
      <c r="M27" s="246"/>
      <c r="N27" s="246"/>
      <c r="O27" s="246"/>
    </row>
    <row r="28" spans="1:15">
      <c r="B28" s="1266"/>
      <c r="C28" s="1266"/>
      <c r="D28" s="1266"/>
      <c r="E28" s="1266"/>
      <c r="F28" s="1266"/>
      <c r="G28" s="1266"/>
      <c r="H28" s="1266"/>
      <c r="I28" s="1266"/>
      <c r="J28" s="1266"/>
      <c r="K28" s="1266"/>
      <c r="L28" s="246"/>
      <c r="M28" s="246"/>
      <c r="N28" s="246"/>
      <c r="O28" s="246"/>
    </row>
    <row r="29" spans="1:15">
      <c r="B29" s="1266"/>
      <c r="C29" s="1266"/>
      <c r="D29" s="1266"/>
      <c r="E29" s="1266"/>
      <c r="F29" s="1266"/>
      <c r="G29" s="1266"/>
      <c r="H29" s="1266"/>
      <c r="I29" s="1266"/>
      <c r="J29" s="1266"/>
      <c r="K29" s="1266"/>
      <c r="L29" s="246"/>
      <c r="M29" s="246"/>
      <c r="N29" s="246"/>
      <c r="O29" s="246"/>
    </row>
    <row r="31" spans="1:15" ht="29.1" customHeight="1">
      <c r="B31" s="1220" t="s">
        <v>940</v>
      </c>
      <c r="C31" s="1220"/>
      <c r="D31" s="1220"/>
      <c r="E31" s="1220"/>
      <c r="F31" s="1220"/>
      <c r="G31" s="1220"/>
      <c r="H31" s="1220"/>
      <c r="I31" s="1220"/>
      <c r="J31" s="1220"/>
      <c r="K31" s="1220"/>
    </row>
    <row r="33" spans="2:11" ht="15.75" thickBot="1">
      <c r="B33" s="1250">
        <v>5</v>
      </c>
      <c r="C33" s="418" t="s">
        <v>941</v>
      </c>
      <c r="D33" s="1269" t="s">
        <v>923</v>
      </c>
      <c r="E33" s="1269"/>
      <c r="F33" s="1269" t="s">
        <v>942</v>
      </c>
      <c r="G33" s="1269"/>
      <c r="H33" s="1269" t="s">
        <v>375</v>
      </c>
      <c r="I33" s="1269"/>
      <c r="J33" s="1269"/>
      <c r="K33" s="1269"/>
    </row>
    <row r="34" spans="2:11" ht="15" customHeight="1" thickBot="1">
      <c r="B34" s="1250"/>
      <c r="C34" s="411">
        <v>2023</v>
      </c>
      <c r="D34" s="1233" t="str">
        <f>IFERROR(VLOOKUP($J$15&amp;$C34,'Source Water'!A:H,5,FALSE),"")</f>
        <v/>
      </c>
      <c r="E34" s="1234"/>
      <c r="F34" s="1270" t="str">
        <f>IFERROR(VLOOKUP($J$15&amp;$C34,'Source Water'!A:J,6,FALSE),"")</f>
        <v/>
      </c>
      <c r="G34" s="1271"/>
      <c r="H34" s="1272"/>
      <c r="I34" s="1273"/>
      <c r="J34" s="1273"/>
      <c r="K34" s="1274"/>
    </row>
    <row r="35" spans="2:11" ht="15.75" thickBot="1">
      <c r="B35" s="1250"/>
      <c r="C35" s="411">
        <v>2024</v>
      </c>
      <c r="D35" s="1233" t="str">
        <f>IFERROR(VLOOKUP($J$15&amp;$C35,'Source Water'!A:H,5,FALSE),"")</f>
        <v/>
      </c>
      <c r="E35" s="1234"/>
      <c r="F35" s="1270" t="str">
        <f>IFERROR(VLOOKUP($J$15&amp;$C35,'Source Water'!A:J,6,FALSE),"")</f>
        <v/>
      </c>
      <c r="G35" s="1271"/>
      <c r="H35" s="1275"/>
      <c r="I35" s="1276"/>
      <c r="J35" s="1276"/>
      <c r="K35" s="1277"/>
    </row>
    <row r="36" spans="2:11" ht="15.75" thickBot="1">
      <c r="B36" s="1251"/>
      <c r="C36" s="412">
        <v>2025</v>
      </c>
      <c r="D36" s="1278"/>
      <c r="E36" s="1279"/>
      <c r="F36" s="1267"/>
      <c r="G36" s="1268"/>
      <c r="H36" s="1230"/>
      <c r="I36" s="1231"/>
      <c r="J36" s="1231"/>
      <c r="K36" s="1231"/>
    </row>
    <row r="38" spans="2:11" ht="18" customHeight="1" thickBot="1">
      <c r="B38" s="414">
        <v>6</v>
      </c>
      <c r="C38" s="1247" t="s">
        <v>1415</v>
      </c>
      <c r="D38" s="1201"/>
      <c r="E38" s="1201"/>
      <c r="F38" s="1201"/>
      <c r="G38" s="1201"/>
      <c r="H38" s="1201"/>
      <c r="I38" s="1201"/>
      <c r="J38" s="1201"/>
      <c r="K38" s="1201"/>
    </row>
    <row r="39" spans="2:11">
      <c r="B39" s="1248"/>
      <c r="C39" s="1248"/>
      <c r="D39" s="1248"/>
      <c r="E39" s="1248"/>
      <c r="F39" s="1248"/>
      <c r="G39" s="1248"/>
      <c r="H39" s="1248"/>
      <c r="I39" s="1248"/>
      <c r="J39" s="1248"/>
      <c r="K39" s="1248"/>
    </row>
    <row r="40" spans="2:11">
      <c r="B40" s="1249"/>
      <c r="C40" s="1249"/>
      <c r="D40" s="1249"/>
      <c r="E40" s="1249"/>
      <c r="F40" s="1249"/>
      <c r="G40" s="1249"/>
      <c r="H40" s="1249"/>
      <c r="I40" s="1249"/>
      <c r="J40" s="1249"/>
      <c r="K40" s="1249"/>
    </row>
    <row r="41" spans="2:11">
      <c r="B41" s="1249"/>
      <c r="C41" s="1249"/>
      <c r="D41" s="1249"/>
      <c r="E41" s="1249"/>
      <c r="F41" s="1249"/>
      <c r="G41" s="1249"/>
      <c r="H41" s="1249"/>
      <c r="I41" s="1249"/>
      <c r="J41" s="1249"/>
      <c r="K41" s="1249"/>
    </row>
    <row r="42" spans="2:11">
      <c r="B42" s="600"/>
      <c r="C42" s="600"/>
      <c r="D42" s="600"/>
      <c r="E42" s="600"/>
      <c r="F42" s="600"/>
      <c r="G42" s="600"/>
      <c r="H42" s="600"/>
      <c r="I42" s="600"/>
      <c r="J42" s="600"/>
      <c r="K42" s="577"/>
    </row>
    <row r="44" spans="2:11" ht="32.1" customHeight="1">
      <c r="B44" s="1220" t="s">
        <v>943</v>
      </c>
      <c r="C44" s="1220"/>
      <c r="D44" s="1220"/>
      <c r="E44" s="1220"/>
      <c r="F44" s="1220"/>
      <c r="G44" s="1220"/>
      <c r="H44" s="1220"/>
      <c r="I44" s="1220"/>
      <c r="J44" s="1220"/>
      <c r="K44" s="1220"/>
    </row>
    <row r="45" spans="2:11" ht="18" customHeight="1"/>
    <row r="46" spans="2:11" ht="18" customHeight="1">
      <c r="B46" s="1239" t="s">
        <v>1135</v>
      </c>
      <c r="C46" s="1240"/>
      <c r="D46" s="1240"/>
      <c r="E46" s="1240"/>
      <c r="F46" s="1240"/>
      <c r="G46" s="1240"/>
      <c r="H46" s="1240"/>
      <c r="I46" s="1240"/>
      <c r="J46" s="1240"/>
      <c r="K46" s="1240"/>
    </row>
    <row r="47" spans="2:11" ht="29.1" customHeight="1" thickBot="1">
      <c r="B47" s="1238" t="s">
        <v>945</v>
      </c>
      <c r="C47" s="1238"/>
      <c r="D47" s="1238"/>
      <c r="E47" s="1238"/>
      <c r="F47" s="1238"/>
      <c r="G47" s="1238"/>
      <c r="H47" s="1238"/>
      <c r="I47" s="1238"/>
      <c r="J47" s="1238"/>
      <c r="K47" s="1238"/>
    </row>
    <row r="48" spans="2:11" ht="18" customHeight="1">
      <c r="B48" s="1241" t="s">
        <v>919</v>
      </c>
      <c r="C48" s="1241"/>
      <c r="D48" s="1241"/>
      <c r="E48" s="1241"/>
      <c r="F48" s="1241" t="s">
        <v>946</v>
      </c>
      <c r="G48" s="1241"/>
      <c r="H48" s="1243" t="s">
        <v>947</v>
      </c>
      <c r="I48" s="1243" t="s">
        <v>948</v>
      </c>
      <c r="J48" s="1243" t="s">
        <v>949</v>
      </c>
      <c r="K48" s="1243" t="s">
        <v>288</v>
      </c>
    </row>
    <row r="49" spans="2:11" ht="18" customHeight="1" thickBot="1">
      <c r="B49" s="1242"/>
      <c r="C49" s="1242"/>
      <c r="D49" s="1242"/>
      <c r="E49" s="1242"/>
      <c r="F49" s="1242"/>
      <c r="G49" s="1242"/>
      <c r="H49" s="1244"/>
      <c r="I49" s="1244"/>
      <c r="J49" s="1244"/>
      <c r="K49" s="1244"/>
    </row>
    <row r="50" spans="2:11" ht="18" customHeight="1" thickBot="1">
      <c r="B50" s="537">
        <v>1</v>
      </c>
      <c r="C50" s="1235" t="str">
        <f>IFERROR(VLOOKUP($J$15&amp;$B50,'Landscaping Source'!$A:$P,2,FALSE)," ")</f>
        <v xml:space="preserve"> </v>
      </c>
      <c r="D50" s="1235"/>
      <c r="E50" s="1235"/>
      <c r="F50" s="1236" t="str">
        <f>IFERROR(VLOOKUP($J$15&amp;$B50,'Landscaping Source'!$A:$P,3,FALSE)," ")</f>
        <v xml:space="preserve"> </v>
      </c>
      <c r="G50" s="1237"/>
      <c r="H50" s="536" t="str">
        <f>IFERROR(VLOOKUP($J$15&amp;$B50,'Landscaping Source'!$A:$P,4,FALSE)," ")</f>
        <v xml:space="preserve"> </v>
      </c>
      <c r="I50" s="441" t="str">
        <f>IFERROR(VLOOKUP($J$15&amp;$B50,'Landscaping Source'!$A:$P,5,FALSE)," ")</f>
        <v xml:space="preserve"> </v>
      </c>
      <c r="J50" s="441" t="str">
        <f>IFERROR(VLOOKUP($J$15&amp;$B50,'Landscaping Source'!$A:$P,6,FALSE)," ")</f>
        <v xml:space="preserve"> </v>
      </c>
      <c r="K50" s="467"/>
    </row>
    <row r="51" spans="2:11" ht="18" customHeight="1" thickBot="1">
      <c r="B51" s="537">
        <v>2</v>
      </c>
      <c r="C51" s="1235" t="str">
        <f>IFERROR(VLOOKUP($J$15&amp;$B51,'Landscaping Source'!$A:$P,2,FALSE)," ")</f>
        <v xml:space="preserve"> </v>
      </c>
      <c r="D51" s="1235"/>
      <c r="E51" s="1235"/>
      <c r="F51" s="1236" t="str">
        <f>IFERROR(VLOOKUP($J$15&amp;$B51,'Landscaping Source'!$A:$P,3,FALSE)," ")</f>
        <v xml:space="preserve"> </v>
      </c>
      <c r="G51" s="1237"/>
      <c r="H51" s="536" t="str">
        <f>IFERROR(VLOOKUP($J$15&amp;$B51,'Landscaping Source'!$A:$P,4,FALSE)," ")</f>
        <v xml:space="preserve"> </v>
      </c>
      <c r="I51" s="441" t="str">
        <f>IFERROR(VLOOKUP($J$15&amp;$B51,'Landscaping Source'!$A:$P,5,FALSE)," ")</f>
        <v xml:space="preserve"> </v>
      </c>
      <c r="J51" s="441" t="str">
        <f>IFERROR(VLOOKUP($J$15&amp;$B51,'Landscaping Source'!$A:$P,6,FALSE)," ")</f>
        <v xml:space="preserve"> </v>
      </c>
      <c r="K51" s="467"/>
    </row>
    <row r="52" spans="2:11" ht="18" customHeight="1" thickBot="1">
      <c r="B52" s="537">
        <v>3</v>
      </c>
      <c r="C52" s="1235" t="str">
        <f>IFERROR(VLOOKUP($J$15&amp;$B52,'Landscaping Source'!$A:$P,2,FALSE)," ")</f>
        <v xml:space="preserve"> </v>
      </c>
      <c r="D52" s="1235"/>
      <c r="E52" s="1235"/>
      <c r="F52" s="1236" t="str">
        <f>IFERROR(VLOOKUP($J$15&amp;$B52,'Landscaping Source'!$A:$P,3,FALSE)," ")</f>
        <v xml:space="preserve"> </v>
      </c>
      <c r="G52" s="1237"/>
      <c r="H52" s="536" t="str">
        <f>IFERROR(VLOOKUP($J$15&amp;$B52,'Landscaping Source'!$A:$P,4,FALSE)," ")</f>
        <v xml:space="preserve"> </v>
      </c>
      <c r="I52" s="441" t="str">
        <f>IFERROR(VLOOKUP($J$15&amp;$B52,'Landscaping Source'!$A:$P,5,FALSE)," ")</f>
        <v xml:space="preserve"> </v>
      </c>
      <c r="J52" s="441" t="str">
        <f>IFERROR(VLOOKUP($J$15&amp;$B52,'Landscaping Source'!$A:$P,6,FALSE)," ")</f>
        <v xml:space="preserve"> </v>
      </c>
      <c r="K52" s="467"/>
    </row>
    <row r="53" spans="2:11" ht="18" customHeight="1" thickBot="1">
      <c r="B53" s="537">
        <v>4</v>
      </c>
      <c r="C53" s="1235" t="str">
        <f>IFERROR(VLOOKUP($J$15&amp;$B53,'Landscaping Source'!$A:$P,2,FALSE)," ")</f>
        <v xml:space="preserve"> </v>
      </c>
      <c r="D53" s="1235"/>
      <c r="E53" s="1235"/>
      <c r="F53" s="1236" t="str">
        <f>IFERROR(VLOOKUP($J$15&amp;$B53,'Landscaping Source'!$A:$P,3,FALSE)," ")</f>
        <v xml:space="preserve"> </v>
      </c>
      <c r="G53" s="1237"/>
      <c r="H53" s="536" t="str">
        <f>IFERROR(VLOOKUP($J$15&amp;$B53,'Landscaping Source'!$A:$P,4,FALSE)," ")</f>
        <v xml:space="preserve"> </v>
      </c>
      <c r="I53" s="441" t="str">
        <f>IFERROR(VLOOKUP($J$15&amp;$B53,'Landscaping Source'!$A:$P,5,FALSE)," ")</f>
        <v xml:space="preserve"> </v>
      </c>
      <c r="J53" s="441" t="str">
        <f>IFERROR(VLOOKUP($J$15&amp;$B53,'Landscaping Source'!$A:$P,6,FALSE)," ")</f>
        <v xml:space="preserve"> </v>
      </c>
      <c r="K53" s="467"/>
    </row>
    <row r="54" spans="2:11" ht="18" customHeight="1" thickBot="1">
      <c r="B54" s="537">
        <v>5</v>
      </c>
      <c r="C54" s="1235" t="str">
        <f>IFERROR(VLOOKUP($J$15&amp;$B54,'Landscaping Source'!$A:$P,2,FALSE)," ")</f>
        <v xml:space="preserve"> </v>
      </c>
      <c r="D54" s="1235"/>
      <c r="E54" s="1235"/>
      <c r="F54" s="1236" t="str">
        <f>IFERROR(VLOOKUP($J$15&amp;$B54,'Landscaping Source'!$A:$P,3,FALSE)," ")</f>
        <v xml:space="preserve"> </v>
      </c>
      <c r="G54" s="1237"/>
      <c r="H54" s="536" t="str">
        <f>IFERROR(VLOOKUP($J$15&amp;$B54,'Landscaping Source'!$A:$P,4,FALSE)," ")</f>
        <v xml:space="preserve"> </v>
      </c>
      <c r="I54" s="441" t="str">
        <f>IFERROR(VLOOKUP($J$15&amp;$B54,'Landscaping Source'!$A:$P,5,FALSE)," ")</f>
        <v xml:space="preserve"> </v>
      </c>
      <c r="J54" s="441" t="str">
        <f>IFERROR(VLOOKUP($J$15&amp;$B54,'Landscaping Source'!$A:$P,6,FALSE)," ")</f>
        <v xml:space="preserve"> </v>
      </c>
      <c r="K54" s="467"/>
    </row>
    <row r="55" spans="2:11" ht="18" customHeight="1" thickBot="1">
      <c r="B55" s="537">
        <v>6</v>
      </c>
      <c r="C55" s="1235" t="str">
        <f>IFERROR(VLOOKUP($J$15&amp;$B55,'Landscaping Source'!$A:$P,2,FALSE)," ")</f>
        <v xml:space="preserve"> </v>
      </c>
      <c r="D55" s="1235"/>
      <c r="E55" s="1235"/>
      <c r="F55" s="1236" t="str">
        <f>IFERROR(VLOOKUP($J$15&amp;$B55,'Landscaping Source'!$A:$P,3,FALSE)," ")</f>
        <v xml:space="preserve"> </v>
      </c>
      <c r="G55" s="1237"/>
      <c r="H55" s="536" t="str">
        <f>IFERROR(VLOOKUP($J$15&amp;$B55,'Landscaping Source'!$A:$P,4,FALSE)," ")</f>
        <v xml:space="preserve"> </v>
      </c>
      <c r="I55" s="441" t="str">
        <f>IFERROR(VLOOKUP($J$15&amp;$B55,'Landscaping Source'!$A:$P,5,FALSE)," ")</f>
        <v xml:space="preserve"> </v>
      </c>
      <c r="J55" s="441" t="str">
        <f>IFERROR(VLOOKUP($J$15&amp;$B55,'Landscaping Source'!$A:$P,6,FALSE)," ")</f>
        <v xml:space="preserve"> </v>
      </c>
      <c r="K55" s="467"/>
    </row>
    <row r="56" spans="2:11" ht="18" customHeight="1" thickBot="1">
      <c r="B56" s="537">
        <v>7</v>
      </c>
      <c r="C56" s="1235" t="str">
        <f>IFERROR(VLOOKUP($J$15&amp;$B56,'Landscaping Source'!$A:$P,2,FALSE)," ")</f>
        <v xml:space="preserve"> </v>
      </c>
      <c r="D56" s="1235"/>
      <c r="E56" s="1235"/>
      <c r="F56" s="1236" t="str">
        <f>IFERROR(VLOOKUP($J$15&amp;$B56,'Landscaping Source'!$A:$P,3,FALSE)," ")</f>
        <v xml:space="preserve"> </v>
      </c>
      <c r="G56" s="1237"/>
      <c r="H56" s="536" t="str">
        <f>IFERROR(VLOOKUP($J$15&amp;$B56,'Landscaping Source'!$A:$P,4,FALSE)," ")</f>
        <v xml:space="preserve"> </v>
      </c>
      <c r="I56" s="441" t="str">
        <f>IFERROR(VLOOKUP($J$15&amp;$B56,'Landscaping Source'!$A:$P,5,FALSE)," ")</f>
        <v xml:space="preserve"> </v>
      </c>
      <c r="J56" s="441" t="str">
        <f>IFERROR(VLOOKUP($J$15&amp;$B56,'Landscaping Source'!$A:$P,6,FALSE)," ")</f>
        <v xml:space="preserve"> </v>
      </c>
      <c r="K56" s="467"/>
    </row>
    <row r="57" spans="2:11" ht="18" customHeight="1" thickBot="1">
      <c r="B57" s="537">
        <v>8</v>
      </c>
      <c r="C57" s="1235" t="str">
        <f>IFERROR(VLOOKUP($J$15&amp;$B57,'Landscaping Source'!$A:$P,2,FALSE)," ")</f>
        <v xml:space="preserve"> </v>
      </c>
      <c r="D57" s="1235"/>
      <c r="E57" s="1235"/>
      <c r="F57" s="1236" t="str">
        <f>IFERROR(VLOOKUP($J$15&amp;$B57,'Landscaping Source'!$A:$P,3,FALSE)," ")</f>
        <v xml:space="preserve"> </v>
      </c>
      <c r="G57" s="1237"/>
      <c r="H57" s="536" t="str">
        <f>IFERROR(VLOOKUP($J$15&amp;$B57,'Landscaping Source'!$A:$P,4,FALSE)," ")</f>
        <v xml:space="preserve"> </v>
      </c>
      <c r="I57" s="441" t="str">
        <f>IFERROR(VLOOKUP($J$15&amp;$B57,'Landscaping Source'!$A:$P,5,FALSE)," ")</f>
        <v xml:space="preserve"> </v>
      </c>
      <c r="J57" s="441" t="str">
        <f>IFERROR(VLOOKUP($J$15&amp;$B57,'Landscaping Source'!$A:$P,6,FALSE)," ")</f>
        <v xml:space="preserve"> </v>
      </c>
      <c r="K57" s="467"/>
    </row>
    <row r="58" spans="2:11" ht="18" customHeight="1" thickBot="1">
      <c r="B58" s="537">
        <v>9</v>
      </c>
      <c r="C58" s="1235" t="str">
        <f>IFERROR(VLOOKUP($J$15&amp;$B58,'Landscaping Source'!$A:$P,2,FALSE)," ")</f>
        <v xml:space="preserve"> </v>
      </c>
      <c r="D58" s="1235"/>
      <c r="E58" s="1235"/>
      <c r="F58" s="1236" t="str">
        <f>IFERROR(VLOOKUP($J$15&amp;$B58,'Landscaping Source'!$A:$P,3,FALSE)," ")</f>
        <v xml:space="preserve"> </v>
      </c>
      <c r="G58" s="1237"/>
      <c r="H58" s="536" t="str">
        <f>IFERROR(VLOOKUP($J$15&amp;$B58,'Landscaping Source'!$A:$P,4,FALSE)," ")</f>
        <v xml:space="preserve"> </v>
      </c>
      <c r="I58" s="441" t="str">
        <f>IFERROR(VLOOKUP($J$15&amp;$B58,'Landscaping Source'!$A:$P,5,FALSE)," ")</f>
        <v xml:space="preserve"> </v>
      </c>
      <c r="J58" s="441" t="str">
        <f>IFERROR(VLOOKUP($J$15&amp;$B58,'Landscaping Source'!$A:$P,6,FALSE)," ")</f>
        <v xml:space="preserve"> </v>
      </c>
      <c r="K58" s="467"/>
    </row>
    <row r="59" spans="2:11" ht="18" customHeight="1" thickBot="1">
      <c r="B59" s="537">
        <v>10</v>
      </c>
      <c r="C59" s="1235" t="str">
        <f>IFERROR(VLOOKUP($J$15&amp;$B59,'Landscaping Source'!$A:$P,2,FALSE)," ")</f>
        <v xml:space="preserve"> </v>
      </c>
      <c r="D59" s="1235"/>
      <c r="E59" s="1235"/>
      <c r="F59" s="1236" t="str">
        <f>IFERROR(VLOOKUP($J$15&amp;$B59,'Landscaping Source'!$A:$P,3,FALSE)," ")</f>
        <v xml:space="preserve"> </v>
      </c>
      <c r="G59" s="1237"/>
      <c r="H59" s="536" t="str">
        <f>IFERROR(VLOOKUP($J$15&amp;$B59,'Landscaping Source'!$A:$P,4,FALSE)," ")</f>
        <v xml:space="preserve"> </v>
      </c>
      <c r="I59" s="441" t="str">
        <f>IFERROR(VLOOKUP($J$15&amp;$B59,'Landscaping Source'!$A:$P,5,FALSE)," ")</f>
        <v xml:space="preserve"> </v>
      </c>
      <c r="J59" s="441" t="str">
        <f>IFERROR(VLOOKUP($J$15&amp;$B59,'Landscaping Source'!$A:$P,6,FALSE)," ")</f>
        <v xml:space="preserve"> </v>
      </c>
      <c r="K59" s="467"/>
    </row>
    <row r="60" spans="2:11" ht="18" customHeight="1" thickBot="1">
      <c r="B60" s="537">
        <v>11</v>
      </c>
      <c r="C60" s="1235" t="str">
        <f>IFERROR(VLOOKUP($J$15&amp;$B60,'Landscaping Source'!$A:$P,2,FALSE)," ")</f>
        <v xml:space="preserve"> </v>
      </c>
      <c r="D60" s="1235"/>
      <c r="E60" s="1235"/>
      <c r="F60" s="1236" t="str">
        <f>IFERROR(VLOOKUP($J$15&amp;$B60,'Landscaping Source'!$A:$P,3,FALSE)," ")</f>
        <v xml:space="preserve"> </v>
      </c>
      <c r="G60" s="1237"/>
      <c r="H60" s="536" t="str">
        <f>IFERROR(VLOOKUP($J$15&amp;$B60,'Landscaping Source'!$A:$P,4,FALSE)," ")</f>
        <v xml:space="preserve"> </v>
      </c>
      <c r="I60" s="441" t="str">
        <f>IFERROR(VLOOKUP($J$15&amp;$B60,'Landscaping Source'!$A:$P,5,FALSE)," ")</f>
        <v xml:space="preserve"> </v>
      </c>
      <c r="J60" s="441" t="str">
        <f>IFERROR(VLOOKUP($J$15&amp;$B60,'Landscaping Source'!$A:$P,6,FALSE)," ")</f>
        <v xml:space="preserve"> </v>
      </c>
      <c r="K60" s="467"/>
    </row>
    <row r="61" spans="2:11" ht="18" customHeight="1" thickBot="1">
      <c r="B61" s="537">
        <v>12</v>
      </c>
      <c r="C61" s="1235" t="str">
        <f>IFERROR(VLOOKUP($J$15&amp;$B61,'Landscaping Source'!$A:$P,2,FALSE)," ")</f>
        <v xml:space="preserve"> </v>
      </c>
      <c r="D61" s="1235"/>
      <c r="E61" s="1235"/>
      <c r="F61" s="1236" t="str">
        <f>IFERROR(VLOOKUP($J$15&amp;$B61,'Landscaping Source'!$A:$P,3,FALSE)," ")</f>
        <v xml:space="preserve"> </v>
      </c>
      <c r="G61" s="1237"/>
      <c r="H61" s="536" t="str">
        <f>IFERROR(VLOOKUP($J$15&amp;$B61,'Landscaping Source'!$A:$P,4,FALSE)," ")</f>
        <v xml:space="preserve"> </v>
      </c>
      <c r="I61" s="441" t="str">
        <f>IFERROR(VLOOKUP($J$15&amp;$B61,'Landscaping Source'!$A:$P,5,FALSE)," ")</f>
        <v xml:space="preserve"> </v>
      </c>
      <c r="J61" s="441" t="str">
        <f>IFERROR(VLOOKUP($J$15&amp;$B61,'Landscaping Source'!$A:$P,6,FALSE)," ")</f>
        <v xml:space="preserve"> </v>
      </c>
      <c r="K61" s="467"/>
    </row>
    <row r="62" spans="2:11" ht="18" customHeight="1" thickBot="1">
      <c r="B62" s="537">
        <v>13</v>
      </c>
      <c r="C62" s="1235" t="str">
        <f>IFERROR(VLOOKUP($J$15&amp;$B62,'Landscaping Source'!$A:$P,2,FALSE)," ")</f>
        <v xml:space="preserve"> </v>
      </c>
      <c r="D62" s="1235"/>
      <c r="E62" s="1235"/>
      <c r="F62" s="1236" t="str">
        <f>IFERROR(VLOOKUP($J$15&amp;$B62,'Landscaping Source'!$A:$P,3,FALSE)," ")</f>
        <v xml:space="preserve"> </v>
      </c>
      <c r="G62" s="1237"/>
      <c r="H62" s="536" t="str">
        <f>IFERROR(VLOOKUP($J$15&amp;$B62,'Landscaping Source'!$A:$P,4,FALSE)," ")</f>
        <v xml:space="preserve"> </v>
      </c>
      <c r="I62" s="441" t="str">
        <f>IFERROR(VLOOKUP($J$15&amp;$B62,'Landscaping Source'!$A:$P,5,FALSE)," ")</f>
        <v xml:space="preserve"> </v>
      </c>
      <c r="J62" s="441" t="str">
        <f>IFERROR(VLOOKUP($J$15&amp;$B62,'Landscaping Source'!$A:$P,6,FALSE)," ")</f>
        <v xml:space="preserve"> </v>
      </c>
      <c r="K62" s="467"/>
    </row>
    <row r="63" spans="2:11" ht="18" customHeight="1" thickBot="1">
      <c r="B63" s="537">
        <v>14</v>
      </c>
      <c r="C63" s="1235" t="str">
        <f>IFERROR(VLOOKUP($J$15&amp;$B63,'Landscaping Source'!$A:$P,2,FALSE)," ")</f>
        <v xml:space="preserve"> </v>
      </c>
      <c r="D63" s="1235"/>
      <c r="E63" s="1235"/>
      <c r="F63" s="1236" t="str">
        <f>IFERROR(VLOOKUP($J$15&amp;$B63,'Landscaping Source'!$A:$P,3,FALSE)," ")</f>
        <v xml:space="preserve"> </v>
      </c>
      <c r="G63" s="1237"/>
      <c r="H63" s="536" t="str">
        <f>IFERROR(VLOOKUP($J$15&amp;$B63,'Landscaping Source'!$A:$P,4,FALSE)," ")</f>
        <v xml:space="preserve"> </v>
      </c>
      <c r="I63" s="441" t="str">
        <f>IFERROR(VLOOKUP($J$15&amp;$B63,'Landscaping Source'!$A:$P,5,FALSE)," ")</f>
        <v xml:space="preserve"> </v>
      </c>
      <c r="J63" s="441" t="str">
        <f>IFERROR(VLOOKUP($J$15&amp;$B63,'Landscaping Source'!$A:$P,6,FALSE)," ")</f>
        <v xml:space="preserve"> </v>
      </c>
      <c r="K63" s="467"/>
    </row>
    <row r="64" spans="2:11" ht="18" customHeight="1" thickBot="1">
      <c r="B64" s="537">
        <v>15</v>
      </c>
      <c r="C64" s="1235" t="str">
        <f>IFERROR(VLOOKUP($J$15&amp;$B64,'Landscaping Source'!$A:$P,2,FALSE)," ")</f>
        <v xml:space="preserve"> </v>
      </c>
      <c r="D64" s="1235"/>
      <c r="E64" s="1235"/>
      <c r="F64" s="1236" t="str">
        <f>IFERROR(VLOOKUP($J$15&amp;$B64,'Landscaping Source'!$A:$P,3,FALSE)," ")</f>
        <v xml:space="preserve"> </v>
      </c>
      <c r="G64" s="1237"/>
      <c r="H64" s="536" t="str">
        <f>IFERROR(VLOOKUP($J$15&amp;$B64,'Landscaping Source'!$A:$P,4,FALSE)," ")</f>
        <v xml:space="preserve"> </v>
      </c>
      <c r="I64" s="441" t="str">
        <f>IFERROR(VLOOKUP($J$15&amp;$B64,'Landscaping Source'!$A:$P,5,FALSE)," ")</f>
        <v xml:space="preserve"> </v>
      </c>
      <c r="J64" s="441" t="str">
        <f>IFERROR(VLOOKUP($J$15&amp;$B64,'Landscaping Source'!$A:$P,6,FALSE)," ")</f>
        <v xml:space="preserve"> </v>
      </c>
      <c r="K64" s="467"/>
    </row>
    <row r="65" spans="2:11" ht="18" customHeight="1" thickBot="1">
      <c r="B65" s="1286" t="s">
        <v>950</v>
      </c>
      <c r="C65" s="1286"/>
      <c r="D65" s="1286"/>
      <c r="E65" s="1286"/>
      <c r="F65" s="1286"/>
      <c r="G65" s="1286"/>
      <c r="H65" s="1286"/>
      <c r="I65" s="1286"/>
      <c r="J65" s="1286"/>
      <c r="K65" s="1286"/>
    </row>
    <row r="66" spans="2:11" ht="18" customHeight="1">
      <c r="B66" s="1289" t="s">
        <v>919</v>
      </c>
      <c r="C66" s="1289"/>
      <c r="D66" s="1289"/>
      <c r="E66" s="1289"/>
      <c r="F66" s="1289" t="s">
        <v>946</v>
      </c>
      <c r="G66" s="1289"/>
      <c r="H66" s="1289"/>
      <c r="I66" s="1287" t="s">
        <v>947</v>
      </c>
      <c r="J66" s="1287" t="s">
        <v>948</v>
      </c>
      <c r="K66" s="1287" t="s">
        <v>949</v>
      </c>
    </row>
    <row r="67" spans="2:11" ht="18" customHeight="1" thickBot="1">
      <c r="B67" s="1290"/>
      <c r="C67" s="1290"/>
      <c r="D67" s="1290"/>
      <c r="E67" s="1290"/>
      <c r="F67" s="1290"/>
      <c r="G67" s="1290"/>
      <c r="H67" s="1290"/>
      <c r="I67" s="1288"/>
      <c r="J67" s="1288"/>
      <c r="K67" s="1288"/>
    </row>
    <row r="68" spans="2:11" ht="18" customHeight="1" thickBot="1">
      <c r="B68" s="1222"/>
      <c r="C68" s="1222"/>
      <c r="D68" s="1222"/>
      <c r="E68" s="1222"/>
      <c r="F68" s="1222"/>
      <c r="G68" s="1222"/>
      <c r="H68" s="1222"/>
      <c r="I68" s="351"/>
      <c r="J68" s="351"/>
      <c r="K68" s="458" t="s">
        <v>225</v>
      </c>
    </row>
    <row r="69" spans="2:11" ht="18" customHeight="1" thickBot="1">
      <c r="B69" s="1222"/>
      <c r="C69" s="1222"/>
      <c r="D69" s="1222"/>
      <c r="E69" s="1222"/>
      <c r="F69" s="1222"/>
      <c r="G69" s="1222"/>
      <c r="H69" s="1222"/>
      <c r="I69" s="351"/>
      <c r="J69" s="351"/>
      <c r="K69" s="458" t="s">
        <v>225</v>
      </c>
    </row>
    <row r="70" spans="2:11" ht="18" customHeight="1" thickBot="1">
      <c r="B70" s="1222"/>
      <c r="C70" s="1222"/>
      <c r="D70" s="1222"/>
      <c r="E70" s="1222"/>
      <c r="F70" s="1222"/>
      <c r="G70" s="1222"/>
      <c r="H70" s="1222"/>
      <c r="I70" s="351"/>
      <c r="J70" s="351"/>
      <c r="K70" s="458" t="s">
        <v>225</v>
      </c>
    </row>
    <row r="71" spans="2:11" ht="18" customHeight="1" thickBot="1">
      <c r="B71" s="1222"/>
      <c r="C71" s="1222"/>
      <c r="D71" s="1222"/>
      <c r="E71" s="1222"/>
      <c r="F71" s="1222"/>
      <c r="G71" s="1222"/>
      <c r="H71" s="1222"/>
      <c r="I71" s="351"/>
      <c r="J71" s="351"/>
      <c r="K71" s="458" t="s">
        <v>225</v>
      </c>
    </row>
    <row r="72" spans="2:11" ht="21" customHeight="1" thickBot="1">
      <c r="B72" s="1222"/>
      <c r="C72" s="1222"/>
      <c r="D72" s="1222"/>
      <c r="E72" s="1222"/>
      <c r="F72" s="1222"/>
      <c r="G72" s="1222"/>
      <c r="H72" s="1222"/>
      <c r="I72" s="351"/>
      <c r="J72" s="351"/>
      <c r="K72" s="458" t="s">
        <v>225</v>
      </c>
    </row>
    <row r="73" spans="2:11" customFormat="1" ht="21" customHeight="1"/>
    <row r="74" spans="2:11" ht="42" customHeight="1">
      <c r="B74" s="1239" t="s">
        <v>951</v>
      </c>
      <c r="C74" s="1240"/>
      <c r="D74" s="1240"/>
      <c r="E74" s="1240"/>
      <c r="F74" s="1240"/>
      <c r="G74" s="1240"/>
      <c r="H74" s="1240"/>
      <c r="I74" s="1240"/>
      <c r="J74" s="1240"/>
      <c r="K74" s="1240"/>
    </row>
    <row r="75" spans="2:11" customFormat="1" ht="15" customHeight="1" thickBot="1">
      <c r="B75" s="1238" t="s">
        <v>1411</v>
      </c>
      <c r="C75" s="1238"/>
      <c r="D75" s="1238"/>
      <c r="E75" s="1238"/>
      <c r="F75" s="1238"/>
      <c r="G75" s="1238"/>
      <c r="H75" s="1238"/>
      <c r="I75" s="1238"/>
      <c r="J75" s="1238"/>
      <c r="K75" s="1238"/>
    </row>
    <row r="76" spans="2:11" customFormat="1" ht="15" customHeight="1">
      <c r="B76" s="1245" t="s">
        <v>919</v>
      </c>
      <c r="C76" s="1245"/>
      <c r="D76" s="1245"/>
      <c r="E76" s="1245"/>
      <c r="F76" s="1245" t="s">
        <v>952</v>
      </c>
      <c r="G76" s="1245"/>
      <c r="H76" s="1245"/>
      <c r="I76" s="548" t="s">
        <v>953</v>
      </c>
      <c r="J76" s="509" t="s">
        <v>954</v>
      </c>
      <c r="K76" s="548" t="s">
        <v>955</v>
      </c>
    </row>
    <row r="77" spans="2:11" customFormat="1" ht="23.1" customHeight="1">
      <c r="B77" s="546">
        <v>1</v>
      </c>
      <c r="C77" s="1215" t="str">
        <f>IFERROR(VLOOKUP($J$15&amp;$B77,'BPLE Source'!$A:$G,2, FALSE), " ")</f>
        <v xml:space="preserve"> </v>
      </c>
      <c r="D77" s="1216"/>
      <c r="E77" s="1217"/>
      <c r="F77" s="1215" t="str">
        <f>IFERROR(VLOOKUP($J$15&amp;$B77,'BPLE Source'!$A:$G,3, FALSE), " ")</f>
        <v xml:space="preserve"> </v>
      </c>
      <c r="G77" s="1216"/>
      <c r="H77" s="1217"/>
      <c r="I77" s="547" t="str">
        <f>IFERROR(VLOOKUP($J$15&amp;$B77,'BPLE Source'!$A:$G,4, FALSE), " ")</f>
        <v xml:space="preserve"> </v>
      </c>
      <c r="J77" s="547" t="str">
        <f>IFERROR(VLOOKUP($J$15&amp;$B77,'BPLE Source'!$A:$G,5, FALSE), " ")</f>
        <v xml:space="preserve"> </v>
      </c>
      <c r="K77" s="549" t="str">
        <f>IFERROR(VLOOKUP($J$15&amp;$B77,'BPLE Source'!$A:$G,6, FALSE), " ")</f>
        <v xml:space="preserve"> </v>
      </c>
    </row>
    <row r="78" spans="2:11" customFormat="1" ht="15" customHeight="1">
      <c r="B78" s="546">
        <v>2</v>
      </c>
      <c r="C78" s="1215" t="str">
        <f>IFERROR(VLOOKUP($J$15&amp;$B78,'BPLE Source'!$A:$G,2, FALSE), " ")</f>
        <v xml:space="preserve"> </v>
      </c>
      <c r="D78" s="1216"/>
      <c r="E78" s="1217"/>
      <c r="F78" s="1215" t="str">
        <f>IFERROR(VLOOKUP($J$15&amp;$B78,'BPLE Source'!$A:$G,3, FALSE), " ")</f>
        <v xml:space="preserve"> </v>
      </c>
      <c r="G78" s="1216"/>
      <c r="H78" s="1217"/>
      <c r="I78" s="547" t="str">
        <f>IFERROR(VLOOKUP($J$15&amp;$B78,'BPLE Source'!$A:$G,4, FALSE), " ")</f>
        <v xml:space="preserve"> </v>
      </c>
      <c r="J78" s="547" t="str">
        <f>IFERROR(VLOOKUP($J$15&amp;$B78,'BPLE Source'!$A:$G,5, FALSE), " ")</f>
        <v xml:space="preserve"> </v>
      </c>
      <c r="K78" s="549" t="str">
        <f>IFERROR(VLOOKUP($J$15&amp;$B78,'BPLE Source'!$A:$G,6, FALSE), " ")</f>
        <v xml:space="preserve"> </v>
      </c>
    </row>
    <row r="79" spans="2:11" customFormat="1" ht="15" customHeight="1">
      <c r="B79" s="546">
        <v>3</v>
      </c>
      <c r="C79" s="1215" t="str">
        <f>IFERROR(VLOOKUP($J$15&amp;$B79,'BPLE Source'!$A:$G,2, FALSE), " ")</f>
        <v xml:space="preserve"> </v>
      </c>
      <c r="D79" s="1216"/>
      <c r="E79" s="1217"/>
      <c r="F79" s="1215" t="str">
        <f>IFERROR(VLOOKUP($J$15&amp;$B79,'BPLE Source'!$A:$G,3, FALSE), " ")</f>
        <v xml:space="preserve"> </v>
      </c>
      <c r="G79" s="1216"/>
      <c r="H79" s="1217"/>
      <c r="I79" s="547" t="str">
        <f>IFERROR(VLOOKUP($J$15&amp;$B79,'BPLE Source'!$A:$G,4, FALSE), " ")</f>
        <v xml:space="preserve"> </v>
      </c>
      <c r="J79" s="547" t="str">
        <f>IFERROR(VLOOKUP($J$15&amp;$B79,'BPLE Source'!$A:$G,5, FALSE), " ")</f>
        <v xml:space="preserve"> </v>
      </c>
      <c r="K79" s="549" t="str">
        <f>IFERROR(VLOOKUP($J$15&amp;$B79,'BPLE Source'!$A:$G,6, FALSE), " ")</f>
        <v xml:space="preserve"> </v>
      </c>
    </row>
    <row r="80" spans="2:11" customFormat="1" ht="15" customHeight="1">
      <c r="B80" s="546">
        <v>4</v>
      </c>
      <c r="C80" s="1215" t="str">
        <f>IFERROR(VLOOKUP($J$15&amp;$B80,'BPLE Source'!$A:$G,2, FALSE), " ")</f>
        <v xml:space="preserve"> </v>
      </c>
      <c r="D80" s="1216"/>
      <c r="E80" s="1217"/>
      <c r="F80" s="1215" t="str">
        <f>IFERROR(VLOOKUP($J$15&amp;$B80,'BPLE Source'!$A:$G,3, FALSE), " ")</f>
        <v xml:space="preserve"> </v>
      </c>
      <c r="G80" s="1216"/>
      <c r="H80" s="1217"/>
      <c r="I80" s="547" t="str">
        <f>IFERROR(VLOOKUP($J$15&amp;$B80,'BPLE Source'!$A:$G,4, FALSE), " ")</f>
        <v xml:space="preserve"> </v>
      </c>
      <c r="J80" s="547" t="str">
        <f>IFERROR(VLOOKUP($J$15&amp;$B80,'BPLE Source'!$A:$G,5, FALSE), " ")</f>
        <v xml:space="preserve"> </v>
      </c>
      <c r="K80" s="549" t="str">
        <f>IFERROR(VLOOKUP($J$15&amp;$B80,'BPLE Source'!$A:$G,6, FALSE), " ")</f>
        <v xml:space="preserve"> </v>
      </c>
    </row>
    <row r="81" spans="2:11" customFormat="1" ht="15" customHeight="1">
      <c r="B81" s="546">
        <v>5</v>
      </c>
      <c r="C81" s="1215" t="str">
        <f>IFERROR(VLOOKUP($J$15&amp;$B81,'BPLE Source'!$A:$G,2, FALSE), " ")</f>
        <v xml:space="preserve"> </v>
      </c>
      <c r="D81" s="1216"/>
      <c r="E81" s="1217"/>
      <c r="F81" s="1215" t="str">
        <f>IFERROR(VLOOKUP($J$15&amp;$B81,'BPLE Source'!$A:$G,3, FALSE), " ")</f>
        <v xml:space="preserve"> </v>
      </c>
      <c r="G81" s="1216"/>
      <c r="H81" s="1217"/>
      <c r="I81" s="547" t="str">
        <f>IFERROR(VLOOKUP($J$15&amp;$B81,'BPLE Source'!$A:$G,4, FALSE), " ")</f>
        <v xml:space="preserve"> </v>
      </c>
      <c r="J81" s="547" t="str">
        <f>IFERROR(VLOOKUP($J$15&amp;$B81,'BPLE Source'!$A:$G,5, FALSE), " ")</f>
        <v xml:space="preserve"> </v>
      </c>
      <c r="K81" s="549" t="str">
        <f>IFERROR(VLOOKUP($J$15&amp;$B81,'BPLE Source'!$A:$G,6, FALSE), " ")</f>
        <v xml:space="preserve"> </v>
      </c>
    </row>
    <row r="82" spans="2:11" customFormat="1" ht="15" customHeight="1">
      <c r="B82" s="546">
        <v>6</v>
      </c>
      <c r="C82" s="1215" t="str">
        <f>IFERROR(VLOOKUP($J$15&amp;$B82,'BPLE Source'!$A:$G,2, FALSE), " ")</f>
        <v xml:space="preserve"> </v>
      </c>
      <c r="D82" s="1216"/>
      <c r="E82" s="1217"/>
      <c r="F82" s="1215" t="str">
        <f>IFERROR(VLOOKUP($J$15&amp;$B82,'BPLE Source'!$A:$G,3, FALSE), " ")</f>
        <v xml:space="preserve"> </v>
      </c>
      <c r="G82" s="1216"/>
      <c r="H82" s="1217"/>
      <c r="I82" s="547" t="str">
        <f>IFERROR(VLOOKUP($J$15&amp;$B82,'BPLE Source'!$A:$G,4, FALSE), " ")</f>
        <v xml:space="preserve"> </v>
      </c>
      <c r="J82" s="547" t="str">
        <f>IFERROR(VLOOKUP($J$15&amp;$B82,'BPLE Source'!$A:$G,5, FALSE), " ")</f>
        <v xml:space="preserve"> </v>
      </c>
      <c r="K82" s="549" t="str">
        <f>IFERROR(VLOOKUP($J$15&amp;$B82,'BPLE Source'!$A:$G,6, FALSE), " ")</f>
        <v xml:space="preserve"> </v>
      </c>
    </row>
    <row r="83" spans="2:11" customFormat="1" ht="15" customHeight="1">
      <c r="B83" s="546">
        <v>7</v>
      </c>
      <c r="C83" s="1215" t="str">
        <f>IFERROR(VLOOKUP($J$15&amp;$B83,'BPLE Source'!$A:$G,2, FALSE), " ")</f>
        <v xml:space="preserve"> </v>
      </c>
      <c r="D83" s="1216"/>
      <c r="E83" s="1217"/>
      <c r="F83" s="1215" t="str">
        <f>IFERROR(VLOOKUP($J$15&amp;$B83,'BPLE Source'!$A:$G,3, FALSE), " ")</f>
        <v xml:space="preserve"> </v>
      </c>
      <c r="G83" s="1216"/>
      <c r="H83" s="1217"/>
      <c r="I83" s="547" t="str">
        <f>IFERROR(VLOOKUP($J$15&amp;$B83,'BPLE Source'!$A:$G,4, FALSE), " ")</f>
        <v xml:space="preserve"> </v>
      </c>
      <c r="J83" s="547" t="str">
        <f>IFERROR(VLOOKUP($J$15&amp;$B83,'BPLE Source'!$A:$G,5, FALSE), " ")</f>
        <v xml:space="preserve"> </v>
      </c>
      <c r="K83" s="549" t="str">
        <f>IFERROR(VLOOKUP($J$15&amp;$B83,'BPLE Source'!$A:$G,6, FALSE), " ")</f>
        <v xml:space="preserve"> </v>
      </c>
    </row>
    <row r="84" spans="2:11" customFormat="1" ht="15" customHeight="1">
      <c r="B84" s="546">
        <v>8</v>
      </c>
      <c r="C84" s="1215" t="str">
        <f>IFERROR(VLOOKUP($J$15&amp;$B84,'BPLE Source'!$A:$G,2, FALSE), " ")</f>
        <v xml:space="preserve"> </v>
      </c>
      <c r="D84" s="1216"/>
      <c r="E84" s="1217"/>
      <c r="F84" s="1215" t="str">
        <f>IFERROR(VLOOKUP($J$15&amp;$B84,'BPLE Source'!$A:$G,3, FALSE), " ")</f>
        <v xml:space="preserve"> </v>
      </c>
      <c r="G84" s="1216"/>
      <c r="H84" s="1217"/>
      <c r="I84" s="547" t="str">
        <f>IFERROR(VLOOKUP($J$15&amp;$B84,'BPLE Source'!$A:$G,4, FALSE), " ")</f>
        <v xml:space="preserve"> </v>
      </c>
      <c r="J84" s="547" t="str">
        <f>IFERROR(VLOOKUP($J$15&amp;$B84,'BPLE Source'!$A:$G,5, FALSE), " ")</f>
        <v xml:space="preserve"> </v>
      </c>
      <c r="K84" s="549" t="str">
        <f>IFERROR(VLOOKUP($J$15&amp;$B84,'BPLE Source'!$A:$G,6, FALSE), " ")</f>
        <v xml:space="preserve"> </v>
      </c>
    </row>
    <row r="85" spans="2:11" customFormat="1" ht="15" customHeight="1">
      <c r="B85" s="546">
        <v>9</v>
      </c>
      <c r="C85" s="1215" t="str">
        <f>IFERROR(VLOOKUP($J$15&amp;$B85,'BPLE Source'!$A:$G,2, FALSE), " ")</f>
        <v xml:space="preserve"> </v>
      </c>
      <c r="D85" s="1216"/>
      <c r="E85" s="1217"/>
      <c r="F85" s="1215" t="str">
        <f>IFERROR(VLOOKUP($J$15&amp;$B85,'BPLE Source'!$A:$G,3, FALSE), " ")</f>
        <v xml:space="preserve"> </v>
      </c>
      <c r="G85" s="1216"/>
      <c r="H85" s="1217"/>
      <c r="I85" s="547" t="str">
        <f>IFERROR(VLOOKUP($J$15&amp;$B85,'BPLE Source'!$A:$G,4, FALSE), " ")</f>
        <v xml:space="preserve"> </v>
      </c>
      <c r="J85" s="547" t="str">
        <f>IFERROR(VLOOKUP($J$15&amp;$B85,'BPLE Source'!$A:$G,5, FALSE), " ")</f>
        <v xml:space="preserve"> </v>
      </c>
      <c r="K85" s="549" t="str">
        <f>IFERROR(VLOOKUP($J$15&amp;$B85,'BPLE Source'!$A:$G,6, FALSE), " ")</f>
        <v xml:space="preserve"> </v>
      </c>
    </row>
    <row r="86" spans="2:11" customFormat="1" ht="15" customHeight="1">
      <c r="B86" s="546">
        <v>10</v>
      </c>
      <c r="C86" s="1215" t="str">
        <f>IFERROR(VLOOKUP($J$15&amp;$B86,'BPLE Source'!$A:$G,2, FALSE), " ")</f>
        <v xml:space="preserve"> </v>
      </c>
      <c r="D86" s="1216"/>
      <c r="E86" s="1217"/>
      <c r="F86" s="1215" t="str">
        <f>IFERROR(VLOOKUP($J$15&amp;$B86,'BPLE Source'!$A:$G,3, FALSE), " ")</f>
        <v xml:space="preserve"> </v>
      </c>
      <c r="G86" s="1216"/>
      <c r="H86" s="1217"/>
      <c r="I86" s="547" t="str">
        <f>IFERROR(VLOOKUP($J$15&amp;$B86,'BPLE Source'!$A:$G,4, FALSE), " ")</f>
        <v xml:space="preserve"> </v>
      </c>
      <c r="J86" s="547" t="str">
        <f>IFERROR(VLOOKUP($J$15&amp;$B86,'BPLE Source'!$A:$G,5, FALSE), " ")</f>
        <v xml:space="preserve"> </v>
      </c>
      <c r="K86" s="549" t="str">
        <f>IFERROR(VLOOKUP($J$15&amp;$B86,'BPLE Source'!$A:$G,6, FALSE), " ")</f>
        <v xml:space="preserve"> </v>
      </c>
    </row>
    <row r="87" spans="2:11" customFormat="1" ht="15" customHeight="1">
      <c r="B87" s="546">
        <v>11</v>
      </c>
      <c r="C87" s="1215" t="str">
        <f>IFERROR(VLOOKUP($J$15&amp;$B87,'BPLE Source'!$A:$G,2, FALSE), " ")</f>
        <v xml:space="preserve"> </v>
      </c>
      <c r="D87" s="1216"/>
      <c r="E87" s="1217"/>
      <c r="F87" s="1215" t="str">
        <f>IFERROR(VLOOKUP($J$15&amp;$B87,'BPLE Source'!$A:$G,3, FALSE), " ")</f>
        <v xml:space="preserve"> </v>
      </c>
      <c r="G87" s="1216"/>
      <c r="H87" s="1217"/>
      <c r="I87" s="547" t="str">
        <f>IFERROR(VLOOKUP($J$15&amp;$B87,'BPLE Source'!$A:$G,4, FALSE), " ")</f>
        <v xml:space="preserve"> </v>
      </c>
      <c r="J87" s="547" t="str">
        <f>IFERROR(VLOOKUP($J$15&amp;$B87,'BPLE Source'!$A:$G,5, FALSE), " ")</f>
        <v xml:space="preserve"> </v>
      </c>
      <c r="K87" s="549" t="str">
        <f>IFERROR(VLOOKUP($J$15&amp;$B87,'BPLE Source'!$A:$G,6, FALSE), " ")</f>
        <v xml:space="preserve"> </v>
      </c>
    </row>
    <row r="88" spans="2:11" customFormat="1" ht="15" customHeight="1">
      <c r="B88" s="546">
        <v>12</v>
      </c>
      <c r="C88" s="1215" t="str">
        <f>IFERROR(VLOOKUP($J$15&amp;$B88,'BPLE Source'!$A:$G,2, FALSE), " ")</f>
        <v xml:space="preserve"> </v>
      </c>
      <c r="D88" s="1216"/>
      <c r="E88" s="1217"/>
      <c r="F88" s="1215" t="str">
        <f>IFERROR(VLOOKUP($J$15&amp;$B88,'BPLE Source'!$A:$G,3, FALSE), " ")</f>
        <v xml:space="preserve"> </v>
      </c>
      <c r="G88" s="1216"/>
      <c r="H88" s="1217"/>
      <c r="I88" s="547" t="str">
        <f>IFERROR(VLOOKUP($J$15&amp;$B88,'BPLE Source'!$A:$G,4, FALSE), " ")</f>
        <v xml:space="preserve"> </v>
      </c>
      <c r="J88" s="547" t="str">
        <f>IFERROR(VLOOKUP($J$15&amp;$B88,'BPLE Source'!$A:$G,5, FALSE), " ")</f>
        <v xml:space="preserve"> </v>
      </c>
      <c r="K88" s="549" t="str">
        <f>IFERROR(VLOOKUP($J$15&amp;$B88,'BPLE Source'!$A:$G,6, FALSE), " ")</f>
        <v xml:space="preserve"> </v>
      </c>
    </row>
    <row r="89" spans="2:11" customFormat="1" ht="15" customHeight="1">
      <c r="B89" s="546">
        <v>13</v>
      </c>
      <c r="C89" s="1215" t="str">
        <f>IFERROR(VLOOKUP($J$15&amp;$B89,'BPLE Source'!$A:$G,2, FALSE), " ")</f>
        <v xml:space="preserve"> </v>
      </c>
      <c r="D89" s="1216"/>
      <c r="E89" s="1217"/>
      <c r="F89" s="1215" t="str">
        <f>IFERROR(VLOOKUP($J$15&amp;$B89,'BPLE Source'!$A:$G,3, FALSE), " ")</f>
        <v xml:space="preserve"> </v>
      </c>
      <c r="G89" s="1216"/>
      <c r="H89" s="1217"/>
      <c r="I89" s="547" t="str">
        <f>IFERROR(VLOOKUP($J$15&amp;$B89,'BPLE Source'!$A:$G,4, FALSE), " ")</f>
        <v xml:space="preserve"> </v>
      </c>
      <c r="J89" s="547" t="str">
        <f>IFERROR(VLOOKUP($J$15&amp;$B89,'BPLE Source'!$A:$G,5, FALSE), " ")</f>
        <v xml:space="preserve"> </v>
      </c>
      <c r="K89" s="549" t="str">
        <f>IFERROR(VLOOKUP($J$15&amp;$B89,'BPLE Source'!$A:$G,6, FALSE), " ")</f>
        <v xml:space="preserve"> </v>
      </c>
    </row>
    <row r="90" spans="2:11" customFormat="1" ht="15" customHeight="1">
      <c r="B90" s="546">
        <v>14</v>
      </c>
      <c r="C90" s="1215" t="str">
        <f>IFERROR(VLOOKUP($J$15&amp;$B90,'BPLE Source'!$A:$G,2, FALSE), " ")</f>
        <v xml:space="preserve"> </v>
      </c>
      <c r="D90" s="1216"/>
      <c r="E90" s="1217"/>
      <c r="F90" s="1215" t="str">
        <f>IFERROR(VLOOKUP($J$15&amp;$B90,'BPLE Source'!$A:$G,3, FALSE), " ")</f>
        <v xml:space="preserve"> </v>
      </c>
      <c r="G90" s="1216"/>
      <c r="H90" s="1217"/>
      <c r="I90" s="547" t="str">
        <f>IFERROR(VLOOKUP($J$15&amp;$B90,'BPLE Source'!$A:$G,4, FALSE), " ")</f>
        <v xml:space="preserve"> </v>
      </c>
      <c r="J90" s="547" t="str">
        <f>IFERROR(VLOOKUP($J$15&amp;$B90,'BPLE Source'!$A:$G,5, FALSE), " ")</f>
        <v xml:space="preserve"> </v>
      </c>
      <c r="K90" s="549" t="str">
        <f>IFERROR(VLOOKUP($J$15&amp;$B90,'BPLE Source'!$A:$G,6, FALSE), " ")</f>
        <v xml:space="preserve"> </v>
      </c>
    </row>
    <row r="91" spans="2:11" customFormat="1" ht="15" customHeight="1">
      <c r="B91" s="546">
        <v>15</v>
      </c>
      <c r="C91" s="1215" t="str">
        <f>IFERROR(VLOOKUP($J$15&amp;$B91,'BPLE Source'!$A:$G,2, FALSE), " ")</f>
        <v xml:space="preserve"> </v>
      </c>
      <c r="D91" s="1216"/>
      <c r="E91" s="1217"/>
      <c r="F91" s="1215" t="str">
        <f>IFERROR(VLOOKUP($J$15&amp;$B91,'BPLE Source'!$A:$G,3, FALSE), " ")</f>
        <v xml:space="preserve"> </v>
      </c>
      <c r="G91" s="1216"/>
      <c r="H91" s="1217"/>
      <c r="I91" s="547" t="str">
        <f>IFERROR(VLOOKUP($J$15&amp;$B91,'BPLE Source'!$A:$G,4, FALSE), " ")</f>
        <v xml:space="preserve"> </v>
      </c>
      <c r="J91" s="547" t="str">
        <f>IFERROR(VLOOKUP($J$15&amp;$B91,'BPLE Source'!$A:$G,5, FALSE), " ")</f>
        <v xml:space="preserve"> </v>
      </c>
      <c r="K91" s="549" t="str">
        <f>IFERROR(VLOOKUP($J$15&amp;$B91,'BPLE Source'!$A:$G,6, FALSE), " ")</f>
        <v xml:space="preserve"> </v>
      </c>
    </row>
    <row r="92" spans="2:11" customFormat="1" ht="15" customHeight="1">
      <c r="B92" s="546">
        <v>16</v>
      </c>
      <c r="C92" s="1215" t="str">
        <f>IFERROR(VLOOKUP($J$15&amp;$B92,'BPLE Source'!$A:$G,2, FALSE), " ")</f>
        <v xml:space="preserve"> </v>
      </c>
      <c r="D92" s="1216"/>
      <c r="E92" s="1217"/>
      <c r="F92" s="1215" t="str">
        <f>IFERROR(VLOOKUP($J$15&amp;$B92,'BPLE Source'!$A:$G,3, FALSE), " ")</f>
        <v xml:space="preserve"> </v>
      </c>
      <c r="G92" s="1216"/>
      <c r="H92" s="1217"/>
      <c r="I92" s="547" t="str">
        <f>IFERROR(VLOOKUP($J$15&amp;$B92,'BPLE Source'!$A:$G,4, FALSE), " ")</f>
        <v xml:space="preserve"> </v>
      </c>
      <c r="J92" s="547" t="str">
        <f>IFERROR(VLOOKUP($J$15&amp;$B92,'BPLE Source'!$A:$G,5, FALSE), " ")</f>
        <v xml:space="preserve"> </v>
      </c>
      <c r="K92" s="549" t="str">
        <f>IFERROR(VLOOKUP($J$15&amp;$B92,'BPLE Source'!$A:$G,6, FALSE), " ")</f>
        <v xml:space="preserve"> </v>
      </c>
    </row>
    <row r="93" spans="2:11" customFormat="1" ht="15" customHeight="1">
      <c r="B93" s="546">
        <v>17</v>
      </c>
      <c r="C93" s="1215" t="str">
        <f>IFERROR(VLOOKUP($J$15&amp;$B93,'BPLE Source'!$A:$G,2, FALSE), " ")</f>
        <v xml:space="preserve"> </v>
      </c>
      <c r="D93" s="1216"/>
      <c r="E93" s="1217"/>
      <c r="F93" s="1215" t="str">
        <f>IFERROR(VLOOKUP($J$15&amp;$B93,'BPLE Source'!$A:$G,3, FALSE), " ")</f>
        <v xml:space="preserve"> </v>
      </c>
      <c r="G93" s="1216"/>
      <c r="H93" s="1217"/>
      <c r="I93" s="547" t="str">
        <f>IFERROR(VLOOKUP($J$15&amp;$B93,'BPLE Source'!$A:$G,4, FALSE), " ")</f>
        <v xml:space="preserve"> </v>
      </c>
      <c r="J93" s="547" t="str">
        <f>IFERROR(VLOOKUP($J$15&amp;$B93,'BPLE Source'!$A:$G,5, FALSE), " ")</f>
        <v xml:space="preserve"> </v>
      </c>
      <c r="K93" s="549" t="str">
        <f>IFERROR(VLOOKUP($J$15&amp;$B93,'BPLE Source'!$A:$G,6, FALSE), " ")</f>
        <v xml:space="preserve"> </v>
      </c>
    </row>
    <row r="94" spans="2:11" customFormat="1" ht="15" customHeight="1">
      <c r="B94" s="546">
        <v>18</v>
      </c>
      <c r="C94" s="1215" t="str">
        <f>IFERROR(VLOOKUP($J$15&amp;$B94,'BPLE Source'!$A:$G,2, FALSE), " ")</f>
        <v xml:space="preserve"> </v>
      </c>
      <c r="D94" s="1216"/>
      <c r="E94" s="1217"/>
      <c r="F94" s="1215" t="str">
        <f>IFERROR(VLOOKUP($J$15&amp;$B94,'BPLE Source'!$A:$G,3, FALSE), " ")</f>
        <v xml:space="preserve"> </v>
      </c>
      <c r="G94" s="1216"/>
      <c r="H94" s="1217"/>
      <c r="I94" s="547" t="str">
        <f>IFERROR(VLOOKUP($J$15&amp;$B94,'BPLE Source'!$A:$G,4, FALSE), " ")</f>
        <v xml:space="preserve"> </v>
      </c>
      <c r="J94" s="547" t="str">
        <f>IFERROR(VLOOKUP($J$15&amp;$B94,'BPLE Source'!$A:$G,5, FALSE), " ")</f>
        <v xml:space="preserve"> </v>
      </c>
      <c r="K94" s="549" t="str">
        <f>IFERROR(VLOOKUP($J$15&amp;$B94,'BPLE Source'!$A:$G,6, FALSE), " ")</f>
        <v xml:space="preserve"> </v>
      </c>
    </row>
    <row r="95" spans="2:11" customFormat="1" ht="15" customHeight="1">
      <c r="B95" s="546">
        <v>19</v>
      </c>
      <c r="C95" s="1215" t="str">
        <f>IFERROR(VLOOKUP($J$15&amp;$B95,'BPLE Source'!$A:$G,2, FALSE), " ")</f>
        <v xml:space="preserve"> </v>
      </c>
      <c r="D95" s="1216"/>
      <c r="E95" s="1217"/>
      <c r="F95" s="1215" t="str">
        <f>IFERROR(VLOOKUP($J$15&amp;$B95,'BPLE Source'!$A:$G,3, FALSE), " ")</f>
        <v xml:space="preserve"> </v>
      </c>
      <c r="G95" s="1216"/>
      <c r="H95" s="1217"/>
      <c r="I95" s="547" t="str">
        <f>IFERROR(VLOOKUP($J$15&amp;$B95,'BPLE Source'!$A:$G,4, FALSE), " ")</f>
        <v xml:space="preserve"> </v>
      </c>
      <c r="J95" s="547" t="str">
        <f>IFERROR(VLOOKUP($J$15&amp;$B95,'BPLE Source'!$A:$G,5, FALSE), " ")</f>
        <v xml:space="preserve"> </v>
      </c>
      <c r="K95" s="549" t="str">
        <f>IFERROR(VLOOKUP($J$15&amp;$B95,'BPLE Source'!$A:$G,6, FALSE), " ")</f>
        <v xml:space="preserve"> </v>
      </c>
    </row>
    <row r="96" spans="2:11" customFormat="1" ht="15" customHeight="1">
      <c r="B96" s="546">
        <v>20</v>
      </c>
      <c r="C96" s="1215" t="str">
        <f>IFERROR(VLOOKUP($J$15&amp;$B96,'BPLE Source'!$A:$G,2, FALSE), " ")</f>
        <v xml:space="preserve"> </v>
      </c>
      <c r="D96" s="1216"/>
      <c r="E96" s="1217"/>
      <c r="F96" s="1215" t="str">
        <f>IFERROR(VLOOKUP($J$15&amp;$B96,'BPLE Source'!$A:$G,3, FALSE), " ")</f>
        <v xml:space="preserve"> </v>
      </c>
      <c r="G96" s="1216"/>
      <c r="H96" s="1217"/>
      <c r="I96" s="547" t="str">
        <f>IFERROR(VLOOKUP($J$15&amp;$B96,'BPLE Source'!$A:$G,4, FALSE), " ")</f>
        <v xml:space="preserve"> </v>
      </c>
      <c r="J96" s="547" t="str">
        <f>IFERROR(VLOOKUP($J$15&amp;$B96,'BPLE Source'!$A:$G,5, FALSE), " ")</f>
        <v xml:space="preserve"> </v>
      </c>
      <c r="K96" s="549" t="str">
        <f>IFERROR(VLOOKUP($J$15&amp;$B96,'BPLE Source'!$A:$G,6, FALSE), " ")</f>
        <v xml:space="preserve"> </v>
      </c>
    </row>
    <row r="97" spans="2:13" customFormat="1" ht="15" customHeight="1" thickBot="1">
      <c r="B97" s="1286" t="s">
        <v>2201</v>
      </c>
      <c r="C97" s="1286"/>
      <c r="D97" s="1286"/>
      <c r="E97" s="1286"/>
      <c r="F97" s="1286"/>
      <c r="G97" s="1286"/>
      <c r="H97" s="1286"/>
      <c r="I97" s="1286"/>
      <c r="J97" s="1286"/>
      <c r="K97" s="1286"/>
    </row>
    <row r="98" spans="2:13" ht="15.75" thickBot="1">
      <c r="B98" s="1221" t="s">
        <v>919</v>
      </c>
      <c r="C98" s="1221"/>
      <c r="D98" s="1221"/>
      <c r="E98" s="1221"/>
      <c r="F98" s="1221" t="s">
        <v>952</v>
      </c>
      <c r="G98" s="1221"/>
      <c r="H98" s="1221"/>
      <c r="I98" s="535" t="s">
        <v>953</v>
      </c>
      <c r="J98" s="509" t="s">
        <v>954</v>
      </c>
      <c r="K98" s="535" t="s">
        <v>955</v>
      </c>
    </row>
    <row r="99" spans="2:13" ht="15.75" thickBot="1">
      <c r="B99" s="1222"/>
      <c r="C99" s="1222"/>
      <c r="D99" s="1222"/>
      <c r="E99" s="1222"/>
      <c r="F99" s="1222"/>
      <c r="G99" s="1222"/>
      <c r="H99" s="1222"/>
      <c r="I99" s="351"/>
      <c r="J99" s="507"/>
      <c r="K99" s="510"/>
      <c r="L99"/>
      <c r="M99" s="534"/>
    </row>
    <row r="100" spans="2:13" ht="15.75" thickBot="1">
      <c r="B100" s="1222"/>
      <c r="C100" s="1222"/>
      <c r="D100" s="1222"/>
      <c r="E100" s="1222"/>
      <c r="F100" s="1222"/>
      <c r="G100" s="1222"/>
      <c r="H100" s="1222"/>
      <c r="I100" s="351"/>
      <c r="J100" s="507"/>
      <c r="K100" s="510"/>
      <c r="L100"/>
      <c r="M100" s="534"/>
    </row>
    <row r="101" spans="2:13" ht="15.75" thickBot="1">
      <c r="B101" s="1222"/>
      <c r="C101" s="1222"/>
      <c r="D101" s="1222"/>
      <c r="E101" s="1222"/>
      <c r="F101" s="1222"/>
      <c r="G101" s="1222"/>
      <c r="H101" s="1222"/>
      <c r="I101" s="351"/>
      <c r="J101" s="507"/>
      <c r="K101" s="510"/>
      <c r="L101"/>
      <c r="M101" s="534"/>
    </row>
    <row r="102" spans="2:13" ht="15.75" thickBot="1">
      <c r="B102" s="1222"/>
      <c r="C102" s="1222"/>
      <c r="D102" s="1222"/>
      <c r="E102" s="1222"/>
      <c r="F102" s="1222"/>
      <c r="G102" s="1222"/>
      <c r="H102" s="1222"/>
      <c r="I102" s="351"/>
      <c r="J102" s="511"/>
      <c r="K102" s="508"/>
      <c r="L102"/>
      <c r="M102" s="534"/>
    </row>
    <row r="103" spans="2:13" ht="15.75" thickBot="1">
      <c r="B103" s="1222"/>
      <c r="C103" s="1222"/>
      <c r="D103" s="1222"/>
      <c r="E103" s="1222"/>
      <c r="F103" s="1222"/>
      <c r="G103" s="1222"/>
      <c r="H103" s="1222"/>
      <c r="I103" s="351"/>
      <c r="J103" s="511"/>
      <c r="K103" s="508"/>
      <c r="L103"/>
      <c r="M103" s="534"/>
    </row>
    <row r="104" spans="2:13" ht="15.75" thickBot="1">
      <c r="B104" s="1222"/>
      <c r="C104" s="1222"/>
      <c r="D104" s="1222"/>
      <c r="E104" s="1222"/>
      <c r="F104" s="1222"/>
      <c r="G104" s="1222"/>
      <c r="H104" s="1222"/>
      <c r="I104" s="351"/>
      <c r="J104" s="507"/>
      <c r="K104" s="510"/>
    </row>
    <row r="105" spans="2:13" ht="15.75" thickBot="1">
      <c r="B105"/>
      <c r="C105"/>
      <c r="D105"/>
      <c r="E105"/>
      <c r="F105"/>
      <c r="G105"/>
      <c r="H105"/>
      <c r="I105"/>
      <c r="J105"/>
      <c r="K105"/>
    </row>
    <row r="106" spans="2:13">
      <c r="B106" s="1280" t="s">
        <v>956</v>
      </c>
      <c r="C106" s="1280"/>
      <c r="D106" s="1280"/>
      <c r="E106" s="1280"/>
      <c r="F106" s="1280"/>
      <c r="G106" s="1280"/>
      <c r="H106" s="1280"/>
      <c r="I106" s="1280"/>
      <c r="J106" s="1280"/>
      <c r="K106" s="1282" t="s">
        <v>225</v>
      </c>
    </row>
    <row r="107" spans="2:13" ht="15.75" thickBot="1">
      <c r="B107" s="1281"/>
      <c r="C107" s="1281"/>
      <c r="D107" s="1281"/>
      <c r="E107" s="1281"/>
      <c r="F107" s="1281"/>
      <c r="G107" s="1281"/>
      <c r="H107" s="1281"/>
      <c r="I107" s="1281"/>
      <c r="J107" s="1281"/>
      <c r="K107" s="1283"/>
    </row>
    <row r="108" spans="2:13">
      <c r="B108" s="1284" t="s">
        <v>1131</v>
      </c>
      <c r="C108" s="1284"/>
      <c r="D108" s="1284"/>
      <c r="E108" s="1284"/>
      <c r="F108" s="1284"/>
      <c r="G108" s="1284"/>
      <c r="H108" s="1284"/>
      <c r="I108" s="1284"/>
      <c r="J108" s="1284"/>
      <c r="K108" s="1284"/>
    </row>
    <row r="109" spans="2:13">
      <c r="B109" s="1285"/>
      <c r="C109" s="1285"/>
      <c r="D109" s="1285"/>
      <c r="E109" s="1285"/>
      <c r="F109" s="1285"/>
      <c r="G109" s="1285"/>
      <c r="H109" s="1285"/>
      <c r="I109" s="1285"/>
      <c r="J109" s="1285"/>
      <c r="K109" s="1285"/>
    </row>
    <row r="110" spans="2:13">
      <c r="B110" s="1285"/>
      <c r="C110" s="1285"/>
      <c r="D110" s="1285"/>
      <c r="E110" s="1285"/>
      <c r="F110" s="1285"/>
      <c r="G110" s="1285"/>
      <c r="H110" s="1285"/>
      <c r="I110" s="1285"/>
      <c r="J110" s="1285"/>
      <c r="K110" s="1285"/>
    </row>
    <row r="111" spans="2:13">
      <c r="B111" s="1285"/>
      <c r="C111" s="1285"/>
      <c r="D111" s="1285"/>
      <c r="E111" s="1285"/>
      <c r="F111" s="1285"/>
      <c r="G111" s="1285"/>
      <c r="H111" s="1285"/>
      <c r="I111" s="1285"/>
      <c r="J111" s="1285"/>
      <c r="K111" s="1285"/>
    </row>
    <row r="112" spans="2:13">
      <c r="B112" s="1224"/>
      <c r="C112" s="1224"/>
      <c r="D112" s="1224"/>
      <c r="E112" s="1224"/>
    </row>
    <row r="113" spans="2:11" ht="27.95" customHeight="1">
      <c r="B113" s="1220" t="s">
        <v>1412</v>
      </c>
      <c r="C113" s="1220"/>
      <c r="D113" s="1220"/>
      <c r="E113" s="1220"/>
      <c r="F113" s="1220"/>
      <c r="G113" s="1220"/>
      <c r="H113" s="1220"/>
      <c r="I113" s="1220"/>
      <c r="J113" s="1220"/>
      <c r="K113" s="1220"/>
    </row>
    <row r="115" spans="2:11">
      <c r="B115" s="1226" t="s">
        <v>1134</v>
      </c>
      <c r="C115" s="1226"/>
      <c r="D115" s="1226"/>
      <c r="E115" s="1226"/>
      <c r="F115" s="1226"/>
      <c r="G115" s="1226"/>
      <c r="H115" s="1226"/>
      <c r="I115" s="1226"/>
      <c r="J115" s="1226"/>
      <c r="K115" s="1226"/>
    </row>
    <row r="116" spans="2:11">
      <c r="B116" s="1225"/>
      <c r="C116" s="1225"/>
      <c r="D116" s="1225"/>
      <c r="E116" s="1225"/>
      <c r="F116" s="1225"/>
      <c r="G116" s="1225"/>
      <c r="H116" s="1225"/>
      <c r="I116" s="1225"/>
      <c r="J116" s="1225"/>
      <c r="K116" s="1225"/>
    </row>
    <row r="117" spans="2:11">
      <c r="B117" s="1225"/>
      <c r="C117" s="1225"/>
      <c r="D117" s="1225"/>
      <c r="E117" s="1225"/>
      <c r="F117" s="1225"/>
      <c r="G117" s="1225"/>
      <c r="H117" s="1225"/>
      <c r="I117" s="1225"/>
      <c r="J117" s="1225"/>
      <c r="K117" s="1225"/>
    </row>
    <row r="118" spans="2:11">
      <c r="B118" s="1225"/>
      <c r="C118" s="1225"/>
      <c r="D118" s="1225"/>
      <c r="E118" s="1225"/>
      <c r="F118" s="1225"/>
      <c r="G118" s="1225"/>
      <c r="H118" s="1225"/>
      <c r="I118" s="1225"/>
      <c r="J118" s="1225"/>
      <c r="K118" s="1225"/>
    </row>
    <row r="119" spans="2:11">
      <c r="B119" s="1225"/>
      <c r="C119" s="1225"/>
      <c r="D119" s="1225"/>
      <c r="E119" s="1225"/>
      <c r="F119" s="1225"/>
      <c r="G119" s="1225"/>
      <c r="H119" s="1225"/>
      <c r="I119" s="1225"/>
      <c r="J119" s="1225"/>
      <c r="K119" s="1225"/>
    </row>
    <row r="120" spans="2:11">
      <c r="B120" s="1225"/>
      <c r="C120" s="1225"/>
      <c r="D120" s="1225"/>
      <c r="E120" s="1225"/>
      <c r="F120" s="1225"/>
      <c r="G120" s="1225"/>
      <c r="H120" s="1225"/>
      <c r="I120" s="1225"/>
      <c r="J120" s="1225"/>
      <c r="K120" s="1225"/>
    </row>
    <row r="121" spans="2:11">
      <c r="B121" s="1225"/>
      <c r="C121" s="1225"/>
      <c r="D121" s="1225"/>
      <c r="E121" s="1225"/>
      <c r="F121" s="1225"/>
      <c r="G121" s="1225"/>
      <c r="H121" s="1225"/>
      <c r="I121" s="1225"/>
      <c r="J121" s="1225"/>
      <c r="K121" s="1225"/>
    </row>
    <row r="122" spans="2:11">
      <c r="B122" s="1225"/>
      <c r="C122" s="1225"/>
      <c r="D122" s="1225"/>
      <c r="E122" s="1225"/>
      <c r="F122" s="1225"/>
      <c r="G122" s="1225"/>
      <c r="H122" s="1225"/>
      <c r="I122" s="1225"/>
      <c r="J122" s="1225"/>
      <c r="K122" s="1225"/>
    </row>
    <row r="123" spans="2:11">
      <c r="B123" s="1225"/>
      <c r="C123" s="1225"/>
      <c r="D123" s="1225"/>
      <c r="E123" s="1225"/>
      <c r="F123" s="1225"/>
      <c r="G123" s="1225"/>
      <c r="H123" s="1225"/>
      <c r="I123" s="1225"/>
      <c r="J123" s="1225"/>
      <c r="K123" s="1225"/>
    </row>
    <row r="126" spans="2:11" ht="15.75" thickBot="1">
      <c r="B126" s="1223" t="s">
        <v>1133</v>
      </c>
      <c r="C126" s="1223"/>
      <c r="D126" s="1223"/>
      <c r="E126" s="1223"/>
      <c r="F126" s="1223"/>
      <c r="G126" s="1223"/>
      <c r="H126" s="1223"/>
      <c r="I126" s="1223"/>
      <c r="J126" s="1223"/>
      <c r="K126" s="1223"/>
    </row>
    <row r="127" spans="2:11" ht="15.75" thickBot="1">
      <c r="B127" s="1223"/>
      <c r="C127" s="1223"/>
      <c r="D127" s="1223"/>
      <c r="E127" s="1223"/>
      <c r="F127" s="1223"/>
      <c r="G127" s="1223"/>
      <c r="H127" s="1223"/>
      <c r="I127" s="1223"/>
      <c r="J127" s="1223"/>
      <c r="K127" s="1223"/>
    </row>
    <row r="128" spans="2:11">
      <c r="B128" s="1218"/>
      <c r="C128" s="1218"/>
      <c r="D128" s="1218"/>
      <c r="E128" s="1218"/>
      <c r="F128" s="1218"/>
      <c r="G128" s="1218"/>
      <c r="H128" s="1218"/>
      <c r="I128" s="1218"/>
      <c r="J128" s="1218"/>
      <c r="K128" s="1218"/>
    </row>
    <row r="129" spans="2:11">
      <c r="B129" s="1219"/>
      <c r="C129" s="1219"/>
      <c r="D129" s="1219"/>
      <c r="E129" s="1219"/>
      <c r="F129" s="1219"/>
      <c r="G129" s="1219"/>
      <c r="H129" s="1219"/>
      <c r="I129" s="1219"/>
      <c r="J129" s="1219"/>
      <c r="K129" s="1219"/>
    </row>
    <row r="130" spans="2:11">
      <c r="B130" s="1219"/>
      <c r="C130" s="1219"/>
      <c r="D130" s="1219"/>
      <c r="E130" s="1219"/>
      <c r="F130" s="1219"/>
      <c r="G130" s="1219"/>
      <c r="H130" s="1219"/>
      <c r="I130" s="1219"/>
      <c r="J130" s="1219"/>
      <c r="K130" s="1219"/>
    </row>
    <row r="131" spans="2:11">
      <c r="B131" s="1219"/>
      <c r="C131" s="1219"/>
      <c r="D131" s="1219"/>
      <c r="E131" s="1219"/>
      <c r="F131" s="1219"/>
      <c r="G131" s="1219"/>
      <c r="H131" s="1219"/>
      <c r="I131" s="1219"/>
      <c r="J131" s="1219"/>
      <c r="K131" s="1219"/>
    </row>
    <row r="132" spans="2:11">
      <c r="B132" s="1219"/>
      <c r="C132" s="1219"/>
      <c r="D132" s="1219"/>
      <c r="E132" s="1219"/>
      <c r="F132" s="1219"/>
      <c r="G132" s="1219"/>
      <c r="H132" s="1219"/>
      <c r="I132" s="1219"/>
      <c r="J132" s="1219"/>
      <c r="K132" s="1219"/>
    </row>
    <row r="133" spans="2:11">
      <c r="B133" s="1219"/>
      <c r="C133" s="1219"/>
      <c r="D133" s="1219"/>
      <c r="E133" s="1219"/>
      <c r="F133" s="1219"/>
      <c r="G133" s="1219"/>
      <c r="H133" s="1219"/>
      <c r="I133" s="1219"/>
      <c r="J133" s="1219"/>
      <c r="K133" s="1219"/>
    </row>
    <row r="134" spans="2:11">
      <c r="B134" s="1219"/>
      <c r="C134" s="1219"/>
      <c r="D134" s="1219"/>
      <c r="E134" s="1219"/>
      <c r="F134" s="1219"/>
      <c r="G134" s="1219"/>
      <c r="H134" s="1219"/>
      <c r="I134" s="1219"/>
      <c r="J134" s="1219"/>
      <c r="K134" s="1219"/>
    </row>
    <row r="135" spans="2:11">
      <c r="B135" s="1219"/>
      <c r="C135" s="1219"/>
      <c r="D135" s="1219"/>
      <c r="E135" s="1219"/>
      <c r="F135" s="1219"/>
      <c r="G135" s="1219"/>
      <c r="H135" s="1219"/>
      <c r="I135" s="1219"/>
      <c r="J135" s="1219"/>
      <c r="K135" s="1219"/>
    </row>
    <row r="136" spans="2:11">
      <c r="B136" s="1219"/>
      <c r="C136" s="1219"/>
      <c r="D136" s="1219"/>
      <c r="E136" s="1219"/>
      <c r="F136" s="1219"/>
      <c r="G136" s="1219"/>
      <c r="H136" s="1219"/>
      <c r="I136" s="1219"/>
      <c r="J136" s="1219"/>
      <c r="K136" s="1219"/>
    </row>
    <row r="137" spans="2:11">
      <c r="B137" s="1219"/>
      <c r="C137" s="1219"/>
      <c r="D137" s="1219"/>
      <c r="E137" s="1219"/>
      <c r="F137" s="1219"/>
      <c r="G137" s="1219"/>
      <c r="H137" s="1219"/>
      <c r="I137" s="1219"/>
      <c r="J137" s="1219"/>
      <c r="K137" s="1219"/>
    </row>
    <row r="138" spans="2:11">
      <c r="B138" s="1219"/>
      <c r="C138" s="1219"/>
      <c r="D138" s="1219"/>
      <c r="E138" s="1219"/>
      <c r="F138" s="1219"/>
      <c r="G138" s="1219"/>
      <c r="H138" s="1219"/>
      <c r="I138" s="1219"/>
      <c r="J138" s="1219"/>
      <c r="K138" s="1219"/>
    </row>
    <row r="139" spans="2:11">
      <c r="B139" s="1219"/>
      <c r="C139" s="1219"/>
      <c r="D139" s="1219"/>
      <c r="E139" s="1219"/>
      <c r="F139" s="1219"/>
      <c r="G139" s="1219"/>
      <c r="H139" s="1219"/>
      <c r="I139" s="1219"/>
      <c r="J139" s="1219"/>
      <c r="K139" s="1219"/>
    </row>
    <row r="140" spans="2:11">
      <c r="B140" s="1219"/>
      <c r="C140" s="1219"/>
      <c r="D140" s="1219"/>
      <c r="E140" s="1219"/>
      <c r="F140" s="1219"/>
      <c r="G140" s="1219"/>
      <c r="H140" s="1219"/>
      <c r="I140" s="1219"/>
      <c r="J140" s="1219"/>
      <c r="K140" s="1219"/>
    </row>
  </sheetData>
  <sheetProtection selectLockedCells="1"/>
  <mergeCells count="162">
    <mergeCell ref="B44:K44"/>
    <mergeCell ref="C62:E62"/>
    <mergeCell ref="C61:E61"/>
    <mergeCell ref="K66:K67"/>
    <mergeCell ref="I66:I67"/>
    <mergeCell ref="J66:J67"/>
    <mergeCell ref="F56:G56"/>
    <mergeCell ref="C53:E53"/>
    <mergeCell ref="C55:E55"/>
    <mergeCell ref="B65:K65"/>
    <mergeCell ref="B66:E67"/>
    <mergeCell ref="F66:H67"/>
    <mergeCell ref="C59:E59"/>
    <mergeCell ref="C58:E58"/>
    <mergeCell ref="C57:E57"/>
    <mergeCell ref="C56:E56"/>
    <mergeCell ref="C54:E54"/>
    <mergeCell ref="F57:G57"/>
    <mergeCell ref="F58:G58"/>
    <mergeCell ref="F59:G59"/>
    <mergeCell ref="F62:G62"/>
    <mergeCell ref="F63:G63"/>
    <mergeCell ref="F50:G50"/>
    <mergeCell ref="C52:E52"/>
    <mergeCell ref="F96:H96"/>
    <mergeCell ref="B106:J107"/>
    <mergeCell ref="K106:K107"/>
    <mergeCell ref="B108:K108"/>
    <mergeCell ref="B109:K111"/>
    <mergeCell ref="B71:E71"/>
    <mergeCell ref="F71:H71"/>
    <mergeCell ref="C60:E60"/>
    <mergeCell ref="B72:E72"/>
    <mergeCell ref="F72:H72"/>
    <mergeCell ref="F90:H90"/>
    <mergeCell ref="F91:H91"/>
    <mergeCell ref="B99:E99"/>
    <mergeCell ref="B100:E100"/>
    <mergeCell ref="B101:E101"/>
    <mergeCell ref="B102:E102"/>
    <mergeCell ref="B103:E103"/>
    <mergeCell ref="F94:H94"/>
    <mergeCell ref="F95:H95"/>
    <mergeCell ref="C96:E96"/>
    <mergeCell ref="B97:K97"/>
    <mergeCell ref="C89:E89"/>
    <mergeCell ref="C90:E90"/>
    <mergeCell ref="C91:E91"/>
    <mergeCell ref="C50:E50"/>
    <mergeCell ref="I48:I49"/>
    <mergeCell ref="H48:H49"/>
    <mergeCell ref="J48:J49"/>
    <mergeCell ref="C77:E77"/>
    <mergeCell ref="C78:E78"/>
    <mergeCell ref="C63:E63"/>
    <mergeCell ref="F85:H85"/>
    <mergeCell ref="F86:H86"/>
    <mergeCell ref="F51:G51"/>
    <mergeCell ref="F53:G53"/>
    <mergeCell ref="F54:G54"/>
    <mergeCell ref="F55:G55"/>
    <mergeCell ref="F60:G60"/>
    <mergeCell ref="F61:G61"/>
    <mergeCell ref="B68:E68"/>
    <mergeCell ref="F68:H68"/>
    <mergeCell ref="F77:H77"/>
    <mergeCell ref="F78:H78"/>
    <mergeCell ref="F79:H79"/>
    <mergeCell ref="F36:G36"/>
    <mergeCell ref="F33:G33"/>
    <mergeCell ref="F34:G34"/>
    <mergeCell ref="H34:K34"/>
    <mergeCell ref="D33:E33"/>
    <mergeCell ref="H33:K33"/>
    <mergeCell ref="D35:E35"/>
    <mergeCell ref="H35:K35"/>
    <mergeCell ref="D36:E36"/>
    <mergeCell ref="F35:G35"/>
    <mergeCell ref="B46:K46"/>
    <mergeCell ref="B47:K47"/>
    <mergeCell ref="B48:E49"/>
    <mergeCell ref="B1:K1"/>
    <mergeCell ref="B2:C5"/>
    <mergeCell ref="D15:I15"/>
    <mergeCell ref="J15:K15"/>
    <mergeCell ref="B16:K16"/>
    <mergeCell ref="C38:K38"/>
    <mergeCell ref="B39:K41"/>
    <mergeCell ref="B33:B36"/>
    <mergeCell ref="B31:K31"/>
    <mergeCell ref="D2:K4"/>
    <mergeCell ref="D5:K5"/>
    <mergeCell ref="B13:K13"/>
    <mergeCell ref="C17:J17"/>
    <mergeCell ref="C18:J18"/>
    <mergeCell ref="C21:K21"/>
    <mergeCell ref="B22:K25"/>
    <mergeCell ref="B9:C9"/>
    <mergeCell ref="D9:K9"/>
    <mergeCell ref="D7:K7"/>
    <mergeCell ref="D8:K8"/>
    <mergeCell ref="B28:K29"/>
    <mergeCell ref="C27:J27"/>
    <mergeCell ref="B7:C7"/>
    <mergeCell ref="B8:C8"/>
    <mergeCell ref="H36:K36"/>
    <mergeCell ref="D10:K10"/>
    <mergeCell ref="B10:C10"/>
    <mergeCell ref="D34:E34"/>
    <mergeCell ref="F83:H83"/>
    <mergeCell ref="F84:H84"/>
    <mergeCell ref="C64:E64"/>
    <mergeCell ref="F64:G64"/>
    <mergeCell ref="B75:K75"/>
    <mergeCell ref="C79:E79"/>
    <mergeCell ref="B74:K74"/>
    <mergeCell ref="B70:E70"/>
    <mergeCell ref="F70:H70"/>
    <mergeCell ref="B69:E69"/>
    <mergeCell ref="F69:H69"/>
    <mergeCell ref="F48:G49"/>
    <mergeCell ref="F52:G52"/>
    <mergeCell ref="K48:K49"/>
    <mergeCell ref="C51:E51"/>
    <mergeCell ref="B76:E76"/>
    <mergeCell ref="F76:H76"/>
    <mergeCell ref="B128:K140"/>
    <mergeCell ref="B113:K113"/>
    <mergeCell ref="F98:H98"/>
    <mergeCell ref="B104:E104"/>
    <mergeCell ref="F99:H99"/>
    <mergeCell ref="F100:H100"/>
    <mergeCell ref="F101:H101"/>
    <mergeCell ref="F102:H102"/>
    <mergeCell ref="F103:H103"/>
    <mergeCell ref="B98:E98"/>
    <mergeCell ref="B126:K127"/>
    <mergeCell ref="B112:E112"/>
    <mergeCell ref="F104:H104"/>
    <mergeCell ref="B116:K123"/>
    <mergeCell ref="B115:K115"/>
    <mergeCell ref="C92:E92"/>
    <mergeCell ref="C93:E93"/>
    <mergeCell ref="C94:E94"/>
    <mergeCell ref="C95:E95"/>
    <mergeCell ref="F80:H80"/>
    <mergeCell ref="F81:H81"/>
    <mergeCell ref="F82:H82"/>
    <mergeCell ref="F87:H87"/>
    <mergeCell ref="F88:H88"/>
    <mergeCell ref="F89:H89"/>
    <mergeCell ref="F92:H92"/>
    <mergeCell ref="C80:E80"/>
    <mergeCell ref="C81:E81"/>
    <mergeCell ref="C82:E82"/>
    <mergeCell ref="C83:E83"/>
    <mergeCell ref="C84:E84"/>
    <mergeCell ref="C85:E85"/>
    <mergeCell ref="C86:E86"/>
    <mergeCell ref="C87:E87"/>
    <mergeCell ref="C88:E88"/>
    <mergeCell ref="F93:H93"/>
  </mergeCells>
  <conditionalFormatting sqref="B108:B109">
    <cfRule type="containsText" dxfId="17" priority="2" operator="containsText" text="Please describe reduction strategies underway, if any">
      <formula>NOT(ISERROR(SEARCH("Please describe reduction strategies underway, if any",B108)))</formula>
    </cfRule>
    <cfRule type="expression" dxfId="16" priority="92">
      <formula>#REF!="yes"</formula>
    </cfRule>
  </conditionalFormatting>
  <conditionalFormatting sqref="J15:K15">
    <cfRule type="containsText" dxfId="15" priority="16" operator="containsText" text="please">
      <formula>NOT(ISERROR(SEARCH("please",J15)))</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A9181B76-18F5-8246-93CB-6A5EA83663B2}">
          <x14:formula1>
            <xm:f>Source!$T$1:$T$4</xm:f>
          </x14:formula1>
          <xm:sqref>K106</xm:sqref>
        </x14:dataValidation>
        <x14:dataValidation type="list" allowBlank="1" showInputMessage="1" showErrorMessage="1" xr:uid="{E111BB2B-B38A-B74D-8AED-12CF31B0E736}">
          <x14:formula1>
            <xm:f>Source!$AV$1:$AV$5</xm:f>
          </x14:formula1>
          <xm:sqref>K68:K73</xm:sqref>
        </x14:dataValidation>
        <x14:dataValidation type="list" allowBlank="1" showInputMessage="1" showErrorMessage="1" xr:uid="{DF4E26D6-7AB2-451B-9FF0-8CA5A65412C1}">
          <x14:formula1>
            <xm:f>Source!$BG$2:$BG$10</xm:f>
          </x14:formula1>
          <xm:sqref>F99:H104</xm:sqref>
        </x14:dataValidation>
        <x14:dataValidation type="list" allowBlank="1" showInputMessage="1" showErrorMessage="1" xr:uid="{2E626267-29C5-4ED4-A078-358E3C5CAD2E}">
          <x14:formula1>
            <xm:f>Source!$I$2:$I$3</xm:f>
          </x14:formula1>
          <xm:sqref>K27</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XFB209"/>
  <sheetViews>
    <sheetView topLeftCell="A12" zoomScaleNormal="100" workbookViewId="0">
      <selection activeCell="D4" sqref="D4:AD4"/>
    </sheetView>
  </sheetViews>
  <sheetFormatPr defaultColWidth="0" defaultRowHeight="15" zeroHeight="1"/>
  <cols>
    <col min="1" max="1" width="1.7109375" style="247" customWidth="1"/>
    <col min="2" max="2" width="6.85546875" style="247" customWidth="1"/>
    <col min="3" max="3" width="5.42578125" style="247" customWidth="1"/>
    <col min="4" max="4" width="18" style="247" customWidth="1"/>
    <col min="5" max="5" width="9.140625" style="247" customWidth="1"/>
    <col min="6" max="6" width="8.28515625" style="247" customWidth="1"/>
    <col min="7" max="7" width="5" style="247" customWidth="1"/>
    <col min="8" max="8" width="13.28515625" style="247" customWidth="1"/>
    <col min="9" max="9" width="1.28515625" style="247" hidden="1" customWidth="1"/>
    <col min="10" max="10" width="5.140625" style="247" customWidth="1"/>
    <col min="11" max="12" width="6.42578125" style="247" customWidth="1"/>
    <col min="13" max="13" width="5.85546875" style="247" customWidth="1"/>
    <col min="14" max="14" width="17.140625" style="247" customWidth="1"/>
    <col min="15" max="15" width="1.85546875" style="247" customWidth="1"/>
    <col min="16" max="16" width="3.7109375" style="247" customWidth="1"/>
    <col min="17" max="17" width="5.42578125" style="247" customWidth="1"/>
    <col min="18" max="18" width="19" style="247" customWidth="1"/>
    <col min="19" max="19" width="6.42578125" style="247" customWidth="1"/>
    <col min="20" max="20" width="6.7109375" style="247" customWidth="1"/>
    <col min="21" max="21" width="6.42578125" style="247" customWidth="1"/>
    <col min="22" max="22" width="7.28515625" style="247" customWidth="1"/>
    <col min="23" max="23" width="1.28515625" style="247" hidden="1" customWidth="1"/>
    <col min="24" max="25" width="4.28515625" style="247" customWidth="1"/>
    <col min="26" max="26" width="5.7109375" style="247" customWidth="1"/>
    <col min="27" max="27" width="4.28515625" style="247" customWidth="1"/>
    <col min="28" max="29" width="7.28515625" style="247" customWidth="1"/>
    <col min="30" max="30" width="27.28515625" style="247" customWidth="1"/>
    <col min="31" max="31" width="9.140625" style="81" customWidth="1"/>
    <col min="32" max="32" width="9.140625" style="81" hidden="1" customWidth="1"/>
    <col min="33" max="16382" width="9.140625" style="81" hidden="1"/>
    <col min="16383" max="16384" width="2.42578125" style="81" hidden="1" customWidth="1"/>
  </cols>
  <sheetData>
    <row r="1" spans="1:30" ht="15.75" thickBot="1">
      <c r="A1" s="42"/>
      <c r="B1" s="1018" t="s">
        <v>22</v>
      </c>
      <c r="C1" s="1018"/>
      <c r="D1" s="1018"/>
      <c r="E1" s="1018"/>
      <c r="F1" s="1018"/>
      <c r="G1" s="1018"/>
      <c r="H1" s="1018"/>
      <c r="I1" s="1018"/>
      <c r="J1" s="1018"/>
      <c r="K1" s="1018"/>
      <c r="L1" s="1018"/>
      <c r="M1" s="1018"/>
      <c r="N1" s="1018"/>
      <c r="O1" s="1018"/>
      <c r="P1" s="1018"/>
      <c r="Q1" s="1018"/>
      <c r="R1" s="1018"/>
      <c r="S1" s="1018"/>
      <c r="T1" s="1018"/>
      <c r="U1" s="1018"/>
      <c r="V1" s="1018"/>
      <c r="W1" s="1018"/>
      <c r="X1" s="1018"/>
      <c r="Y1" s="1018"/>
      <c r="Z1" s="1018"/>
      <c r="AA1" s="1018"/>
      <c r="AB1" s="1018"/>
      <c r="AC1" s="1018"/>
      <c r="AD1" s="1018"/>
    </row>
    <row r="2" spans="1:30" ht="20.25" customHeight="1">
      <c r="A2" s="42"/>
      <c r="B2" s="1049" t="s">
        <v>957</v>
      </c>
      <c r="C2" s="1307"/>
      <c r="D2" s="945" t="s">
        <v>958</v>
      </c>
      <c r="E2" s="946"/>
      <c r="F2" s="946"/>
      <c r="G2" s="946"/>
      <c r="H2" s="946"/>
      <c r="I2" s="946"/>
      <c r="J2" s="946"/>
      <c r="K2" s="946"/>
      <c r="L2" s="946"/>
      <c r="M2" s="946"/>
      <c r="N2" s="946"/>
      <c r="O2" s="946"/>
      <c r="P2" s="946"/>
      <c r="Q2" s="946"/>
      <c r="R2" s="946"/>
      <c r="S2" s="946"/>
      <c r="T2" s="946"/>
      <c r="U2" s="946"/>
      <c r="V2" s="946"/>
      <c r="W2" s="946"/>
      <c r="X2" s="946"/>
      <c r="Y2" s="946"/>
      <c r="Z2" s="946"/>
      <c r="AA2" s="946"/>
      <c r="AB2" s="946"/>
      <c r="AC2" s="946"/>
      <c r="AD2" s="213"/>
    </row>
    <row r="3" spans="1:30" ht="20.25" customHeight="1">
      <c r="A3" s="42"/>
      <c r="B3" s="1049"/>
      <c r="C3" s="1307"/>
      <c r="D3" s="948"/>
      <c r="E3" s="949"/>
      <c r="F3" s="949"/>
      <c r="G3" s="949"/>
      <c r="H3" s="949"/>
      <c r="I3" s="949"/>
      <c r="J3" s="949"/>
      <c r="K3" s="949"/>
      <c r="L3" s="949"/>
      <c r="M3" s="949"/>
      <c r="N3" s="949"/>
      <c r="O3" s="949"/>
      <c r="P3" s="949"/>
      <c r="Q3" s="949"/>
      <c r="R3" s="949"/>
      <c r="S3" s="949"/>
      <c r="T3" s="949"/>
      <c r="U3" s="949"/>
      <c r="V3" s="949"/>
      <c r="W3" s="949"/>
      <c r="X3" s="949"/>
      <c r="Y3" s="949"/>
      <c r="Z3" s="949"/>
      <c r="AA3" s="949"/>
      <c r="AB3" s="949"/>
      <c r="AC3" s="949"/>
      <c r="AD3" s="213"/>
    </row>
    <row r="4" spans="1:30" ht="20.25" customHeight="1">
      <c r="A4" s="42"/>
      <c r="B4" s="1049"/>
      <c r="C4" s="1307"/>
      <c r="D4" s="1020" t="s">
        <v>358</v>
      </c>
      <c r="E4" s="1021"/>
      <c r="F4" s="1021"/>
      <c r="G4" s="1021"/>
      <c r="H4" s="1021"/>
      <c r="I4" s="1021"/>
      <c r="J4" s="1021"/>
      <c r="K4" s="1021"/>
      <c r="L4" s="1021"/>
      <c r="M4" s="1021"/>
      <c r="N4" s="1021"/>
      <c r="O4" s="1021"/>
      <c r="P4" s="1021"/>
      <c r="Q4" s="1021"/>
      <c r="R4" s="1021"/>
      <c r="S4" s="1021"/>
      <c r="T4" s="1021"/>
      <c r="U4" s="1021"/>
      <c r="V4" s="1021"/>
      <c r="W4" s="1021"/>
      <c r="X4" s="1021"/>
      <c r="Y4" s="1021"/>
      <c r="Z4" s="1021"/>
      <c r="AA4" s="1021"/>
      <c r="AB4" s="1021"/>
      <c r="AC4" s="1021"/>
      <c r="AD4" s="1021"/>
    </row>
    <row r="5" spans="1:30" ht="21" customHeight="1">
      <c r="A5" s="42"/>
      <c r="B5" s="71"/>
      <c r="C5" s="71"/>
      <c r="D5" s="71"/>
      <c r="E5" s="71"/>
      <c r="F5" s="71"/>
      <c r="G5" s="71"/>
      <c r="H5" s="71"/>
      <c r="I5" s="71"/>
      <c r="J5" s="71"/>
      <c r="K5" s="71"/>
      <c r="L5" s="71"/>
      <c r="M5" s="71"/>
      <c r="N5" s="71"/>
      <c r="O5" s="42"/>
      <c r="P5" s="71"/>
      <c r="Q5" s="71"/>
      <c r="R5" s="71"/>
      <c r="S5" s="71"/>
      <c r="T5" s="71"/>
      <c r="U5" s="71"/>
      <c r="V5" s="71"/>
      <c r="W5" s="71"/>
      <c r="X5" s="71"/>
      <c r="Y5" s="71"/>
      <c r="Z5" s="71"/>
      <c r="AA5" s="71"/>
      <c r="AB5" s="71"/>
      <c r="AC5" s="71"/>
      <c r="AD5" s="71"/>
    </row>
    <row r="6" spans="1:30" s="298" customFormat="1" ht="15" hidden="1" customHeight="1">
      <c r="A6" s="473"/>
      <c r="B6" s="473"/>
      <c r="C6" s="473"/>
      <c r="D6" s="473"/>
      <c r="E6" s="473"/>
      <c r="F6" s="473"/>
      <c r="G6" s="473"/>
      <c r="H6" s="473"/>
      <c r="I6" s="526"/>
      <c r="J6" s="473"/>
      <c r="K6" s="250"/>
      <c r="L6" s="922" t="s">
        <v>26</v>
      </c>
      <c r="M6" s="922"/>
      <c r="N6" s="1192"/>
      <c r="O6" s="1190" t="e">
        <f>#REF!</f>
        <v>#REF!</v>
      </c>
      <c r="P6" s="1191"/>
      <c r="Q6" s="473"/>
      <c r="R6" s="473"/>
      <c r="S6" s="473"/>
      <c r="T6" s="473"/>
      <c r="U6" s="473"/>
      <c r="V6" s="473"/>
      <c r="W6" s="473"/>
      <c r="X6" s="473"/>
      <c r="Y6" s="473"/>
      <c r="Z6" s="473"/>
      <c r="AA6" s="473"/>
      <c r="AB6" s="473"/>
      <c r="AC6" s="473"/>
      <c r="AD6" s="473"/>
    </row>
    <row r="7" spans="1:30" s="298" customFormat="1" ht="15" hidden="1" customHeight="1" thickBot="1">
      <c r="A7" s="489"/>
      <c r="B7" s="489"/>
      <c r="C7" s="489"/>
      <c r="D7" s="69"/>
      <c r="E7" s="69"/>
      <c r="F7" s="69"/>
      <c r="G7" s="336"/>
      <c r="H7" s="69"/>
      <c r="I7" s="69"/>
      <c r="J7" s="489"/>
      <c r="K7" s="250"/>
      <c r="L7" s="489"/>
      <c r="M7" s="489"/>
      <c r="N7" s="489"/>
      <c r="O7" s="489"/>
      <c r="P7" s="489"/>
      <c r="Q7" s="489"/>
      <c r="R7" s="489"/>
      <c r="S7" s="489"/>
      <c r="T7" s="489"/>
      <c r="U7" s="489"/>
      <c r="V7" s="489"/>
      <c r="W7" s="489"/>
      <c r="X7" s="489"/>
      <c r="Y7" s="489"/>
      <c r="Z7" s="489"/>
      <c r="AA7" s="489"/>
      <c r="AB7" s="489"/>
      <c r="AC7" s="489"/>
      <c r="AD7" s="489"/>
    </row>
    <row r="8" spans="1:30" ht="15" customHeight="1">
      <c r="A8" s="42"/>
      <c r="B8" s="42"/>
      <c r="C8" s="213"/>
      <c r="D8" s="1049" t="s">
        <v>959</v>
      </c>
      <c r="E8" s="1049"/>
      <c r="F8" s="1049"/>
      <c r="G8" s="1049"/>
      <c r="H8" s="1049"/>
      <c r="I8" s="1049"/>
      <c r="J8" s="1049"/>
      <c r="K8" s="1049"/>
      <c r="L8" s="1049"/>
      <c r="M8" s="1049"/>
      <c r="N8" s="1049"/>
      <c r="O8" s="1049"/>
      <c r="P8" s="1049"/>
      <c r="Q8" s="1049"/>
      <c r="R8" s="1049"/>
      <c r="S8" s="1049"/>
      <c r="T8" s="1049"/>
      <c r="U8" s="1049"/>
      <c r="V8" s="1307"/>
      <c r="W8" s="213"/>
      <c r="X8" s="1305" t="s">
        <v>225</v>
      </c>
      <c r="Y8" s="1306"/>
      <c r="Z8" s="1306"/>
      <c r="AA8" s="1306"/>
      <c r="AB8" s="1306"/>
      <c r="AC8" s="317"/>
      <c r="AD8" s="317"/>
    </row>
    <row r="9" spans="1:30" ht="20.25" customHeight="1">
      <c r="A9" s="42"/>
      <c r="B9" s="42"/>
      <c r="C9" s="213"/>
      <c r="D9" s="1049"/>
      <c r="E9" s="1049"/>
      <c r="F9" s="1049"/>
      <c r="G9" s="1049"/>
      <c r="H9" s="1049"/>
      <c r="I9" s="1049"/>
      <c r="J9" s="1049"/>
      <c r="K9" s="1049"/>
      <c r="L9" s="1049"/>
      <c r="M9" s="1049"/>
      <c r="N9" s="1049"/>
      <c r="O9" s="1049"/>
      <c r="P9" s="1049"/>
      <c r="Q9" s="1049"/>
      <c r="R9" s="1049"/>
      <c r="S9" s="1049"/>
      <c r="T9" s="1049"/>
      <c r="U9" s="1049"/>
      <c r="V9" s="1307"/>
      <c r="W9" s="213"/>
      <c r="X9" s="1305"/>
      <c r="Y9" s="1306"/>
      <c r="Z9" s="1306"/>
      <c r="AA9" s="1306"/>
      <c r="AB9" s="1306"/>
      <c r="AC9" s="317"/>
      <c r="AD9" s="317"/>
    </row>
    <row r="10" spans="1:30" ht="15" customHeight="1">
      <c r="A10" s="1114"/>
      <c r="B10" s="1114"/>
      <c r="C10" s="1114"/>
      <c r="D10" s="1114"/>
      <c r="E10" s="1114"/>
      <c r="F10" s="1114"/>
      <c r="G10" s="1114"/>
      <c r="H10" s="1114"/>
      <c r="I10" s="1114"/>
      <c r="J10" s="1114"/>
      <c r="K10" s="1114"/>
      <c r="L10" s="1114"/>
      <c r="M10" s="1114"/>
      <c r="N10" s="1114"/>
      <c r="O10" s="1114"/>
      <c r="P10" s="1114"/>
      <c r="Q10" s="1114"/>
      <c r="R10" s="1114"/>
      <c r="S10" s="1114"/>
      <c r="T10" s="1114"/>
      <c r="U10" s="1114"/>
      <c r="V10" s="1114"/>
      <c r="W10" s="1114"/>
      <c r="X10" s="1114"/>
      <c r="Y10" s="1114"/>
      <c r="Z10" s="1114"/>
      <c r="AA10" s="1114"/>
      <c r="AB10" s="1114"/>
      <c r="AC10" s="1114"/>
      <c r="AD10" s="42"/>
    </row>
    <row r="11" spans="1:30" ht="21" customHeight="1">
      <c r="A11" s="42"/>
      <c r="B11" s="1300" t="s">
        <v>957</v>
      </c>
      <c r="C11" s="1300"/>
      <c r="D11" s="1300"/>
      <c r="E11" s="1300"/>
      <c r="F11" s="1300"/>
      <c r="G11" s="1300"/>
      <c r="H11" s="1300"/>
      <c r="I11" s="1300"/>
      <c r="J11" s="1300"/>
      <c r="K11" s="1300"/>
      <c r="L11" s="1300"/>
      <c r="M11" s="1300"/>
      <c r="N11" s="1300"/>
      <c r="O11" s="42"/>
      <c r="P11" s="1300" t="s">
        <v>944</v>
      </c>
      <c r="Q11" s="1175"/>
      <c r="R11" s="1175"/>
      <c r="S11" s="1175"/>
      <c r="T11" s="1175"/>
      <c r="U11" s="1175"/>
      <c r="V11" s="1175"/>
      <c r="W11" s="1175"/>
      <c r="X11" s="1175"/>
      <c r="Y11" s="1175"/>
      <c r="Z11" s="1175"/>
      <c r="AA11" s="1175"/>
      <c r="AB11" s="1175"/>
      <c r="AC11" s="1175"/>
      <c r="AD11" s="1175"/>
    </row>
    <row r="12" spans="1:30" ht="33" customHeight="1" thickBot="1">
      <c r="A12" s="42"/>
      <c r="B12" s="1301" t="s">
        <v>960</v>
      </c>
      <c r="C12" s="1301"/>
      <c r="D12" s="1301"/>
      <c r="E12" s="1301"/>
      <c r="F12" s="1301"/>
      <c r="G12" s="1301"/>
      <c r="H12" s="1301"/>
      <c r="I12" s="1301"/>
      <c r="J12" s="1301"/>
      <c r="K12" s="1301"/>
      <c r="L12" s="1301"/>
      <c r="M12" s="1301"/>
      <c r="N12" s="1301"/>
      <c r="O12" s="42"/>
      <c r="P12" s="1301" t="s">
        <v>961</v>
      </c>
      <c r="Q12" s="1301"/>
      <c r="R12" s="1301"/>
      <c r="S12" s="1301"/>
      <c r="T12" s="1301"/>
      <c r="U12" s="1301"/>
      <c r="V12" s="1301"/>
      <c r="W12" s="1301"/>
      <c r="X12" s="1301"/>
      <c r="Y12" s="1301"/>
      <c r="Z12" s="1301"/>
      <c r="AA12" s="1301"/>
      <c r="AB12" s="1301"/>
      <c r="AC12" s="1301"/>
      <c r="AD12" s="1301"/>
    </row>
    <row r="13" spans="1:30" ht="15" customHeight="1">
      <c r="A13" s="42"/>
      <c r="B13" s="1292" t="s">
        <v>962</v>
      </c>
      <c r="C13" s="1292"/>
      <c r="D13" s="1292"/>
      <c r="E13" s="1292"/>
      <c r="F13" s="1292"/>
      <c r="G13" s="1292"/>
      <c r="H13" s="1292"/>
      <c r="I13" s="1292"/>
      <c r="J13" s="1292"/>
      <c r="K13" s="1292"/>
      <c r="L13" s="1292"/>
      <c r="M13" s="538"/>
      <c r="N13" s="1294" t="s">
        <v>225</v>
      </c>
      <c r="O13" s="42"/>
      <c r="P13" s="1298" t="s">
        <v>919</v>
      </c>
      <c r="Q13" s="1298"/>
      <c r="R13" s="1298"/>
      <c r="S13" s="1298"/>
      <c r="T13" s="1298" t="s">
        <v>946</v>
      </c>
      <c r="U13" s="1298"/>
      <c r="V13" s="1298"/>
      <c r="W13" s="217"/>
      <c r="X13" s="1302" t="s">
        <v>947</v>
      </c>
      <c r="Y13" s="1298"/>
      <c r="Z13" s="1302" t="s">
        <v>948</v>
      </c>
      <c r="AA13" s="1302"/>
      <c r="AB13" s="1302" t="s">
        <v>949</v>
      </c>
      <c r="AC13" s="1302"/>
      <c r="AD13" s="1298" t="s">
        <v>288</v>
      </c>
    </row>
    <row r="14" spans="1:30" ht="21.75" customHeight="1" thickBot="1">
      <c r="A14" s="42"/>
      <c r="B14" s="1293"/>
      <c r="C14" s="1293"/>
      <c r="D14" s="1293"/>
      <c r="E14" s="1293"/>
      <c r="F14" s="1293"/>
      <c r="G14" s="1293"/>
      <c r="H14" s="1293"/>
      <c r="I14" s="1293"/>
      <c r="J14" s="1293"/>
      <c r="K14" s="1293"/>
      <c r="L14" s="1293"/>
      <c r="M14" s="539"/>
      <c r="N14" s="1283"/>
      <c r="O14" s="42"/>
      <c r="P14" s="1299"/>
      <c r="Q14" s="1299"/>
      <c r="R14" s="1299"/>
      <c r="S14" s="1299"/>
      <c r="T14" s="1299"/>
      <c r="U14" s="1299"/>
      <c r="V14" s="1299"/>
      <c r="W14" s="215"/>
      <c r="X14" s="1299"/>
      <c r="Y14" s="1299"/>
      <c r="Z14" s="1303"/>
      <c r="AA14" s="1303"/>
      <c r="AB14" s="1303"/>
      <c r="AC14" s="1303"/>
      <c r="AD14" s="1299"/>
    </row>
    <row r="15" spans="1:30" s="337" customFormat="1" ht="20.25" customHeight="1" thickBot="1">
      <c r="A15" s="248"/>
      <c r="B15" s="1295" t="str">
        <f>IF(N13="yes","Which of the following equipment do you operate?","")</f>
        <v/>
      </c>
      <c r="C15" s="1295"/>
      <c r="D15" s="1295"/>
      <c r="E15" s="1295"/>
      <c r="F15" s="1295"/>
      <c r="G15" s="1295"/>
      <c r="H15" s="1295"/>
      <c r="I15" s="1295"/>
      <c r="J15" s="1295"/>
      <c r="K15" s="1295"/>
      <c r="L15" s="1295"/>
      <c r="M15" s="1295"/>
      <c r="N15" s="1295"/>
      <c r="O15" s="49"/>
      <c r="P15" s="537">
        <v>1</v>
      </c>
      <c r="Q15" s="1304" t="str">
        <f>IFERROR(VLOOKUP($O$6&amp;$P15,'Landscaping Source'!$A:$P,2,FALSE)," ")</f>
        <v xml:space="preserve"> </v>
      </c>
      <c r="R15" s="1304"/>
      <c r="S15" s="1304"/>
      <c r="T15" s="1291" t="str">
        <f>IFERROR(VLOOKUP($O$6&amp;$P15,'Landscaping Source'!$A:$P,3,FALSE)," ")</f>
        <v xml:space="preserve"> </v>
      </c>
      <c r="U15" s="1291"/>
      <c r="V15" s="1291"/>
      <c r="W15" s="540"/>
      <c r="X15" s="1291" t="str">
        <f>IFERROR(VLOOKUP($O$6&amp;$P15,'Landscaping Source'!$A:$P,4,FALSE)," ")</f>
        <v xml:space="preserve"> </v>
      </c>
      <c r="Y15" s="1291"/>
      <c r="Z15" s="1291" t="str">
        <f>IFERROR(VLOOKUP($O$6&amp;$P15,'Landscaping Source'!$A:$P,5,FALSE)," ")</f>
        <v xml:space="preserve"> </v>
      </c>
      <c r="AA15" s="1291"/>
      <c r="AB15" s="1291" t="str">
        <f>IFERROR(VLOOKUP($O$6&amp;$P15,'Landscaping Source'!$A:$P,6,FALSE)," ")</f>
        <v xml:space="preserve"> </v>
      </c>
      <c r="AC15" s="1291"/>
      <c r="AD15" s="350"/>
    </row>
    <row r="16" spans="1:30" ht="20.25" customHeight="1" thickBot="1">
      <c r="B16" s="249" t="s">
        <v>963</v>
      </c>
      <c r="C16" s="408" t="s">
        <v>964</v>
      </c>
      <c r="D16" s="408"/>
      <c r="E16" s="409" t="s">
        <v>225</v>
      </c>
      <c r="F16" s="409"/>
      <c r="G16" s="410" t="str">
        <f>IF(E16="yes","       Please provide details here, if available (e.g. # of mowers, fuel type, etc.)","")</f>
        <v/>
      </c>
      <c r="H16" s="410"/>
      <c r="I16" s="410"/>
      <c r="J16" s="410"/>
      <c r="K16" s="410"/>
      <c r="L16" s="410"/>
      <c r="M16" s="410"/>
      <c r="N16" s="410"/>
      <c r="O16" s="42"/>
      <c r="P16" s="537">
        <v>2</v>
      </c>
      <c r="Q16" s="1291" t="str">
        <f>IFERROR(VLOOKUP($O$6&amp;$P16,'Landscaping Source'!$A:$P,2,FALSE)," ")</f>
        <v xml:space="preserve"> </v>
      </c>
      <c r="R16" s="1291"/>
      <c r="S16" s="1291"/>
      <c r="T16" s="1291" t="str">
        <f>IFERROR(VLOOKUP($O$6&amp;$P16,'Landscaping Source'!$A:$P,3,FALSE)," ")</f>
        <v xml:space="preserve"> </v>
      </c>
      <c r="U16" s="1291"/>
      <c r="V16" s="1291"/>
      <c r="W16" s="540"/>
      <c r="X16" s="1291" t="str">
        <f>IFERROR(VLOOKUP($O$6&amp;$P16,'Landscaping Source'!$A:$P,4,FALSE)," ")</f>
        <v xml:space="preserve"> </v>
      </c>
      <c r="Y16" s="1291"/>
      <c r="Z16" s="1291" t="str">
        <f>IFERROR(VLOOKUP($O$6&amp;$P16,'Landscaping Source'!$A:$P,5,FALSE)," ")</f>
        <v xml:space="preserve"> </v>
      </c>
      <c r="AA16" s="1291"/>
      <c r="AB16" s="1291" t="str">
        <f>IFERROR(VLOOKUP($O$6&amp;$P16,'Landscaping Source'!$A:$P,6,FALSE)," ")</f>
        <v xml:space="preserve"> </v>
      </c>
      <c r="AC16" s="1291"/>
      <c r="AD16" s="350"/>
    </row>
    <row r="17" spans="1:30" ht="20.25" customHeight="1" thickBot="1">
      <c r="B17" s="249" t="s">
        <v>963</v>
      </c>
      <c r="C17" s="408" t="s">
        <v>965</v>
      </c>
      <c r="D17" s="408"/>
      <c r="E17" s="409" t="s">
        <v>225</v>
      </c>
      <c r="F17" s="409"/>
      <c r="G17" s="410" t="str">
        <f t="shared" ref="G17:G19" si="0">IF(E17="yes","       Please provide details here, if available (e.g. # of mowers, fuel type, etc.)","")</f>
        <v/>
      </c>
      <c r="H17" s="410"/>
      <c r="I17" s="410"/>
      <c r="J17" s="410"/>
      <c r="K17" s="410"/>
      <c r="L17" s="410"/>
      <c r="M17" s="410"/>
      <c r="N17" s="410"/>
      <c r="O17" s="42"/>
      <c r="P17" s="537">
        <v>3</v>
      </c>
      <c r="Q17" s="1297" t="str">
        <f>IFERROR(VLOOKUP($O$6&amp;$P17,'Landscaping Source'!$A:$P,2,FALSE)," ")</f>
        <v xml:space="preserve"> </v>
      </c>
      <c r="R17" s="1297"/>
      <c r="S17" s="1297"/>
      <c r="T17" s="1291" t="str">
        <f>IFERROR(VLOOKUP($O$6&amp;$P17,'Landscaping Source'!$A:$P,3,FALSE)," ")</f>
        <v xml:space="preserve"> </v>
      </c>
      <c r="U17" s="1291"/>
      <c r="V17" s="1291"/>
      <c r="W17" s="540"/>
      <c r="X17" s="1291" t="str">
        <f>IFERROR(VLOOKUP($O$6&amp;$P17,'Landscaping Source'!$A:$P,4,FALSE)," ")</f>
        <v xml:space="preserve"> </v>
      </c>
      <c r="Y17" s="1291"/>
      <c r="Z17" s="1291" t="str">
        <f>IFERROR(VLOOKUP($O$6&amp;$P17,'Landscaping Source'!$A:$P,5,FALSE)," ")</f>
        <v xml:space="preserve"> </v>
      </c>
      <c r="AA17" s="1291"/>
      <c r="AB17" s="1291" t="str">
        <f>IFERROR(VLOOKUP($O$6&amp;$P17,'Landscaping Source'!$A:$P,6,FALSE)," ")</f>
        <v xml:space="preserve"> </v>
      </c>
      <c r="AC17" s="1291"/>
      <c r="AD17" s="350"/>
    </row>
    <row r="18" spans="1:30" ht="20.25" customHeight="1" thickBot="1">
      <c r="B18" s="249" t="s">
        <v>963</v>
      </c>
      <c r="C18" s="408" t="s">
        <v>966</v>
      </c>
      <c r="D18" s="408"/>
      <c r="E18" s="409" t="s">
        <v>225</v>
      </c>
      <c r="F18" s="409"/>
      <c r="G18" s="410" t="str">
        <f t="shared" si="0"/>
        <v/>
      </c>
      <c r="H18" s="410"/>
      <c r="I18" s="410"/>
      <c r="J18" s="410"/>
      <c r="K18" s="410"/>
      <c r="L18" s="410"/>
      <c r="M18" s="410"/>
      <c r="N18" s="410"/>
      <c r="O18" s="42"/>
      <c r="P18" s="537">
        <v>4</v>
      </c>
      <c r="Q18" s="1297" t="str">
        <f>IFERROR(VLOOKUP($O$6&amp;$P18,'Landscaping Source'!$A:$P,2,FALSE)," ")</f>
        <v xml:space="preserve"> </v>
      </c>
      <c r="R18" s="1297"/>
      <c r="S18" s="1297"/>
      <c r="T18" s="1291" t="str">
        <f>IFERROR(VLOOKUP($O$6&amp;$P18,'Landscaping Source'!$A:$P,3,FALSE)," ")</f>
        <v xml:space="preserve"> </v>
      </c>
      <c r="U18" s="1291"/>
      <c r="V18" s="1291"/>
      <c r="W18" s="540"/>
      <c r="X18" s="1291" t="str">
        <f>IFERROR(VLOOKUP($O$6&amp;$P18,'Landscaping Source'!$A:$P,4,FALSE)," ")</f>
        <v xml:space="preserve"> </v>
      </c>
      <c r="Y18" s="1291"/>
      <c r="Z18" s="1291" t="str">
        <f>IFERROR(VLOOKUP($O$6&amp;$P18,'Landscaping Source'!$A:$P,5,FALSE)," ")</f>
        <v xml:space="preserve"> </v>
      </c>
      <c r="AA18" s="1291"/>
      <c r="AB18" s="1291" t="str">
        <f>IFERROR(VLOOKUP($O$6&amp;$P18,'Landscaping Source'!$A:$P,6,FALSE)," ")</f>
        <v xml:space="preserve"> </v>
      </c>
      <c r="AC18" s="1291"/>
      <c r="AD18" s="350"/>
    </row>
    <row r="19" spans="1:30" ht="20.25" customHeight="1" thickBot="1">
      <c r="B19" s="249" t="s">
        <v>963</v>
      </c>
      <c r="C19" s="408" t="s">
        <v>350</v>
      </c>
      <c r="D19" s="408"/>
      <c r="E19" s="409" t="s">
        <v>225</v>
      </c>
      <c r="F19" s="409"/>
      <c r="G19" s="410" t="str">
        <f t="shared" si="0"/>
        <v/>
      </c>
      <c r="H19" s="410"/>
      <c r="I19" s="410"/>
      <c r="J19" s="410"/>
      <c r="K19" s="410"/>
      <c r="L19" s="410"/>
      <c r="M19" s="410"/>
      <c r="N19" s="410"/>
      <c r="O19" s="42"/>
      <c r="P19" s="537">
        <v>5</v>
      </c>
      <c r="Q19" s="1297" t="str">
        <f>IFERROR(VLOOKUP($O$6&amp;$P19,'Landscaping Source'!$A:$P,2,FALSE)," ")</f>
        <v xml:space="preserve"> </v>
      </c>
      <c r="R19" s="1297"/>
      <c r="S19" s="1297"/>
      <c r="T19" s="1291" t="str">
        <f>IFERROR(VLOOKUP($O$6&amp;$P19,'Landscaping Source'!$A:$P,3,FALSE)," ")</f>
        <v xml:space="preserve"> </v>
      </c>
      <c r="U19" s="1291"/>
      <c r="V19" s="1291"/>
      <c r="W19" s="540"/>
      <c r="X19" s="1291" t="str">
        <f>IFERROR(VLOOKUP($O$6&amp;$P19,'Landscaping Source'!$A:$P,4,FALSE)," ")</f>
        <v xml:space="preserve"> </v>
      </c>
      <c r="Y19" s="1291"/>
      <c r="Z19" s="1291" t="str">
        <f>IFERROR(VLOOKUP($O$6&amp;$P19,'Landscaping Source'!$A:$P,5,FALSE)," ")</f>
        <v xml:space="preserve"> </v>
      </c>
      <c r="AA19" s="1291"/>
      <c r="AB19" s="1291" t="str">
        <f>IFERROR(VLOOKUP($O$6&amp;$P19,'Landscaping Source'!$A:$P,6,FALSE)," ")</f>
        <v xml:space="preserve"> </v>
      </c>
      <c r="AC19" s="1291"/>
      <c r="AD19" s="350"/>
    </row>
    <row r="20" spans="1:30" ht="18.75" customHeight="1" thickBot="1">
      <c r="B20" s="155"/>
      <c r="C20" s="155"/>
      <c r="D20" s="155"/>
      <c r="E20" s="155"/>
      <c r="F20" s="155"/>
      <c r="G20" s="155"/>
      <c r="H20" s="155"/>
      <c r="I20" s="155"/>
      <c r="J20" s="155"/>
      <c r="K20" s="155"/>
      <c r="L20" s="155"/>
      <c r="M20" s="155"/>
      <c r="N20" s="155"/>
      <c r="O20" s="42"/>
      <c r="P20" s="537">
        <v>6</v>
      </c>
      <c r="Q20" s="1297" t="str">
        <f>IFERROR(VLOOKUP($O$6&amp;$P20,'Landscaping Source'!$A:$P,2,FALSE)," ")</f>
        <v xml:space="preserve"> </v>
      </c>
      <c r="R20" s="1297"/>
      <c r="S20" s="1297"/>
      <c r="T20" s="1291" t="str">
        <f>IFERROR(VLOOKUP($O$6&amp;$P20,'Landscaping Source'!$A:$P,3,FALSE)," ")</f>
        <v xml:space="preserve"> </v>
      </c>
      <c r="U20" s="1291"/>
      <c r="V20" s="1291"/>
      <c r="W20" s="540"/>
      <c r="X20" s="1291" t="str">
        <f>IFERROR(VLOOKUP($O$6&amp;$P20,'Landscaping Source'!$A:$P,4,FALSE)," ")</f>
        <v xml:space="preserve"> </v>
      </c>
      <c r="Y20" s="1291"/>
      <c r="Z20" s="1291" t="str">
        <f>IFERROR(VLOOKUP($O$6&amp;$P20,'Landscaping Source'!$A:$P,5,FALSE)," ")</f>
        <v xml:space="preserve"> </v>
      </c>
      <c r="AA20" s="1291"/>
      <c r="AB20" s="1291" t="str">
        <f>IFERROR(VLOOKUP($O$6&amp;$P20,'Landscaping Source'!$A:$P,6,FALSE)," ")</f>
        <v xml:space="preserve"> </v>
      </c>
      <c r="AC20" s="1291"/>
      <c r="AD20" s="350"/>
    </row>
    <row r="21" spans="1:30" ht="23.25" customHeight="1" thickBot="1">
      <c r="B21" s="1310" t="s">
        <v>967</v>
      </c>
      <c r="C21" s="1280"/>
      <c r="D21" s="1280"/>
      <c r="E21" s="1280"/>
      <c r="F21" s="1280"/>
      <c r="G21" s="1280"/>
      <c r="H21" s="1280"/>
      <c r="I21" s="1280"/>
      <c r="J21" s="1280"/>
      <c r="K21" s="1280"/>
      <c r="L21" s="1280"/>
      <c r="M21" s="532"/>
      <c r="N21" s="1282" t="s">
        <v>225</v>
      </c>
      <c r="O21" s="42"/>
      <c r="P21" s="537">
        <v>7</v>
      </c>
      <c r="Q21" s="1297" t="str">
        <f>IFERROR(VLOOKUP($O$6&amp;$P21,'Landscaping Source'!$A:$P,2,FALSE)," ")</f>
        <v xml:space="preserve"> </v>
      </c>
      <c r="R21" s="1297"/>
      <c r="S21" s="1297"/>
      <c r="T21" s="1291" t="str">
        <f>IFERROR(VLOOKUP($O$6&amp;$P21,'Landscaping Source'!$A:$P,3,FALSE)," ")</f>
        <v xml:space="preserve"> </v>
      </c>
      <c r="U21" s="1291"/>
      <c r="V21" s="1291"/>
      <c r="W21" s="540"/>
      <c r="X21" s="1291" t="str">
        <f>IFERROR(VLOOKUP($O$6&amp;$P21,'Landscaping Source'!$A:$P,4,FALSE)," ")</f>
        <v xml:space="preserve"> </v>
      </c>
      <c r="Y21" s="1291"/>
      <c r="Z21" s="1291" t="str">
        <f>IFERROR(VLOOKUP($O$6&amp;$P21,'Landscaping Source'!$A:$P,5,FALSE)," ")</f>
        <v xml:space="preserve"> </v>
      </c>
      <c r="AA21" s="1291"/>
      <c r="AB21" s="1291" t="str">
        <f>IFERROR(VLOOKUP($O$6&amp;$P21,'Landscaping Source'!$A:$P,6,FALSE)," ")</f>
        <v xml:space="preserve"> </v>
      </c>
      <c r="AC21" s="1291"/>
      <c r="AD21" s="350"/>
    </row>
    <row r="22" spans="1:30" ht="21.75" customHeight="1" thickBot="1">
      <c r="B22" s="1311"/>
      <c r="C22" s="1281"/>
      <c r="D22" s="1281"/>
      <c r="E22" s="1281"/>
      <c r="F22" s="1281"/>
      <c r="G22" s="1281"/>
      <c r="H22" s="1281"/>
      <c r="I22" s="1281"/>
      <c r="J22" s="1281"/>
      <c r="K22" s="1281"/>
      <c r="L22" s="1281"/>
      <c r="M22" s="533"/>
      <c r="N22" s="1283"/>
      <c r="O22" s="42"/>
      <c r="P22" s="537">
        <v>8</v>
      </c>
      <c r="Q22" s="1297" t="str">
        <f>IFERROR(VLOOKUP($O$6&amp;$P22,'Landscaping Source'!$A:$P,2,FALSE)," ")</f>
        <v xml:space="preserve"> </v>
      </c>
      <c r="R22" s="1297"/>
      <c r="S22" s="1297"/>
      <c r="T22" s="1291" t="str">
        <f>IFERROR(VLOOKUP($O$6&amp;$P22,'Landscaping Source'!$A:$P,3,FALSE)," ")</f>
        <v xml:space="preserve"> </v>
      </c>
      <c r="U22" s="1291"/>
      <c r="V22" s="1291"/>
      <c r="W22" s="540"/>
      <c r="X22" s="1291" t="str">
        <f>IFERROR(VLOOKUP($O$6&amp;$P22,'Landscaping Source'!$A:$P,4,FALSE)," ")</f>
        <v xml:space="preserve"> </v>
      </c>
      <c r="Y22" s="1291"/>
      <c r="Z22" s="1291" t="str">
        <f>IFERROR(VLOOKUP($O$6&amp;$P22,'Landscaping Source'!$A:$P,5,FALSE)," ")</f>
        <v xml:space="preserve"> </v>
      </c>
      <c r="AA22" s="1291"/>
      <c r="AB22" s="1291" t="str">
        <f>IFERROR(VLOOKUP($O$6&amp;$P22,'Landscaping Source'!$A:$P,6,FALSE)," ")</f>
        <v xml:space="preserve"> </v>
      </c>
      <c r="AC22" s="1291"/>
      <c r="AD22" s="350"/>
    </row>
    <row r="23" spans="1:30" ht="20.25" customHeight="1" thickBot="1">
      <c r="B23" s="1313" t="str">
        <f>IF(N21="yes","Please select any below that apply","")</f>
        <v/>
      </c>
      <c r="C23" s="1313"/>
      <c r="D23" s="1313"/>
      <c r="E23" s="1313"/>
      <c r="F23" s="1313"/>
      <c r="G23" s="1313"/>
      <c r="H23" s="1313"/>
      <c r="I23" s="1313"/>
      <c r="J23" s="1313"/>
      <c r="K23" s="1313"/>
      <c r="L23" s="1313"/>
      <c r="M23" s="1313"/>
      <c r="N23" s="1313"/>
      <c r="O23" s="42"/>
      <c r="P23" s="537">
        <v>9</v>
      </c>
      <c r="Q23" s="1297" t="str">
        <f>IFERROR(VLOOKUP($O$6&amp;$P23,'Landscaping Source'!$A:$P,2,FALSE)," ")</f>
        <v xml:space="preserve"> </v>
      </c>
      <c r="R23" s="1297"/>
      <c r="S23" s="1297"/>
      <c r="T23" s="1291" t="str">
        <f>IFERROR(VLOOKUP($O$6&amp;$P23,'Landscaping Source'!$A:$P,3,FALSE)," ")</f>
        <v xml:space="preserve"> </v>
      </c>
      <c r="U23" s="1291"/>
      <c r="V23" s="1291"/>
      <c r="W23" s="540"/>
      <c r="X23" s="1291" t="str">
        <f>IFERROR(VLOOKUP($O$6&amp;$P23,'Landscaping Source'!$A:$P,4,FALSE)," ")</f>
        <v xml:space="preserve"> </v>
      </c>
      <c r="Y23" s="1291"/>
      <c r="Z23" s="1291" t="str">
        <f>IFERROR(VLOOKUP($O$6&amp;$P23,'Landscaping Source'!$A:$P,5,FALSE)," ")</f>
        <v xml:space="preserve"> </v>
      </c>
      <c r="AA23" s="1291"/>
      <c r="AB23" s="1291" t="str">
        <f>IFERROR(VLOOKUP($O$6&amp;$P23,'Landscaping Source'!$A:$P,6,FALSE)," ")</f>
        <v xml:space="preserve"> </v>
      </c>
      <c r="AC23" s="1291"/>
      <c r="AD23" s="350"/>
    </row>
    <row r="24" spans="1:30" s="337" customFormat="1" ht="20.25" customHeight="1" thickBot="1">
      <c r="A24" s="248"/>
      <c r="B24" s="249" t="s">
        <v>963</v>
      </c>
      <c r="C24" s="1296" t="s">
        <v>968</v>
      </c>
      <c r="D24" s="1296"/>
      <c r="E24" s="1296"/>
      <c r="F24" s="1296"/>
      <c r="G24" s="1296"/>
      <c r="H24" s="372" t="s">
        <v>225</v>
      </c>
      <c r="I24" s="1312" t="str">
        <f>IF(H24="yes","       Please provide details here, if available","")</f>
        <v/>
      </c>
      <c r="J24" s="1312"/>
      <c r="K24" s="1312"/>
      <c r="L24" s="1312"/>
      <c r="M24" s="1312"/>
      <c r="N24" s="1312"/>
      <c r="O24" s="49"/>
      <c r="P24" s="537">
        <v>10</v>
      </c>
      <c r="Q24" s="1297" t="str">
        <f>IFERROR(VLOOKUP($O$6&amp;$P24,'Landscaping Source'!$A:$P,2,FALSE)," ")</f>
        <v xml:space="preserve"> </v>
      </c>
      <c r="R24" s="1297"/>
      <c r="S24" s="1297"/>
      <c r="T24" s="1291" t="str">
        <f>IFERROR(VLOOKUP($O$6&amp;$P24,'Landscaping Source'!$A:$P,3,FALSE)," ")</f>
        <v xml:space="preserve"> </v>
      </c>
      <c r="U24" s="1291"/>
      <c r="V24" s="1291"/>
      <c r="W24" s="540"/>
      <c r="X24" s="1291" t="str">
        <f>IFERROR(VLOOKUP($O$6&amp;$P24,'Landscaping Source'!$A:$P,4,FALSE)," ")</f>
        <v xml:space="preserve"> </v>
      </c>
      <c r="Y24" s="1291"/>
      <c r="Z24" s="1291" t="str">
        <f>IFERROR(VLOOKUP($O$6&amp;$P24,'Landscaping Source'!$A:$P,5,FALSE)," ")</f>
        <v xml:space="preserve"> </v>
      </c>
      <c r="AA24" s="1291"/>
      <c r="AB24" s="1291" t="str">
        <f>IFERROR(VLOOKUP($O$6&amp;$P24,'Landscaping Source'!$A:$P,6,FALSE)," ")</f>
        <v xml:space="preserve"> </v>
      </c>
      <c r="AC24" s="1291"/>
      <c r="AD24" s="350"/>
    </row>
    <row r="25" spans="1:30" s="337" customFormat="1" ht="20.25" customHeight="1" thickBot="1">
      <c r="A25" s="248"/>
      <c r="B25" s="249" t="s">
        <v>963</v>
      </c>
      <c r="C25" s="1296" t="s">
        <v>969</v>
      </c>
      <c r="D25" s="1296"/>
      <c r="E25" s="1296"/>
      <c r="F25" s="1296"/>
      <c r="G25" s="1296"/>
      <c r="H25" s="372" t="s">
        <v>225</v>
      </c>
      <c r="I25" s="1312" t="str">
        <f t="shared" ref="I25:I27" si="1">IF(H25="yes","       Please provide details here, if available","")</f>
        <v/>
      </c>
      <c r="J25" s="1312"/>
      <c r="K25" s="1312"/>
      <c r="L25" s="1312"/>
      <c r="M25" s="1312"/>
      <c r="N25" s="1312"/>
      <c r="O25" s="49"/>
      <c r="P25" s="537">
        <v>11</v>
      </c>
      <c r="Q25" s="1297" t="str">
        <f>IFERROR(VLOOKUP($O$6&amp;$P25,'Landscaping Source'!$A:$P,2,FALSE)," ")</f>
        <v xml:space="preserve"> </v>
      </c>
      <c r="R25" s="1297"/>
      <c r="S25" s="1297"/>
      <c r="T25" s="1291" t="str">
        <f>IFERROR(VLOOKUP($O$6&amp;$P25,'Landscaping Source'!$A:$P,3,FALSE)," ")</f>
        <v xml:space="preserve"> </v>
      </c>
      <c r="U25" s="1291"/>
      <c r="V25" s="1291"/>
      <c r="W25" s="540"/>
      <c r="X25" s="1291" t="str">
        <f>IFERROR(VLOOKUP($O$6&amp;$P25,'Landscaping Source'!$A:$P,4,FALSE)," ")</f>
        <v xml:space="preserve"> </v>
      </c>
      <c r="Y25" s="1291"/>
      <c r="Z25" s="1291" t="str">
        <f>IFERROR(VLOOKUP($O$6&amp;$P25,'Landscaping Source'!$A:$P,5,FALSE)," ")</f>
        <v xml:space="preserve"> </v>
      </c>
      <c r="AA25" s="1291"/>
      <c r="AB25" s="1291" t="str">
        <f>IFERROR(VLOOKUP($O$6&amp;$P25,'Landscaping Source'!$A:$P,6,FALSE)," ")</f>
        <v xml:space="preserve"> </v>
      </c>
      <c r="AC25" s="1291"/>
      <c r="AD25" s="350"/>
    </row>
    <row r="26" spans="1:30" s="337" customFormat="1" ht="20.25" customHeight="1" thickBot="1">
      <c r="A26" s="248"/>
      <c r="B26" s="249" t="s">
        <v>963</v>
      </c>
      <c r="C26" s="1296" t="s">
        <v>970</v>
      </c>
      <c r="D26" s="1296"/>
      <c r="E26" s="1296"/>
      <c r="F26" s="1296"/>
      <c r="G26" s="1296"/>
      <c r="H26" s="372" t="s">
        <v>225</v>
      </c>
      <c r="I26" s="1312" t="str">
        <f t="shared" si="1"/>
        <v/>
      </c>
      <c r="J26" s="1312"/>
      <c r="K26" s="1312"/>
      <c r="L26" s="1312"/>
      <c r="M26" s="1312"/>
      <c r="N26" s="1312"/>
      <c r="O26" s="49"/>
      <c r="P26" s="537">
        <v>12</v>
      </c>
      <c r="Q26" s="1297" t="str">
        <f>IFERROR(VLOOKUP($O$6&amp;$P26,'Landscaping Source'!$A:$P,2,FALSE)," ")</f>
        <v xml:space="preserve"> </v>
      </c>
      <c r="R26" s="1297"/>
      <c r="S26" s="1297"/>
      <c r="T26" s="1291" t="str">
        <f>IFERROR(VLOOKUP($O$6&amp;$P26,'Landscaping Source'!$A:$P,3,FALSE)," ")</f>
        <v xml:space="preserve"> </v>
      </c>
      <c r="U26" s="1291"/>
      <c r="V26" s="1291"/>
      <c r="W26" s="540"/>
      <c r="X26" s="1291" t="str">
        <f>IFERROR(VLOOKUP($O$6&amp;$P26,'Landscaping Source'!$A:$P,4,FALSE)," ")</f>
        <v xml:space="preserve"> </v>
      </c>
      <c r="Y26" s="1291"/>
      <c r="Z26" s="1291" t="str">
        <f>IFERROR(VLOOKUP($O$6&amp;$P26,'Landscaping Source'!$A:$P,5,FALSE)," ")</f>
        <v xml:space="preserve"> </v>
      </c>
      <c r="AA26" s="1291"/>
      <c r="AB26" s="1291" t="str">
        <f>IFERROR(VLOOKUP($O$6&amp;$P26,'Landscaping Source'!$A:$P,6,FALSE)," ")</f>
        <v xml:space="preserve"> </v>
      </c>
      <c r="AC26" s="1291"/>
      <c r="AD26" s="350"/>
    </row>
    <row r="27" spans="1:30" s="337" customFormat="1" ht="20.25" customHeight="1" thickBot="1">
      <c r="A27" s="248"/>
      <c r="B27" s="249" t="s">
        <v>963</v>
      </c>
      <c r="C27" s="1296" t="s">
        <v>350</v>
      </c>
      <c r="D27" s="1296"/>
      <c r="E27" s="1296"/>
      <c r="F27" s="1296"/>
      <c r="G27" s="1296"/>
      <c r="H27" s="372" t="s">
        <v>225</v>
      </c>
      <c r="I27" s="1312" t="str">
        <f t="shared" si="1"/>
        <v/>
      </c>
      <c r="J27" s="1312"/>
      <c r="K27" s="1312"/>
      <c r="L27" s="1312"/>
      <c r="M27" s="1312"/>
      <c r="N27" s="1312"/>
      <c r="O27" s="49"/>
      <c r="P27" s="537">
        <v>13</v>
      </c>
      <c r="Q27" s="1297" t="str">
        <f>IFERROR(VLOOKUP($O$6&amp;$P27,'Landscaping Source'!$A:$P,2,FALSE)," ")</f>
        <v xml:space="preserve"> </v>
      </c>
      <c r="R27" s="1297"/>
      <c r="S27" s="1297"/>
      <c r="T27" s="1291" t="str">
        <f>IFERROR(VLOOKUP($O$6&amp;$P27,'Landscaping Source'!$A:$P,3,FALSE)," ")</f>
        <v xml:space="preserve"> </v>
      </c>
      <c r="U27" s="1291"/>
      <c r="V27" s="1291"/>
      <c r="W27" s="540"/>
      <c r="X27" s="1291" t="str">
        <f>IFERROR(VLOOKUP($O$6&amp;$P27,'Landscaping Source'!$A:$P,4,FALSE)," ")</f>
        <v xml:space="preserve"> </v>
      </c>
      <c r="Y27" s="1291"/>
      <c r="Z27" s="1291" t="str">
        <f>IFERROR(VLOOKUP($O$6&amp;$P27,'Landscaping Source'!$A:$P,5,FALSE)," ")</f>
        <v xml:space="preserve"> </v>
      </c>
      <c r="AA27" s="1291"/>
      <c r="AB27" s="1291" t="str">
        <f>IFERROR(VLOOKUP($O$6&amp;$P27,'Landscaping Source'!$A:$P,6,FALSE)," ")</f>
        <v xml:space="preserve"> </v>
      </c>
      <c r="AC27" s="1291"/>
      <c r="AD27" s="350"/>
    </row>
    <row r="28" spans="1:30" ht="20.25" customHeight="1" thickBot="1">
      <c r="O28" s="42"/>
      <c r="P28" s="537">
        <v>14</v>
      </c>
      <c r="Q28" s="1297" t="str">
        <f>IFERROR(VLOOKUP($O$6&amp;$P28,'Landscaping Source'!$A:$P,2,FALSE)," ")</f>
        <v xml:space="preserve"> </v>
      </c>
      <c r="R28" s="1297"/>
      <c r="S28" s="1297"/>
      <c r="T28" s="1291" t="str">
        <f>IFERROR(VLOOKUP($O$6&amp;$P28,'Landscaping Source'!$A:$P,3,FALSE)," ")</f>
        <v xml:space="preserve"> </v>
      </c>
      <c r="U28" s="1291"/>
      <c r="V28" s="1291"/>
      <c r="W28" s="540"/>
      <c r="X28" s="1291" t="str">
        <f>IFERROR(VLOOKUP($O$6&amp;$P28,'Landscaping Source'!$A:$P,4,FALSE)," ")</f>
        <v xml:space="preserve"> </v>
      </c>
      <c r="Y28" s="1291"/>
      <c r="Z28" s="1291" t="str">
        <f>IFERROR(VLOOKUP($O$6&amp;$P28,'Landscaping Source'!$A:$P,5,FALSE)," ")</f>
        <v xml:space="preserve"> </v>
      </c>
      <c r="AA28" s="1291"/>
      <c r="AB28" s="1291" t="str">
        <f>IFERROR(VLOOKUP($O$6&amp;$P28,'Landscaping Source'!$A:$P,6,FALSE)," ")</f>
        <v xml:space="preserve"> </v>
      </c>
      <c r="AC28" s="1291"/>
      <c r="AD28" s="350"/>
    </row>
    <row r="29" spans="1:30" ht="20.25" customHeight="1" thickBot="1">
      <c r="B29" s="1309" t="s">
        <v>971</v>
      </c>
      <c r="C29" s="1309"/>
      <c r="D29" s="1309"/>
      <c r="E29" s="1309"/>
      <c r="F29" s="1309"/>
      <c r="G29" s="1309"/>
      <c r="H29" s="1309"/>
      <c r="I29" s="1309"/>
      <c r="J29" s="1309"/>
      <c r="K29" s="1309"/>
      <c r="L29" s="1309"/>
      <c r="M29" s="542"/>
      <c r="N29" s="1282" t="s">
        <v>225</v>
      </c>
      <c r="O29" s="42"/>
      <c r="P29" s="537">
        <v>15</v>
      </c>
      <c r="Q29" s="1297" t="str">
        <f>IFERROR(VLOOKUP($O$6&amp;$P29,'Landscaping Source'!$A:$P,2,FALSE)," ")</f>
        <v xml:space="preserve"> </v>
      </c>
      <c r="R29" s="1297"/>
      <c r="S29" s="1297"/>
      <c r="T29" s="1291" t="str">
        <f>IFERROR(VLOOKUP($O$6&amp;$P29,'Landscaping Source'!$A:$P,3,FALSE)," ")</f>
        <v xml:space="preserve"> </v>
      </c>
      <c r="U29" s="1291"/>
      <c r="V29" s="1291"/>
      <c r="W29" s="540"/>
      <c r="X29" s="1291" t="str">
        <f>IFERROR(VLOOKUP($O$6&amp;$P29,'Landscaping Source'!$A:$P,4,FALSE)," ")</f>
        <v xml:space="preserve"> </v>
      </c>
      <c r="Y29" s="1291"/>
      <c r="Z29" s="1291" t="str">
        <f>IFERROR(VLOOKUP($O$6&amp;$P29,'Landscaping Source'!$A:$P,5,FALSE)," ")</f>
        <v xml:space="preserve"> </v>
      </c>
      <c r="AA29" s="1291"/>
      <c r="AB29" s="1291" t="str">
        <f>IFERROR(VLOOKUP($O$6&amp;$P29,'Landscaping Source'!$A:$P,6,FALSE)," ")</f>
        <v xml:space="preserve"> </v>
      </c>
      <c r="AC29" s="1291"/>
      <c r="AD29" s="350"/>
    </row>
    <row r="30" spans="1:30" ht="21.75" customHeight="1" thickBot="1">
      <c r="B30" s="1293"/>
      <c r="C30" s="1293"/>
      <c r="D30" s="1293"/>
      <c r="E30" s="1293"/>
      <c r="F30" s="1293"/>
      <c r="G30" s="1293"/>
      <c r="H30" s="1293"/>
      <c r="I30" s="1293"/>
      <c r="J30" s="1293"/>
      <c r="K30" s="1293"/>
      <c r="L30" s="1293"/>
      <c r="M30" s="539"/>
      <c r="N30" s="1283"/>
      <c r="P30" s="1286" t="s">
        <v>950</v>
      </c>
      <c r="Q30" s="1286"/>
      <c r="R30" s="1286"/>
      <c r="S30" s="1286"/>
      <c r="T30" s="1286"/>
      <c r="U30" s="1286"/>
      <c r="V30" s="1286"/>
      <c r="W30" s="1286"/>
      <c r="X30" s="1286"/>
      <c r="Y30" s="1286"/>
      <c r="Z30" s="1286"/>
      <c r="AA30" s="1286"/>
      <c r="AB30" s="1286"/>
      <c r="AC30" s="1286"/>
      <c r="AD30" s="1286"/>
    </row>
    <row r="31" spans="1:30" ht="15.75" customHeight="1">
      <c r="B31" s="1308" t="str">
        <f>IF(N29="yes","Please describe reduction strategies underway, if any","")</f>
        <v/>
      </c>
      <c r="C31" s="1308"/>
      <c r="D31" s="1308"/>
      <c r="E31" s="1308"/>
      <c r="F31" s="1308"/>
      <c r="G31" s="1308"/>
      <c r="H31" s="1308"/>
      <c r="I31" s="1308"/>
      <c r="J31" s="1308"/>
      <c r="K31" s="1308"/>
      <c r="L31" s="1308"/>
      <c r="M31" s="1308"/>
      <c r="N31" s="1308"/>
      <c r="P31" s="1314" t="s">
        <v>919</v>
      </c>
      <c r="Q31" s="1314"/>
      <c r="R31" s="1314"/>
      <c r="S31" s="1314"/>
      <c r="T31" s="1314" t="s">
        <v>946</v>
      </c>
      <c r="U31" s="1314"/>
      <c r="V31" s="1314"/>
      <c r="W31" s="42"/>
      <c r="X31" s="1315" t="s">
        <v>947</v>
      </c>
      <c r="Y31" s="1314"/>
      <c r="Z31" s="1315" t="s">
        <v>948</v>
      </c>
      <c r="AA31" s="1315"/>
      <c r="AB31" s="1315" t="s">
        <v>949</v>
      </c>
      <c r="AC31" s="1315"/>
      <c r="AD31" s="1314" t="s">
        <v>288</v>
      </c>
    </row>
    <row r="32" spans="1:30" ht="20.25" customHeight="1" thickBot="1">
      <c r="B32" s="1285"/>
      <c r="C32" s="1285"/>
      <c r="D32" s="1285"/>
      <c r="E32" s="1285"/>
      <c r="F32" s="1285"/>
      <c r="G32" s="1285"/>
      <c r="H32" s="1285"/>
      <c r="I32" s="1285"/>
      <c r="J32" s="1285"/>
      <c r="K32" s="1285"/>
      <c r="L32" s="1285"/>
      <c r="M32" s="1285"/>
      <c r="N32" s="1285"/>
      <c r="P32" s="1299"/>
      <c r="Q32" s="1299"/>
      <c r="R32" s="1299"/>
      <c r="S32" s="1299"/>
      <c r="T32" s="1299"/>
      <c r="U32" s="1299"/>
      <c r="V32" s="1299"/>
      <c r="W32" s="215"/>
      <c r="X32" s="1299"/>
      <c r="Y32" s="1299"/>
      <c r="Z32" s="1303"/>
      <c r="AA32" s="1303"/>
      <c r="AB32" s="1303"/>
      <c r="AC32" s="1303"/>
      <c r="AD32" s="1299"/>
    </row>
    <row r="33" spans="2:30" ht="20.25" customHeight="1" thickBot="1">
      <c r="B33" s="1285"/>
      <c r="C33" s="1285"/>
      <c r="D33" s="1285"/>
      <c r="E33" s="1285"/>
      <c r="F33" s="1285"/>
      <c r="G33" s="1285"/>
      <c r="H33" s="1285"/>
      <c r="I33" s="1285"/>
      <c r="J33" s="1285"/>
      <c r="K33" s="1285"/>
      <c r="L33" s="1285"/>
      <c r="M33" s="1285"/>
      <c r="N33" s="1285"/>
      <c r="P33" s="1222"/>
      <c r="Q33" s="1222"/>
      <c r="R33" s="1222"/>
      <c r="S33" s="1222"/>
      <c r="T33" s="1222"/>
      <c r="U33" s="1222"/>
      <c r="V33" s="1222"/>
      <c r="W33" s="351"/>
      <c r="X33" s="1222"/>
      <c r="Y33" s="1222"/>
      <c r="Z33" s="1222"/>
      <c r="AA33" s="1222"/>
      <c r="AB33" s="1222"/>
      <c r="AC33" s="1222"/>
      <c r="AD33" s="351"/>
    </row>
    <row r="34" spans="2:30" ht="20.25" customHeight="1" thickBot="1">
      <c r="B34" s="1285"/>
      <c r="C34" s="1285"/>
      <c r="D34" s="1285"/>
      <c r="E34" s="1285"/>
      <c r="F34" s="1285"/>
      <c r="G34" s="1285"/>
      <c r="H34" s="1285"/>
      <c r="I34" s="1285"/>
      <c r="J34" s="1285"/>
      <c r="K34" s="1285"/>
      <c r="L34" s="1285"/>
      <c r="M34" s="1285"/>
      <c r="N34" s="1285"/>
      <c r="P34" s="1222"/>
      <c r="Q34" s="1222"/>
      <c r="R34" s="1222"/>
      <c r="S34" s="1222"/>
      <c r="T34" s="1222"/>
      <c r="U34" s="1222"/>
      <c r="V34" s="1222"/>
      <c r="W34" s="351"/>
      <c r="X34" s="1222"/>
      <c r="Y34" s="1222"/>
      <c r="Z34" s="1222"/>
      <c r="AA34" s="1222"/>
      <c r="AB34" s="1222"/>
      <c r="AC34" s="1222"/>
      <c r="AD34" s="351"/>
    </row>
    <row r="35" spans="2:30" ht="20.25" customHeight="1" thickBot="1">
      <c r="P35" s="1222"/>
      <c r="Q35" s="1222"/>
      <c r="R35" s="1222"/>
      <c r="S35" s="1222"/>
      <c r="T35" s="1222"/>
      <c r="U35" s="1222"/>
      <c r="V35" s="1222"/>
      <c r="W35" s="351"/>
      <c r="X35" s="1222"/>
      <c r="Y35" s="1222"/>
      <c r="Z35" s="1222"/>
      <c r="AA35" s="1222"/>
      <c r="AB35" s="1222"/>
      <c r="AC35" s="1222"/>
      <c r="AD35" s="351"/>
    </row>
    <row r="36" spans="2:30" ht="19.5" customHeight="1" thickBot="1">
      <c r="P36" s="1222"/>
      <c r="Q36" s="1222"/>
      <c r="R36" s="1222"/>
      <c r="S36" s="1222"/>
      <c r="T36" s="1222"/>
      <c r="U36" s="1222"/>
      <c r="V36" s="1222"/>
      <c r="W36" s="352"/>
      <c r="X36" s="1222"/>
      <c r="Y36" s="1222"/>
      <c r="Z36" s="1222"/>
      <c r="AA36" s="1222"/>
      <c r="AB36" s="1222"/>
      <c r="AC36" s="1222"/>
      <c r="AD36" s="352"/>
    </row>
    <row r="37" spans="2:30" ht="19.5" customHeight="1" thickBot="1">
      <c r="P37" s="1222"/>
      <c r="Q37" s="1222"/>
      <c r="R37" s="1222"/>
      <c r="S37" s="1222"/>
      <c r="T37" s="1222"/>
      <c r="U37" s="1222"/>
      <c r="V37" s="1222"/>
      <c r="W37" s="352"/>
      <c r="X37" s="1222"/>
      <c r="Y37" s="1222"/>
      <c r="Z37" s="1222"/>
      <c r="AA37" s="1222"/>
      <c r="AB37" s="1222"/>
      <c r="AC37" s="1222"/>
      <c r="AD37" s="352"/>
    </row>
    <row r="209"/>
  </sheetData>
  <sheetProtection selectLockedCells="1"/>
  <mergeCells count="144">
    <mergeCell ref="Z36:AA36"/>
    <mergeCell ref="Z37:AA37"/>
    <mergeCell ref="AB33:AC33"/>
    <mergeCell ref="AB34:AC34"/>
    <mergeCell ref="AB35:AC35"/>
    <mergeCell ref="AB36:AC36"/>
    <mergeCell ref="AB37:AC37"/>
    <mergeCell ref="P36:S36"/>
    <mergeCell ref="P37:S37"/>
    <mergeCell ref="T33:V33"/>
    <mergeCell ref="T34:V34"/>
    <mergeCell ref="T35:V35"/>
    <mergeCell ref="T36:V36"/>
    <mergeCell ref="T37:V37"/>
    <mergeCell ref="X33:Y33"/>
    <mergeCell ref="X34:Y34"/>
    <mergeCell ref="X35:Y35"/>
    <mergeCell ref="X36:Y36"/>
    <mergeCell ref="X37:Y37"/>
    <mergeCell ref="P31:S32"/>
    <mergeCell ref="T31:V32"/>
    <mergeCell ref="X31:Y32"/>
    <mergeCell ref="Z31:AA32"/>
    <mergeCell ref="AB31:AC32"/>
    <mergeCell ref="AD31:AD32"/>
    <mergeCell ref="P33:S33"/>
    <mergeCell ref="P34:S34"/>
    <mergeCell ref="P35:S35"/>
    <mergeCell ref="Z33:AA33"/>
    <mergeCell ref="Z34:AA34"/>
    <mergeCell ref="Z35:AA35"/>
    <mergeCell ref="P30:AD30"/>
    <mergeCell ref="B31:N31"/>
    <mergeCell ref="B32:N34"/>
    <mergeCell ref="B29:L30"/>
    <mergeCell ref="B21:L22"/>
    <mergeCell ref="N21:N22"/>
    <mergeCell ref="C26:G26"/>
    <mergeCell ref="C27:G27"/>
    <mergeCell ref="I24:N24"/>
    <mergeCell ref="I25:N25"/>
    <mergeCell ref="I26:N26"/>
    <mergeCell ref="I27:N27"/>
    <mergeCell ref="N29:N30"/>
    <mergeCell ref="B23:N23"/>
    <mergeCell ref="Q26:S26"/>
    <mergeCell ref="Q27:S27"/>
    <mergeCell ref="T29:V29"/>
    <mergeCell ref="X26:Y26"/>
    <mergeCell ref="X27:Y27"/>
    <mergeCell ref="X28:Y28"/>
    <mergeCell ref="X29:Y29"/>
    <mergeCell ref="Z29:AA29"/>
    <mergeCell ref="AB24:AC24"/>
    <mergeCell ref="AB25:AC25"/>
    <mergeCell ref="B1:AD1"/>
    <mergeCell ref="D2:AC3"/>
    <mergeCell ref="L6:N6"/>
    <mergeCell ref="O6:P6"/>
    <mergeCell ref="X8:AB9"/>
    <mergeCell ref="B12:N12"/>
    <mergeCell ref="B2:C4"/>
    <mergeCell ref="B11:N11"/>
    <mergeCell ref="D4:AD4"/>
    <mergeCell ref="A10:AC10"/>
    <mergeCell ref="D8:V9"/>
    <mergeCell ref="AD13:AD14"/>
    <mergeCell ref="Q23:S23"/>
    <mergeCell ref="Q24:S24"/>
    <mergeCell ref="Q25:S25"/>
    <mergeCell ref="Z23:AA23"/>
    <mergeCell ref="Z21:AA21"/>
    <mergeCell ref="Z22:AA22"/>
    <mergeCell ref="P11:AD11"/>
    <mergeCell ref="P12:AD12"/>
    <mergeCell ref="P13:S14"/>
    <mergeCell ref="T13:V14"/>
    <mergeCell ref="X13:Y14"/>
    <mergeCell ref="Z13:AA14"/>
    <mergeCell ref="AB13:AC14"/>
    <mergeCell ref="Z15:AA15"/>
    <mergeCell ref="Q19:S19"/>
    <mergeCell ref="Q20:S20"/>
    <mergeCell ref="Q21:S21"/>
    <mergeCell ref="Q22:S22"/>
    <mergeCell ref="Q15:S15"/>
    <mergeCell ref="Z19:AA19"/>
    <mergeCell ref="Z20:AA20"/>
    <mergeCell ref="X15:Y15"/>
    <mergeCell ref="X16:Y16"/>
    <mergeCell ref="B13:L14"/>
    <mergeCell ref="N13:N14"/>
    <mergeCell ref="B15:N15"/>
    <mergeCell ref="C24:G24"/>
    <mergeCell ref="C25:G25"/>
    <mergeCell ref="Q28:S28"/>
    <mergeCell ref="Q29:S29"/>
    <mergeCell ref="T15:V15"/>
    <mergeCell ref="T16:V16"/>
    <mergeCell ref="T17:V17"/>
    <mergeCell ref="T18:V18"/>
    <mergeCell ref="T19:V19"/>
    <mergeCell ref="T20:V20"/>
    <mergeCell ref="T21:V21"/>
    <mergeCell ref="T22:V22"/>
    <mergeCell ref="T23:V23"/>
    <mergeCell ref="T24:V24"/>
    <mergeCell ref="T25:V25"/>
    <mergeCell ref="T26:V26"/>
    <mergeCell ref="T27:V27"/>
    <mergeCell ref="T28:V28"/>
    <mergeCell ref="Q16:S16"/>
    <mergeCell ref="Q17:S17"/>
    <mergeCell ref="Q18:S18"/>
    <mergeCell ref="X17:Y17"/>
    <mergeCell ref="X18:Y18"/>
    <mergeCell ref="X19:Y19"/>
    <mergeCell ref="X20:Y20"/>
    <mergeCell ref="X21:Y21"/>
    <mergeCell ref="X22:Y22"/>
    <mergeCell ref="X23:Y23"/>
    <mergeCell ref="X24:Y24"/>
    <mergeCell ref="X25:Y25"/>
    <mergeCell ref="AB15:AC15"/>
    <mergeCell ref="AB16:AC16"/>
    <mergeCell ref="AB17:AC17"/>
    <mergeCell ref="AB18:AC18"/>
    <mergeCell ref="AB19:AC19"/>
    <mergeCell ref="AB20:AC20"/>
    <mergeCell ref="AB21:AC21"/>
    <mergeCell ref="AB22:AC22"/>
    <mergeCell ref="AB23:AC23"/>
    <mergeCell ref="Z16:AA16"/>
    <mergeCell ref="Z17:AA17"/>
    <mergeCell ref="Z18:AA18"/>
    <mergeCell ref="AB26:AC26"/>
    <mergeCell ref="AB27:AC27"/>
    <mergeCell ref="AB28:AC28"/>
    <mergeCell ref="AB29:AC29"/>
    <mergeCell ref="Z24:AA24"/>
    <mergeCell ref="Z25:AA25"/>
    <mergeCell ref="Z26:AA26"/>
    <mergeCell ref="Z27:AA27"/>
    <mergeCell ref="Z28:AA28"/>
  </mergeCells>
  <conditionalFormatting sqref="B15 B16:N19">
    <cfRule type="expression" dxfId="14" priority="25">
      <formula>$N$13&lt;&gt;"yes"</formula>
    </cfRule>
  </conditionalFormatting>
  <conditionalFormatting sqref="B15">
    <cfRule type="containsText" dxfId="13" priority="63" operator="containsText" text="Which of the following equipment do you operate?">
      <formula>NOT(ISERROR(SEARCH("Which of the following equipment do you operate?",B15)))</formula>
    </cfRule>
  </conditionalFormatting>
  <conditionalFormatting sqref="B16:B19">
    <cfRule type="expression" dxfId="12" priority="65">
      <formula>B15=" "</formula>
    </cfRule>
  </conditionalFormatting>
  <conditionalFormatting sqref="B24:B27">
    <cfRule type="expression" dxfId="11" priority="56">
      <formula>B23=" "</formula>
    </cfRule>
  </conditionalFormatting>
  <conditionalFormatting sqref="B31:B32">
    <cfRule type="expression" dxfId="10" priority="41">
      <formula>$N$29="yes"</formula>
    </cfRule>
    <cfRule type="containsText" dxfId="9" priority="76" operator="containsText" text="Please describe reduction strategies underway, if any">
      <formula>NOT(ISERROR(SEARCH("Please describe reduction strategies underway, if any",B31)))</formula>
    </cfRule>
  </conditionalFormatting>
  <conditionalFormatting sqref="B23:N23">
    <cfRule type="expression" dxfId="8" priority="46">
      <formula>$N$21="yes"</formula>
    </cfRule>
  </conditionalFormatting>
  <conditionalFormatting sqref="B23:N27">
    <cfRule type="expression" dxfId="7" priority="45">
      <formula>$N$21&lt;&gt;"yes"</formula>
    </cfRule>
  </conditionalFormatting>
  <conditionalFormatting sqref="B24:N27">
    <cfRule type="expression" dxfId="6" priority="27">
      <formula>$N$21="yes"</formula>
    </cfRule>
  </conditionalFormatting>
  <conditionalFormatting sqref="C16:C19">
    <cfRule type="containsText" dxfId="5" priority="59" operator="containsText" text="Which of the following equipment do you operate?">
      <formula>NOT(ISERROR(SEARCH("Which of the following equipment do you operate?",C16)))</formula>
    </cfRule>
  </conditionalFormatting>
  <conditionalFormatting sqref="C24:C27">
    <cfRule type="containsText" dxfId="4" priority="48" operator="containsText" text="Which of the following equipment do you operate?">
      <formula>NOT(ISERROR(SEARCH("Which of the following equipment do you operate?",C24)))</formula>
    </cfRule>
  </conditionalFormatting>
  <conditionalFormatting sqref="C25:C27">
    <cfRule type="expression" dxfId="3" priority="47">
      <formula>$N$21&lt;&gt;"yes"</formula>
    </cfRule>
  </conditionalFormatting>
  <conditionalFormatting sqref="G16:G19">
    <cfRule type="containsText" dxfId="2" priority="71" operator="containsText" text="Please provide details here, if available (e.g. # of mowers, fuel type, etc.)">
      <formula>NOT(ISERROR(SEARCH("Please provide details here, if available (e.g. # of mowers, fuel type, etc.)",G16)))</formula>
    </cfRule>
  </conditionalFormatting>
  <conditionalFormatting sqref="I24:M27">
    <cfRule type="expression" dxfId="1" priority="43">
      <formula>H24="yes"</formula>
    </cfRule>
  </conditionalFormatting>
  <conditionalFormatting sqref="N24:N27">
    <cfRule type="expression" dxfId="0" priority="78">
      <formula>L24="yes"</formula>
    </cfRule>
  </conditionalFormatting>
  <pageMargins left="0.7" right="0.7" top="0.75" bottom="0.75" header="0.3" footer="0.3"/>
  <pageSetup orientation="portrait" r:id="rId1"/>
  <ignoredErrors>
    <ignoredError sqref="N24 B31 J24:L24 H16:L16 N16 G17:N19 G16 M16" unlockedFormula="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800-000000000000}">
          <x14:formula1>
            <xm:f>Source!$T$1:$T$4</xm:f>
          </x14:formula1>
          <xm:sqref>N21:N22 N29:N30 N13:N14 E16:F19 H24:H27 F25:F27</xm:sqref>
        </x14:dataValidation>
        <x14:dataValidation type="list" allowBlank="1" showInputMessage="1" showErrorMessage="1" xr:uid="{00000000-0002-0000-1800-000001000000}">
          <x14:formula1>
            <xm:f>Source!$AD$1:$AD$4</xm:f>
          </x14:formula1>
          <xm:sqref>X8</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U178"/>
  <sheetViews>
    <sheetView zoomScale="70" zoomScaleNormal="70" workbookViewId="0">
      <pane ySplit="1" topLeftCell="A157" activePane="bottomLeft" state="frozen"/>
      <selection pane="bottomLeft" activeCell="A170" sqref="A170"/>
    </sheetView>
  </sheetViews>
  <sheetFormatPr defaultColWidth="9.140625" defaultRowHeight="15"/>
  <cols>
    <col min="1" max="1" width="44.7109375" bestFit="1" customWidth="1"/>
    <col min="2" max="2" width="47.140625" style="335" customWidth="1"/>
    <col min="3" max="3" width="35.85546875" style="335" customWidth="1"/>
    <col min="4" max="4" width="23.42578125" style="335" customWidth="1"/>
    <col min="5" max="7" width="29.42578125" style="335" customWidth="1"/>
    <col min="8" max="8" width="23.42578125" style="335" customWidth="1"/>
    <col min="9" max="9" width="89.28515625" style="335" customWidth="1"/>
    <col min="10" max="10" width="20.42578125" style="47" customWidth="1"/>
    <col min="11" max="11" width="13.42578125" style="45" customWidth="1"/>
    <col min="12" max="12" width="18.42578125" style="45" customWidth="1"/>
    <col min="13" max="13" width="85.42578125" style="45" customWidth="1"/>
    <col min="14" max="14" width="26.42578125" style="334" customWidth="1"/>
    <col min="15" max="47" width="9.140625" style="49"/>
    <col min="48" max="16384" width="9.140625" style="45"/>
  </cols>
  <sheetData>
    <row r="1" spans="1:47" ht="59.25" customHeight="1">
      <c r="A1" s="339" t="s">
        <v>920</v>
      </c>
      <c r="B1" s="338" t="s">
        <v>919</v>
      </c>
      <c r="C1" s="318" t="s">
        <v>946</v>
      </c>
      <c r="D1" s="318" t="s">
        <v>972</v>
      </c>
      <c r="E1" s="318" t="s">
        <v>973</v>
      </c>
      <c r="F1" s="319" t="s">
        <v>949</v>
      </c>
      <c r="G1" s="319" t="s">
        <v>974</v>
      </c>
      <c r="H1" s="319" t="s">
        <v>37</v>
      </c>
      <c r="I1" s="318" t="s">
        <v>288</v>
      </c>
      <c r="J1" s="320" t="s">
        <v>975</v>
      </c>
      <c r="K1" s="321" t="s">
        <v>976</v>
      </c>
      <c r="L1" s="318" t="s">
        <v>977</v>
      </c>
      <c r="M1" s="322" t="s">
        <v>978</v>
      </c>
      <c r="N1" s="318" t="s">
        <v>979</v>
      </c>
      <c r="O1" s="318" t="s">
        <v>400</v>
      </c>
      <c r="P1" s="318"/>
    </row>
    <row r="2" spans="1:47" s="327" customFormat="1" ht="60">
      <c r="A2" s="325" t="str">
        <f>N2&amp;O2</f>
        <v>Bristol Comm. College1</v>
      </c>
      <c r="B2" s="769" t="s">
        <v>983</v>
      </c>
      <c r="C2" s="769" t="s">
        <v>2062</v>
      </c>
      <c r="D2" s="838">
        <v>5.7000000000000002E-2</v>
      </c>
      <c r="E2" s="839">
        <v>2019</v>
      </c>
      <c r="F2" s="840" t="s">
        <v>980</v>
      </c>
      <c r="G2" s="769" t="s">
        <v>982</v>
      </c>
      <c r="H2" s="783" t="s">
        <v>986</v>
      </c>
      <c r="I2" s="840" t="s">
        <v>2462</v>
      </c>
      <c r="J2" s="784" t="s">
        <v>982</v>
      </c>
      <c r="K2" s="554" t="s">
        <v>982</v>
      </c>
      <c r="L2" s="554" t="s">
        <v>981</v>
      </c>
      <c r="M2" s="554"/>
      <c r="N2" s="796" t="s">
        <v>27</v>
      </c>
      <c r="O2" s="326">
        <v>1</v>
      </c>
      <c r="P2" s="326" t="str">
        <f>VLOOKUP(N2,Source!F:F,1,FALSE)</f>
        <v>Bristol Comm. College</v>
      </c>
      <c r="Q2" s="326"/>
      <c r="R2" s="326"/>
      <c r="S2" s="326"/>
      <c r="T2" s="326"/>
      <c r="U2" s="326"/>
      <c r="V2" s="326"/>
      <c r="W2" s="326"/>
      <c r="X2" s="326"/>
      <c r="Y2" s="326"/>
      <c r="Z2" s="326"/>
      <c r="AA2" s="326"/>
      <c r="AB2" s="326"/>
      <c r="AC2" s="326"/>
      <c r="AD2" s="326"/>
      <c r="AE2" s="326"/>
      <c r="AF2" s="326"/>
      <c r="AG2" s="326"/>
      <c r="AH2" s="326"/>
      <c r="AI2" s="326"/>
      <c r="AJ2" s="326"/>
      <c r="AK2" s="326"/>
      <c r="AL2" s="326"/>
      <c r="AM2" s="326"/>
      <c r="AN2" s="326"/>
      <c r="AO2" s="326"/>
      <c r="AP2" s="326"/>
      <c r="AQ2" s="326"/>
      <c r="AR2" s="326"/>
      <c r="AS2" s="326"/>
      <c r="AT2" s="326"/>
      <c r="AU2" s="326"/>
    </row>
    <row r="3" spans="1:47" s="327" customFormat="1" ht="29.1" customHeight="1">
      <c r="A3" s="325" t="str">
        <f t="shared" ref="A3:A75" si="0">N3&amp;O3</f>
        <v>Bristol Comm. College2</v>
      </c>
      <c r="B3" s="769" t="s">
        <v>983</v>
      </c>
      <c r="C3" s="769" t="s">
        <v>2060</v>
      </c>
      <c r="D3" s="775"/>
      <c r="E3" s="841">
        <v>2016</v>
      </c>
      <c r="F3" s="769" t="s">
        <v>980</v>
      </c>
      <c r="G3" s="769" t="s">
        <v>982</v>
      </c>
      <c r="H3" s="783" t="s">
        <v>986</v>
      </c>
      <c r="I3" s="772" t="s">
        <v>987</v>
      </c>
      <c r="J3" s="784" t="s">
        <v>982</v>
      </c>
      <c r="K3" s="792" t="s">
        <v>981</v>
      </c>
      <c r="L3" s="554" t="s">
        <v>981</v>
      </c>
      <c r="M3" s="554" t="s">
        <v>2520</v>
      </c>
      <c r="N3" s="796" t="s">
        <v>27</v>
      </c>
      <c r="O3" s="326">
        <v>2</v>
      </c>
      <c r="P3" s="326" t="str">
        <f>VLOOKUP(N3,Source!F:F,1,FALSE)</f>
        <v>Bristol Comm. College</v>
      </c>
      <c r="Q3" s="326"/>
      <c r="R3" s="326"/>
      <c r="S3" s="326"/>
      <c r="T3" s="326"/>
      <c r="U3" s="326"/>
      <c r="V3" s="326"/>
      <c r="W3" s="326"/>
      <c r="X3" s="326"/>
      <c r="Y3" s="326"/>
      <c r="Z3" s="326"/>
      <c r="AA3" s="326"/>
      <c r="AB3" s="326"/>
      <c r="AC3" s="326"/>
      <c r="AD3" s="326"/>
      <c r="AE3" s="326"/>
      <c r="AF3" s="326"/>
      <c r="AG3" s="326"/>
      <c r="AH3" s="326"/>
      <c r="AI3" s="326"/>
      <c r="AJ3" s="326"/>
      <c r="AK3" s="326"/>
      <c r="AL3" s="326"/>
      <c r="AM3" s="326"/>
      <c r="AN3" s="326"/>
      <c r="AO3" s="326"/>
      <c r="AP3" s="326"/>
      <c r="AQ3" s="326"/>
      <c r="AR3" s="326"/>
      <c r="AS3" s="326"/>
      <c r="AT3" s="326"/>
      <c r="AU3" s="326"/>
    </row>
    <row r="4" spans="1:47" s="327" customFormat="1" ht="30">
      <c r="A4" s="325" t="str">
        <f t="shared" si="0"/>
        <v>Dept. of Correction1</v>
      </c>
      <c r="B4" s="769" t="s">
        <v>990</v>
      </c>
      <c r="C4" s="769" t="s">
        <v>2062</v>
      </c>
      <c r="D4" s="842">
        <v>3.5</v>
      </c>
      <c r="E4" s="839">
        <v>2017</v>
      </c>
      <c r="F4" s="769" t="s">
        <v>980</v>
      </c>
      <c r="G4" s="772" t="s">
        <v>981</v>
      </c>
      <c r="H4" s="772" t="s">
        <v>991</v>
      </c>
      <c r="I4" s="785" t="s">
        <v>992</v>
      </c>
      <c r="J4" s="784" t="s">
        <v>982</v>
      </c>
      <c r="K4" s="550" t="s">
        <v>982</v>
      </c>
      <c r="L4" s="554" t="s">
        <v>981</v>
      </c>
      <c r="M4" s="554" t="s">
        <v>2521</v>
      </c>
      <c r="N4" s="796" t="s">
        <v>93</v>
      </c>
      <c r="O4" s="326">
        <v>1</v>
      </c>
      <c r="P4" s="326" t="str">
        <f>VLOOKUP(N4,Source!F:F,1,FALSE)</f>
        <v>Dept. of Correction</v>
      </c>
      <c r="Q4" s="326"/>
      <c r="R4" s="326"/>
      <c r="S4" s="326"/>
      <c r="T4" s="326"/>
      <c r="U4" s="326"/>
      <c r="V4" s="326"/>
      <c r="W4" s="326"/>
      <c r="X4" s="326"/>
      <c r="Y4" s="326"/>
      <c r="Z4" s="326"/>
      <c r="AA4" s="326"/>
      <c r="AB4" s="326"/>
      <c r="AC4" s="326"/>
      <c r="AD4" s="326"/>
      <c r="AE4" s="326"/>
      <c r="AF4" s="326"/>
      <c r="AG4" s="326"/>
      <c r="AH4" s="326"/>
      <c r="AI4" s="326"/>
      <c r="AJ4" s="326"/>
      <c r="AK4" s="326"/>
      <c r="AL4" s="326"/>
      <c r="AM4" s="326"/>
      <c r="AN4" s="326"/>
      <c r="AO4" s="326"/>
      <c r="AP4" s="326"/>
      <c r="AQ4" s="326"/>
      <c r="AR4" s="326"/>
      <c r="AS4" s="326"/>
      <c r="AT4" s="326"/>
      <c r="AU4" s="326"/>
    </row>
    <row r="5" spans="1:47" s="327" customFormat="1" ht="60">
      <c r="A5" s="325" t="str">
        <f t="shared" si="0"/>
        <v>Dept. of Correction2</v>
      </c>
      <c r="B5" s="773" t="s">
        <v>2379</v>
      </c>
      <c r="C5" s="773" t="s">
        <v>2060</v>
      </c>
      <c r="D5" s="774">
        <v>3</v>
      </c>
      <c r="E5" s="841" t="s">
        <v>2061</v>
      </c>
      <c r="F5" s="773" t="s">
        <v>980</v>
      </c>
      <c r="G5" s="772" t="s">
        <v>981</v>
      </c>
      <c r="H5" s="769" t="s">
        <v>94</v>
      </c>
      <c r="I5" s="785" t="s">
        <v>2463</v>
      </c>
      <c r="J5" s="862" t="s">
        <v>981</v>
      </c>
      <c r="K5" s="550" t="s">
        <v>2522</v>
      </c>
      <c r="L5" s="554" t="s">
        <v>981</v>
      </c>
      <c r="M5" s="554"/>
      <c r="N5" s="796" t="s">
        <v>93</v>
      </c>
      <c r="O5" s="326">
        <v>2</v>
      </c>
      <c r="P5" s="326" t="str">
        <f>VLOOKUP(N5,Source!F:F,1,FALSE)</f>
        <v>Dept. of Correction</v>
      </c>
      <c r="Q5" s="326"/>
      <c r="R5" s="326"/>
      <c r="S5" s="326"/>
      <c r="T5" s="326"/>
      <c r="U5" s="326"/>
      <c r="V5" s="326"/>
      <c r="W5" s="326"/>
      <c r="X5" s="326"/>
      <c r="Y5" s="326"/>
      <c r="Z5" s="326"/>
      <c r="AA5" s="326"/>
      <c r="AB5" s="326"/>
      <c r="AC5" s="326"/>
      <c r="AD5" s="326"/>
      <c r="AE5" s="326"/>
      <c r="AF5" s="326"/>
      <c r="AG5" s="326"/>
      <c r="AH5" s="326"/>
      <c r="AI5" s="326"/>
      <c r="AJ5" s="326"/>
      <c r="AK5" s="326"/>
      <c r="AL5" s="326"/>
      <c r="AM5" s="326"/>
      <c r="AN5" s="326"/>
      <c r="AO5" s="326"/>
      <c r="AP5" s="326"/>
      <c r="AQ5" s="326"/>
      <c r="AR5" s="326"/>
      <c r="AS5" s="326"/>
      <c r="AT5" s="326"/>
      <c r="AU5" s="326"/>
    </row>
    <row r="6" spans="1:47" s="327" customFormat="1" ht="30">
      <c r="A6" s="325" t="str">
        <f t="shared" si="0"/>
        <v>Dept. of Correction3</v>
      </c>
      <c r="B6" s="773" t="s">
        <v>993</v>
      </c>
      <c r="C6" s="773" t="s">
        <v>2062</v>
      </c>
      <c r="D6" s="774">
        <v>2.6</v>
      </c>
      <c r="E6" s="843">
        <v>2017</v>
      </c>
      <c r="F6" s="773" t="s">
        <v>980</v>
      </c>
      <c r="G6" s="772" t="s">
        <v>981</v>
      </c>
      <c r="H6" s="772" t="s">
        <v>991</v>
      </c>
      <c r="I6" s="785" t="s">
        <v>992</v>
      </c>
      <c r="J6" s="784" t="s">
        <v>982</v>
      </c>
      <c r="K6" s="550" t="s">
        <v>982</v>
      </c>
      <c r="L6" s="554" t="s">
        <v>981</v>
      </c>
      <c r="M6" s="554"/>
      <c r="N6" s="796" t="s">
        <v>93</v>
      </c>
      <c r="O6" s="326">
        <v>3</v>
      </c>
      <c r="P6" s="326" t="str">
        <f>VLOOKUP(N6,Source!F:F,1,FALSE)</f>
        <v>Dept. of Correction</v>
      </c>
      <c r="Q6" s="326"/>
      <c r="R6" s="326"/>
      <c r="S6" s="326"/>
      <c r="T6" s="326"/>
      <c r="U6" s="326"/>
      <c r="V6" s="326"/>
      <c r="W6" s="326"/>
      <c r="X6" s="326"/>
      <c r="Y6" s="326"/>
      <c r="Z6" s="326"/>
      <c r="AA6" s="326"/>
      <c r="AB6" s="326"/>
      <c r="AC6" s="326"/>
      <c r="AD6" s="326"/>
      <c r="AE6" s="326"/>
      <c r="AF6" s="326"/>
      <c r="AG6" s="326"/>
      <c r="AH6" s="326"/>
      <c r="AI6" s="326"/>
      <c r="AJ6" s="326"/>
      <c r="AK6" s="326"/>
      <c r="AL6" s="326"/>
      <c r="AM6" s="326"/>
      <c r="AN6" s="326"/>
      <c r="AO6" s="326"/>
      <c r="AP6" s="326"/>
      <c r="AQ6" s="326"/>
      <c r="AR6" s="326"/>
      <c r="AS6" s="326"/>
      <c r="AT6" s="326"/>
      <c r="AU6" s="326"/>
    </row>
    <row r="7" spans="1:47" s="327" customFormat="1" ht="60">
      <c r="A7" s="325" t="str">
        <f t="shared" si="0"/>
        <v>Dept. of Correction4</v>
      </c>
      <c r="B7" s="768" t="s">
        <v>2047</v>
      </c>
      <c r="C7" s="773" t="s">
        <v>984</v>
      </c>
      <c r="D7" s="774">
        <v>0.2</v>
      </c>
      <c r="E7" s="841">
        <v>2022</v>
      </c>
      <c r="F7" s="773" t="s">
        <v>994</v>
      </c>
      <c r="G7" s="772"/>
      <c r="H7" s="772" t="s">
        <v>991</v>
      </c>
      <c r="I7" s="785" t="s">
        <v>2069</v>
      </c>
      <c r="J7" s="784"/>
      <c r="K7" s="550" t="s">
        <v>981</v>
      </c>
      <c r="L7" s="554"/>
      <c r="M7" s="554" t="s">
        <v>2070</v>
      </c>
      <c r="N7" s="796" t="s">
        <v>93</v>
      </c>
      <c r="O7" s="326">
        <v>4</v>
      </c>
      <c r="P7" s="326" t="str">
        <f>VLOOKUP(N7,Source!F:F,1,FALSE)</f>
        <v>Dept. of Correction</v>
      </c>
      <c r="Q7" s="326"/>
      <c r="R7" s="326"/>
      <c r="S7" s="326"/>
      <c r="T7" s="326"/>
      <c r="U7" s="326"/>
      <c r="V7" s="326"/>
      <c r="W7" s="326"/>
      <c r="X7" s="326"/>
      <c r="Y7" s="326"/>
      <c r="Z7" s="326"/>
      <c r="AA7" s="326"/>
      <c r="AB7" s="326"/>
      <c r="AC7" s="326"/>
      <c r="AD7" s="326"/>
      <c r="AE7" s="326"/>
      <c r="AF7" s="326"/>
      <c r="AG7" s="326"/>
      <c r="AH7" s="326"/>
      <c r="AI7" s="326"/>
      <c r="AJ7" s="326"/>
      <c r="AK7" s="326"/>
      <c r="AL7" s="326"/>
      <c r="AM7" s="326"/>
      <c r="AN7" s="326"/>
      <c r="AO7" s="326"/>
      <c r="AP7" s="326"/>
      <c r="AQ7" s="326"/>
      <c r="AR7" s="326"/>
      <c r="AS7" s="326"/>
      <c r="AT7" s="326"/>
      <c r="AU7" s="326"/>
    </row>
    <row r="8" spans="1:47" s="327" customFormat="1" ht="60">
      <c r="A8" s="325" t="str">
        <f t="shared" si="0"/>
        <v>Dept. of Mental Health1</v>
      </c>
      <c r="B8" s="769" t="s">
        <v>995</v>
      </c>
      <c r="C8" s="769" t="s">
        <v>2060</v>
      </c>
      <c r="D8" s="777">
        <v>4.25</v>
      </c>
      <c r="E8" s="841">
        <v>2009</v>
      </c>
      <c r="F8" s="769" t="s">
        <v>980</v>
      </c>
      <c r="G8" s="769" t="s">
        <v>981</v>
      </c>
      <c r="H8" s="769" t="s">
        <v>996</v>
      </c>
      <c r="I8" s="785" t="s">
        <v>997</v>
      </c>
      <c r="J8" s="784" t="s">
        <v>998</v>
      </c>
      <c r="K8" s="557" t="s">
        <v>982</v>
      </c>
      <c r="L8" s="554" t="s">
        <v>981</v>
      </c>
      <c r="M8" s="554"/>
      <c r="N8" s="796" t="s">
        <v>101</v>
      </c>
      <c r="O8" s="326">
        <v>1</v>
      </c>
      <c r="P8" s="326" t="str">
        <f>VLOOKUP(N8,Source!F:F,1,FALSE)</f>
        <v>Dept. of Mental Health</v>
      </c>
      <c r="Q8" s="326"/>
      <c r="R8" s="326"/>
      <c r="S8" s="326"/>
      <c r="T8" s="326"/>
      <c r="U8" s="326"/>
      <c r="V8" s="326"/>
      <c r="W8" s="326"/>
      <c r="X8" s="326"/>
      <c r="Y8" s="326"/>
      <c r="Z8" s="326"/>
      <c r="AA8" s="326"/>
      <c r="AB8" s="326"/>
      <c r="AC8" s="326"/>
      <c r="AD8" s="326"/>
      <c r="AE8" s="326"/>
      <c r="AF8" s="326"/>
      <c r="AG8" s="326"/>
      <c r="AH8" s="326"/>
      <c r="AI8" s="326"/>
      <c r="AJ8" s="326"/>
      <c r="AK8" s="326"/>
      <c r="AL8" s="326"/>
      <c r="AM8" s="326"/>
      <c r="AN8" s="326"/>
      <c r="AO8" s="326"/>
      <c r="AP8" s="326"/>
      <c r="AQ8" s="326"/>
      <c r="AR8" s="326"/>
      <c r="AS8" s="326"/>
      <c r="AT8" s="326"/>
      <c r="AU8" s="326"/>
    </row>
    <row r="9" spans="1:47" s="327" customFormat="1" ht="30">
      <c r="A9" s="325" t="str">
        <f t="shared" si="0"/>
        <v>Dept. of Mental Health2</v>
      </c>
      <c r="B9" s="769" t="s">
        <v>995</v>
      </c>
      <c r="C9" s="769" t="s">
        <v>2062</v>
      </c>
      <c r="D9" s="777">
        <v>1</v>
      </c>
      <c r="E9" s="839">
        <v>2017</v>
      </c>
      <c r="F9" s="769" t="s">
        <v>980</v>
      </c>
      <c r="G9" s="769" t="s">
        <v>982</v>
      </c>
      <c r="H9" s="769" t="s">
        <v>996</v>
      </c>
      <c r="I9" s="785" t="s">
        <v>2464</v>
      </c>
      <c r="J9" s="784" t="s">
        <v>982</v>
      </c>
      <c r="K9" s="557" t="s">
        <v>982</v>
      </c>
      <c r="L9" s="554" t="s">
        <v>981</v>
      </c>
      <c r="M9" s="554"/>
      <c r="N9" s="796" t="s">
        <v>101</v>
      </c>
      <c r="O9" s="326">
        <v>2</v>
      </c>
      <c r="P9" s="326" t="str">
        <f>VLOOKUP(N9,Source!F:F,1,FALSE)</f>
        <v>Dept. of Mental Health</v>
      </c>
      <c r="Q9" s="326"/>
      <c r="R9" s="326"/>
      <c r="S9" s="326"/>
      <c r="T9" s="326"/>
      <c r="U9" s="326"/>
      <c r="V9" s="326"/>
      <c r="W9" s="326"/>
      <c r="X9" s="326"/>
      <c r="Y9" s="326"/>
      <c r="Z9" s="326"/>
      <c r="AA9" s="326"/>
      <c r="AB9" s="326"/>
      <c r="AC9" s="326"/>
      <c r="AD9" s="326"/>
      <c r="AE9" s="326"/>
      <c r="AF9" s="326"/>
      <c r="AG9" s="326"/>
      <c r="AH9" s="326"/>
      <c r="AI9" s="326"/>
      <c r="AJ9" s="326"/>
      <c r="AK9" s="326"/>
      <c r="AL9" s="326"/>
      <c r="AM9" s="326"/>
      <c r="AN9" s="326"/>
      <c r="AO9" s="326"/>
      <c r="AP9" s="326"/>
      <c r="AQ9" s="326"/>
      <c r="AR9" s="326"/>
      <c r="AS9" s="326"/>
      <c r="AT9" s="326"/>
      <c r="AU9" s="326"/>
    </row>
    <row r="10" spans="1:47" s="327" customFormat="1" ht="30">
      <c r="A10" s="325" t="str">
        <f t="shared" si="0"/>
        <v>Dept. of Mental Health3</v>
      </c>
      <c r="B10" s="769" t="s">
        <v>995</v>
      </c>
      <c r="C10" s="769" t="s">
        <v>2062</v>
      </c>
      <c r="D10" s="775">
        <v>0.25</v>
      </c>
      <c r="E10" s="839">
        <v>2022</v>
      </c>
      <c r="F10" s="769" t="s">
        <v>980</v>
      </c>
      <c r="G10" s="769" t="s">
        <v>982</v>
      </c>
      <c r="H10" s="769" t="s">
        <v>996</v>
      </c>
      <c r="I10" s="785" t="s">
        <v>2071</v>
      </c>
      <c r="J10" s="784" t="s">
        <v>982</v>
      </c>
      <c r="K10" s="557" t="s">
        <v>982</v>
      </c>
      <c r="L10" s="554" t="s">
        <v>981</v>
      </c>
      <c r="M10" s="554"/>
      <c r="N10" s="796" t="s">
        <v>101</v>
      </c>
      <c r="O10" s="326">
        <v>3</v>
      </c>
      <c r="P10" s="326" t="str">
        <f>VLOOKUP(N10,Source!F:F,1,FALSE)</f>
        <v>Dept. of Mental Health</v>
      </c>
      <c r="Q10" s="326"/>
      <c r="R10" s="326"/>
      <c r="S10" s="326"/>
      <c r="T10" s="326"/>
      <c r="U10" s="326"/>
      <c r="V10" s="326"/>
      <c r="W10" s="326"/>
      <c r="X10" s="326"/>
      <c r="Y10" s="326"/>
      <c r="Z10" s="326"/>
      <c r="AA10" s="326"/>
      <c r="AB10" s="326"/>
      <c r="AC10" s="326"/>
      <c r="AD10" s="326"/>
      <c r="AE10" s="326"/>
      <c r="AF10" s="326"/>
      <c r="AG10" s="326"/>
      <c r="AH10" s="326"/>
      <c r="AI10" s="326"/>
      <c r="AJ10" s="326"/>
      <c r="AK10" s="326"/>
      <c r="AL10" s="326"/>
      <c r="AM10" s="326"/>
      <c r="AN10" s="326"/>
      <c r="AO10" s="326"/>
      <c r="AP10" s="326"/>
      <c r="AQ10" s="326"/>
      <c r="AR10" s="326"/>
      <c r="AS10" s="326"/>
      <c r="AT10" s="326"/>
      <c r="AU10" s="326"/>
    </row>
    <row r="11" spans="1:47" s="327" customFormat="1" ht="30">
      <c r="A11" s="325" t="str">
        <f t="shared" si="0"/>
        <v>Dept. of Mental Health4</v>
      </c>
      <c r="B11" s="769" t="s">
        <v>532</v>
      </c>
      <c r="C11" s="769" t="s">
        <v>2063</v>
      </c>
      <c r="D11" s="775"/>
      <c r="E11" s="841">
        <v>2020</v>
      </c>
      <c r="F11" s="772"/>
      <c r="G11" s="772"/>
      <c r="H11" s="772" t="s">
        <v>2072</v>
      </c>
      <c r="I11" s="785" t="s">
        <v>2073</v>
      </c>
      <c r="J11" s="784"/>
      <c r="K11" s="557"/>
      <c r="L11" s="554"/>
      <c r="M11" s="554"/>
      <c r="N11" s="796" t="s">
        <v>101</v>
      </c>
      <c r="O11" s="326">
        <v>4</v>
      </c>
      <c r="P11" s="326" t="str">
        <f>VLOOKUP(N11,Source!F:F,1,FALSE)</f>
        <v>Dept. of Mental Health</v>
      </c>
      <c r="Q11" s="326"/>
      <c r="R11" s="326"/>
      <c r="S11" s="326"/>
      <c r="T11" s="326"/>
      <c r="U11" s="326"/>
      <c r="V11" s="326"/>
      <c r="W11" s="326"/>
      <c r="X11" s="326"/>
      <c r="Y11" s="326"/>
      <c r="Z11" s="326"/>
      <c r="AA11" s="326"/>
      <c r="AB11" s="326"/>
      <c r="AC11" s="326"/>
      <c r="AD11" s="326"/>
      <c r="AE11" s="326"/>
      <c r="AF11" s="326"/>
      <c r="AG11" s="326"/>
      <c r="AH11" s="326"/>
      <c r="AI11" s="326"/>
      <c r="AJ11" s="326"/>
      <c r="AK11" s="326"/>
      <c r="AL11" s="326"/>
      <c r="AM11" s="326"/>
      <c r="AN11" s="326"/>
      <c r="AO11" s="326"/>
      <c r="AP11" s="326"/>
      <c r="AQ11" s="326"/>
      <c r="AR11" s="326"/>
      <c r="AS11" s="326"/>
      <c r="AT11" s="326"/>
      <c r="AU11" s="326"/>
    </row>
    <row r="12" spans="1:47" s="327" customFormat="1">
      <c r="A12" s="325" t="str">
        <f t="shared" si="0"/>
        <v>Dept. of State Police1</v>
      </c>
      <c r="B12" s="769" t="s">
        <v>999</v>
      </c>
      <c r="C12" s="769" t="s">
        <v>2060</v>
      </c>
      <c r="D12" s="777">
        <v>14.7</v>
      </c>
      <c r="E12" s="839">
        <v>2016</v>
      </c>
      <c r="F12" s="769" t="s">
        <v>980</v>
      </c>
      <c r="G12" s="772"/>
      <c r="H12" s="769" t="s">
        <v>1000</v>
      </c>
      <c r="I12" s="785"/>
      <c r="J12" s="784" t="s">
        <v>982</v>
      </c>
      <c r="K12" s="550" t="s">
        <v>982</v>
      </c>
      <c r="L12" s="554" t="s">
        <v>981</v>
      </c>
      <c r="M12" s="554"/>
      <c r="N12" s="796" t="s">
        <v>103</v>
      </c>
      <c r="O12" s="326">
        <v>1</v>
      </c>
      <c r="P12" s="326" t="str">
        <f>VLOOKUP(N12,Source!F:F,1,FALSE)</f>
        <v>Dept. of State Police</v>
      </c>
      <c r="Q12" s="326"/>
      <c r="R12" s="326"/>
      <c r="S12" s="326"/>
      <c r="T12" s="326"/>
      <c r="U12" s="326"/>
      <c r="V12" s="326"/>
      <c r="W12" s="326"/>
      <c r="X12" s="326"/>
      <c r="Y12" s="326"/>
      <c r="Z12" s="326"/>
      <c r="AA12" s="326"/>
      <c r="AB12" s="326"/>
      <c r="AC12" s="326"/>
      <c r="AD12" s="326"/>
      <c r="AE12" s="326"/>
      <c r="AF12" s="326"/>
      <c r="AG12" s="326"/>
      <c r="AH12" s="326"/>
      <c r="AI12" s="326"/>
      <c r="AJ12" s="326"/>
      <c r="AK12" s="326"/>
      <c r="AL12" s="326"/>
      <c r="AM12" s="326"/>
      <c r="AN12" s="326"/>
      <c r="AO12" s="326"/>
      <c r="AP12" s="326"/>
      <c r="AQ12" s="326"/>
      <c r="AR12" s="326"/>
      <c r="AS12" s="326"/>
      <c r="AT12" s="326"/>
      <c r="AU12" s="326"/>
    </row>
    <row r="13" spans="1:47" s="327" customFormat="1">
      <c r="A13" s="325" t="str">
        <f t="shared" si="0"/>
        <v>Dept. of State Police2</v>
      </c>
      <c r="B13" s="769" t="s">
        <v>999</v>
      </c>
      <c r="C13" s="769" t="s">
        <v>2060</v>
      </c>
      <c r="D13" s="777">
        <v>3.06</v>
      </c>
      <c r="E13" s="839">
        <v>2016</v>
      </c>
      <c r="F13" s="769" t="s">
        <v>980</v>
      </c>
      <c r="G13" s="772"/>
      <c r="H13" s="769" t="s">
        <v>1000</v>
      </c>
      <c r="I13" s="785"/>
      <c r="J13" s="784" t="s">
        <v>982</v>
      </c>
      <c r="K13" s="550" t="s">
        <v>982</v>
      </c>
      <c r="L13" s="554" t="s">
        <v>981</v>
      </c>
      <c r="M13" s="554"/>
      <c r="N13" s="796" t="s">
        <v>103</v>
      </c>
      <c r="O13" s="326">
        <v>2</v>
      </c>
      <c r="P13" s="326" t="str">
        <f>VLOOKUP(N13,Source!F:F,1,FALSE)</f>
        <v>Dept. of State Police</v>
      </c>
      <c r="Q13" s="326"/>
      <c r="R13" s="326"/>
      <c r="S13" s="326"/>
      <c r="T13" s="326"/>
      <c r="U13" s="326"/>
      <c r="V13" s="326"/>
      <c r="W13" s="326"/>
      <c r="X13" s="326"/>
      <c r="Y13" s="326"/>
      <c r="Z13" s="326"/>
      <c r="AA13" s="326"/>
      <c r="AB13" s="326"/>
      <c r="AC13" s="326"/>
      <c r="AD13" s="326"/>
      <c r="AE13" s="326"/>
      <c r="AF13" s="326"/>
      <c r="AG13" s="326"/>
      <c r="AH13" s="326"/>
      <c r="AI13" s="326"/>
      <c r="AJ13" s="326"/>
      <c r="AK13" s="326"/>
      <c r="AL13" s="326"/>
      <c r="AM13" s="326"/>
      <c r="AN13" s="326"/>
      <c r="AO13" s="326"/>
      <c r="AP13" s="326"/>
      <c r="AQ13" s="326"/>
      <c r="AR13" s="326"/>
      <c r="AS13" s="326"/>
      <c r="AT13" s="326"/>
      <c r="AU13" s="326"/>
    </row>
    <row r="14" spans="1:47" s="327" customFormat="1" ht="90">
      <c r="A14" s="325" t="str">
        <f t="shared" si="0"/>
        <v>Dept. of Fish and Game1</v>
      </c>
      <c r="B14" s="769" t="s">
        <v>1001</v>
      </c>
      <c r="C14" s="769" t="s">
        <v>2062</v>
      </c>
      <c r="D14" s="777">
        <v>2</v>
      </c>
      <c r="E14" s="839">
        <v>2016</v>
      </c>
      <c r="F14" s="769" t="s">
        <v>980</v>
      </c>
      <c r="G14" s="772"/>
      <c r="H14" s="768" t="s">
        <v>1002</v>
      </c>
      <c r="I14" s="769" t="s">
        <v>1003</v>
      </c>
      <c r="J14" s="784" t="s">
        <v>982</v>
      </c>
      <c r="K14" s="550" t="s">
        <v>982</v>
      </c>
      <c r="L14" s="554" t="s">
        <v>981</v>
      </c>
      <c r="M14" s="554"/>
      <c r="N14" s="796" t="s">
        <v>100</v>
      </c>
      <c r="O14" s="326">
        <v>1</v>
      </c>
      <c r="P14" s="326" t="str">
        <f>VLOOKUP(N14,Source!F:F,1,FALSE)</f>
        <v>Dept. of Fish and Game</v>
      </c>
      <c r="Q14" s="326"/>
      <c r="R14" s="326"/>
      <c r="S14" s="326"/>
      <c r="T14" s="326"/>
      <c r="U14" s="326"/>
      <c r="V14" s="326"/>
      <c r="W14" s="326"/>
      <c r="X14" s="326"/>
      <c r="Y14" s="326"/>
      <c r="Z14" s="326"/>
      <c r="AA14" s="326"/>
      <c r="AB14" s="326"/>
      <c r="AC14" s="326"/>
      <c r="AD14" s="326"/>
      <c r="AE14" s="326"/>
      <c r="AF14" s="326"/>
      <c r="AG14" s="326"/>
      <c r="AH14" s="326"/>
      <c r="AI14" s="326"/>
      <c r="AJ14" s="326"/>
      <c r="AK14" s="326"/>
      <c r="AL14" s="326"/>
      <c r="AM14" s="326"/>
      <c r="AN14" s="326"/>
      <c r="AO14" s="326"/>
      <c r="AP14" s="326"/>
      <c r="AQ14" s="326"/>
      <c r="AR14" s="326"/>
      <c r="AS14" s="326"/>
      <c r="AT14" s="326"/>
      <c r="AU14" s="326"/>
    </row>
    <row r="15" spans="1:47" s="331" customFormat="1" ht="98.25" customHeight="1">
      <c r="A15" s="325" t="str">
        <f t="shared" si="0"/>
        <v>Framingham State University1</v>
      </c>
      <c r="B15" s="769" t="s">
        <v>2380</v>
      </c>
      <c r="C15" s="770" t="s">
        <v>2063</v>
      </c>
      <c r="D15" s="776">
        <v>0.01</v>
      </c>
      <c r="E15" s="839">
        <v>2023</v>
      </c>
      <c r="F15" s="769" t="s">
        <v>980</v>
      </c>
      <c r="G15" s="772"/>
      <c r="H15" s="768"/>
      <c r="I15" s="769"/>
      <c r="J15" s="784"/>
      <c r="K15" s="550"/>
      <c r="L15" s="554"/>
      <c r="M15" s="554"/>
      <c r="N15" s="798" t="s">
        <v>35</v>
      </c>
      <c r="O15" s="326">
        <v>1</v>
      </c>
      <c r="P15" s="326" t="str">
        <f>VLOOKUP(N15,Source!F:F,1,FALSE)</f>
        <v>Framingham State University</v>
      </c>
      <c r="Q15" s="330"/>
      <c r="R15" s="330"/>
      <c r="S15" s="330"/>
      <c r="T15" s="330"/>
      <c r="U15" s="330"/>
      <c r="V15" s="330"/>
      <c r="W15" s="330"/>
      <c r="X15" s="330"/>
      <c r="Y15" s="330"/>
      <c r="Z15" s="330"/>
      <c r="AA15" s="330"/>
      <c r="AB15" s="330"/>
      <c r="AC15" s="330"/>
      <c r="AD15" s="330"/>
      <c r="AE15" s="330"/>
      <c r="AF15" s="330"/>
      <c r="AG15" s="330"/>
      <c r="AH15" s="330"/>
      <c r="AI15" s="330"/>
      <c r="AJ15" s="330"/>
      <c r="AK15" s="330"/>
      <c r="AL15" s="330"/>
      <c r="AM15" s="330"/>
      <c r="AN15" s="330"/>
      <c r="AO15" s="330"/>
      <c r="AP15" s="330"/>
      <c r="AQ15" s="330"/>
      <c r="AR15" s="330"/>
      <c r="AS15" s="330"/>
      <c r="AT15" s="330"/>
      <c r="AU15" s="330"/>
    </row>
    <row r="16" spans="1:47" s="327" customFormat="1" ht="30">
      <c r="A16" s="325" t="str">
        <f t="shared" si="0"/>
        <v>Framingham State University2</v>
      </c>
      <c r="B16" s="769" t="s">
        <v>2381</v>
      </c>
      <c r="C16" s="770" t="s">
        <v>2063</v>
      </c>
      <c r="D16" s="776">
        <v>0.01</v>
      </c>
      <c r="E16" s="839">
        <v>2024</v>
      </c>
      <c r="F16" s="769" t="s">
        <v>980</v>
      </c>
      <c r="G16" s="772"/>
      <c r="H16" s="768"/>
      <c r="I16" s="769"/>
      <c r="J16" s="784"/>
      <c r="K16" s="550"/>
      <c r="L16" s="554"/>
      <c r="M16" s="554"/>
      <c r="N16" s="798" t="s">
        <v>35</v>
      </c>
      <c r="O16" s="326">
        <v>2</v>
      </c>
      <c r="P16" s="326" t="str">
        <f>VLOOKUP(N16,Source!F:F,1,FALSE)</f>
        <v>Framingham State University</v>
      </c>
      <c r="Q16" s="326"/>
      <c r="R16" s="326"/>
      <c r="S16" s="326"/>
      <c r="T16" s="326"/>
      <c r="U16" s="326"/>
      <c r="V16" s="326"/>
      <c r="W16" s="326"/>
      <c r="X16" s="326"/>
      <c r="Y16" s="326"/>
      <c r="Z16" s="326"/>
      <c r="AA16" s="326"/>
      <c r="AB16" s="326"/>
      <c r="AC16" s="326"/>
      <c r="AD16" s="326"/>
      <c r="AE16" s="326"/>
      <c r="AF16" s="326"/>
      <c r="AG16" s="326"/>
      <c r="AH16" s="326"/>
      <c r="AI16" s="326"/>
      <c r="AJ16" s="326"/>
      <c r="AK16" s="326"/>
      <c r="AL16" s="326"/>
      <c r="AM16" s="326"/>
      <c r="AN16" s="326"/>
      <c r="AO16" s="326"/>
      <c r="AP16" s="326"/>
      <c r="AQ16" s="326"/>
      <c r="AR16" s="326"/>
      <c r="AS16" s="326"/>
      <c r="AT16" s="326"/>
      <c r="AU16" s="326"/>
    </row>
    <row r="17" spans="1:47" s="327" customFormat="1" ht="48" customHeight="1">
      <c r="A17" s="325" t="str">
        <f t="shared" si="0"/>
        <v>Framingham State University3</v>
      </c>
      <c r="B17" s="770" t="s">
        <v>2048</v>
      </c>
      <c r="C17" s="770" t="s">
        <v>2063</v>
      </c>
      <c r="D17" s="776">
        <v>0.01</v>
      </c>
      <c r="E17" s="844">
        <v>2020</v>
      </c>
      <c r="F17" s="770" t="s">
        <v>980</v>
      </c>
      <c r="G17" s="770" t="s">
        <v>716</v>
      </c>
      <c r="H17" s="786"/>
      <c r="I17" s="770" t="s">
        <v>2074</v>
      </c>
      <c r="J17" s="787" t="s">
        <v>716</v>
      </c>
      <c r="K17" s="788" t="s">
        <v>981</v>
      </c>
      <c r="L17" s="788" t="s">
        <v>981</v>
      </c>
      <c r="M17" s="788"/>
      <c r="N17" s="798" t="s">
        <v>35</v>
      </c>
      <c r="O17" s="326">
        <v>3</v>
      </c>
      <c r="P17" s="326" t="str">
        <f>VLOOKUP(N17,Source!F:F,1,FALSE)</f>
        <v>Framingham State University</v>
      </c>
      <c r="Q17" s="326"/>
      <c r="R17" s="326"/>
      <c r="S17" s="326"/>
      <c r="T17" s="326"/>
      <c r="U17" s="326"/>
      <c r="V17" s="326"/>
      <c r="W17" s="326"/>
      <c r="X17" s="326"/>
      <c r="Y17" s="326"/>
      <c r="Z17" s="326"/>
      <c r="AA17" s="326"/>
      <c r="AB17" s="326"/>
      <c r="AC17" s="326"/>
      <c r="AD17" s="326"/>
      <c r="AE17" s="326"/>
      <c r="AF17" s="326"/>
      <c r="AG17" s="326"/>
      <c r="AH17" s="326"/>
      <c r="AI17" s="326"/>
      <c r="AJ17" s="326"/>
      <c r="AK17" s="326"/>
      <c r="AL17" s="326"/>
      <c r="AM17" s="326"/>
      <c r="AN17" s="326"/>
      <c r="AO17" s="326"/>
      <c r="AP17" s="326"/>
      <c r="AQ17" s="326"/>
      <c r="AR17" s="326"/>
      <c r="AS17" s="326"/>
      <c r="AT17" s="326"/>
      <c r="AU17" s="326"/>
    </row>
    <row r="18" spans="1:47" s="327" customFormat="1" ht="30" customHeight="1">
      <c r="A18" s="325" t="str">
        <f t="shared" si="0"/>
        <v>Greenfield Comm. College1</v>
      </c>
      <c r="B18" s="769" t="s">
        <v>2382</v>
      </c>
      <c r="C18" s="769" t="s">
        <v>2062</v>
      </c>
      <c r="D18" s="777">
        <v>0.1</v>
      </c>
      <c r="E18" s="839" t="s">
        <v>2061</v>
      </c>
      <c r="F18" s="769" t="s">
        <v>980</v>
      </c>
      <c r="G18" s="769"/>
      <c r="H18" s="855"/>
      <c r="I18" s="769" t="s">
        <v>2465</v>
      </c>
      <c r="J18" s="863"/>
      <c r="K18" s="554"/>
      <c r="L18" s="554"/>
      <c r="M18" s="554"/>
      <c r="N18" s="796" t="s">
        <v>116</v>
      </c>
      <c r="O18" s="326">
        <v>1</v>
      </c>
      <c r="P18" s="326" t="str">
        <f>VLOOKUP(N18,Source!F:F,1,FALSE)</f>
        <v>Greenfield Comm. College</v>
      </c>
      <c r="Q18" s="326"/>
      <c r="R18" s="326"/>
      <c r="S18" s="326"/>
      <c r="T18" s="326"/>
      <c r="U18" s="326"/>
      <c r="V18" s="326"/>
      <c r="W18" s="326"/>
      <c r="X18" s="326"/>
      <c r="Y18" s="326"/>
      <c r="Z18" s="326"/>
      <c r="AA18" s="326"/>
      <c r="AB18" s="326"/>
      <c r="AC18" s="326"/>
      <c r="AD18" s="326"/>
      <c r="AE18" s="326"/>
      <c r="AF18" s="326"/>
      <c r="AG18" s="326"/>
      <c r="AH18" s="326"/>
      <c r="AI18" s="326"/>
      <c r="AJ18" s="326"/>
      <c r="AK18" s="326"/>
      <c r="AL18" s="326"/>
      <c r="AM18" s="326"/>
      <c r="AN18" s="326"/>
      <c r="AO18" s="326"/>
      <c r="AP18" s="326"/>
      <c r="AQ18" s="326"/>
      <c r="AR18" s="326"/>
      <c r="AS18" s="326"/>
      <c r="AT18" s="326"/>
      <c r="AU18" s="326"/>
    </row>
    <row r="19" spans="1:47" s="327" customFormat="1" ht="30" customHeight="1">
      <c r="A19" s="325" t="str">
        <f t="shared" si="0"/>
        <v>Mass. Bay Comm. College1</v>
      </c>
      <c r="B19" s="769" t="s">
        <v>2049</v>
      </c>
      <c r="C19" s="769" t="s">
        <v>2064</v>
      </c>
      <c r="D19" s="777"/>
      <c r="E19" s="839">
        <v>2020</v>
      </c>
      <c r="F19" s="769" t="s">
        <v>980</v>
      </c>
      <c r="G19" s="769"/>
      <c r="H19" s="789" t="s">
        <v>129</v>
      </c>
      <c r="I19" s="769" t="s">
        <v>2075</v>
      </c>
      <c r="J19" s="554" t="s">
        <v>981</v>
      </c>
      <c r="K19" s="554" t="s">
        <v>981</v>
      </c>
      <c r="L19" s="554" t="s">
        <v>981</v>
      </c>
      <c r="M19" s="554"/>
      <c r="N19" s="796" t="s">
        <v>128</v>
      </c>
      <c r="O19" s="326">
        <v>1</v>
      </c>
      <c r="P19" s="326" t="str">
        <f>VLOOKUP(N19,Source!F:F,1,FALSE)</f>
        <v>Mass. Bay Comm. College</v>
      </c>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326"/>
      <c r="AN19" s="326"/>
      <c r="AO19" s="326"/>
      <c r="AP19" s="326"/>
      <c r="AQ19" s="326"/>
      <c r="AR19" s="326"/>
      <c r="AS19" s="326"/>
      <c r="AT19" s="326"/>
      <c r="AU19" s="326"/>
    </row>
    <row r="20" spans="1:47" s="327" customFormat="1" ht="45">
      <c r="A20" s="325" t="str">
        <f t="shared" si="0"/>
        <v>Mass. College of Art &amp; Design1</v>
      </c>
      <c r="B20" s="771" t="s">
        <v>1005</v>
      </c>
      <c r="C20" s="771" t="s">
        <v>2063</v>
      </c>
      <c r="D20" s="778">
        <v>0.4</v>
      </c>
      <c r="E20" s="845">
        <v>2022</v>
      </c>
      <c r="F20" s="771" t="s">
        <v>985</v>
      </c>
      <c r="G20" s="770" t="s">
        <v>716</v>
      </c>
      <c r="H20" s="770" t="s">
        <v>2076</v>
      </c>
      <c r="I20" s="771" t="s">
        <v>2077</v>
      </c>
      <c r="J20" s="787"/>
      <c r="K20" s="788" t="s">
        <v>981</v>
      </c>
      <c r="L20" s="788" t="s">
        <v>981</v>
      </c>
      <c r="M20" s="788" t="s">
        <v>2078</v>
      </c>
      <c r="N20" s="799" t="s">
        <v>132</v>
      </c>
      <c r="O20" s="326">
        <v>1</v>
      </c>
      <c r="P20" s="326" t="str">
        <f>VLOOKUP(N20,Source!F:F,1,FALSE)</f>
        <v>Mass. College of Art &amp; Design</v>
      </c>
      <c r="Q20" s="326"/>
      <c r="R20" s="326"/>
      <c r="S20" s="326"/>
      <c r="T20" s="326"/>
      <c r="U20" s="326"/>
      <c r="V20" s="326"/>
      <c r="W20" s="326"/>
      <c r="X20" s="326"/>
      <c r="Y20" s="326"/>
      <c r="Z20" s="326"/>
      <c r="AA20" s="326"/>
      <c r="AB20" s="326"/>
      <c r="AC20" s="326"/>
      <c r="AD20" s="326"/>
      <c r="AE20" s="326"/>
      <c r="AF20" s="326"/>
      <c r="AG20" s="326"/>
      <c r="AH20" s="326"/>
      <c r="AI20" s="326"/>
      <c r="AJ20" s="326"/>
      <c r="AK20" s="326"/>
      <c r="AL20" s="326"/>
      <c r="AM20" s="326"/>
      <c r="AN20" s="326"/>
      <c r="AO20" s="326"/>
      <c r="AP20" s="326"/>
      <c r="AQ20" s="326"/>
      <c r="AR20" s="326"/>
      <c r="AS20" s="326"/>
      <c r="AT20" s="326"/>
      <c r="AU20" s="326"/>
    </row>
    <row r="21" spans="1:47" s="327" customFormat="1" ht="43.5" customHeight="1">
      <c r="A21" s="325" t="str">
        <f t="shared" si="0"/>
        <v>Mass. College of Liberal Arts1</v>
      </c>
      <c r="B21" s="832" t="s">
        <v>1009</v>
      </c>
      <c r="C21" s="832" t="s">
        <v>2063</v>
      </c>
      <c r="D21" s="776">
        <v>0.1</v>
      </c>
      <c r="E21" s="844">
        <v>2019</v>
      </c>
      <c r="F21" s="770" t="s">
        <v>980</v>
      </c>
      <c r="G21" s="770"/>
      <c r="H21" s="770" t="s">
        <v>2466</v>
      </c>
      <c r="I21" s="856"/>
      <c r="J21" s="864" t="s">
        <v>716</v>
      </c>
      <c r="K21" s="788" t="s">
        <v>981</v>
      </c>
      <c r="L21" s="864" t="s">
        <v>981</v>
      </c>
      <c r="M21" s="788"/>
      <c r="N21" s="798" t="s">
        <v>134</v>
      </c>
      <c r="O21" s="326">
        <v>1</v>
      </c>
      <c r="P21" s="326" t="str">
        <f>VLOOKUP(N21,Source!F:F,1,FALSE)</f>
        <v>Mass. College of Liberal Arts</v>
      </c>
      <c r="Q21" s="326"/>
      <c r="R21" s="326"/>
      <c r="S21" s="326"/>
      <c r="T21" s="326"/>
      <c r="U21" s="326"/>
      <c r="V21" s="326"/>
      <c r="W21" s="326"/>
      <c r="X21" s="326"/>
      <c r="Y21" s="326"/>
      <c r="Z21" s="326"/>
      <c r="AA21" s="326"/>
      <c r="AB21" s="326"/>
      <c r="AC21" s="326"/>
      <c r="AD21" s="326"/>
      <c r="AE21" s="326"/>
      <c r="AF21" s="326"/>
      <c r="AG21" s="326"/>
      <c r="AH21" s="326"/>
      <c r="AI21" s="326"/>
      <c r="AJ21" s="326"/>
      <c r="AK21" s="326"/>
      <c r="AL21" s="326"/>
      <c r="AM21" s="326"/>
      <c r="AN21" s="326"/>
      <c r="AO21" s="326"/>
      <c r="AP21" s="326"/>
      <c r="AQ21" s="326"/>
      <c r="AR21" s="326"/>
      <c r="AS21" s="326"/>
      <c r="AT21" s="326"/>
      <c r="AU21" s="326"/>
    </row>
    <row r="22" spans="1:47" s="327" customFormat="1" ht="75">
      <c r="A22" s="325" t="str">
        <f t="shared" si="0"/>
        <v>Mass. College of Liberal Arts2</v>
      </c>
      <c r="B22" s="769" t="s">
        <v>2383</v>
      </c>
      <c r="C22" s="769" t="s">
        <v>2063</v>
      </c>
      <c r="D22" s="777">
        <v>7.0000000000000001E-3</v>
      </c>
      <c r="E22" s="846">
        <v>2019</v>
      </c>
      <c r="F22" s="773" t="s">
        <v>980</v>
      </c>
      <c r="G22" s="769" t="s">
        <v>982</v>
      </c>
      <c r="H22" s="773" t="s">
        <v>2467</v>
      </c>
      <c r="I22" s="773" t="s">
        <v>2468</v>
      </c>
      <c r="J22" s="784" t="s">
        <v>982</v>
      </c>
      <c r="K22" s="550"/>
      <c r="L22" s="554"/>
      <c r="M22" s="769" t="s">
        <v>2523</v>
      </c>
      <c r="N22" s="798" t="s">
        <v>134</v>
      </c>
      <c r="O22" s="326">
        <v>2</v>
      </c>
      <c r="P22" s="326" t="str">
        <f>VLOOKUP(N22,Source!F:F,1,FALSE)</f>
        <v>Mass. College of Liberal Arts</v>
      </c>
      <c r="Q22" s="326"/>
      <c r="R22" s="326"/>
      <c r="S22" s="326"/>
      <c r="T22" s="326"/>
      <c r="U22" s="326"/>
      <c r="V22" s="326"/>
      <c r="W22" s="326"/>
      <c r="X22" s="326"/>
      <c r="Y22" s="326"/>
      <c r="Z22" s="326"/>
      <c r="AA22" s="326"/>
      <c r="AB22" s="326"/>
      <c r="AC22" s="326"/>
      <c r="AD22" s="326"/>
      <c r="AE22" s="326"/>
      <c r="AF22" s="326"/>
      <c r="AG22" s="326"/>
      <c r="AH22" s="326"/>
      <c r="AI22" s="326"/>
      <c r="AJ22" s="326"/>
      <c r="AK22" s="326"/>
      <c r="AL22" s="326"/>
      <c r="AM22" s="326"/>
      <c r="AN22" s="326"/>
      <c r="AO22" s="326"/>
      <c r="AP22" s="326"/>
      <c r="AQ22" s="326"/>
      <c r="AR22" s="326"/>
      <c r="AS22" s="326"/>
      <c r="AT22" s="326"/>
      <c r="AU22" s="326"/>
    </row>
    <row r="23" spans="1:47" s="327" customFormat="1" ht="45">
      <c r="A23" s="325" t="str">
        <f t="shared" si="0"/>
        <v>Mass. College of Liberal Arts3</v>
      </c>
      <c r="B23" s="833" t="s">
        <v>1006</v>
      </c>
      <c r="C23" s="833" t="s">
        <v>2063</v>
      </c>
      <c r="D23" s="777">
        <v>7.0000000000000001E-3</v>
      </c>
      <c r="E23" s="839">
        <v>2019</v>
      </c>
      <c r="F23" s="773" t="s">
        <v>980</v>
      </c>
      <c r="G23" s="772"/>
      <c r="H23" s="773" t="s">
        <v>1007</v>
      </c>
      <c r="I23" s="768" t="s">
        <v>1008</v>
      </c>
      <c r="J23" s="784"/>
      <c r="K23" s="869" t="s">
        <v>981</v>
      </c>
      <c r="L23" s="784" t="s">
        <v>982</v>
      </c>
      <c r="M23" s="550"/>
      <c r="N23" s="798" t="s">
        <v>134</v>
      </c>
      <c r="O23" s="326">
        <v>3</v>
      </c>
      <c r="P23" s="326" t="str">
        <f>VLOOKUP(N23,Source!F:F,1,FALSE)</f>
        <v>Mass. College of Liberal Arts</v>
      </c>
      <c r="Q23" s="326"/>
      <c r="R23" s="326"/>
      <c r="S23" s="326"/>
      <c r="T23" s="326"/>
      <c r="U23" s="326"/>
      <c r="V23" s="326"/>
      <c r="W23" s="326"/>
      <c r="X23" s="326"/>
      <c r="Y23" s="326"/>
      <c r="Z23" s="326"/>
      <c r="AA23" s="326"/>
      <c r="AB23" s="326"/>
      <c r="AC23" s="326"/>
      <c r="AD23" s="326"/>
      <c r="AE23" s="326"/>
      <c r="AF23" s="326"/>
      <c r="AG23" s="326"/>
      <c r="AH23" s="326"/>
      <c r="AI23" s="326"/>
      <c r="AJ23" s="326"/>
      <c r="AK23" s="326"/>
      <c r="AL23" s="326"/>
      <c r="AM23" s="326"/>
      <c r="AN23" s="326"/>
      <c r="AO23" s="326"/>
      <c r="AP23" s="326"/>
      <c r="AQ23" s="326"/>
      <c r="AR23" s="326"/>
      <c r="AS23" s="326"/>
      <c r="AT23" s="326"/>
      <c r="AU23" s="326"/>
    </row>
    <row r="24" spans="1:47" s="327" customFormat="1" ht="96" customHeight="1">
      <c r="A24" s="325" t="str">
        <f t="shared" si="0"/>
        <v>Mass. Water Resources Authority1</v>
      </c>
      <c r="B24" s="769" t="s">
        <v>1041</v>
      </c>
      <c r="C24" s="769" t="s">
        <v>2062</v>
      </c>
      <c r="D24" s="777">
        <v>2</v>
      </c>
      <c r="E24" s="839">
        <v>2013</v>
      </c>
      <c r="F24" s="769" t="s">
        <v>980</v>
      </c>
      <c r="G24" s="772"/>
      <c r="H24" s="783" t="s">
        <v>150</v>
      </c>
      <c r="I24" s="769" t="s">
        <v>2469</v>
      </c>
      <c r="J24" s="550" t="s">
        <v>981</v>
      </c>
      <c r="K24" s="554" t="s">
        <v>981</v>
      </c>
      <c r="L24" s="554" t="s">
        <v>981</v>
      </c>
      <c r="M24" s="550"/>
      <c r="N24" s="797" t="s">
        <v>145</v>
      </c>
      <c r="O24" s="326">
        <v>1</v>
      </c>
      <c r="P24" s="326" t="str">
        <f>VLOOKUP(N24,Source!F:F,1,FALSE)</f>
        <v>Mass. Water Resources Authority</v>
      </c>
      <c r="Q24" s="326"/>
      <c r="R24" s="326"/>
      <c r="S24" s="326"/>
      <c r="T24" s="326"/>
      <c r="U24" s="326"/>
      <c r="V24" s="326"/>
      <c r="W24" s="326"/>
      <c r="X24" s="326"/>
      <c r="Y24" s="326"/>
      <c r="Z24" s="326"/>
      <c r="AA24" s="326"/>
      <c r="AB24" s="326"/>
      <c r="AC24" s="326"/>
      <c r="AD24" s="326"/>
      <c r="AE24" s="326"/>
      <c r="AF24" s="326"/>
      <c r="AG24" s="326"/>
      <c r="AH24" s="326"/>
      <c r="AI24" s="326"/>
      <c r="AJ24" s="326"/>
      <c r="AK24" s="326"/>
      <c r="AL24" s="326"/>
      <c r="AM24" s="326"/>
      <c r="AN24" s="326"/>
      <c r="AO24" s="326"/>
      <c r="AP24" s="326"/>
      <c r="AQ24" s="326"/>
      <c r="AR24" s="326"/>
      <c r="AS24" s="326"/>
      <c r="AT24" s="326"/>
      <c r="AU24" s="326"/>
    </row>
    <row r="25" spans="1:47" s="327" customFormat="1" ht="60" customHeight="1">
      <c r="A25" s="325" t="str">
        <f t="shared" si="0"/>
        <v>Mass. Water Resources Authority2</v>
      </c>
      <c r="B25" s="834" t="s">
        <v>716</v>
      </c>
      <c r="C25" s="769" t="s">
        <v>2060</v>
      </c>
      <c r="D25" s="775"/>
      <c r="E25" s="841" t="s">
        <v>2061</v>
      </c>
      <c r="F25" s="769" t="s">
        <v>980</v>
      </c>
      <c r="G25" s="772"/>
      <c r="H25" s="783" t="s">
        <v>150</v>
      </c>
      <c r="I25" s="834" t="s">
        <v>1042</v>
      </c>
      <c r="J25" s="550" t="s">
        <v>981</v>
      </c>
      <c r="K25" s="554" t="s">
        <v>981</v>
      </c>
      <c r="L25" s="554" t="s">
        <v>981</v>
      </c>
      <c r="M25" s="550"/>
      <c r="N25" s="797" t="s">
        <v>145</v>
      </c>
      <c r="O25" s="326">
        <v>2</v>
      </c>
      <c r="P25" s="326" t="str">
        <f>VLOOKUP(N25,Source!F:F,1,FALSE)</f>
        <v>Mass. Water Resources Authority</v>
      </c>
      <c r="Q25" s="326"/>
      <c r="R25" s="326"/>
      <c r="S25" s="326"/>
      <c r="T25" s="326"/>
      <c r="U25" s="326"/>
      <c r="V25" s="326"/>
      <c r="W25" s="326"/>
      <c r="X25" s="326"/>
      <c r="Y25" s="326"/>
      <c r="Z25" s="326"/>
      <c r="AA25" s="326"/>
      <c r="AB25" s="326"/>
      <c r="AC25" s="326"/>
      <c r="AD25" s="326"/>
      <c r="AE25" s="326"/>
      <c r="AF25" s="326"/>
      <c r="AG25" s="326"/>
      <c r="AH25" s="326"/>
      <c r="AI25" s="326"/>
      <c r="AJ25" s="326"/>
      <c r="AK25" s="326"/>
      <c r="AL25" s="326"/>
      <c r="AM25" s="326"/>
      <c r="AN25" s="326"/>
      <c r="AO25" s="326"/>
      <c r="AP25" s="326"/>
      <c r="AQ25" s="326"/>
      <c r="AR25" s="326"/>
      <c r="AS25" s="326"/>
      <c r="AT25" s="326"/>
      <c r="AU25" s="326"/>
    </row>
    <row r="26" spans="1:47" s="327" customFormat="1" ht="45" customHeight="1">
      <c r="A26" s="325" t="str">
        <f t="shared" si="0"/>
        <v>Massasoit Comm. College1</v>
      </c>
      <c r="B26" s="769" t="s">
        <v>1010</v>
      </c>
      <c r="C26" s="769" t="s">
        <v>2060</v>
      </c>
      <c r="D26" s="779">
        <f>1.43/2</f>
        <v>0.71499999999999997</v>
      </c>
      <c r="E26" s="839">
        <v>2010</v>
      </c>
      <c r="F26" s="769" t="s">
        <v>980</v>
      </c>
      <c r="G26" s="769" t="s">
        <v>982</v>
      </c>
      <c r="H26" s="857" t="s">
        <v>1011</v>
      </c>
      <c r="I26" s="769" t="s">
        <v>1012</v>
      </c>
      <c r="J26" s="784"/>
      <c r="K26" s="554" t="s">
        <v>982</v>
      </c>
      <c r="L26" s="554" t="s">
        <v>981</v>
      </c>
      <c r="M26" s="550"/>
      <c r="N26" s="796" t="s">
        <v>154</v>
      </c>
      <c r="O26" s="326">
        <v>1</v>
      </c>
      <c r="P26" s="326" t="str">
        <f>VLOOKUP(N26,Source!F:F,1,FALSE)</f>
        <v>Massasoit Comm. College</v>
      </c>
      <c r="Q26" s="326"/>
      <c r="R26" s="326"/>
      <c r="S26" s="326"/>
      <c r="T26" s="326"/>
      <c r="U26" s="326"/>
      <c r="V26" s="326"/>
      <c r="W26" s="326"/>
      <c r="X26" s="326"/>
      <c r="Y26" s="326"/>
      <c r="Z26" s="326"/>
      <c r="AA26" s="326"/>
      <c r="AB26" s="326"/>
      <c r="AC26" s="326"/>
      <c r="AD26" s="326"/>
      <c r="AE26" s="326"/>
      <c r="AF26" s="326"/>
      <c r="AG26" s="326"/>
      <c r="AH26" s="326"/>
      <c r="AI26" s="326"/>
      <c r="AJ26" s="326"/>
      <c r="AK26" s="326"/>
      <c r="AL26" s="326"/>
      <c r="AM26" s="326"/>
      <c r="AN26" s="326"/>
      <c r="AO26" s="326"/>
      <c r="AP26" s="326"/>
      <c r="AQ26" s="326"/>
      <c r="AR26" s="326"/>
      <c r="AS26" s="326"/>
      <c r="AT26" s="326"/>
      <c r="AU26" s="326"/>
    </row>
    <row r="27" spans="1:47" s="327" customFormat="1" ht="45" customHeight="1">
      <c r="A27" s="325" t="str">
        <f t="shared" si="0"/>
        <v>Massasoit Comm. College2</v>
      </c>
      <c r="B27" s="769" t="s">
        <v>1010</v>
      </c>
      <c r="C27" s="769" t="s">
        <v>2060</v>
      </c>
      <c r="D27" s="779">
        <f>1.43/2</f>
        <v>0.71499999999999997</v>
      </c>
      <c r="E27" s="839">
        <v>2010</v>
      </c>
      <c r="F27" s="769" t="s">
        <v>980</v>
      </c>
      <c r="G27" s="769" t="s">
        <v>982</v>
      </c>
      <c r="H27" s="857" t="s">
        <v>1011</v>
      </c>
      <c r="I27" s="769" t="s">
        <v>1013</v>
      </c>
      <c r="J27" s="784" t="s">
        <v>982</v>
      </c>
      <c r="K27" s="554" t="s">
        <v>982</v>
      </c>
      <c r="L27" s="554" t="s">
        <v>981</v>
      </c>
      <c r="M27" s="554"/>
      <c r="N27" s="796" t="s">
        <v>154</v>
      </c>
      <c r="O27" s="326">
        <v>2</v>
      </c>
      <c r="P27" s="326" t="str">
        <f>VLOOKUP(N27,Source!F:F,1,FALSE)</f>
        <v>Massasoit Comm. College</v>
      </c>
      <c r="Q27" s="326"/>
      <c r="R27" s="326"/>
      <c r="S27" s="326"/>
      <c r="T27" s="326"/>
      <c r="U27" s="326"/>
      <c r="V27" s="326"/>
      <c r="W27" s="326"/>
      <c r="X27" s="326"/>
      <c r="Y27" s="326"/>
      <c r="Z27" s="326"/>
      <c r="AA27" s="326"/>
      <c r="AB27" s="326"/>
      <c r="AC27" s="326"/>
      <c r="AD27" s="326"/>
      <c r="AE27" s="326"/>
      <c r="AF27" s="326"/>
      <c r="AG27" s="326"/>
      <c r="AH27" s="326"/>
      <c r="AI27" s="326"/>
      <c r="AJ27" s="326"/>
      <c r="AK27" s="326"/>
      <c r="AL27" s="326"/>
      <c r="AM27" s="326"/>
      <c r="AN27" s="326"/>
      <c r="AO27" s="326"/>
      <c r="AP27" s="326"/>
      <c r="AQ27" s="326"/>
      <c r="AR27" s="326"/>
      <c r="AS27" s="326"/>
      <c r="AT27" s="326"/>
      <c r="AU27" s="326"/>
    </row>
    <row r="28" spans="1:47" s="327" customFormat="1" ht="45" customHeight="1">
      <c r="A28" s="325" t="str">
        <f t="shared" si="0"/>
        <v>Massasoit Comm. College3</v>
      </c>
      <c r="B28" s="769" t="s">
        <v>1010</v>
      </c>
      <c r="C28" s="773" t="s">
        <v>2062</v>
      </c>
      <c r="D28" s="774">
        <v>0.41</v>
      </c>
      <c r="E28" s="839">
        <v>2010</v>
      </c>
      <c r="F28" s="773" t="s">
        <v>980</v>
      </c>
      <c r="G28" s="769" t="s">
        <v>982</v>
      </c>
      <c r="H28" s="857" t="s">
        <v>1011</v>
      </c>
      <c r="I28" s="769" t="s">
        <v>1013</v>
      </c>
      <c r="J28" s="784" t="s">
        <v>982</v>
      </c>
      <c r="K28" s="554" t="s">
        <v>982</v>
      </c>
      <c r="L28" s="554" t="s">
        <v>981</v>
      </c>
      <c r="M28" s="554"/>
      <c r="N28" s="796" t="s">
        <v>154</v>
      </c>
      <c r="O28" s="326">
        <v>3</v>
      </c>
      <c r="P28" s="326" t="str">
        <f>VLOOKUP(N28,Source!F:F,1,FALSE)</f>
        <v>Massasoit Comm. College</v>
      </c>
      <c r="Q28" s="326"/>
      <c r="R28" s="326"/>
      <c r="S28" s="326"/>
      <c r="T28" s="326"/>
      <c r="U28" s="326"/>
      <c r="V28" s="326"/>
      <c r="W28" s="326"/>
      <c r="X28" s="326"/>
      <c r="Y28" s="326"/>
      <c r="Z28" s="326"/>
      <c r="AA28" s="326"/>
      <c r="AB28" s="326"/>
      <c r="AC28" s="326"/>
      <c r="AD28" s="326"/>
      <c r="AE28" s="326"/>
      <c r="AF28" s="326"/>
      <c r="AG28" s="326"/>
      <c r="AH28" s="326"/>
      <c r="AI28" s="326"/>
      <c r="AJ28" s="326"/>
      <c r="AK28" s="326"/>
      <c r="AL28" s="326"/>
      <c r="AM28" s="326"/>
      <c r="AN28" s="326"/>
      <c r="AO28" s="326"/>
      <c r="AP28" s="326"/>
      <c r="AQ28" s="326"/>
      <c r="AR28" s="326"/>
      <c r="AS28" s="326"/>
      <c r="AT28" s="326"/>
      <c r="AU28" s="326"/>
    </row>
    <row r="29" spans="1:47" s="327" customFormat="1" ht="45" customHeight="1">
      <c r="A29" s="325" t="str">
        <f t="shared" si="0"/>
        <v>MassDOT - Highway &amp; Turnpike Divisions1</v>
      </c>
      <c r="B29" s="773" t="s">
        <v>1028</v>
      </c>
      <c r="C29" s="769" t="s">
        <v>2062</v>
      </c>
      <c r="D29" s="775" t="s">
        <v>716</v>
      </c>
      <c r="E29" s="839">
        <v>2019</v>
      </c>
      <c r="F29" s="773" t="s">
        <v>994</v>
      </c>
      <c r="G29" s="769" t="s">
        <v>981</v>
      </c>
      <c r="H29" s="768" t="s">
        <v>1015</v>
      </c>
      <c r="I29" s="769" t="s">
        <v>1029</v>
      </c>
      <c r="J29" s="554" t="s">
        <v>981</v>
      </c>
      <c r="K29" s="554" t="s">
        <v>981</v>
      </c>
      <c r="L29" s="554" t="s">
        <v>981</v>
      </c>
      <c r="M29" s="554"/>
      <c r="N29" s="797" t="s">
        <v>166</v>
      </c>
      <c r="O29" s="326">
        <v>1</v>
      </c>
      <c r="P29" s="326" t="str">
        <f>VLOOKUP(N29,Source!F:F,1,FALSE)</f>
        <v>MassDOT - Highway &amp; Turnpike Divisions</v>
      </c>
      <c r="Q29" s="326"/>
      <c r="R29" s="326"/>
      <c r="S29" s="326"/>
      <c r="T29" s="326"/>
      <c r="U29" s="326"/>
      <c r="V29" s="326"/>
      <c r="W29" s="326"/>
      <c r="X29" s="326"/>
      <c r="Y29" s="326"/>
      <c r="Z29" s="326"/>
      <c r="AA29" s="326"/>
      <c r="AB29" s="326"/>
      <c r="AC29" s="326"/>
      <c r="AD29" s="326"/>
      <c r="AE29" s="326"/>
      <c r="AF29" s="326"/>
      <c r="AG29" s="326"/>
      <c r="AH29" s="326"/>
      <c r="AI29" s="326"/>
      <c r="AJ29" s="326"/>
      <c r="AK29" s="326"/>
      <c r="AL29" s="326"/>
      <c r="AM29" s="326"/>
      <c r="AN29" s="326"/>
      <c r="AO29" s="326"/>
      <c r="AP29" s="326"/>
      <c r="AQ29" s="326"/>
      <c r="AR29" s="326"/>
      <c r="AS29" s="326"/>
      <c r="AT29" s="326"/>
      <c r="AU29" s="326"/>
    </row>
    <row r="30" spans="1:47" s="327" customFormat="1" ht="45" customHeight="1">
      <c r="A30" s="325" t="str">
        <f t="shared" si="0"/>
        <v>MassDOT - Highway &amp; Turnpike Divisions2</v>
      </c>
      <c r="B30" s="773" t="s">
        <v>1037</v>
      </c>
      <c r="C30" s="773" t="s">
        <v>2060</v>
      </c>
      <c r="D30" s="777">
        <v>5</v>
      </c>
      <c r="E30" s="839">
        <v>2015</v>
      </c>
      <c r="F30" s="773" t="s">
        <v>980</v>
      </c>
      <c r="G30" s="769" t="s">
        <v>982</v>
      </c>
      <c r="H30" s="768" t="s">
        <v>1015</v>
      </c>
      <c r="I30" s="769" t="s">
        <v>1038</v>
      </c>
      <c r="J30" s="865" t="s">
        <v>982</v>
      </c>
      <c r="K30" s="554" t="s">
        <v>982</v>
      </c>
      <c r="L30" s="554" t="s">
        <v>981</v>
      </c>
      <c r="M30" s="784" t="s">
        <v>2524</v>
      </c>
      <c r="N30" s="797" t="s">
        <v>166</v>
      </c>
      <c r="O30" s="326">
        <v>2</v>
      </c>
      <c r="P30" s="326" t="str">
        <f>VLOOKUP(N30,Source!F:F,1,FALSE)</f>
        <v>MassDOT - Highway &amp; Turnpike Divisions</v>
      </c>
      <c r="Q30" s="326"/>
      <c r="R30" s="326"/>
      <c r="S30" s="326"/>
      <c r="T30" s="326"/>
      <c r="U30" s="326"/>
      <c r="V30" s="326"/>
      <c r="W30" s="326"/>
      <c r="X30" s="326"/>
      <c r="Y30" s="326"/>
      <c r="Z30" s="326"/>
      <c r="AA30" s="326"/>
      <c r="AB30" s="326"/>
      <c r="AC30" s="326"/>
      <c r="AD30" s="326"/>
      <c r="AE30" s="326"/>
      <c r="AF30" s="326"/>
      <c r="AG30" s="326"/>
      <c r="AH30" s="326"/>
      <c r="AI30" s="326"/>
      <c r="AJ30" s="326"/>
      <c r="AK30" s="326"/>
      <c r="AL30" s="326"/>
      <c r="AM30" s="326"/>
      <c r="AN30" s="326"/>
      <c r="AO30" s="326"/>
      <c r="AP30" s="326"/>
      <c r="AQ30" s="326"/>
      <c r="AR30" s="326"/>
      <c r="AS30" s="326"/>
      <c r="AT30" s="326"/>
      <c r="AU30" s="326"/>
    </row>
    <row r="31" spans="1:47" s="327" customFormat="1" ht="45" customHeight="1">
      <c r="A31" s="325" t="str">
        <f t="shared" si="0"/>
        <v>MassDOT - Highway &amp; Turnpike Divisions3</v>
      </c>
      <c r="B31" s="773" t="s">
        <v>1030</v>
      </c>
      <c r="C31" s="773" t="s">
        <v>2060</v>
      </c>
      <c r="D31" s="777">
        <v>3</v>
      </c>
      <c r="E31" s="839">
        <v>2015</v>
      </c>
      <c r="F31" s="773" t="s">
        <v>980</v>
      </c>
      <c r="G31" s="772"/>
      <c r="H31" s="768" t="s">
        <v>1015</v>
      </c>
      <c r="I31" s="769" t="s">
        <v>2470</v>
      </c>
      <c r="J31" s="784" t="s">
        <v>982</v>
      </c>
      <c r="K31" s="554" t="s">
        <v>982</v>
      </c>
      <c r="L31" s="554" t="s">
        <v>981</v>
      </c>
      <c r="M31" s="769" t="s">
        <v>2525</v>
      </c>
      <c r="N31" s="797" t="s">
        <v>166</v>
      </c>
      <c r="O31" s="326">
        <v>3</v>
      </c>
      <c r="P31" s="326" t="str">
        <f>VLOOKUP(N31,Source!F:F,1,FALSE)</f>
        <v>MassDOT - Highway &amp; Turnpike Divisions</v>
      </c>
      <c r="Q31" s="326"/>
      <c r="R31" s="326"/>
      <c r="S31" s="326"/>
      <c r="T31" s="326"/>
      <c r="U31" s="326"/>
      <c r="V31" s="326"/>
      <c r="W31" s="326"/>
      <c r="X31" s="326"/>
      <c r="Y31" s="326"/>
      <c r="Z31" s="326"/>
      <c r="AA31" s="326"/>
      <c r="AB31" s="326"/>
      <c r="AC31" s="326"/>
      <c r="AD31" s="326"/>
      <c r="AE31" s="326"/>
      <c r="AF31" s="326"/>
      <c r="AG31" s="326"/>
      <c r="AH31" s="326"/>
      <c r="AI31" s="326"/>
      <c r="AJ31" s="326"/>
      <c r="AK31" s="326"/>
      <c r="AL31" s="326"/>
      <c r="AM31" s="326"/>
      <c r="AN31" s="326"/>
      <c r="AO31" s="326"/>
      <c r="AP31" s="326"/>
      <c r="AQ31" s="326"/>
      <c r="AR31" s="326"/>
      <c r="AS31" s="326"/>
      <c r="AT31" s="326"/>
      <c r="AU31" s="326"/>
    </row>
    <row r="32" spans="1:47" s="327" customFormat="1" ht="45" customHeight="1">
      <c r="A32" s="325" t="str">
        <f t="shared" si="0"/>
        <v>MassDOT - Highway &amp; Turnpike Divisions4</v>
      </c>
      <c r="B32" s="551" t="s">
        <v>1031</v>
      </c>
      <c r="C32" s="773" t="s">
        <v>2060</v>
      </c>
      <c r="D32" s="777">
        <v>3</v>
      </c>
      <c r="E32" s="839">
        <v>2015</v>
      </c>
      <c r="F32" s="773" t="s">
        <v>980</v>
      </c>
      <c r="G32" s="772"/>
      <c r="H32" s="768" t="s">
        <v>1015</v>
      </c>
      <c r="I32" s="769" t="s">
        <v>2470</v>
      </c>
      <c r="J32" s="784" t="s">
        <v>982</v>
      </c>
      <c r="K32" s="554" t="s">
        <v>982</v>
      </c>
      <c r="L32" s="554" t="s">
        <v>981</v>
      </c>
      <c r="M32" s="554"/>
      <c r="N32" s="797" t="s">
        <v>166</v>
      </c>
      <c r="O32" s="326">
        <v>4</v>
      </c>
      <c r="P32" s="326" t="str">
        <f>VLOOKUP(N32,Source!F:F,1,FALSE)</f>
        <v>MassDOT - Highway &amp; Turnpike Divisions</v>
      </c>
      <c r="Q32" s="326"/>
      <c r="R32" s="326"/>
      <c r="S32" s="326"/>
      <c r="T32" s="326"/>
      <c r="U32" s="326"/>
      <c r="V32" s="326"/>
      <c r="W32" s="326"/>
      <c r="X32" s="326"/>
      <c r="Y32" s="326"/>
      <c r="Z32" s="326"/>
      <c r="AA32" s="326"/>
      <c r="AB32" s="326"/>
      <c r="AC32" s="326"/>
      <c r="AD32" s="326"/>
      <c r="AE32" s="326"/>
      <c r="AF32" s="326"/>
      <c r="AG32" s="326"/>
      <c r="AH32" s="326"/>
      <c r="AI32" s="326"/>
      <c r="AJ32" s="326"/>
      <c r="AK32" s="326"/>
      <c r="AL32" s="326"/>
      <c r="AM32" s="326"/>
      <c r="AN32" s="326"/>
      <c r="AO32" s="326"/>
      <c r="AP32" s="326"/>
      <c r="AQ32" s="326"/>
      <c r="AR32" s="326"/>
      <c r="AS32" s="326"/>
      <c r="AT32" s="326"/>
      <c r="AU32" s="326"/>
    </row>
    <row r="33" spans="1:47" s="327" customFormat="1" ht="45" customHeight="1">
      <c r="A33" s="325" t="str">
        <f t="shared" si="0"/>
        <v>MassDOT - Highway &amp; Turnpike Divisions5</v>
      </c>
      <c r="B33" s="551" t="s">
        <v>1032</v>
      </c>
      <c r="C33" s="773" t="s">
        <v>2060</v>
      </c>
      <c r="D33" s="777">
        <v>3</v>
      </c>
      <c r="E33" s="839">
        <v>2015</v>
      </c>
      <c r="F33" s="773" t="s">
        <v>980</v>
      </c>
      <c r="G33" s="772"/>
      <c r="H33" s="768" t="s">
        <v>1015</v>
      </c>
      <c r="I33" s="769" t="s">
        <v>2470</v>
      </c>
      <c r="J33" s="784" t="s">
        <v>982</v>
      </c>
      <c r="K33" s="554" t="s">
        <v>982</v>
      </c>
      <c r="L33" s="554" t="s">
        <v>981</v>
      </c>
      <c r="M33" s="554" t="s">
        <v>2526</v>
      </c>
      <c r="N33" s="797" t="s">
        <v>166</v>
      </c>
      <c r="O33" s="326">
        <v>5</v>
      </c>
      <c r="P33" s="326" t="str">
        <f>VLOOKUP(N33,Source!F:F,1,FALSE)</f>
        <v>MassDOT - Highway &amp; Turnpike Divisions</v>
      </c>
      <c r="Q33" s="326"/>
      <c r="R33" s="326"/>
      <c r="S33" s="326"/>
      <c r="T33" s="326"/>
      <c r="U33" s="326"/>
      <c r="V33" s="326"/>
      <c r="W33" s="326"/>
      <c r="X33" s="326"/>
      <c r="Y33" s="326"/>
      <c r="Z33" s="326"/>
      <c r="AA33" s="326"/>
      <c r="AB33" s="326"/>
      <c r="AC33" s="326"/>
      <c r="AD33" s="326"/>
      <c r="AE33" s="326"/>
      <c r="AF33" s="326"/>
      <c r="AG33" s="326"/>
      <c r="AH33" s="326"/>
      <c r="AI33" s="326"/>
      <c r="AJ33" s="326"/>
      <c r="AK33" s="326"/>
      <c r="AL33" s="326"/>
      <c r="AM33" s="326"/>
      <c r="AN33" s="326"/>
      <c r="AO33" s="326"/>
      <c r="AP33" s="326"/>
      <c r="AQ33" s="326"/>
      <c r="AR33" s="326"/>
      <c r="AS33" s="326"/>
      <c r="AT33" s="326"/>
      <c r="AU33" s="326"/>
    </row>
    <row r="34" spans="1:47" s="327" customFormat="1" ht="45" customHeight="1">
      <c r="A34" s="325" t="str">
        <f t="shared" si="0"/>
        <v>MassDOT - Highway &amp; Turnpike Divisions6</v>
      </c>
      <c r="B34" s="551" t="s">
        <v>1033</v>
      </c>
      <c r="C34" s="773" t="s">
        <v>2060</v>
      </c>
      <c r="D34" s="777">
        <v>3</v>
      </c>
      <c r="E34" s="839">
        <v>2011</v>
      </c>
      <c r="F34" s="773" t="s">
        <v>980</v>
      </c>
      <c r="G34" s="772"/>
      <c r="H34" s="768" t="s">
        <v>1015</v>
      </c>
      <c r="I34" s="769" t="s">
        <v>2470</v>
      </c>
      <c r="J34" s="784" t="s">
        <v>982</v>
      </c>
      <c r="K34" s="554" t="s">
        <v>982</v>
      </c>
      <c r="L34" s="554" t="s">
        <v>981</v>
      </c>
      <c r="M34" s="554" t="s">
        <v>2527</v>
      </c>
      <c r="N34" s="797" t="s">
        <v>166</v>
      </c>
      <c r="O34" s="326">
        <v>6</v>
      </c>
      <c r="P34" s="326" t="str">
        <f>VLOOKUP(N34,Source!F:F,1,FALSE)</f>
        <v>MassDOT - Highway &amp; Turnpike Divisions</v>
      </c>
      <c r="Q34" s="326"/>
      <c r="R34" s="326"/>
      <c r="S34" s="326"/>
      <c r="T34" s="326"/>
      <c r="U34" s="326"/>
      <c r="V34" s="326"/>
      <c r="W34" s="326"/>
      <c r="X34" s="326"/>
      <c r="Y34" s="326"/>
      <c r="Z34" s="326"/>
      <c r="AA34" s="326"/>
      <c r="AB34" s="326"/>
      <c r="AC34" s="326"/>
      <c r="AD34" s="326"/>
      <c r="AE34" s="326"/>
      <c r="AF34" s="326"/>
      <c r="AG34" s="326"/>
      <c r="AH34" s="326"/>
      <c r="AI34" s="326"/>
      <c r="AJ34" s="326"/>
      <c r="AK34" s="326"/>
      <c r="AL34" s="326"/>
      <c r="AM34" s="326"/>
      <c r="AN34" s="326"/>
      <c r="AO34" s="326"/>
      <c r="AP34" s="326"/>
      <c r="AQ34" s="326"/>
      <c r="AR34" s="326"/>
      <c r="AS34" s="326"/>
      <c r="AT34" s="326"/>
      <c r="AU34" s="326"/>
    </row>
    <row r="35" spans="1:47" s="327" customFormat="1" ht="45" customHeight="1">
      <c r="A35" s="325" t="str">
        <f t="shared" si="0"/>
        <v>MassDOT - Highway &amp; Turnpike Divisions7</v>
      </c>
      <c r="B35" s="773" t="s">
        <v>904</v>
      </c>
      <c r="C35" s="769" t="s">
        <v>2062</v>
      </c>
      <c r="D35" s="777">
        <v>2</v>
      </c>
      <c r="E35" s="839">
        <v>2006</v>
      </c>
      <c r="F35" s="773" t="s">
        <v>980</v>
      </c>
      <c r="G35" s="769" t="s">
        <v>981</v>
      </c>
      <c r="H35" s="768" t="s">
        <v>1015</v>
      </c>
      <c r="I35" s="769" t="s">
        <v>1022</v>
      </c>
      <c r="J35" s="784" t="s">
        <v>982</v>
      </c>
      <c r="K35" s="554" t="s">
        <v>982</v>
      </c>
      <c r="L35" s="554" t="s">
        <v>981</v>
      </c>
      <c r="M35" s="554"/>
      <c r="N35" s="797" t="s">
        <v>166</v>
      </c>
      <c r="O35" s="326">
        <v>7</v>
      </c>
      <c r="P35" s="326" t="str">
        <f>VLOOKUP(N35,Source!F:F,1,FALSE)</f>
        <v>MassDOT - Highway &amp; Turnpike Divisions</v>
      </c>
      <c r="Q35" s="326"/>
      <c r="R35" s="326"/>
      <c r="S35" s="326"/>
      <c r="T35" s="326"/>
      <c r="U35" s="326"/>
      <c r="V35" s="326"/>
      <c r="W35" s="326"/>
      <c r="X35" s="326"/>
      <c r="Y35" s="326"/>
      <c r="Z35" s="326"/>
      <c r="AA35" s="326"/>
      <c r="AB35" s="326"/>
      <c r="AC35" s="326"/>
      <c r="AD35" s="326"/>
      <c r="AE35" s="326"/>
      <c r="AF35" s="326"/>
      <c r="AG35" s="326"/>
      <c r="AH35" s="326"/>
      <c r="AI35" s="326"/>
      <c r="AJ35" s="326"/>
      <c r="AK35" s="326"/>
      <c r="AL35" s="326"/>
      <c r="AM35" s="326"/>
      <c r="AN35" s="326"/>
      <c r="AO35" s="326"/>
      <c r="AP35" s="326"/>
      <c r="AQ35" s="326"/>
      <c r="AR35" s="326"/>
      <c r="AS35" s="326"/>
      <c r="AT35" s="326"/>
      <c r="AU35" s="326"/>
    </row>
    <row r="36" spans="1:47" s="327" customFormat="1" ht="45" customHeight="1">
      <c r="A36" s="325" t="str">
        <f t="shared" si="0"/>
        <v>MassDOT - Highway &amp; Turnpike Divisions8</v>
      </c>
      <c r="B36" s="773" t="s">
        <v>1026</v>
      </c>
      <c r="C36" s="769" t="s">
        <v>2062</v>
      </c>
      <c r="D36" s="777">
        <v>1.5</v>
      </c>
      <c r="E36" s="839">
        <v>2016</v>
      </c>
      <c r="F36" s="773" t="s">
        <v>980</v>
      </c>
      <c r="G36" s="772"/>
      <c r="H36" s="768" t="s">
        <v>1015</v>
      </c>
      <c r="I36" s="769" t="s">
        <v>1027</v>
      </c>
      <c r="J36" s="784" t="s">
        <v>982</v>
      </c>
      <c r="K36" s="554" t="s">
        <v>982</v>
      </c>
      <c r="L36" s="554" t="s">
        <v>981</v>
      </c>
      <c r="M36" s="550"/>
      <c r="N36" s="797" t="s">
        <v>166</v>
      </c>
      <c r="O36" s="326">
        <v>8</v>
      </c>
      <c r="P36" s="326" t="str">
        <f>VLOOKUP(N36,Source!F:F,1,FALSE)</f>
        <v>MassDOT - Highway &amp; Turnpike Divisions</v>
      </c>
      <c r="Q36" s="326"/>
      <c r="R36" s="326"/>
      <c r="S36" s="326"/>
      <c r="T36" s="326"/>
      <c r="U36" s="326"/>
      <c r="V36" s="326"/>
      <c r="W36" s="326"/>
      <c r="X36" s="326"/>
      <c r="Y36" s="326"/>
      <c r="Z36" s="326"/>
      <c r="AA36" s="326"/>
      <c r="AB36" s="326"/>
      <c r="AC36" s="326"/>
      <c r="AD36" s="326"/>
      <c r="AE36" s="326"/>
      <c r="AF36" s="326"/>
      <c r="AG36" s="326"/>
      <c r="AH36" s="326"/>
      <c r="AI36" s="326"/>
      <c r="AJ36" s="326"/>
      <c r="AK36" s="326"/>
      <c r="AL36" s="326"/>
      <c r="AM36" s="326"/>
      <c r="AN36" s="326"/>
      <c r="AO36" s="326"/>
      <c r="AP36" s="326"/>
      <c r="AQ36" s="326"/>
      <c r="AR36" s="326"/>
      <c r="AS36" s="326"/>
      <c r="AT36" s="326"/>
      <c r="AU36" s="326"/>
    </row>
    <row r="37" spans="1:47" s="327" customFormat="1" ht="45" customHeight="1">
      <c r="A37" s="325" t="str">
        <f t="shared" si="0"/>
        <v>MassDOT - Highway &amp; Turnpike Divisions9</v>
      </c>
      <c r="B37" s="773" t="s">
        <v>1035</v>
      </c>
      <c r="C37" s="773" t="s">
        <v>2060</v>
      </c>
      <c r="D37" s="777">
        <v>1</v>
      </c>
      <c r="E37" s="839">
        <v>2015</v>
      </c>
      <c r="F37" s="773" t="s">
        <v>980</v>
      </c>
      <c r="G37" s="772"/>
      <c r="H37" s="768" t="s">
        <v>1015</v>
      </c>
      <c r="I37" s="769" t="s">
        <v>2471</v>
      </c>
      <c r="J37" s="784" t="s">
        <v>982</v>
      </c>
      <c r="K37" s="554" t="s">
        <v>982</v>
      </c>
      <c r="L37" s="554" t="s">
        <v>981</v>
      </c>
      <c r="M37" s="550"/>
      <c r="N37" s="797" t="s">
        <v>166</v>
      </c>
      <c r="O37" s="326">
        <v>9</v>
      </c>
      <c r="P37" s="326" t="str">
        <f>VLOOKUP(N37,Source!F:F,1,FALSE)</f>
        <v>MassDOT - Highway &amp; Turnpike Divisions</v>
      </c>
      <c r="Q37" s="326"/>
      <c r="R37" s="326"/>
      <c r="S37" s="326"/>
      <c r="T37" s="326"/>
      <c r="U37" s="326"/>
      <c r="V37" s="326"/>
      <c r="W37" s="326"/>
      <c r="X37" s="326"/>
      <c r="Y37" s="326"/>
      <c r="Z37" s="326"/>
      <c r="AA37" s="326"/>
      <c r="AB37" s="326"/>
      <c r="AC37" s="326"/>
      <c r="AD37" s="326"/>
      <c r="AE37" s="326"/>
      <c r="AF37" s="326"/>
      <c r="AG37" s="326"/>
      <c r="AH37" s="326"/>
      <c r="AI37" s="326"/>
      <c r="AJ37" s="326"/>
      <c r="AK37" s="326"/>
      <c r="AL37" s="326"/>
      <c r="AM37" s="326"/>
      <c r="AN37" s="326"/>
      <c r="AO37" s="326"/>
      <c r="AP37" s="326"/>
      <c r="AQ37" s="326"/>
      <c r="AR37" s="326"/>
      <c r="AS37" s="326"/>
      <c r="AT37" s="326"/>
      <c r="AU37" s="326"/>
    </row>
    <row r="38" spans="1:47" s="327" customFormat="1" ht="45" customHeight="1">
      <c r="A38" s="325" t="str">
        <f t="shared" si="0"/>
        <v>MassDOT - Highway &amp; Turnpike Divisions10</v>
      </c>
      <c r="B38" s="773" t="s">
        <v>1019</v>
      </c>
      <c r="C38" s="769" t="s">
        <v>2062</v>
      </c>
      <c r="D38" s="777">
        <v>1</v>
      </c>
      <c r="E38" s="839">
        <v>2014</v>
      </c>
      <c r="F38" s="773" t="s">
        <v>980</v>
      </c>
      <c r="G38" s="769" t="s">
        <v>982</v>
      </c>
      <c r="H38" s="768" t="s">
        <v>1015</v>
      </c>
      <c r="I38" s="858" t="s">
        <v>1020</v>
      </c>
      <c r="J38" s="784" t="s">
        <v>982</v>
      </c>
      <c r="K38" s="554" t="s">
        <v>982</v>
      </c>
      <c r="L38" s="554" t="s">
        <v>981</v>
      </c>
      <c r="M38" s="554" t="s">
        <v>2528</v>
      </c>
      <c r="N38" s="797" t="s">
        <v>166</v>
      </c>
      <c r="O38" s="326">
        <v>10</v>
      </c>
      <c r="P38" s="326" t="str">
        <f>VLOOKUP(N38,Source!F:F,1,FALSE)</f>
        <v>MassDOT - Highway &amp; Turnpike Divisions</v>
      </c>
      <c r="Q38" s="326"/>
      <c r="R38" s="326"/>
      <c r="S38" s="326"/>
      <c r="T38" s="326"/>
      <c r="U38" s="326"/>
      <c r="V38" s="326"/>
      <c r="W38" s="326"/>
      <c r="X38" s="326"/>
      <c r="Y38" s="326"/>
      <c r="Z38" s="326"/>
      <c r="AA38" s="326"/>
      <c r="AB38" s="326"/>
      <c r="AC38" s="326"/>
      <c r="AD38" s="326"/>
      <c r="AE38" s="326"/>
      <c r="AF38" s="326"/>
      <c r="AG38" s="326"/>
      <c r="AH38" s="326"/>
      <c r="AI38" s="326"/>
      <c r="AJ38" s="326"/>
      <c r="AK38" s="326"/>
      <c r="AL38" s="326"/>
      <c r="AM38" s="326"/>
      <c r="AN38" s="326"/>
      <c r="AO38" s="326"/>
      <c r="AP38" s="326"/>
      <c r="AQ38" s="326"/>
      <c r="AR38" s="326"/>
      <c r="AS38" s="326"/>
      <c r="AT38" s="326"/>
      <c r="AU38" s="326"/>
    </row>
    <row r="39" spans="1:47" s="327" customFormat="1" ht="45" customHeight="1">
      <c r="A39" s="325" t="str">
        <f t="shared" si="0"/>
        <v>MassDOT - Highway &amp; Turnpike Divisions11</v>
      </c>
      <c r="B39" s="773" t="s">
        <v>1025</v>
      </c>
      <c r="C39" s="769" t="s">
        <v>2062</v>
      </c>
      <c r="D39" s="777">
        <v>1</v>
      </c>
      <c r="E39" s="839">
        <v>2011</v>
      </c>
      <c r="F39" s="773" t="s">
        <v>980</v>
      </c>
      <c r="G39" s="769" t="s">
        <v>981</v>
      </c>
      <c r="H39" s="768" t="s">
        <v>1015</v>
      </c>
      <c r="I39" s="858" t="s">
        <v>1020</v>
      </c>
      <c r="J39" s="784" t="s">
        <v>982</v>
      </c>
      <c r="K39" s="554" t="s">
        <v>982</v>
      </c>
      <c r="L39" s="554" t="s">
        <v>981</v>
      </c>
      <c r="M39" s="554"/>
      <c r="N39" s="797" t="s">
        <v>166</v>
      </c>
      <c r="O39" s="326">
        <v>11</v>
      </c>
      <c r="P39" s="326" t="str">
        <f>VLOOKUP(N39,Source!F:F,1,FALSE)</f>
        <v>MassDOT - Highway &amp; Turnpike Divisions</v>
      </c>
      <c r="Q39" s="326"/>
      <c r="R39" s="326"/>
      <c r="S39" s="326"/>
      <c r="T39" s="326"/>
      <c r="U39" s="326"/>
      <c r="V39" s="326"/>
      <c r="W39" s="326"/>
      <c r="X39" s="326"/>
      <c r="Y39" s="326"/>
      <c r="Z39" s="326"/>
      <c r="AA39" s="326"/>
      <c r="AB39" s="326"/>
      <c r="AC39" s="326"/>
      <c r="AD39" s="326"/>
      <c r="AE39" s="326"/>
      <c r="AF39" s="326"/>
      <c r="AG39" s="326"/>
      <c r="AH39" s="326"/>
      <c r="AI39" s="326"/>
      <c r="AJ39" s="326"/>
      <c r="AK39" s="326"/>
      <c r="AL39" s="326"/>
      <c r="AM39" s="326"/>
      <c r="AN39" s="326"/>
      <c r="AO39" s="326"/>
      <c r="AP39" s="326"/>
      <c r="AQ39" s="326"/>
      <c r="AR39" s="326"/>
      <c r="AS39" s="326"/>
      <c r="AT39" s="326"/>
      <c r="AU39" s="326"/>
    </row>
    <row r="40" spans="1:47" s="327" customFormat="1" ht="45" customHeight="1">
      <c r="A40" s="325" t="str">
        <f t="shared" si="0"/>
        <v>MassDOT - Highway &amp; Turnpike Divisions12</v>
      </c>
      <c r="B40" s="773" t="s">
        <v>1034</v>
      </c>
      <c r="C40" s="773" t="s">
        <v>2060</v>
      </c>
      <c r="D40" s="777">
        <v>1</v>
      </c>
      <c r="E40" s="839">
        <v>2008</v>
      </c>
      <c r="F40" s="773" t="s">
        <v>980</v>
      </c>
      <c r="G40" s="772"/>
      <c r="H40" s="768" t="s">
        <v>1015</v>
      </c>
      <c r="I40" s="769" t="s">
        <v>2471</v>
      </c>
      <c r="J40" s="784" t="s">
        <v>982</v>
      </c>
      <c r="K40" s="554" t="s">
        <v>982</v>
      </c>
      <c r="L40" s="554" t="s">
        <v>981</v>
      </c>
      <c r="M40" s="550"/>
      <c r="N40" s="797" t="s">
        <v>166</v>
      </c>
      <c r="O40" s="326">
        <v>12</v>
      </c>
      <c r="P40" s="326" t="str">
        <f>VLOOKUP(N40,Source!F:F,1,FALSE)</f>
        <v>MassDOT - Highway &amp; Turnpike Divisions</v>
      </c>
      <c r="Q40" s="326"/>
      <c r="R40" s="326"/>
      <c r="S40" s="326"/>
      <c r="T40" s="326"/>
      <c r="U40" s="326"/>
      <c r="V40" s="326"/>
      <c r="W40" s="326"/>
      <c r="X40" s="326"/>
      <c r="Y40" s="326"/>
      <c r="Z40" s="326"/>
      <c r="AA40" s="326"/>
      <c r="AB40" s="326"/>
      <c r="AC40" s="326"/>
      <c r="AD40" s="326"/>
      <c r="AE40" s="326"/>
      <c r="AF40" s="326"/>
      <c r="AG40" s="326"/>
      <c r="AH40" s="326"/>
      <c r="AI40" s="326"/>
      <c r="AJ40" s="326"/>
      <c r="AK40" s="326"/>
      <c r="AL40" s="326"/>
      <c r="AM40" s="326"/>
      <c r="AN40" s="326"/>
      <c r="AO40" s="326"/>
      <c r="AP40" s="326"/>
      <c r="AQ40" s="326"/>
      <c r="AR40" s="326"/>
      <c r="AS40" s="326"/>
      <c r="AT40" s="326"/>
      <c r="AU40" s="326"/>
    </row>
    <row r="41" spans="1:47" s="327" customFormat="1" ht="45" customHeight="1">
      <c r="A41" s="325" t="str">
        <f t="shared" si="0"/>
        <v>MassDOT - Highway &amp; Turnpike Divisions13</v>
      </c>
      <c r="B41" s="773" t="s">
        <v>1036</v>
      </c>
      <c r="C41" s="773" t="s">
        <v>2060</v>
      </c>
      <c r="D41" s="777">
        <v>1</v>
      </c>
      <c r="E41" s="839">
        <v>2008</v>
      </c>
      <c r="F41" s="773" t="s">
        <v>980</v>
      </c>
      <c r="G41" s="772"/>
      <c r="H41" s="768" t="s">
        <v>1015</v>
      </c>
      <c r="I41" s="769" t="s">
        <v>2471</v>
      </c>
      <c r="J41" s="784" t="s">
        <v>982</v>
      </c>
      <c r="K41" s="554" t="s">
        <v>982</v>
      </c>
      <c r="L41" s="554" t="s">
        <v>981</v>
      </c>
      <c r="M41" s="550" t="s">
        <v>2529</v>
      </c>
      <c r="N41" s="797" t="s">
        <v>166</v>
      </c>
      <c r="O41" s="326">
        <v>13</v>
      </c>
      <c r="P41" s="326" t="str">
        <f>VLOOKUP(N41,Source!F:F,1,FALSE)</f>
        <v>MassDOT - Highway &amp; Turnpike Divisions</v>
      </c>
      <c r="Q41" s="326"/>
      <c r="R41" s="326"/>
      <c r="S41" s="326"/>
      <c r="T41" s="326"/>
      <c r="U41" s="326"/>
      <c r="V41" s="326"/>
      <c r="W41" s="326"/>
      <c r="X41" s="326"/>
      <c r="Y41" s="326"/>
      <c r="Z41" s="326"/>
      <c r="AA41" s="326"/>
      <c r="AB41" s="326"/>
      <c r="AC41" s="326"/>
      <c r="AD41" s="326"/>
      <c r="AE41" s="326"/>
      <c r="AF41" s="326"/>
      <c r="AG41" s="326"/>
      <c r="AH41" s="326"/>
      <c r="AI41" s="326"/>
      <c r="AJ41" s="326"/>
      <c r="AK41" s="326"/>
      <c r="AL41" s="326"/>
      <c r="AM41" s="326"/>
      <c r="AN41" s="326"/>
      <c r="AO41" s="326"/>
      <c r="AP41" s="326"/>
      <c r="AQ41" s="326"/>
      <c r="AR41" s="326"/>
      <c r="AS41" s="326"/>
      <c r="AT41" s="326"/>
      <c r="AU41" s="326"/>
    </row>
    <row r="42" spans="1:47" s="327" customFormat="1" ht="45" customHeight="1">
      <c r="A42" s="325" t="str">
        <f t="shared" si="0"/>
        <v>MassDOT - Highway &amp; Turnpike Divisions14</v>
      </c>
      <c r="B42" s="773" t="s">
        <v>1024</v>
      </c>
      <c r="C42" s="769" t="s">
        <v>2062</v>
      </c>
      <c r="D42" s="777">
        <v>0.5</v>
      </c>
      <c r="E42" s="839">
        <v>2016</v>
      </c>
      <c r="F42" s="773" t="s">
        <v>980</v>
      </c>
      <c r="G42" s="769" t="s">
        <v>981</v>
      </c>
      <c r="H42" s="768" t="s">
        <v>1015</v>
      </c>
      <c r="I42" s="858" t="s">
        <v>1020</v>
      </c>
      <c r="J42" s="784" t="s">
        <v>982</v>
      </c>
      <c r="K42" s="554" t="s">
        <v>982</v>
      </c>
      <c r="L42" s="554" t="s">
        <v>981</v>
      </c>
      <c r="M42" s="554"/>
      <c r="N42" s="797" t="s">
        <v>166</v>
      </c>
      <c r="O42" s="326">
        <v>14</v>
      </c>
      <c r="P42" s="326" t="str">
        <f>VLOOKUP(N42,Source!F:F,1,FALSE)</f>
        <v>MassDOT - Highway &amp; Turnpike Divisions</v>
      </c>
      <c r="Q42" s="326"/>
      <c r="R42" s="326"/>
      <c r="S42" s="326"/>
      <c r="T42" s="326"/>
      <c r="U42" s="326"/>
      <c r="V42" s="326"/>
      <c r="W42" s="326"/>
      <c r="X42" s="326"/>
      <c r="Y42" s="326"/>
      <c r="Z42" s="326"/>
      <c r="AA42" s="326"/>
      <c r="AB42" s="326"/>
      <c r="AC42" s="326"/>
      <c r="AD42" s="326"/>
      <c r="AE42" s="326"/>
      <c r="AF42" s="326"/>
      <c r="AG42" s="326"/>
      <c r="AH42" s="326"/>
      <c r="AI42" s="326"/>
      <c r="AJ42" s="326"/>
      <c r="AK42" s="326"/>
      <c r="AL42" s="326"/>
      <c r="AM42" s="326"/>
      <c r="AN42" s="326"/>
      <c r="AO42" s="326"/>
      <c r="AP42" s="326"/>
      <c r="AQ42" s="326"/>
      <c r="AR42" s="326"/>
      <c r="AS42" s="326"/>
      <c r="AT42" s="326"/>
      <c r="AU42" s="326"/>
    </row>
    <row r="43" spans="1:47" s="327" customFormat="1" ht="45" customHeight="1">
      <c r="A43" s="325" t="str">
        <f t="shared" si="0"/>
        <v>MassDOT - Highway &amp; Turnpike Divisions15</v>
      </c>
      <c r="B43" s="773" t="s">
        <v>1021</v>
      </c>
      <c r="C43" s="769" t="s">
        <v>2062</v>
      </c>
      <c r="D43" s="777">
        <v>0.5</v>
      </c>
      <c r="E43" s="839">
        <v>2013</v>
      </c>
      <c r="F43" s="773" t="s">
        <v>980</v>
      </c>
      <c r="G43" s="769" t="s">
        <v>981</v>
      </c>
      <c r="H43" s="768" t="s">
        <v>1015</v>
      </c>
      <c r="I43" s="858" t="s">
        <v>1020</v>
      </c>
      <c r="J43" s="784" t="s">
        <v>982</v>
      </c>
      <c r="K43" s="554" t="s">
        <v>982</v>
      </c>
      <c r="L43" s="554" t="s">
        <v>981</v>
      </c>
      <c r="M43" s="554"/>
      <c r="N43" s="797" t="s">
        <v>166</v>
      </c>
      <c r="O43" s="326">
        <v>15</v>
      </c>
      <c r="P43" s="326" t="str">
        <f>VLOOKUP(N43,Source!F:F,1,FALSE)</f>
        <v>MassDOT - Highway &amp; Turnpike Divisions</v>
      </c>
      <c r="Q43" s="326"/>
      <c r="R43" s="326"/>
      <c r="S43" s="326"/>
      <c r="T43" s="326"/>
      <c r="U43" s="326"/>
      <c r="V43" s="326"/>
      <c r="W43" s="326"/>
      <c r="X43" s="326"/>
      <c r="Y43" s="326"/>
      <c r="Z43" s="326"/>
      <c r="AA43" s="326"/>
      <c r="AB43" s="326"/>
      <c r="AC43" s="326"/>
      <c r="AD43" s="326"/>
      <c r="AE43" s="326"/>
      <c r="AF43" s="326"/>
      <c r="AG43" s="326"/>
      <c r="AH43" s="326"/>
      <c r="AI43" s="326"/>
      <c r="AJ43" s="326"/>
      <c r="AK43" s="326"/>
      <c r="AL43" s="326"/>
      <c r="AM43" s="326"/>
      <c r="AN43" s="326"/>
      <c r="AO43" s="326"/>
      <c r="AP43" s="326"/>
      <c r="AQ43" s="326"/>
      <c r="AR43" s="326"/>
      <c r="AS43" s="326"/>
      <c r="AT43" s="326"/>
      <c r="AU43" s="326"/>
    </row>
    <row r="44" spans="1:47" s="327" customFormat="1" ht="45" customHeight="1">
      <c r="A44" s="325" t="str">
        <f t="shared" si="0"/>
        <v>MassDOT - Highway &amp; Turnpike Divisions16</v>
      </c>
      <c r="B44" s="773" t="s">
        <v>1023</v>
      </c>
      <c r="C44" s="769" t="s">
        <v>2062</v>
      </c>
      <c r="D44" s="777">
        <v>0.5</v>
      </c>
      <c r="E44" s="839">
        <v>2002</v>
      </c>
      <c r="F44" s="773" t="s">
        <v>980</v>
      </c>
      <c r="G44" s="769" t="s">
        <v>981</v>
      </c>
      <c r="H44" s="768" t="s">
        <v>1015</v>
      </c>
      <c r="I44" s="858" t="s">
        <v>1020</v>
      </c>
      <c r="J44" s="784" t="s">
        <v>982</v>
      </c>
      <c r="K44" s="554" t="s">
        <v>982</v>
      </c>
      <c r="L44" s="554" t="s">
        <v>981</v>
      </c>
      <c r="M44" s="554"/>
      <c r="N44" s="797" t="s">
        <v>166</v>
      </c>
      <c r="O44" s="326">
        <v>16</v>
      </c>
      <c r="P44" s="326" t="str">
        <f>VLOOKUP(N44,Source!F:F,1,FALSE)</f>
        <v>MassDOT - Highway &amp; Turnpike Divisions</v>
      </c>
      <c r="Q44" s="326"/>
      <c r="R44" s="326"/>
      <c r="S44" s="326"/>
      <c r="T44" s="326"/>
      <c r="U44" s="326"/>
      <c r="V44" s="326"/>
      <c r="W44" s="326"/>
      <c r="X44" s="326"/>
      <c r="Y44" s="326"/>
      <c r="Z44" s="326"/>
      <c r="AA44" s="326"/>
      <c r="AB44" s="326"/>
      <c r="AC44" s="326"/>
      <c r="AD44" s="326"/>
      <c r="AE44" s="326"/>
      <c r="AF44" s="326"/>
      <c r="AG44" s="326"/>
      <c r="AH44" s="326"/>
      <c r="AI44" s="326"/>
      <c r="AJ44" s="326"/>
      <c r="AK44" s="326"/>
      <c r="AL44" s="326"/>
      <c r="AM44" s="326"/>
      <c r="AN44" s="326"/>
      <c r="AO44" s="326"/>
      <c r="AP44" s="326"/>
      <c r="AQ44" s="326"/>
      <c r="AR44" s="326"/>
      <c r="AS44" s="326"/>
      <c r="AT44" s="326"/>
      <c r="AU44" s="326"/>
    </row>
    <row r="45" spans="1:47" s="327" customFormat="1" ht="45" customHeight="1">
      <c r="A45" s="325" t="str">
        <f t="shared" si="0"/>
        <v>MassDOT - Highway &amp; Turnpike Divisions17</v>
      </c>
      <c r="B45" s="835" t="s">
        <v>1014</v>
      </c>
      <c r="C45" s="769" t="s">
        <v>2062</v>
      </c>
      <c r="D45" s="777">
        <v>0.1</v>
      </c>
      <c r="E45" s="839">
        <v>2014</v>
      </c>
      <c r="F45" s="773" t="s">
        <v>980</v>
      </c>
      <c r="G45" s="769" t="s">
        <v>981</v>
      </c>
      <c r="H45" s="768" t="s">
        <v>1015</v>
      </c>
      <c r="I45" s="769" t="s">
        <v>1016</v>
      </c>
      <c r="J45" s="865" t="s">
        <v>982</v>
      </c>
      <c r="K45" s="870" t="s">
        <v>982</v>
      </c>
      <c r="L45" s="870" t="s">
        <v>981</v>
      </c>
      <c r="M45" s="870"/>
      <c r="N45" s="797" t="s">
        <v>166</v>
      </c>
      <c r="O45" s="326">
        <v>17</v>
      </c>
      <c r="P45" s="326" t="str">
        <f>VLOOKUP(N45,Source!F:F,1,FALSE)</f>
        <v>MassDOT - Highway &amp; Turnpike Divisions</v>
      </c>
      <c r="Q45" s="326"/>
      <c r="R45" s="326"/>
      <c r="S45" s="326"/>
      <c r="T45" s="326"/>
      <c r="U45" s="326"/>
      <c r="V45" s="326"/>
      <c r="W45" s="326"/>
      <c r="X45" s="326"/>
      <c r="Y45" s="326"/>
      <c r="Z45" s="326"/>
      <c r="AA45" s="326"/>
      <c r="AB45" s="326"/>
      <c r="AC45" s="326"/>
      <c r="AD45" s="326"/>
      <c r="AE45" s="326"/>
      <c r="AF45" s="326"/>
      <c r="AG45" s="326"/>
      <c r="AH45" s="326"/>
      <c r="AI45" s="326"/>
      <c r="AJ45" s="326"/>
      <c r="AK45" s="326"/>
      <c r="AL45" s="326"/>
      <c r="AM45" s="326"/>
      <c r="AN45" s="326"/>
      <c r="AO45" s="326"/>
      <c r="AP45" s="326"/>
      <c r="AQ45" s="326"/>
      <c r="AR45" s="326"/>
      <c r="AS45" s="326"/>
      <c r="AT45" s="326"/>
      <c r="AU45" s="326"/>
    </row>
    <row r="46" spans="1:47" s="327" customFormat="1" ht="45" customHeight="1">
      <c r="A46" s="325" t="str">
        <f t="shared" si="0"/>
        <v>MassDOT - Highway &amp; Turnpike Divisions18</v>
      </c>
      <c r="B46" s="551" t="s">
        <v>2384</v>
      </c>
      <c r="C46" s="551" t="s">
        <v>2063</v>
      </c>
      <c r="D46" s="551">
        <v>0.05</v>
      </c>
      <c r="E46" s="847">
        <v>2019</v>
      </c>
      <c r="F46" s="551" t="s">
        <v>980</v>
      </c>
      <c r="G46" s="551" t="s">
        <v>982</v>
      </c>
      <c r="H46" s="768" t="s">
        <v>1015</v>
      </c>
      <c r="I46" s="551" t="s">
        <v>2472</v>
      </c>
      <c r="J46" s="784" t="s">
        <v>982</v>
      </c>
      <c r="K46" s="554" t="s">
        <v>982</v>
      </c>
      <c r="L46" s="554" t="s">
        <v>981</v>
      </c>
      <c r="M46" s="550"/>
      <c r="N46" s="797" t="s">
        <v>166</v>
      </c>
      <c r="O46" s="326">
        <v>18</v>
      </c>
      <c r="P46" s="326" t="str">
        <f>VLOOKUP(N46,Source!F:F,1,FALSE)</f>
        <v>MassDOT - Highway &amp; Turnpike Divisions</v>
      </c>
      <c r="Q46" s="326"/>
      <c r="R46" s="326"/>
      <c r="S46" s="326"/>
      <c r="T46" s="326"/>
      <c r="U46" s="326"/>
      <c r="V46" s="326"/>
      <c r="W46" s="326"/>
      <c r="X46" s="326"/>
      <c r="Y46" s="326"/>
      <c r="Z46" s="326"/>
      <c r="AA46" s="326"/>
      <c r="AB46" s="326"/>
      <c r="AC46" s="326"/>
      <c r="AD46" s="326"/>
      <c r="AE46" s="326"/>
      <c r="AF46" s="326"/>
      <c r="AG46" s="326"/>
      <c r="AH46" s="326"/>
      <c r="AI46" s="326"/>
      <c r="AJ46" s="326"/>
      <c r="AK46" s="326"/>
      <c r="AL46" s="326"/>
      <c r="AM46" s="326"/>
      <c r="AN46" s="326"/>
      <c r="AO46" s="326"/>
      <c r="AP46" s="326"/>
      <c r="AQ46" s="326"/>
      <c r="AR46" s="326"/>
      <c r="AS46" s="326"/>
      <c r="AT46" s="326"/>
      <c r="AU46" s="326"/>
    </row>
    <row r="47" spans="1:47" s="327" customFormat="1" ht="45" customHeight="1">
      <c r="A47" s="325" t="str">
        <f t="shared" si="0"/>
        <v>MassDOT - Highway &amp; Turnpike Divisions19</v>
      </c>
      <c r="B47" s="551" t="s">
        <v>2385</v>
      </c>
      <c r="C47" s="551" t="s">
        <v>2063</v>
      </c>
      <c r="D47" s="551">
        <v>0.05</v>
      </c>
      <c r="E47" s="847">
        <v>2019</v>
      </c>
      <c r="F47" s="551" t="s">
        <v>980</v>
      </c>
      <c r="G47" s="551" t="s">
        <v>982</v>
      </c>
      <c r="H47" s="768" t="s">
        <v>1015</v>
      </c>
      <c r="I47" s="551" t="s">
        <v>2472</v>
      </c>
      <c r="J47" s="784" t="s">
        <v>982</v>
      </c>
      <c r="K47" s="554" t="s">
        <v>982</v>
      </c>
      <c r="L47" s="554" t="s">
        <v>981</v>
      </c>
      <c r="M47" s="784" t="s">
        <v>2530</v>
      </c>
      <c r="N47" s="797" t="s">
        <v>166</v>
      </c>
      <c r="O47" s="326">
        <v>19</v>
      </c>
      <c r="P47" s="326" t="str">
        <f>VLOOKUP(N47,Source!F:F,1,FALSE)</f>
        <v>MassDOT - Highway &amp; Turnpike Divisions</v>
      </c>
      <c r="Q47" s="326"/>
      <c r="R47" s="326"/>
      <c r="S47" s="326"/>
      <c r="T47" s="326"/>
      <c r="U47" s="326"/>
      <c r="V47" s="326"/>
      <c r="W47" s="326"/>
      <c r="X47" s="326"/>
      <c r="Y47" s="326"/>
      <c r="Z47" s="326"/>
      <c r="AA47" s="326"/>
      <c r="AB47" s="326"/>
      <c r="AC47" s="326"/>
      <c r="AD47" s="326"/>
      <c r="AE47" s="326"/>
      <c r="AF47" s="326"/>
      <c r="AG47" s="326"/>
      <c r="AH47" s="326"/>
      <c r="AI47" s="326"/>
      <c r="AJ47" s="326"/>
      <c r="AK47" s="326"/>
      <c r="AL47" s="326"/>
      <c r="AM47" s="326"/>
      <c r="AN47" s="326"/>
      <c r="AO47" s="326"/>
      <c r="AP47" s="326"/>
      <c r="AQ47" s="326"/>
      <c r="AR47" s="326"/>
      <c r="AS47" s="326"/>
      <c r="AT47" s="326"/>
      <c r="AU47" s="326"/>
    </row>
    <row r="48" spans="1:47" s="327" customFormat="1" ht="45" customHeight="1">
      <c r="A48" s="325" t="str">
        <f t="shared" si="0"/>
        <v>MassDOT - Highway &amp; Turnpike Divisions20</v>
      </c>
      <c r="B48" s="551" t="s">
        <v>2386</v>
      </c>
      <c r="C48" s="551" t="s">
        <v>2063</v>
      </c>
      <c r="D48" s="551">
        <v>3.5000000000000003E-2</v>
      </c>
      <c r="E48" s="847">
        <v>2019</v>
      </c>
      <c r="F48" s="551" t="s">
        <v>980</v>
      </c>
      <c r="G48" s="551" t="s">
        <v>981</v>
      </c>
      <c r="H48" s="768" t="s">
        <v>1015</v>
      </c>
      <c r="I48" s="551" t="s">
        <v>2473</v>
      </c>
      <c r="J48" s="784" t="s">
        <v>982</v>
      </c>
      <c r="K48" s="554" t="s">
        <v>982</v>
      </c>
      <c r="L48" s="554" t="s">
        <v>981</v>
      </c>
      <c r="M48" s="550" t="s">
        <v>2531</v>
      </c>
      <c r="N48" s="797" t="s">
        <v>166</v>
      </c>
      <c r="O48" s="326">
        <v>20</v>
      </c>
      <c r="P48" s="326" t="str">
        <f>VLOOKUP(N48,Source!F:F,1,FALSE)</f>
        <v>MassDOT - Highway &amp; Turnpike Divisions</v>
      </c>
      <c r="Q48" s="326"/>
      <c r="R48" s="326"/>
      <c r="S48" s="326"/>
      <c r="T48" s="326"/>
      <c r="U48" s="326"/>
      <c r="V48" s="326"/>
      <c r="W48" s="326"/>
      <c r="X48" s="326"/>
      <c r="Y48" s="326"/>
      <c r="Z48" s="326"/>
      <c r="AA48" s="326"/>
      <c r="AB48" s="326"/>
      <c r="AC48" s="326"/>
      <c r="AD48" s="326"/>
      <c r="AE48" s="326"/>
      <c r="AF48" s="326"/>
      <c r="AG48" s="326"/>
      <c r="AH48" s="326"/>
      <c r="AI48" s="326"/>
      <c r="AJ48" s="326"/>
      <c r="AK48" s="326"/>
      <c r="AL48" s="326"/>
      <c r="AM48" s="326"/>
      <c r="AN48" s="326"/>
      <c r="AO48" s="326"/>
      <c r="AP48" s="326"/>
      <c r="AQ48" s="326"/>
      <c r="AR48" s="326"/>
      <c r="AS48" s="326"/>
      <c r="AT48" s="326"/>
      <c r="AU48" s="326"/>
    </row>
    <row r="49" spans="1:47" s="327" customFormat="1" ht="45" customHeight="1">
      <c r="A49" s="325" t="str">
        <f t="shared" si="0"/>
        <v>MassDOT - Highway &amp; Turnpike Divisions21</v>
      </c>
      <c r="B49" s="551" t="s">
        <v>2387</v>
      </c>
      <c r="C49" s="551" t="s">
        <v>2063</v>
      </c>
      <c r="D49" s="551">
        <v>3.5000000000000003E-2</v>
      </c>
      <c r="E49" s="847">
        <v>2019</v>
      </c>
      <c r="F49" s="551" t="s">
        <v>980</v>
      </c>
      <c r="G49" s="551" t="s">
        <v>981</v>
      </c>
      <c r="H49" s="768" t="s">
        <v>1015</v>
      </c>
      <c r="I49" s="551" t="s">
        <v>2473</v>
      </c>
      <c r="J49" s="784" t="s">
        <v>982</v>
      </c>
      <c r="K49" s="554" t="s">
        <v>982</v>
      </c>
      <c r="L49" s="554" t="s">
        <v>981</v>
      </c>
      <c r="M49" s="550"/>
      <c r="N49" s="797" t="s">
        <v>166</v>
      </c>
      <c r="O49" s="326">
        <v>21</v>
      </c>
      <c r="P49" s="326" t="str">
        <f>VLOOKUP(N49,Source!F:F,1,FALSE)</f>
        <v>MassDOT - Highway &amp; Turnpike Divisions</v>
      </c>
      <c r="Q49" s="326"/>
      <c r="R49" s="326"/>
      <c r="S49" s="326"/>
      <c r="T49" s="326"/>
      <c r="U49" s="326"/>
      <c r="V49" s="326"/>
      <c r="W49" s="326"/>
      <c r="X49" s="326"/>
      <c r="Y49" s="326"/>
      <c r="Z49" s="326"/>
      <c r="AA49" s="326"/>
      <c r="AB49" s="326"/>
      <c r="AC49" s="326"/>
      <c r="AD49" s="326"/>
      <c r="AE49" s="326"/>
      <c r="AF49" s="326"/>
      <c r="AG49" s="326"/>
      <c r="AH49" s="326"/>
      <c r="AI49" s="326"/>
      <c r="AJ49" s="326"/>
      <c r="AK49" s="326"/>
      <c r="AL49" s="326"/>
      <c r="AM49" s="326"/>
      <c r="AN49" s="326"/>
      <c r="AO49" s="326"/>
      <c r="AP49" s="326"/>
      <c r="AQ49" s="326"/>
      <c r="AR49" s="326"/>
      <c r="AS49" s="326"/>
      <c r="AT49" s="326"/>
      <c r="AU49" s="326"/>
    </row>
    <row r="50" spans="1:47" s="327" customFormat="1" ht="45" customHeight="1">
      <c r="A50" s="325" t="str">
        <f t="shared" si="0"/>
        <v>MassDOT - Highway &amp; Turnpike Divisions22</v>
      </c>
      <c r="B50" s="773" t="s">
        <v>1017</v>
      </c>
      <c r="C50" s="769" t="s">
        <v>2062</v>
      </c>
      <c r="D50" s="777">
        <v>7.0000000000000001E-3</v>
      </c>
      <c r="E50" s="839">
        <v>2016</v>
      </c>
      <c r="F50" s="773" t="s">
        <v>980</v>
      </c>
      <c r="G50" s="769" t="s">
        <v>981</v>
      </c>
      <c r="H50" s="768" t="s">
        <v>1015</v>
      </c>
      <c r="I50" s="858" t="s">
        <v>1018</v>
      </c>
      <c r="J50" s="784" t="s">
        <v>982</v>
      </c>
      <c r="K50" s="554" t="s">
        <v>982</v>
      </c>
      <c r="L50" s="554" t="s">
        <v>981</v>
      </c>
      <c r="M50" s="554" t="s">
        <v>2532</v>
      </c>
      <c r="N50" s="797" t="s">
        <v>166</v>
      </c>
      <c r="O50" s="326">
        <v>22</v>
      </c>
      <c r="P50" s="326" t="str">
        <f>VLOOKUP(N50,Source!F:F,1,FALSE)</f>
        <v>MassDOT - Highway &amp; Turnpike Divisions</v>
      </c>
      <c r="Q50" s="326"/>
      <c r="R50" s="326"/>
      <c r="S50" s="326"/>
      <c r="T50" s="326"/>
      <c r="U50" s="326"/>
      <c r="V50" s="326"/>
      <c r="W50" s="326"/>
      <c r="X50" s="326"/>
      <c r="Y50" s="326"/>
      <c r="Z50" s="326"/>
      <c r="AA50" s="326"/>
      <c r="AB50" s="326"/>
      <c r="AC50" s="326"/>
      <c r="AD50" s="326"/>
      <c r="AE50" s="326"/>
      <c r="AF50" s="326"/>
      <c r="AG50" s="326"/>
      <c r="AH50" s="326"/>
      <c r="AI50" s="326"/>
      <c r="AJ50" s="326"/>
      <c r="AK50" s="326"/>
      <c r="AL50" s="326"/>
      <c r="AM50" s="326"/>
      <c r="AN50" s="326"/>
      <c r="AO50" s="326"/>
      <c r="AP50" s="326"/>
      <c r="AQ50" s="326"/>
      <c r="AR50" s="326"/>
      <c r="AS50" s="326"/>
      <c r="AT50" s="326"/>
      <c r="AU50" s="326"/>
    </row>
    <row r="51" spans="1:47" s="327" customFormat="1" ht="45" customHeight="1">
      <c r="A51" s="325" t="str">
        <f t="shared" si="0"/>
        <v>MassDOT - Highway &amp; Turnpike Divisions23</v>
      </c>
      <c r="B51" s="773" t="s">
        <v>1039</v>
      </c>
      <c r="C51" s="773" t="s">
        <v>2060</v>
      </c>
      <c r="D51" s="775"/>
      <c r="E51" s="839">
        <v>2011</v>
      </c>
      <c r="F51" s="773" t="s">
        <v>980</v>
      </c>
      <c r="G51" s="772"/>
      <c r="H51" s="768" t="s">
        <v>1015</v>
      </c>
      <c r="I51" s="769" t="s">
        <v>1040</v>
      </c>
      <c r="J51" s="784" t="s">
        <v>982</v>
      </c>
      <c r="K51" s="554" t="s">
        <v>982</v>
      </c>
      <c r="L51" s="554" t="s">
        <v>981</v>
      </c>
      <c r="M51" s="550"/>
      <c r="N51" s="797" t="s">
        <v>166</v>
      </c>
      <c r="O51" s="326">
        <v>23</v>
      </c>
      <c r="P51" s="326" t="str">
        <f>VLOOKUP(N51,Source!F:F,1,FALSE)</f>
        <v>MassDOT - Highway &amp; Turnpike Divisions</v>
      </c>
      <c r="Q51" s="326"/>
      <c r="R51" s="326"/>
      <c r="S51" s="326"/>
      <c r="T51" s="326"/>
      <c r="U51" s="326"/>
      <c r="V51" s="326"/>
      <c r="W51" s="326"/>
      <c r="X51" s="326"/>
      <c r="Y51" s="326"/>
      <c r="Z51" s="326"/>
      <c r="AA51" s="326"/>
      <c r="AB51" s="326"/>
      <c r="AC51" s="326"/>
      <c r="AD51" s="326"/>
      <c r="AE51" s="326"/>
      <c r="AF51" s="326"/>
      <c r="AG51" s="326"/>
      <c r="AH51" s="326"/>
      <c r="AI51" s="326"/>
      <c r="AJ51" s="326"/>
      <c r="AK51" s="326"/>
      <c r="AL51" s="326"/>
      <c r="AM51" s="326"/>
      <c r="AN51" s="326"/>
      <c r="AO51" s="326"/>
      <c r="AP51" s="326"/>
      <c r="AQ51" s="326"/>
      <c r="AR51" s="326"/>
      <c r="AS51" s="326"/>
      <c r="AT51" s="326"/>
      <c r="AU51" s="326"/>
    </row>
    <row r="52" spans="1:47" s="327" customFormat="1" ht="45" customHeight="1">
      <c r="A52" s="325" t="str">
        <f t="shared" si="0"/>
        <v>MassDOT - Highway &amp; Turnpike Divisions24</v>
      </c>
      <c r="B52" s="772" t="s">
        <v>2388</v>
      </c>
      <c r="C52" s="773" t="s">
        <v>2060</v>
      </c>
      <c r="D52" s="775"/>
      <c r="E52" s="839">
        <v>2019</v>
      </c>
      <c r="F52" s="773" t="s">
        <v>980</v>
      </c>
      <c r="G52" s="772"/>
      <c r="H52" s="768" t="s">
        <v>1015</v>
      </c>
      <c r="I52" s="769" t="s">
        <v>2474</v>
      </c>
      <c r="J52" s="866"/>
      <c r="K52" s="869"/>
      <c r="L52" s="554" t="s">
        <v>981</v>
      </c>
      <c r="M52" s="550"/>
      <c r="N52" s="797" t="s">
        <v>166</v>
      </c>
      <c r="O52" s="326">
        <v>24</v>
      </c>
      <c r="P52" s="326" t="str">
        <f>VLOOKUP(N52,Source!F:F,1,FALSE)</f>
        <v>MassDOT - Highway &amp; Turnpike Divisions</v>
      </c>
      <c r="Q52" s="326"/>
      <c r="R52" s="326"/>
      <c r="S52" s="326"/>
      <c r="T52" s="326"/>
      <c r="U52" s="326"/>
      <c r="V52" s="326"/>
      <c r="W52" s="326"/>
      <c r="X52" s="326"/>
      <c r="Y52" s="326"/>
      <c r="Z52" s="326"/>
      <c r="AA52" s="326"/>
      <c r="AB52" s="326"/>
      <c r="AC52" s="326"/>
      <c r="AD52" s="326"/>
      <c r="AE52" s="326"/>
      <c r="AF52" s="326"/>
      <c r="AG52" s="326"/>
      <c r="AH52" s="326"/>
      <c r="AI52" s="326"/>
      <c r="AJ52" s="326"/>
      <c r="AK52" s="326"/>
      <c r="AL52" s="326"/>
      <c r="AM52" s="326"/>
      <c r="AN52" s="326"/>
      <c r="AO52" s="326"/>
      <c r="AP52" s="326"/>
      <c r="AQ52" s="326"/>
      <c r="AR52" s="326"/>
      <c r="AS52" s="326"/>
      <c r="AT52" s="326"/>
      <c r="AU52" s="326"/>
    </row>
    <row r="53" spans="1:47" s="327" customFormat="1" ht="45" customHeight="1">
      <c r="A53" s="325" t="str">
        <f t="shared" si="0"/>
        <v>North Shore Comm. College1</v>
      </c>
      <c r="B53" s="773" t="s">
        <v>1043</v>
      </c>
      <c r="C53" s="773" t="s">
        <v>2060</v>
      </c>
      <c r="D53" s="777">
        <v>1</v>
      </c>
      <c r="E53" s="839">
        <v>2012</v>
      </c>
      <c r="F53" s="773" t="s">
        <v>980</v>
      </c>
      <c r="G53" s="772"/>
      <c r="H53" s="768" t="s">
        <v>178</v>
      </c>
      <c r="I53" s="773" t="s">
        <v>2475</v>
      </c>
      <c r="J53" s="790" t="s">
        <v>981</v>
      </c>
      <c r="K53" s="550" t="s">
        <v>981</v>
      </c>
      <c r="L53" s="554"/>
      <c r="M53" s="551" t="s">
        <v>2533</v>
      </c>
      <c r="N53" s="797" t="s">
        <v>177</v>
      </c>
      <c r="O53" s="326">
        <v>1</v>
      </c>
      <c r="P53" s="326" t="str">
        <f>VLOOKUP(N53,Source!F:F,1,FALSE)</f>
        <v>North Shore Comm. College</v>
      </c>
      <c r="Q53" s="326"/>
      <c r="R53" s="326"/>
      <c r="S53" s="326"/>
      <c r="T53" s="326"/>
      <c r="U53" s="326"/>
      <c r="V53" s="326"/>
      <c r="W53" s="326"/>
      <c r="X53" s="326"/>
      <c r="Y53" s="326"/>
      <c r="Z53" s="326"/>
      <c r="AA53" s="326"/>
      <c r="AB53" s="326"/>
      <c r="AC53" s="326"/>
      <c r="AD53" s="326"/>
      <c r="AE53" s="326"/>
      <c r="AF53" s="326"/>
      <c r="AG53" s="326"/>
      <c r="AH53" s="326"/>
      <c r="AI53" s="326"/>
      <c r="AJ53" s="326"/>
      <c r="AK53" s="326"/>
      <c r="AL53" s="326"/>
      <c r="AM53" s="326"/>
      <c r="AN53" s="326"/>
      <c r="AO53" s="326"/>
      <c r="AP53" s="326"/>
      <c r="AQ53" s="326"/>
      <c r="AR53" s="326"/>
      <c r="AS53" s="326"/>
      <c r="AT53" s="326"/>
      <c r="AU53" s="326"/>
    </row>
    <row r="54" spans="1:47" s="327" customFormat="1" ht="45" customHeight="1">
      <c r="A54" s="325" t="str">
        <f t="shared" si="0"/>
        <v>North Shore Comm. College2</v>
      </c>
      <c r="B54" s="772" t="s">
        <v>1930</v>
      </c>
      <c r="C54" s="773" t="s">
        <v>2063</v>
      </c>
      <c r="D54" s="777">
        <v>0.01</v>
      </c>
      <c r="E54" s="839">
        <v>2022</v>
      </c>
      <c r="F54" s="773" t="s">
        <v>980</v>
      </c>
      <c r="G54" s="772"/>
      <c r="H54" s="768"/>
      <c r="I54" s="768" t="s">
        <v>2079</v>
      </c>
      <c r="J54" s="790"/>
      <c r="K54" s="550" t="s">
        <v>981</v>
      </c>
      <c r="L54" s="554"/>
      <c r="M54" s="551" t="s">
        <v>2080</v>
      </c>
      <c r="N54" s="797" t="s">
        <v>177</v>
      </c>
      <c r="O54" s="326">
        <v>2</v>
      </c>
      <c r="P54" s="326" t="str">
        <f>VLOOKUP(N54,Source!F:F,1,FALSE)</f>
        <v>North Shore Comm. College</v>
      </c>
      <c r="Q54" s="326"/>
      <c r="R54" s="326"/>
      <c r="S54" s="326"/>
      <c r="T54" s="326"/>
      <c r="U54" s="326"/>
      <c r="V54" s="326"/>
      <c r="W54" s="326"/>
      <c r="X54" s="326"/>
      <c r="Y54" s="326"/>
      <c r="Z54" s="326"/>
      <c r="AA54" s="326"/>
      <c r="AB54" s="326"/>
      <c r="AC54" s="326"/>
      <c r="AD54" s="326"/>
      <c r="AE54" s="326"/>
      <c r="AF54" s="326"/>
      <c r="AG54" s="326"/>
      <c r="AH54" s="326"/>
      <c r="AI54" s="326"/>
      <c r="AJ54" s="326"/>
      <c r="AK54" s="326"/>
      <c r="AL54" s="326"/>
      <c r="AM54" s="326"/>
      <c r="AN54" s="326"/>
      <c r="AO54" s="326"/>
      <c r="AP54" s="326"/>
      <c r="AQ54" s="326"/>
      <c r="AR54" s="326"/>
      <c r="AS54" s="326"/>
      <c r="AT54" s="326"/>
      <c r="AU54" s="326"/>
    </row>
    <row r="55" spans="1:47" s="327" customFormat="1" ht="45" customHeight="1">
      <c r="A55" s="325" t="s">
        <v>562</v>
      </c>
      <c r="B55" s="836" t="s">
        <v>1044</v>
      </c>
      <c r="C55" s="836" t="s">
        <v>2062</v>
      </c>
      <c r="D55" s="848">
        <v>0.67</v>
      </c>
      <c r="E55" s="849">
        <v>2019</v>
      </c>
      <c r="F55" s="836" t="s">
        <v>985</v>
      </c>
      <c r="G55" s="836" t="s">
        <v>981</v>
      </c>
      <c r="H55" s="859" t="s">
        <v>1045</v>
      </c>
      <c r="I55" s="836" t="s">
        <v>2476</v>
      </c>
      <c r="J55" s="867" t="s">
        <v>981</v>
      </c>
      <c r="K55" s="871" t="s">
        <v>981</v>
      </c>
      <c r="L55" s="871" t="s">
        <v>981</v>
      </c>
      <c r="M55" s="872" t="s">
        <v>2534</v>
      </c>
      <c r="N55" s="874" t="s">
        <v>183</v>
      </c>
      <c r="O55" s="326">
        <v>1</v>
      </c>
      <c r="P55" s="326" t="str">
        <f>VLOOKUP(N55,Source!F:F,1,FALSE)</f>
        <v>Quinsigamond Comm. College</v>
      </c>
      <c r="Q55" s="326"/>
      <c r="R55" s="326"/>
      <c r="S55" s="326"/>
      <c r="T55" s="326"/>
      <c r="U55" s="326"/>
      <c r="V55" s="326"/>
      <c r="W55" s="326"/>
      <c r="X55" s="326"/>
      <c r="Y55" s="326"/>
      <c r="Z55" s="326"/>
      <c r="AA55" s="326"/>
      <c r="AB55" s="326"/>
      <c r="AC55" s="326"/>
      <c r="AD55" s="326"/>
      <c r="AE55" s="326"/>
      <c r="AF55" s="326"/>
      <c r="AG55" s="326"/>
      <c r="AH55" s="326"/>
      <c r="AI55" s="326"/>
      <c r="AJ55" s="326"/>
      <c r="AK55" s="326"/>
      <c r="AL55" s="326"/>
      <c r="AM55" s="326"/>
      <c r="AN55" s="326"/>
      <c r="AO55" s="326"/>
      <c r="AP55" s="326"/>
      <c r="AQ55" s="326"/>
      <c r="AR55" s="326"/>
      <c r="AS55" s="326"/>
      <c r="AT55" s="326"/>
      <c r="AU55" s="326"/>
    </row>
    <row r="56" spans="1:47" s="327" customFormat="1" ht="45" customHeight="1">
      <c r="A56" s="325" t="str">
        <f t="shared" si="0"/>
        <v>Salem State University1</v>
      </c>
      <c r="B56" s="773" t="s">
        <v>2050</v>
      </c>
      <c r="C56" s="773" t="s">
        <v>944</v>
      </c>
      <c r="D56" s="774" t="s">
        <v>2065</v>
      </c>
      <c r="E56" s="843" t="s">
        <v>2066</v>
      </c>
      <c r="F56" s="773" t="s">
        <v>980</v>
      </c>
      <c r="G56" s="773"/>
      <c r="H56" s="791" t="s">
        <v>191</v>
      </c>
      <c r="I56" s="773"/>
      <c r="J56" s="792"/>
      <c r="K56" s="554"/>
      <c r="L56" s="554"/>
      <c r="M56" s="769"/>
      <c r="N56" s="797" t="s">
        <v>190</v>
      </c>
      <c r="O56" s="326">
        <v>1</v>
      </c>
      <c r="P56" s="326" t="str">
        <f>VLOOKUP(N56,Source!F:F,1,FALSE)</f>
        <v>Salem State University</v>
      </c>
      <c r="Q56" s="326"/>
      <c r="R56" s="326"/>
      <c r="S56" s="326"/>
      <c r="T56" s="326"/>
      <c r="U56" s="326"/>
      <c r="V56" s="326"/>
      <c r="W56" s="326"/>
      <c r="X56" s="326"/>
      <c r="Y56" s="326"/>
      <c r="Z56" s="326"/>
      <c r="AA56" s="326"/>
      <c r="AB56" s="326"/>
      <c r="AC56" s="326"/>
      <c r="AD56" s="326"/>
      <c r="AE56" s="326"/>
      <c r="AF56" s="326"/>
      <c r="AG56" s="326"/>
      <c r="AH56" s="326"/>
      <c r="AI56" s="326"/>
      <c r="AJ56" s="326"/>
      <c r="AK56" s="326"/>
      <c r="AL56" s="326"/>
      <c r="AM56" s="326"/>
      <c r="AN56" s="326"/>
      <c r="AO56" s="326"/>
      <c r="AP56" s="326"/>
      <c r="AQ56" s="326"/>
      <c r="AR56" s="326"/>
      <c r="AS56" s="326"/>
      <c r="AT56" s="326"/>
      <c r="AU56" s="326"/>
    </row>
    <row r="57" spans="1:47" s="327" customFormat="1" ht="45" customHeight="1">
      <c r="A57" s="325" t="str">
        <f t="shared" si="0"/>
        <v>Salem State University2</v>
      </c>
      <c r="B57" s="773" t="s">
        <v>2389</v>
      </c>
      <c r="C57" s="772" t="s">
        <v>2060</v>
      </c>
      <c r="D57" s="774">
        <v>9</v>
      </c>
      <c r="E57" s="841" t="s">
        <v>2061</v>
      </c>
      <c r="F57" s="773" t="s">
        <v>980</v>
      </c>
      <c r="G57" s="772"/>
      <c r="H57" s="768" t="s">
        <v>191</v>
      </c>
      <c r="I57" s="773" t="s">
        <v>2477</v>
      </c>
      <c r="J57" s="784"/>
      <c r="K57" s="550" t="s">
        <v>981</v>
      </c>
      <c r="L57" s="554"/>
      <c r="M57" s="551" t="s">
        <v>2533</v>
      </c>
      <c r="N57" s="797" t="s">
        <v>190</v>
      </c>
      <c r="O57" s="326">
        <v>2</v>
      </c>
      <c r="P57" s="326" t="str">
        <f>VLOOKUP(N57,Source!F:F,1,FALSE)</f>
        <v>Salem State University</v>
      </c>
      <c r="Q57" s="326"/>
      <c r="R57" s="326"/>
      <c r="S57" s="326"/>
      <c r="T57" s="326"/>
      <c r="U57" s="326"/>
      <c r="V57" s="326"/>
      <c r="W57" s="326"/>
      <c r="X57" s="326"/>
      <c r="Y57" s="326"/>
      <c r="Z57" s="326"/>
      <c r="AA57" s="326"/>
      <c r="AB57" s="326"/>
      <c r="AC57" s="326"/>
      <c r="AD57" s="326"/>
      <c r="AE57" s="326"/>
      <c r="AF57" s="326"/>
      <c r="AG57" s="326"/>
      <c r="AH57" s="326"/>
      <c r="AI57" s="326"/>
      <c r="AJ57" s="326"/>
      <c r="AK57" s="326"/>
      <c r="AL57" s="326"/>
      <c r="AM57" s="326"/>
      <c r="AN57" s="326"/>
      <c r="AO57" s="326"/>
      <c r="AP57" s="326"/>
      <c r="AQ57" s="326"/>
      <c r="AR57" s="326"/>
      <c r="AS57" s="326"/>
      <c r="AT57" s="326"/>
      <c r="AU57" s="326"/>
    </row>
    <row r="58" spans="1:47" s="327" customFormat="1" ht="45" customHeight="1">
      <c r="A58" s="325" t="str">
        <f t="shared" si="0"/>
        <v>Umass Amherst1</v>
      </c>
      <c r="B58" s="551" t="s">
        <v>2390</v>
      </c>
      <c r="C58" s="551" t="s">
        <v>2060</v>
      </c>
      <c r="D58" s="551">
        <v>12.3</v>
      </c>
      <c r="E58" s="847">
        <v>2019</v>
      </c>
      <c r="F58" s="551" t="s">
        <v>980</v>
      </c>
      <c r="G58" s="551"/>
      <c r="H58" s="783" t="s">
        <v>2478</v>
      </c>
      <c r="I58" s="551" t="s">
        <v>2479</v>
      </c>
      <c r="J58" s="550"/>
      <c r="K58" s="550"/>
      <c r="L58" s="550"/>
      <c r="M58" s="551" t="s">
        <v>2533</v>
      </c>
      <c r="N58" s="873" t="s">
        <v>658</v>
      </c>
      <c r="O58" s="326">
        <v>1</v>
      </c>
      <c r="P58" s="326" t="str">
        <f>VLOOKUP(N58,Source!F:F,1,FALSE)</f>
        <v>UMass Amherst</v>
      </c>
      <c r="Q58" s="326"/>
      <c r="R58" s="326"/>
      <c r="S58" s="326"/>
      <c r="T58" s="326"/>
      <c r="U58" s="326"/>
      <c r="V58" s="326"/>
      <c r="W58" s="326"/>
      <c r="X58" s="326"/>
      <c r="Y58" s="326"/>
      <c r="Z58" s="326"/>
      <c r="AA58" s="326"/>
      <c r="AB58" s="326"/>
      <c r="AC58" s="326"/>
      <c r="AD58" s="326"/>
      <c r="AE58" s="326"/>
      <c r="AF58" s="326"/>
      <c r="AG58" s="326"/>
      <c r="AH58" s="326"/>
      <c r="AI58" s="326"/>
      <c r="AJ58" s="326"/>
      <c r="AK58" s="326"/>
      <c r="AL58" s="326"/>
      <c r="AM58" s="326"/>
      <c r="AN58" s="326"/>
      <c r="AO58" s="326"/>
      <c r="AP58" s="326"/>
      <c r="AQ58" s="326"/>
      <c r="AR58" s="326"/>
      <c r="AS58" s="326"/>
      <c r="AT58" s="326"/>
      <c r="AU58" s="326"/>
    </row>
    <row r="59" spans="1:47" s="327" customFormat="1" ht="45" customHeight="1">
      <c r="A59" s="325" t="str">
        <f t="shared" si="0"/>
        <v>UMass Amherst2</v>
      </c>
      <c r="B59" s="769" t="s">
        <v>1049</v>
      </c>
      <c r="C59" s="769" t="s">
        <v>2060</v>
      </c>
      <c r="D59" s="777">
        <v>4</v>
      </c>
      <c r="E59" s="839">
        <v>2019</v>
      </c>
      <c r="F59" s="769" t="s">
        <v>980</v>
      </c>
      <c r="G59" s="769" t="s">
        <v>982</v>
      </c>
      <c r="H59" s="860"/>
      <c r="I59" s="769" t="s">
        <v>1050</v>
      </c>
      <c r="J59" s="784" t="s">
        <v>982</v>
      </c>
      <c r="K59" s="550" t="s">
        <v>982</v>
      </c>
      <c r="L59" s="554" t="s">
        <v>981</v>
      </c>
      <c r="M59" s="551" t="s">
        <v>2533</v>
      </c>
      <c r="N59" s="796" t="s">
        <v>201</v>
      </c>
      <c r="O59" s="326">
        <v>2</v>
      </c>
      <c r="P59" s="326" t="str">
        <f>VLOOKUP(N59,Source!F:F,1,FALSE)</f>
        <v>UMass Amherst</v>
      </c>
      <c r="Q59" s="326"/>
      <c r="R59" s="326"/>
      <c r="S59" s="326"/>
      <c r="T59" s="326"/>
      <c r="U59" s="326"/>
      <c r="V59" s="326"/>
      <c r="W59" s="326"/>
      <c r="X59" s="326"/>
      <c r="Y59" s="326"/>
      <c r="Z59" s="326"/>
      <c r="AA59" s="326"/>
      <c r="AB59" s="326"/>
      <c r="AC59" s="326"/>
      <c r="AD59" s="326"/>
      <c r="AE59" s="326"/>
      <c r="AF59" s="326"/>
      <c r="AG59" s="326"/>
      <c r="AH59" s="326"/>
      <c r="AI59" s="326"/>
      <c r="AJ59" s="326"/>
      <c r="AK59" s="326"/>
      <c r="AL59" s="326"/>
      <c r="AM59" s="326"/>
      <c r="AN59" s="326"/>
      <c r="AO59" s="326"/>
      <c r="AP59" s="326"/>
      <c r="AQ59" s="326"/>
      <c r="AR59" s="326"/>
      <c r="AS59" s="326"/>
      <c r="AT59" s="326"/>
      <c r="AU59" s="326"/>
    </row>
    <row r="60" spans="1:47" s="327" customFormat="1" ht="45" customHeight="1">
      <c r="A60" s="325" t="str">
        <f t="shared" si="0"/>
        <v>UMass Amherst3</v>
      </c>
      <c r="B60" s="769" t="s">
        <v>1047</v>
      </c>
      <c r="C60" s="769" t="s">
        <v>2060</v>
      </c>
      <c r="D60" s="777">
        <v>0.8</v>
      </c>
      <c r="E60" s="839">
        <v>2019</v>
      </c>
      <c r="F60" s="769" t="s">
        <v>980</v>
      </c>
      <c r="G60" s="769" t="s">
        <v>981</v>
      </c>
      <c r="H60" s="860"/>
      <c r="I60" s="769" t="s">
        <v>1048</v>
      </c>
      <c r="J60" s="784" t="s">
        <v>982</v>
      </c>
      <c r="K60" s="550" t="s">
        <v>982</v>
      </c>
      <c r="L60" s="554" t="s">
        <v>981</v>
      </c>
      <c r="M60" s="551" t="s">
        <v>2533</v>
      </c>
      <c r="N60" s="796" t="s">
        <v>201</v>
      </c>
      <c r="O60" s="326">
        <v>3</v>
      </c>
      <c r="P60" s="326" t="str">
        <f>VLOOKUP(N60,Source!F:F,1,FALSE)</f>
        <v>UMass Amherst</v>
      </c>
      <c r="Q60" s="326"/>
      <c r="R60" s="326"/>
      <c r="S60" s="326"/>
      <c r="T60" s="326"/>
      <c r="U60" s="326"/>
      <c r="V60" s="326"/>
      <c r="W60" s="326"/>
      <c r="X60" s="326"/>
      <c r="Y60" s="326"/>
      <c r="Z60" s="326"/>
      <c r="AA60" s="326"/>
      <c r="AB60" s="326"/>
      <c r="AC60" s="326"/>
      <c r="AD60" s="326"/>
      <c r="AE60" s="326"/>
      <c r="AF60" s="326"/>
      <c r="AG60" s="326"/>
      <c r="AH60" s="326"/>
      <c r="AI60" s="326"/>
      <c r="AJ60" s="326"/>
      <c r="AK60" s="326"/>
      <c r="AL60" s="326"/>
      <c r="AM60" s="326"/>
      <c r="AN60" s="326"/>
      <c r="AO60" s="326"/>
      <c r="AP60" s="326"/>
      <c r="AQ60" s="326"/>
      <c r="AR60" s="326"/>
      <c r="AS60" s="326"/>
      <c r="AT60" s="326"/>
      <c r="AU60" s="326"/>
    </row>
    <row r="61" spans="1:47" s="327" customFormat="1" ht="45" customHeight="1">
      <c r="A61" s="325" t="str">
        <f t="shared" si="0"/>
        <v>UMass Amherst4</v>
      </c>
      <c r="B61" s="769" t="s">
        <v>1053</v>
      </c>
      <c r="C61" s="769" t="s">
        <v>2060</v>
      </c>
      <c r="D61" s="777">
        <v>0.26</v>
      </c>
      <c r="E61" s="839">
        <v>2019</v>
      </c>
      <c r="F61" s="769" t="s">
        <v>980</v>
      </c>
      <c r="G61" s="769" t="s">
        <v>981</v>
      </c>
      <c r="H61" s="860"/>
      <c r="I61" s="769" t="s">
        <v>1052</v>
      </c>
      <c r="J61" s="784" t="s">
        <v>982</v>
      </c>
      <c r="K61" s="550" t="s">
        <v>982</v>
      </c>
      <c r="L61" s="554" t="s">
        <v>981</v>
      </c>
      <c r="M61" s="551" t="s">
        <v>2533</v>
      </c>
      <c r="N61" s="796" t="s">
        <v>201</v>
      </c>
      <c r="O61" s="326">
        <v>4</v>
      </c>
      <c r="P61" s="326" t="str">
        <f>VLOOKUP(N61,Source!F:F,1,FALSE)</f>
        <v>UMass Amherst</v>
      </c>
      <c r="Q61" s="326"/>
      <c r="R61" s="326"/>
      <c r="S61" s="326"/>
      <c r="T61" s="326"/>
      <c r="U61" s="326"/>
      <c r="V61" s="326"/>
      <c r="W61" s="326"/>
      <c r="X61" s="326"/>
      <c r="Y61" s="326"/>
      <c r="Z61" s="326"/>
      <c r="AA61" s="326"/>
      <c r="AB61" s="326"/>
      <c r="AC61" s="326"/>
      <c r="AD61" s="326"/>
      <c r="AE61" s="326"/>
      <c r="AF61" s="326"/>
      <c r="AG61" s="326"/>
      <c r="AH61" s="326"/>
      <c r="AI61" s="326"/>
      <c r="AJ61" s="326"/>
      <c r="AK61" s="326"/>
      <c r="AL61" s="326"/>
      <c r="AM61" s="326"/>
      <c r="AN61" s="326"/>
      <c r="AO61" s="326"/>
      <c r="AP61" s="326"/>
      <c r="AQ61" s="326"/>
      <c r="AR61" s="326"/>
      <c r="AS61" s="326"/>
      <c r="AT61" s="326"/>
      <c r="AU61" s="326"/>
    </row>
    <row r="62" spans="1:47" s="327" customFormat="1" ht="92.25" customHeight="1">
      <c r="A62" s="325" t="str">
        <f t="shared" si="0"/>
        <v>UMass Amherst5</v>
      </c>
      <c r="B62" s="769" t="s">
        <v>1046</v>
      </c>
      <c r="C62" s="769" t="s">
        <v>2063</v>
      </c>
      <c r="D62" s="777">
        <v>0.18</v>
      </c>
      <c r="E62" s="839">
        <v>2016</v>
      </c>
      <c r="F62" s="769" t="s">
        <v>980</v>
      </c>
      <c r="G62" s="769" t="s">
        <v>982</v>
      </c>
      <c r="H62" s="783" t="s">
        <v>202</v>
      </c>
      <c r="I62" s="769"/>
      <c r="J62" s="784" t="s">
        <v>982</v>
      </c>
      <c r="K62" s="550" t="s">
        <v>982</v>
      </c>
      <c r="L62" s="554" t="s">
        <v>981</v>
      </c>
      <c r="M62" s="551" t="s">
        <v>2533</v>
      </c>
      <c r="N62" s="796" t="s">
        <v>201</v>
      </c>
      <c r="O62" s="326">
        <v>5</v>
      </c>
      <c r="P62" s="326" t="str">
        <f>VLOOKUP(N62,Source!F:F,1,FALSE)</f>
        <v>UMass Amherst</v>
      </c>
      <c r="Q62" s="326"/>
      <c r="R62" s="326"/>
      <c r="S62" s="326"/>
      <c r="T62" s="326"/>
      <c r="U62" s="326"/>
      <c r="V62" s="326"/>
      <c r="W62" s="326"/>
      <c r="X62" s="326"/>
      <c r="Y62" s="326"/>
      <c r="Z62" s="326"/>
      <c r="AA62" s="326"/>
      <c r="AB62" s="326"/>
      <c r="AC62" s="326"/>
      <c r="AD62" s="326"/>
      <c r="AE62" s="326"/>
      <c r="AF62" s="326"/>
      <c r="AG62" s="326"/>
      <c r="AH62" s="326"/>
      <c r="AI62" s="326"/>
      <c r="AJ62" s="326"/>
      <c r="AK62" s="326"/>
      <c r="AL62" s="326"/>
      <c r="AM62" s="326"/>
      <c r="AN62" s="326"/>
      <c r="AO62" s="326"/>
      <c r="AP62" s="326"/>
      <c r="AQ62" s="326"/>
      <c r="AR62" s="326"/>
      <c r="AS62" s="326"/>
      <c r="AT62" s="326"/>
      <c r="AU62" s="326"/>
    </row>
    <row r="63" spans="1:47" s="327" customFormat="1" ht="30">
      <c r="A63" s="325" t="str">
        <f t="shared" si="0"/>
        <v>UMass Amherst6</v>
      </c>
      <c r="B63" s="769" t="s">
        <v>1051</v>
      </c>
      <c r="C63" s="769" t="s">
        <v>2060</v>
      </c>
      <c r="D63" s="777">
        <v>1.6E-2</v>
      </c>
      <c r="E63" s="839">
        <v>2019</v>
      </c>
      <c r="F63" s="769" t="s">
        <v>980</v>
      </c>
      <c r="G63" s="769" t="s">
        <v>981</v>
      </c>
      <c r="H63" s="860"/>
      <c r="I63" s="769" t="s">
        <v>1052</v>
      </c>
      <c r="J63" s="784" t="s">
        <v>982</v>
      </c>
      <c r="K63" s="550" t="s">
        <v>982</v>
      </c>
      <c r="L63" s="554" t="s">
        <v>981</v>
      </c>
      <c r="M63" s="551" t="s">
        <v>2533</v>
      </c>
      <c r="N63" s="796" t="s">
        <v>201</v>
      </c>
      <c r="O63" s="326">
        <v>6</v>
      </c>
      <c r="P63" s="326" t="str">
        <f>VLOOKUP(N63,Source!F:F,1,FALSE)</f>
        <v>UMass Amherst</v>
      </c>
      <c r="Q63" s="326"/>
      <c r="R63" s="326"/>
      <c r="S63" s="326"/>
      <c r="T63" s="326"/>
      <c r="U63" s="326"/>
      <c r="V63" s="326"/>
      <c r="W63" s="326"/>
      <c r="X63" s="326"/>
      <c r="Y63" s="326"/>
      <c r="Z63" s="326"/>
      <c r="AA63" s="326"/>
      <c r="AB63" s="326"/>
      <c r="AC63" s="326"/>
      <c r="AD63" s="326"/>
      <c r="AE63" s="326"/>
      <c r="AF63" s="326"/>
      <c r="AG63" s="326"/>
      <c r="AH63" s="326"/>
      <c r="AI63" s="326"/>
      <c r="AJ63" s="326"/>
      <c r="AK63" s="326"/>
      <c r="AL63" s="326"/>
      <c r="AM63" s="326"/>
      <c r="AN63" s="326"/>
      <c r="AO63" s="326"/>
      <c r="AP63" s="326"/>
      <c r="AQ63" s="326"/>
      <c r="AR63" s="326"/>
      <c r="AS63" s="326"/>
      <c r="AT63" s="326"/>
      <c r="AU63" s="326"/>
    </row>
    <row r="64" spans="1:47" s="327" customFormat="1">
      <c r="A64" s="325" t="str">
        <f t="shared" si="0"/>
        <v>UMass Amherst7</v>
      </c>
      <c r="B64" s="769" t="s">
        <v>1055</v>
      </c>
      <c r="C64" s="769" t="s">
        <v>1054</v>
      </c>
      <c r="D64" s="769">
        <v>75</v>
      </c>
      <c r="E64" s="839">
        <v>2017</v>
      </c>
      <c r="F64" s="769" t="s">
        <v>980</v>
      </c>
      <c r="G64" s="769" t="s">
        <v>981</v>
      </c>
      <c r="H64" s="769"/>
      <c r="I64" s="769" t="s">
        <v>2480</v>
      </c>
      <c r="J64" s="769"/>
      <c r="K64" s="769" t="s">
        <v>981</v>
      </c>
      <c r="L64" s="769"/>
      <c r="M64" s="769"/>
      <c r="N64" s="796" t="s">
        <v>201</v>
      </c>
      <c r="O64" s="326">
        <v>7</v>
      </c>
      <c r="P64" s="326" t="str">
        <f>VLOOKUP(N64,Source!F:F,1,FALSE)</f>
        <v>UMass Amherst</v>
      </c>
      <c r="Q64" s="326"/>
      <c r="R64" s="326"/>
      <c r="S64" s="326"/>
      <c r="T64" s="326"/>
      <c r="U64" s="326"/>
      <c r="V64" s="326"/>
      <c r="W64" s="326"/>
      <c r="X64" s="326"/>
      <c r="Y64" s="326"/>
      <c r="Z64" s="326"/>
      <c r="AA64" s="326"/>
      <c r="AB64" s="326"/>
      <c r="AC64" s="326"/>
      <c r="AD64" s="326"/>
      <c r="AE64" s="326"/>
      <c r="AF64" s="326"/>
      <c r="AG64" s="326"/>
      <c r="AH64" s="326"/>
      <c r="AI64" s="326"/>
      <c r="AJ64" s="326"/>
      <c r="AK64" s="326"/>
      <c r="AL64" s="326"/>
      <c r="AM64" s="326"/>
      <c r="AN64" s="326"/>
      <c r="AO64" s="326"/>
      <c r="AP64" s="326"/>
      <c r="AQ64" s="326"/>
      <c r="AR64" s="326"/>
      <c r="AS64" s="326"/>
      <c r="AT64" s="326"/>
      <c r="AU64" s="326"/>
    </row>
    <row r="65" spans="1:47" s="327" customFormat="1" ht="43.5" customHeight="1">
      <c r="A65" s="325" t="str">
        <f t="shared" si="0"/>
        <v>UMass Boston1</v>
      </c>
      <c r="B65" s="769" t="s">
        <v>2051</v>
      </c>
      <c r="C65" s="769" t="s">
        <v>2062</v>
      </c>
      <c r="D65" s="550">
        <v>4</v>
      </c>
      <c r="E65" s="839">
        <v>2022</v>
      </c>
      <c r="F65" s="769" t="s">
        <v>985</v>
      </c>
      <c r="G65" s="769" t="s">
        <v>716</v>
      </c>
      <c r="H65" s="783" t="s">
        <v>2081</v>
      </c>
      <c r="I65" s="550"/>
      <c r="J65" s="792"/>
      <c r="K65" s="550" t="s">
        <v>981</v>
      </c>
      <c r="L65" s="554"/>
      <c r="M65" s="550"/>
      <c r="N65" s="796" t="s">
        <v>206</v>
      </c>
      <c r="O65" s="326">
        <v>1</v>
      </c>
      <c r="P65" s="326" t="str">
        <f>VLOOKUP(N65,Source!F:F,1,FALSE)</f>
        <v>UMass Boston</v>
      </c>
      <c r="Q65" s="326"/>
      <c r="R65" s="326"/>
      <c r="S65" s="326"/>
      <c r="T65" s="326"/>
      <c r="U65" s="326"/>
      <c r="V65" s="326"/>
      <c r="W65" s="326"/>
      <c r="X65" s="326"/>
      <c r="Y65" s="326"/>
      <c r="Z65" s="326"/>
      <c r="AA65" s="326"/>
      <c r="AB65" s="326"/>
      <c r="AC65" s="326"/>
      <c r="AD65" s="326"/>
      <c r="AE65" s="326"/>
      <c r="AF65" s="326"/>
      <c r="AG65" s="326"/>
      <c r="AH65" s="326"/>
      <c r="AI65" s="326"/>
      <c r="AJ65" s="326"/>
      <c r="AK65" s="326"/>
      <c r="AL65" s="326"/>
      <c r="AM65" s="326"/>
      <c r="AN65" s="326"/>
      <c r="AO65" s="326"/>
      <c r="AP65" s="326"/>
      <c r="AQ65" s="326"/>
      <c r="AR65" s="326"/>
      <c r="AS65" s="326"/>
      <c r="AT65" s="326"/>
      <c r="AU65" s="326"/>
    </row>
    <row r="66" spans="1:47" s="327" customFormat="1" ht="50.1" customHeight="1">
      <c r="A66" s="325" t="str">
        <f t="shared" si="0"/>
        <v>UMass Boston2</v>
      </c>
      <c r="B66" s="770" t="s">
        <v>2051</v>
      </c>
      <c r="C66" s="770" t="s">
        <v>2063</v>
      </c>
      <c r="D66" s="770">
        <v>4</v>
      </c>
      <c r="E66" s="844">
        <v>2022</v>
      </c>
      <c r="F66" s="770" t="s">
        <v>985</v>
      </c>
      <c r="G66" s="770" t="s">
        <v>716</v>
      </c>
      <c r="H66" s="793" t="s">
        <v>2081</v>
      </c>
      <c r="I66" s="770" t="s">
        <v>2082</v>
      </c>
      <c r="J66" s="794" t="s">
        <v>981</v>
      </c>
      <c r="K66" s="788" t="s">
        <v>981</v>
      </c>
      <c r="L66" s="788" t="s">
        <v>981</v>
      </c>
      <c r="M66" s="788" t="s">
        <v>2083</v>
      </c>
      <c r="N66" s="798" t="s">
        <v>206</v>
      </c>
      <c r="O66" s="326">
        <v>2</v>
      </c>
      <c r="P66" s="326" t="str">
        <f>VLOOKUP(N66,Source!F:F,1,FALSE)</f>
        <v>UMass Boston</v>
      </c>
      <c r="Q66" s="326"/>
      <c r="R66" s="326"/>
      <c r="S66" s="326"/>
      <c r="T66" s="326"/>
      <c r="U66" s="326"/>
      <c r="V66" s="326"/>
      <c r="W66" s="326"/>
      <c r="X66" s="326"/>
      <c r="Y66" s="326"/>
      <c r="Z66" s="326"/>
      <c r="AA66" s="326"/>
      <c r="AB66" s="326"/>
      <c r="AC66" s="326"/>
      <c r="AD66" s="326"/>
      <c r="AE66" s="326"/>
      <c r="AF66" s="326"/>
      <c r="AG66" s="326"/>
      <c r="AH66" s="326"/>
      <c r="AI66" s="326"/>
      <c r="AJ66" s="326"/>
      <c r="AK66" s="326"/>
      <c r="AL66" s="326"/>
      <c r="AM66" s="326"/>
      <c r="AN66" s="326"/>
      <c r="AO66" s="326"/>
      <c r="AP66" s="326"/>
      <c r="AQ66" s="326"/>
      <c r="AR66" s="326"/>
      <c r="AS66" s="326"/>
      <c r="AT66" s="326"/>
      <c r="AU66" s="326"/>
    </row>
    <row r="67" spans="1:47" s="327" customFormat="1" ht="48" customHeight="1">
      <c r="A67" s="325" t="str">
        <f t="shared" si="0"/>
        <v>UMass Boston3</v>
      </c>
      <c r="B67" s="769" t="s">
        <v>1057</v>
      </c>
      <c r="C67" s="769" t="s">
        <v>2062</v>
      </c>
      <c r="D67" s="550">
        <v>3</v>
      </c>
      <c r="E67" s="839">
        <v>2018</v>
      </c>
      <c r="F67" s="769" t="s">
        <v>980</v>
      </c>
      <c r="G67" s="769" t="s">
        <v>716</v>
      </c>
      <c r="H67" s="783" t="s">
        <v>2081</v>
      </c>
      <c r="I67" s="550"/>
      <c r="J67" s="792" t="s">
        <v>981</v>
      </c>
      <c r="K67" s="550" t="s">
        <v>981</v>
      </c>
      <c r="L67" s="554" t="s">
        <v>981</v>
      </c>
      <c r="M67" s="550"/>
      <c r="N67" s="796" t="s">
        <v>206</v>
      </c>
      <c r="O67" s="326">
        <v>3</v>
      </c>
      <c r="P67" s="326" t="str">
        <f>VLOOKUP(N67,Source!F:F,1,FALSE)</f>
        <v>UMass Boston</v>
      </c>
      <c r="Q67" s="326"/>
      <c r="R67" s="326"/>
      <c r="S67" s="326"/>
      <c r="T67" s="326"/>
      <c r="U67" s="326"/>
      <c r="V67" s="326"/>
      <c r="W67" s="326"/>
      <c r="X67" s="326"/>
      <c r="Y67" s="326"/>
      <c r="Z67" s="326"/>
      <c r="AA67" s="326"/>
      <c r="AB67" s="326"/>
      <c r="AC67" s="326"/>
      <c r="AD67" s="326"/>
      <c r="AE67" s="326"/>
      <c r="AF67" s="326"/>
      <c r="AG67" s="326"/>
      <c r="AH67" s="326"/>
      <c r="AI67" s="326"/>
      <c r="AJ67" s="326"/>
      <c r="AK67" s="326"/>
      <c r="AL67" s="326"/>
      <c r="AM67" s="326"/>
      <c r="AN67" s="326"/>
      <c r="AO67" s="326"/>
      <c r="AP67" s="326"/>
      <c r="AQ67" s="326"/>
      <c r="AR67" s="326"/>
      <c r="AS67" s="326"/>
      <c r="AT67" s="326"/>
      <c r="AU67" s="326"/>
    </row>
    <row r="68" spans="1:47" s="327" customFormat="1" ht="48" customHeight="1">
      <c r="A68" s="325" t="str">
        <f t="shared" si="0"/>
        <v>UMass Boston4</v>
      </c>
      <c r="B68" s="769" t="s">
        <v>1056</v>
      </c>
      <c r="C68" s="769" t="s">
        <v>2062</v>
      </c>
      <c r="D68" s="769">
        <v>1.5</v>
      </c>
      <c r="E68" s="839">
        <v>2015</v>
      </c>
      <c r="F68" s="769" t="s">
        <v>980</v>
      </c>
      <c r="G68" s="769" t="s">
        <v>716</v>
      </c>
      <c r="H68" s="783" t="s">
        <v>2081</v>
      </c>
      <c r="I68" s="550"/>
      <c r="J68" s="792" t="s">
        <v>981</v>
      </c>
      <c r="K68" s="550" t="s">
        <v>981</v>
      </c>
      <c r="L68" s="554" t="s">
        <v>981</v>
      </c>
      <c r="M68" s="550" t="s">
        <v>2535</v>
      </c>
      <c r="N68" s="796" t="s">
        <v>206</v>
      </c>
      <c r="O68" s="326">
        <v>4</v>
      </c>
      <c r="P68" s="326" t="str">
        <f>VLOOKUP(N68,Source!F:F,1,FALSE)</f>
        <v>UMass Boston</v>
      </c>
      <c r="Q68" s="326"/>
      <c r="R68" s="326"/>
      <c r="S68" s="326"/>
      <c r="T68" s="326"/>
      <c r="U68" s="326"/>
      <c r="V68" s="326"/>
      <c r="W68" s="326"/>
      <c r="X68" s="326"/>
      <c r="Y68" s="326"/>
      <c r="Z68" s="326"/>
      <c r="AA68" s="326"/>
      <c r="AB68" s="326"/>
      <c r="AC68" s="326"/>
      <c r="AD68" s="326"/>
      <c r="AE68" s="326"/>
      <c r="AF68" s="326"/>
      <c r="AG68" s="326"/>
      <c r="AH68" s="326"/>
      <c r="AI68" s="326"/>
      <c r="AJ68" s="326"/>
      <c r="AK68" s="326"/>
      <c r="AL68" s="326"/>
      <c r="AM68" s="326"/>
      <c r="AN68" s="326"/>
      <c r="AO68" s="326"/>
      <c r="AP68" s="326"/>
      <c r="AQ68" s="326"/>
      <c r="AR68" s="326"/>
      <c r="AS68" s="326"/>
      <c r="AT68" s="326"/>
      <c r="AU68" s="326"/>
    </row>
    <row r="69" spans="1:47" s="327" customFormat="1" ht="48" customHeight="1">
      <c r="A69" s="325" t="str">
        <f t="shared" si="0"/>
        <v>UMass Boston5</v>
      </c>
      <c r="B69" s="769" t="s">
        <v>2391</v>
      </c>
      <c r="C69" s="769" t="s">
        <v>2063</v>
      </c>
      <c r="D69" s="550">
        <v>0.5</v>
      </c>
      <c r="E69" s="839">
        <v>2016</v>
      </c>
      <c r="F69" s="769" t="s">
        <v>980</v>
      </c>
      <c r="G69" s="769" t="s">
        <v>716</v>
      </c>
      <c r="H69" s="783" t="s">
        <v>2081</v>
      </c>
      <c r="I69" s="550"/>
      <c r="J69" s="792" t="s">
        <v>981</v>
      </c>
      <c r="K69" s="550" t="s">
        <v>981</v>
      </c>
      <c r="L69" s="554" t="s">
        <v>981</v>
      </c>
      <c r="M69" s="550"/>
      <c r="N69" s="796" t="s">
        <v>206</v>
      </c>
      <c r="O69" s="326">
        <v>5</v>
      </c>
      <c r="P69" s="326" t="str">
        <f>VLOOKUP(N69,Source!F:F,1,FALSE)</f>
        <v>UMass Boston</v>
      </c>
      <c r="Q69" s="326"/>
      <c r="R69" s="326"/>
      <c r="S69" s="326"/>
      <c r="T69" s="326"/>
      <c r="U69" s="326"/>
      <c r="V69" s="326"/>
      <c r="W69" s="326"/>
      <c r="X69" s="326"/>
      <c r="Y69" s="326"/>
      <c r="Z69" s="326"/>
      <c r="AA69" s="326"/>
      <c r="AB69" s="326"/>
      <c r="AC69" s="326"/>
      <c r="AD69" s="326"/>
      <c r="AE69" s="326"/>
      <c r="AF69" s="326"/>
      <c r="AG69" s="326"/>
      <c r="AH69" s="326"/>
      <c r="AI69" s="326"/>
      <c r="AJ69" s="326"/>
      <c r="AK69" s="326"/>
      <c r="AL69" s="326"/>
      <c r="AM69" s="326"/>
      <c r="AN69" s="326"/>
      <c r="AO69" s="326"/>
      <c r="AP69" s="326"/>
      <c r="AQ69" s="326"/>
      <c r="AR69" s="326"/>
      <c r="AS69" s="326"/>
      <c r="AT69" s="326"/>
      <c r="AU69" s="326"/>
    </row>
    <row r="70" spans="1:47" s="327" customFormat="1" ht="48" customHeight="1">
      <c r="A70" s="325" t="str">
        <f t="shared" si="0"/>
        <v>UMass Medical1</v>
      </c>
      <c r="B70" s="769" t="s">
        <v>2052</v>
      </c>
      <c r="C70" s="769" t="s">
        <v>2063</v>
      </c>
      <c r="D70" s="779"/>
      <c r="E70" s="839">
        <v>2024</v>
      </c>
      <c r="F70" s="769" t="s">
        <v>2449</v>
      </c>
      <c r="G70" s="769"/>
      <c r="H70" s="793" t="s">
        <v>1480</v>
      </c>
      <c r="I70" s="769" t="s">
        <v>2481</v>
      </c>
      <c r="J70" s="784"/>
      <c r="K70" s="554"/>
      <c r="L70" s="554"/>
      <c r="M70" s="554"/>
      <c r="N70" s="798" t="s">
        <v>213</v>
      </c>
      <c r="O70" s="326">
        <v>1</v>
      </c>
      <c r="P70" s="326" t="str">
        <f>VLOOKUP(N70,Source!F:F,1,FALSE)</f>
        <v>UMass Medical</v>
      </c>
      <c r="Q70" s="326"/>
      <c r="R70" s="326"/>
      <c r="S70" s="326"/>
      <c r="T70" s="326"/>
      <c r="U70" s="326"/>
      <c r="V70" s="326"/>
      <c r="W70" s="326"/>
      <c r="X70" s="326"/>
      <c r="Y70" s="326"/>
      <c r="Z70" s="326"/>
      <c r="AA70" s="326"/>
      <c r="AB70" s="326"/>
      <c r="AC70" s="326"/>
      <c r="AD70" s="326"/>
      <c r="AE70" s="326"/>
      <c r="AF70" s="326"/>
      <c r="AG70" s="326"/>
      <c r="AH70" s="326"/>
      <c r="AI70" s="326"/>
      <c r="AJ70" s="326"/>
      <c r="AK70" s="326"/>
      <c r="AL70" s="326"/>
      <c r="AM70" s="326"/>
      <c r="AN70" s="326"/>
      <c r="AO70" s="326"/>
      <c r="AP70" s="326"/>
      <c r="AQ70" s="326"/>
      <c r="AR70" s="326"/>
      <c r="AS70" s="326"/>
      <c r="AT70" s="326"/>
      <c r="AU70" s="326"/>
    </row>
    <row r="71" spans="1:47" s="327" customFormat="1" ht="48" customHeight="1">
      <c r="A71" s="325" t="str">
        <f t="shared" si="0"/>
        <v>UMass Medical2</v>
      </c>
      <c r="B71" s="769" t="s">
        <v>2053</v>
      </c>
      <c r="C71" s="769" t="s">
        <v>2063</v>
      </c>
      <c r="D71" s="779"/>
      <c r="E71" s="839">
        <v>2024</v>
      </c>
      <c r="F71" s="769" t="s">
        <v>2449</v>
      </c>
      <c r="G71" s="769"/>
      <c r="H71" s="793" t="s">
        <v>1480</v>
      </c>
      <c r="I71" s="769" t="s">
        <v>2482</v>
      </c>
      <c r="J71" s="784"/>
      <c r="K71" s="554"/>
      <c r="L71" s="554"/>
      <c r="M71" s="554"/>
      <c r="N71" s="798" t="s">
        <v>213</v>
      </c>
      <c r="O71" s="326">
        <v>2</v>
      </c>
      <c r="P71" s="326" t="str">
        <f>VLOOKUP(N71,Source!F:F,1,FALSE)</f>
        <v>UMass Medical</v>
      </c>
      <c r="Q71" s="326"/>
      <c r="R71" s="326"/>
      <c r="S71" s="326"/>
      <c r="T71" s="326"/>
      <c r="U71" s="326"/>
      <c r="V71" s="326"/>
      <c r="W71" s="326"/>
      <c r="X71" s="326"/>
      <c r="Y71" s="326"/>
      <c r="Z71" s="326"/>
      <c r="AA71" s="326"/>
      <c r="AB71" s="326"/>
      <c r="AC71" s="326"/>
      <c r="AD71" s="326"/>
      <c r="AE71" s="326"/>
      <c r="AF71" s="326"/>
      <c r="AG71" s="326"/>
      <c r="AH71" s="326"/>
      <c r="AI71" s="326"/>
      <c r="AJ71" s="326"/>
      <c r="AK71" s="326"/>
      <c r="AL71" s="326"/>
      <c r="AM71" s="326"/>
      <c r="AN71" s="326"/>
      <c r="AO71" s="326"/>
      <c r="AP71" s="326"/>
      <c r="AQ71" s="326"/>
      <c r="AR71" s="326"/>
      <c r="AS71" s="326"/>
      <c r="AT71" s="326"/>
      <c r="AU71" s="326"/>
    </row>
    <row r="72" spans="1:47" s="327" customFormat="1" ht="48" customHeight="1">
      <c r="A72" s="325" t="str">
        <f t="shared" si="0"/>
        <v>UMass Medical3</v>
      </c>
      <c r="B72" s="769" t="s">
        <v>2392</v>
      </c>
      <c r="C72" s="769" t="s">
        <v>2063</v>
      </c>
      <c r="D72" s="779">
        <v>0.5</v>
      </c>
      <c r="E72" s="839">
        <v>2025</v>
      </c>
      <c r="F72" s="769" t="s">
        <v>994</v>
      </c>
      <c r="G72" s="769"/>
      <c r="H72" s="793" t="s">
        <v>1480</v>
      </c>
      <c r="I72" s="769" t="s">
        <v>2483</v>
      </c>
      <c r="J72" s="784"/>
      <c r="K72" s="554"/>
      <c r="L72" s="554"/>
      <c r="M72" s="554"/>
      <c r="N72" s="798" t="s">
        <v>213</v>
      </c>
      <c r="O72" s="326">
        <v>3</v>
      </c>
      <c r="P72" s="326" t="str">
        <f>VLOOKUP(N72,Source!F:F,1,FALSE)</f>
        <v>UMass Medical</v>
      </c>
      <c r="Q72" s="326"/>
      <c r="R72" s="326"/>
      <c r="S72" s="326"/>
      <c r="T72" s="326"/>
      <c r="U72" s="326"/>
      <c r="V72" s="326"/>
      <c r="W72" s="326"/>
      <c r="X72" s="326"/>
      <c r="Y72" s="326"/>
      <c r="Z72" s="326"/>
      <c r="AA72" s="326"/>
      <c r="AB72" s="326"/>
      <c r="AC72" s="326"/>
      <c r="AD72" s="326"/>
      <c r="AE72" s="326"/>
      <c r="AF72" s="326"/>
      <c r="AG72" s="326"/>
      <c r="AH72" s="326"/>
      <c r="AI72" s="326"/>
      <c r="AJ72" s="326"/>
      <c r="AK72" s="326"/>
      <c r="AL72" s="326"/>
      <c r="AM72" s="326"/>
      <c r="AN72" s="326"/>
      <c r="AO72" s="326"/>
      <c r="AP72" s="326"/>
      <c r="AQ72" s="326"/>
      <c r="AR72" s="326"/>
      <c r="AS72" s="326"/>
      <c r="AT72" s="326"/>
      <c r="AU72" s="326"/>
    </row>
    <row r="73" spans="1:47" s="327" customFormat="1" ht="48" customHeight="1">
      <c r="A73" s="325" t="str">
        <f t="shared" si="0"/>
        <v>UMass Medical4</v>
      </c>
      <c r="B73" s="770" t="s">
        <v>2054</v>
      </c>
      <c r="C73" s="769" t="s">
        <v>2062</v>
      </c>
      <c r="D73" s="770">
        <v>0.6</v>
      </c>
      <c r="E73" s="844">
        <v>2024</v>
      </c>
      <c r="F73" s="770" t="s">
        <v>2449</v>
      </c>
      <c r="G73" s="770"/>
      <c r="H73" s="793" t="s">
        <v>1480</v>
      </c>
      <c r="I73" s="770" t="s">
        <v>2484</v>
      </c>
      <c r="J73" s="794"/>
      <c r="K73" s="788"/>
      <c r="L73" s="788"/>
      <c r="M73" s="788"/>
      <c r="N73" s="798" t="s">
        <v>213</v>
      </c>
      <c r="O73" s="326">
        <v>4</v>
      </c>
      <c r="P73" s="326" t="str">
        <f>VLOOKUP(N73,Source!F:F,1,FALSE)</f>
        <v>UMass Medical</v>
      </c>
      <c r="Q73" s="326"/>
      <c r="R73" s="326"/>
      <c r="S73" s="326"/>
      <c r="T73" s="326"/>
      <c r="U73" s="326"/>
      <c r="V73" s="326"/>
      <c r="W73" s="326"/>
      <c r="X73" s="326"/>
      <c r="Y73" s="326"/>
      <c r="Z73" s="326"/>
      <c r="AA73" s="326"/>
      <c r="AB73" s="326"/>
      <c r="AC73" s="326"/>
      <c r="AD73" s="326"/>
      <c r="AE73" s="326"/>
      <c r="AF73" s="326"/>
      <c r="AG73" s="326"/>
      <c r="AH73" s="326"/>
      <c r="AI73" s="326"/>
      <c r="AJ73" s="326"/>
      <c r="AK73" s="326"/>
      <c r="AL73" s="326"/>
      <c r="AM73" s="326"/>
      <c r="AN73" s="326"/>
      <c r="AO73" s="326"/>
      <c r="AP73" s="326"/>
      <c r="AQ73" s="326"/>
      <c r="AR73" s="326"/>
      <c r="AS73" s="326"/>
      <c r="AT73" s="326"/>
      <c r="AU73" s="326"/>
    </row>
    <row r="74" spans="1:47" s="327" customFormat="1" ht="48" customHeight="1">
      <c r="A74" s="325" t="str">
        <f t="shared" si="0"/>
        <v>UMass Dartmouth1</v>
      </c>
      <c r="B74" s="770" t="s">
        <v>2056</v>
      </c>
      <c r="C74" s="770" t="s">
        <v>2060</v>
      </c>
      <c r="D74" s="770">
        <v>10</v>
      </c>
      <c r="E74" s="844" t="s">
        <v>2061</v>
      </c>
      <c r="F74" s="770" t="s">
        <v>980</v>
      </c>
      <c r="G74" s="770"/>
      <c r="H74" s="793" t="s">
        <v>208</v>
      </c>
      <c r="I74" s="770" t="s">
        <v>2485</v>
      </c>
      <c r="J74" s="794" t="s">
        <v>981</v>
      </c>
      <c r="K74" s="788" t="s">
        <v>981</v>
      </c>
      <c r="L74" s="788"/>
      <c r="M74" s="788"/>
      <c r="N74" s="798" t="s">
        <v>207</v>
      </c>
      <c r="O74" s="326">
        <v>1</v>
      </c>
      <c r="P74" s="326" t="str">
        <f>VLOOKUP(N74,Source!F:F,1,FALSE)</f>
        <v>UMass Dartmouth</v>
      </c>
      <c r="Q74" s="326"/>
      <c r="R74" s="326"/>
      <c r="S74" s="326"/>
      <c r="T74" s="326"/>
      <c r="U74" s="326"/>
      <c r="V74" s="326"/>
      <c r="W74" s="326"/>
      <c r="X74" s="326"/>
      <c r="Y74" s="326"/>
      <c r="Z74" s="326"/>
      <c r="AA74" s="326"/>
      <c r="AB74" s="326"/>
      <c r="AC74" s="326"/>
      <c r="AD74" s="326"/>
      <c r="AE74" s="326"/>
      <c r="AF74" s="326"/>
      <c r="AG74" s="326"/>
      <c r="AH74" s="326"/>
      <c r="AI74" s="326"/>
      <c r="AJ74" s="326"/>
      <c r="AK74" s="326"/>
      <c r="AL74" s="326"/>
      <c r="AM74" s="326"/>
      <c r="AN74" s="326"/>
      <c r="AO74" s="326"/>
      <c r="AP74" s="326"/>
      <c r="AQ74" s="326"/>
      <c r="AR74" s="326"/>
      <c r="AS74" s="326"/>
      <c r="AT74" s="326"/>
      <c r="AU74" s="326"/>
    </row>
    <row r="75" spans="1:47" s="327" customFormat="1" ht="48" customHeight="1">
      <c r="A75" s="325" t="str">
        <f t="shared" si="0"/>
        <v>UMass Dartmouth2</v>
      </c>
      <c r="B75" s="770" t="s">
        <v>2055</v>
      </c>
      <c r="C75" s="770" t="s">
        <v>2060</v>
      </c>
      <c r="D75" s="770">
        <v>12</v>
      </c>
      <c r="E75" s="844" t="s">
        <v>2067</v>
      </c>
      <c r="F75" s="770" t="s">
        <v>980</v>
      </c>
      <c r="G75" s="770" t="s">
        <v>716</v>
      </c>
      <c r="H75" s="793" t="s">
        <v>208</v>
      </c>
      <c r="I75" s="770" t="s">
        <v>2084</v>
      </c>
      <c r="J75" s="794"/>
      <c r="K75" s="788"/>
      <c r="L75" s="788"/>
      <c r="M75" s="788"/>
      <c r="N75" s="798" t="s">
        <v>207</v>
      </c>
      <c r="O75" s="326">
        <v>2</v>
      </c>
      <c r="P75" s="326" t="str">
        <f>VLOOKUP(N75,Source!F:F,1,FALSE)</f>
        <v>UMass Dartmouth</v>
      </c>
      <c r="Q75" s="326"/>
      <c r="R75" s="326"/>
      <c r="S75" s="326"/>
      <c r="T75" s="326"/>
      <c r="U75" s="326"/>
      <c r="V75" s="326"/>
      <c r="W75" s="326"/>
      <c r="X75" s="326"/>
      <c r="Y75" s="326"/>
      <c r="Z75" s="326"/>
      <c r="AA75" s="326"/>
      <c r="AB75" s="326"/>
      <c r="AC75" s="326"/>
      <c r="AD75" s="326"/>
      <c r="AE75" s="326"/>
      <c r="AF75" s="326"/>
      <c r="AG75" s="326"/>
      <c r="AH75" s="326"/>
      <c r="AI75" s="326"/>
      <c r="AJ75" s="326"/>
      <c r="AK75" s="326"/>
      <c r="AL75" s="326"/>
      <c r="AM75" s="326"/>
      <c r="AN75" s="326"/>
      <c r="AO75" s="326"/>
      <c r="AP75" s="326"/>
      <c r="AQ75" s="326"/>
      <c r="AR75" s="326"/>
      <c r="AS75" s="326"/>
      <c r="AT75" s="326"/>
      <c r="AU75" s="326"/>
    </row>
    <row r="76" spans="1:47" s="327" customFormat="1" ht="63" customHeight="1">
      <c r="A76" s="325" t="str">
        <f t="shared" ref="A76:A139" si="1">N76&amp;O76</f>
        <v>UMass Lowell1</v>
      </c>
      <c r="B76" s="769" t="s">
        <v>1059</v>
      </c>
      <c r="C76" s="773" t="s">
        <v>2062</v>
      </c>
      <c r="D76" s="774">
        <v>0.75</v>
      </c>
      <c r="E76" s="843">
        <v>2018</v>
      </c>
      <c r="F76" s="773" t="s">
        <v>980</v>
      </c>
      <c r="G76" s="773" t="s">
        <v>981</v>
      </c>
      <c r="H76" s="783" t="s">
        <v>716</v>
      </c>
      <c r="I76" s="795" t="s">
        <v>2486</v>
      </c>
      <c r="J76" s="868" t="s">
        <v>982</v>
      </c>
      <c r="K76" s="550" t="s">
        <v>982</v>
      </c>
      <c r="L76" s="554" t="s">
        <v>981</v>
      </c>
      <c r="M76" s="550" t="s">
        <v>2536</v>
      </c>
      <c r="N76" s="797" t="s">
        <v>212</v>
      </c>
      <c r="O76" s="326">
        <v>1</v>
      </c>
      <c r="P76" s="326" t="str">
        <f>VLOOKUP(N76,Source!F:F,1,FALSE)</f>
        <v>UMass Lowell</v>
      </c>
      <c r="Q76" s="326"/>
      <c r="R76" s="326"/>
      <c r="S76" s="326"/>
      <c r="T76" s="326"/>
      <c r="U76" s="326"/>
      <c r="V76" s="326"/>
      <c r="W76" s="326"/>
      <c r="X76" s="326"/>
      <c r="Y76" s="326"/>
      <c r="Z76" s="326"/>
      <c r="AA76" s="326"/>
      <c r="AB76" s="326"/>
      <c r="AC76" s="326"/>
      <c r="AD76" s="326"/>
      <c r="AE76" s="326"/>
      <c r="AF76" s="326"/>
      <c r="AG76" s="326"/>
      <c r="AH76" s="326"/>
      <c r="AI76" s="326"/>
      <c r="AJ76" s="326"/>
      <c r="AK76" s="326"/>
      <c r="AL76" s="326"/>
      <c r="AM76" s="326"/>
      <c r="AN76" s="326"/>
      <c r="AO76" s="326"/>
      <c r="AP76" s="326"/>
      <c r="AQ76" s="326"/>
      <c r="AR76" s="326"/>
      <c r="AS76" s="326"/>
      <c r="AT76" s="326"/>
      <c r="AU76" s="326"/>
    </row>
    <row r="77" spans="1:47" s="327" customFormat="1" ht="63" customHeight="1">
      <c r="A77" s="325" t="str">
        <f t="shared" si="1"/>
        <v>UMass Lowell2</v>
      </c>
      <c r="B77" s="769" t="s">
        <v>2057</v>
      </c>
      <c r="C77" s="773" t="s">
        <v>2062</v>
      </c>
      <c r="D77" s="780">
        <v>0.5</v>
      </c>
      <c r="E77" s="843">
        <v>2022</v>
      </c>
      <c r="F77" s="773" t="s">
        <v>980</v>
      </c>
      <c r="G77" s="773"/>
      <c r="H77" s="783"/>
      <c r="I77" s="795"/>
      <c r="J77" s="792"/>
      <c r="K77" s="792" t="s">
        <v>981</v>
      </c>
      <c r="L77" s="554"/>
      <c r="M77" s="550" t="s">
        <v>2085</v>
      </c>
      <c r="N77" s="797" t="s">
        <v>212</v>
      </c>
      <c r="O77" s="326">
        <v>2</v>
      </c>
      <c r="P77" s="326" t="str">
        <f>VLOOKUP(N77,Source!F:F,1,FALSE)</f>
        <v>UMass Lowell</v>
      </c>
      <c r="Q77" s="326"/>
      <c r="R77" s="326"/>
      <c r="S77" s="326"/>
      <c r="T77" s="326"/>
      <c r="U77" s="326"/>
      <c r="V77" s="326"/>
      <c r="W77" s="326"/>
      <c r="X77" s="326"/>
      <c r="Y77" s="326"/>
      <c r="Z77" s="326"/>
      <c r="AA77" s="326"/>
      <c r="AB77" s="326"/>
      <c r="AC77" s="326"/>
      <c r="AD77" s="326"/>
      <c r="AE77" s="326"/>
      <c r="AF77" s="326"/>
      <c r="AG77" s="326"/>
      <c r="AH77" s="326"/>
      <c r="AI77" s="326"/>
      <c r="AJ77" s="326"/>
      <c r="AK77" s="326"/>
      <c r="AL77" s="326"/>
      <c r="AM77" s="326"/>
      <c r="AN77" s="326"/>
      <c r="AO77" s="326"/>
      <c r="AP77" s="326"/>
      <c r="AQ77" s="326"/>
      <c r="AR77" s="326"/>
      <c r="AS77" s="326"/>
      <c r="AT77" s="326"/>
      <c r="AU77" s="326"/>
    </row>
    <row r="78" spans="1:47" s="327" customFormat="1">
      <c r="A78" s="325" t="str">
        <f t="shared" si="1"/>
        <v>UMass Lowell3</v>
      </c>
      <c r="B78" s="769" t="s">
        <v>2393</v>
      </c>
      <c r="C78" s="773" t="s">
        <v>2450</v>
      </c>
      <c r="D78" s="780">
        <v>0.34</v>
      </c>
      <c r="E78" s="843">
        <v>2024</v>
      </c>
      <c r="F78" s="773" t="s">
        <v>980</v>
      </c>
      <c r="G78" s="773"/>
      <c r="H78" s="783"/>
      <c r="I78" s="795"/>
      <c r="J78" s="792"/>
      <c r="K78" s="792"/>
      <c r="L78" s="554"/>
      <c r="M78" s="550"/>
      <c r="N78" s="797" t="s">
        <v>212</v>
      </c>
      <c r="O78" s="326">
        <v>3</v>
      </c>
      <c r="P78" s="326" t="str">
        <f>VLOOKUP(N78,Source!F:F,1,FALSE)</f>
        <v>UMass Lowell</v>
      </c>
      <c r="Q78" s="326"/>
      <c r="R78" s="326"/>
      <c r="S78" s="326"/>
      <c r="T78" s="326"/>
      <c r="U78" s="326"/>
      <c r="V78" s="326"/>
      <c r="W78" s="326"/>
      <c r="X78" s="326"/>
      <c r="Y78" s="326"/>
      <c r="Z78" s="326"/>
      <c r="AA78" s="326"/>
      <c r="AB78" s="326"/>
      <c r="AC78" s="326"/>
      <c r="AD78" s="326"/>
      <c r="AE78" s="326"/>
      <c r="AF78" s="326"/>
      <c r="AG78" s="326"/>
      <c r="AH78" s="326"/>
      <c r="AI78" s="326"/>
      <c r="AJ78" s="326"/>
      <c r="AK78" s="326"/>
      <c r="AL78" s="326"/>
      <c r="AM78" s="326"/>
      <c r="AN78" s="326"/>
      <c r="AO78" s="326"/>
      <c r="AP78" s="326"/>
      <c r="AQ78" s="326"/>
      <c r="AR78" s="326"/>
      <c r="AS78" s="326"/>
      <c r="AT78" s="326"/>
      <c r="AU78" s="326"/>
    </row>
    <row r="79" spans="1:47" s="327" customFormat="1">
      <c r="A79" s="325" t="str">
        <f t="shared" si="1"/>
        <v>UMass Lowell4</v>
      </c>
      <c r="B79" s="769" t="s">
        <v>1058</v>
      </c>
      <c r="C79" s="773" t="s">
        <v>2063</v>
      </c>
      <c r="D79" s="780">
        <v>0.02</v>
      </c>
      <c r="E79" s="843">
        <v>2022</v>
      </c>
      <c r="F79" s="773" t="s">
        <v>980</v>
      </c>
      <c r="G79" s="773"/>
      <c r="H79" s="783"/>
      <c r="I79" s="795"/>
      <c r="J79" s="792"/>
      <c r="K79" s="792"/>
      <c r="L79" s="554"/>
      <c r="M79" s="550"/>
      <c r="N79" s="797" t="s">
        <v>212</v>
      </c>
      <c r="O79" s="326">
        <v>4</v>
      </c>
      <c r="P79" s="326" t="str">
        <f>VLOOKUP(N79,Source!F:F,1,FALSE)</f>
        <v>UMass Lowell</v>
      </c>
      <c r="Q79" s="326"/>
      <c r="R79" s="326"/>
      <c r="S79" s="326"/>
      <c r="T79" s="326"/>
      <c r="U79" s="326"/>
      <c r="V79" s="326"/>
      <c r="W79" s="326"/>
      <c r="X79" s="326"/>
      <c r="Y79" s="326"/>
      <c r="Z79" s="326"/>
      <c r="AA79" s="326"/>
      <c r="AB79" s="326"/>
      <c r="AC79" s="326"/>
      <c r="AD79" s="326"/>
      <c r="AE79" s="326"/>
      <c r="AF79" s="326"/>
      <c r="AG79" s="326"/>
      <c r="AH79" s="326"/>
      <c r="AI79" s="326"/>
      <c r="AJ79" s="326"/>
      <c r="AK79" s="326"/>
      <c r="AL79" s="326"/>
      <c r="AM79" s="326"/>
      <c r="AN79" s="326"/>
      <c r="AO79" s="326"/>
      <c r="AP79" s="326"/>
      <c r="AQ79" s="326"/>
      <c r="AR79" s="326"/>
      <c r="AS79" s="326"/>
      <c r="AT79" s="326"/>
    </row>
    <row r="80" spans="1:47" s="327" customFormat="1" ht="30">
      <c r="A80" s="325" t="str">
        <f t="shared" si="1"/>
        <v>UMass Lowell5</v>
      </c>
      <c r="B80" s="769" t="s">
        <v>1060</v>
      </c>
      <c r="C80" s="773" t="s">
        <v>2062</v>
      </c>
      <c r="D80" s="780">
        <v>0.21</v>
      </c>
      <c r="E80" s="843">
        <v>2020</v>
      </c>
      <c r="F80" s="773" t="s">
        <v>980</v>
      </c>
      <c r="G80" s="773"/>
      <c r="H80" s="783"/>
      <c r="I80" s="795"/>
      <c r="J80" s="792"/>
      <c r="K80" s="792"/>
      <c r="L80" s="554"/>
      <c r="M80" s="550"/>
      <c r="N80" s="797" t="s">
        <v>212</v>
      </c>
      <c r="O80" s="326">
        <v>5</v>
      </c>
      <c r="P80" s="326" t="str">
        <f>VLOOKUP(N80,Source!F:F,1,FALSE)</f>
        <v>UMass Lowell</v>
      </c>
      <c r="Q80" s="326"/>
      <c r="R80" s="326"/>
      <c r="S80" s="326"/>
      <c r="T80" s="326"/>
      <c r="U80" s="326"/>
      <c r="V80" s="326"/>
      <c r="W80" s="326"/>
      <c r="X80" s="326"/>
      <c r="Y80" s="326"/>
      <c r="Z80" s="326"/>
      <c r="AA80" s="326"/>
      <c r="AB80" s="326"/>
      <c r="AC80" s="326"/>
      <c r="AD80" s="326"/>
      <c r="AE80" s="326"/>
      <c r="AF80" s="326"/>
      <c r="AG80" s="326"/>
      <c r="AH80" s="326"/>
      <c r="AI80" s="326"/>
      <c r="AJ80" s="326"/>
      <c r="AK80" s="326"/>
      <c r="AL80" s="326"/>
      <c r="AM80" s="326"/>
      <c r="AN80" s="326"/>
      <c r="AO80" s="326"/>
      <c r="AP80" s="326"/>
      <c r="AQ80" s="326"/>
      <c r="AR80" s="326"/>
      <c r="AS80" s="326"/>
      <c r="AT80" s="326"/>
    </row>
    <row r="81" spans="1:46" s="327" customFormat="1" ht="30">
      <c r="A81" s="325" t="str">
        <f t="shared" si="1"/>
        <v>UMass Lowell6</v>
      </c>
      <c r="B81" s="769" t="s">
        <v>1060</v>
      </c>
      <c r="C81" s="773" t="s">
        <v>2062</v>
      </c>
      <c r="D81" s="780">
        <v>0.25</v>
      </c>
      <c r="E81" s="843">
        <v>2021</v>
      </c>
      <c r="F81" s="773" t="s">
        <v>980</v>
      </c>
      <c r="G81" s="773" t="s">
        <v>981</v>
      </c>
      <c r="H81" s="783"/>
      <c r="I81" s="795" t="s">
        <v>1061</v>
      </c>
      <c r="J81" s="792" t="s">
        <v>981</v>
      </c>
      <c r="K81" s="792" t="s">
        <v>981</v>
      </c>
      <c r="L81" s="554" t="s">
        <v>981</v>
      </c>
      <c r="M81" s="550"/>
      <c r="N81" s="797" t="s">
        <v>212</v>
      </c>
      <c r="O81" s="326">
        <v>6</v>
      </c>
      <c r="P81" s="326" t="str">
        <f>VLOOKUP(N81,Source!F:F,1,FALSE)</f>
        <v>UMass Lowell</v>
      </c>
      <c r="Q81" s="326"/>
      <c r="R81" s="326"/>
      <c r="S81" s="326"/>
      <c r="T81" s="326"/>
      <c r="U81" s="326"/>
      <c r="V81" s="326"/>
      <c r="W81" s="326"/>
      <c r="X81" s="326"/>
      <c r="Y81" s="326"/>
      <c r="Z81" s="326"/>
      <c r="AA81" s="326"/>
      <c r="AB81" s="326"/>
      <c r="AC81" s="326"/>
      <c r="AD81" s="326"/>
      <c r="AE81" s="326"/>
      <c r="AF81" s="326"/>
      <c r="AG81" s="326"/>
      <c r="AH81" s="326"/>
      <c r="AI81" s="326"/>
      <c r="AJ81" s="326"/>
      <c r="AK81" s="326"/>
      <c r="AL81" s="326"/>
      <c r="AM81" s="326"/>
      <c r="AN81" s="326"/>
      <c r="AO81" s="326"/>
      <c r="AP81" s="326"/>
      <c r="AQ81" s="326"/>
      <c r="AR81" s="326"/>
      <c r="AS81" s="326"/>
      <c r="AT81" s="326"/>
    </row>
    <row r="82" spans="1:46" s="327" customFormat="1">
      <c r="A82" s="325" t="str">
        <f t="shared" si="1"/>
        <v>Westfield State University1</v>
      </c>
      <c r="B82" s="769" t="s">
        <v>2394</v>
      </c>
      <c r="C82" s="773" t="s">
        <v>2451</v>
      </c>
      <c r="D82" s="333">
        <v>2</v>
      </c>
      <c r="E82" s="850">
        <v>2015</v>
      </c>
      <c r="F82" s="329" t="s">
        <v>980</v>
      </c>
      <c r="G82" s="773"/>
      <c r="H82" s="783"/>
      <c r="I82" s="795"/>
      <c r="J82" s="792"/>
      <c r="K82" s="792"/>
      <c r="L82" s="554"/>
      <c r="M82" s="550"/>
      <c r="N82" s="797" t="s">
        <v>218</v>
      </c>
      <c r="O82" s="326">
        <v>1</v>
      </c>
      <c r="P82" s="326" t="str">
        <f>VLOOKUP(N82,Source!F:F,1,FALSE)</f>
        <v>Westfield State University</v>
      </c>
      <c r="Q82" s="326"/>
      <c r="R82" s="326"/>
      <c r="S82" s="326"/>
      <c r="T82" s="326"/>
      <c r="U82" s="326"/>
      <c r="V82" s="326"/>
      <c r="W82" s="326"/>
      <c r="X82" s="326"/>
      <c r="Y82" s="326"/>
      <c r="Z82" s="326"/>
      <c r="AA82" s="326"/>
      <c r="AB82" s="326"/>
      <c r="AC82" s="326"/>
      <c r="AD82" s="326"/>
      <c r="AE82" s="326"/>
      <c r="AF82" s="326"/>
      <c r="AG82" s="326"/>
      <c r="AH82" s="326"/>
      <c r="AI82" s="326"/>
      <c r="AJ82" s="326"/>
      <c r="AK82" s="326"/>
      <c r="AL82" s="326"/>
      <c r="AM82" s="326"/>
      <c r="AN82" s="326"/>
      <c r="AO82" s="326"/>
      <c r="AP82" s="326"/>
      <c r="AQ82" s="326"/>
      <c r="AR82" s="326"/>
      <c r="AS82" s="326"/>
      <c r="AT82" s="326"/>
    </row>
    <row r="83" spans="1:46" s="327" customFormat="1">
      <c r="A83" s="325" t="str">
        <f t="shared" si="1"/>
        <v>Westfield State University2</v>
      </c>
      <c r="B83" s="769" t="s">
        <v>2395</v>
      </c>
      <c r="C83" s="773" t="s">
        <v>2451</v>
      </c>
      <c r="D83" s="333">
        <v>5.7000000000000002E-2</v>
      </c>
      <c r="E83" s="850">
        <v>2019</v>
      </c>
      <c r="F83" s="329" t="s">
        <v>980</v>
      </c>
      <c r="G83" s="773"/>
      <c r="H83" s="783"/>
      <c r="I83" s="795"/>
      <c r="J83" s="792"/>
      <c r="K83" s="792"/>
      <c r="L83" s="554"/>
      <c r="M83" s="550"/>
      <c r="N83" s="797" t="s">
        <v>218</v>
      </c>
      <c r="O83" s="326">
        <v>2</v>
      </c>
      <c r="P83" s="326" t="str">
        <f>VLOOKUP(N83,Source!F:F,1,FALSE)</f>
        <v>Westfield State University</v>
      </c>
      <c r="Q83" s="326"/>
      <c r="R83" s="326"/>
      <c r="S83" s="326"/>
      <c r="T83" s="326"/>
      <c r="U83" s="326"/>
      <c r="V83" s="326"/>
      <c r="W83" s="326"/>
      <c r="X83" s="326"/>
      <c r="Y83" s="326"/>
      <c r="Z83" s="326"/>
      <c r="AA83" s="326"/>
      <c r="AB83" s="326"/>
      <c r="AC83" s="326"/>
      <c r="AD83" s="326"/>
      <c r="AE83" s="326"/>
      <c r="AF83" s="326"/>
      <c r="AG83" s="326"/>
      <c r="AH83" s="326"/>
      <c r="AI83" s="326"/>
      <c r="AJ83" s="326"/>
      <c r="AK83" s="326"/>
      <c r="AL83" s="326"/>
      <c r="AM83" s="326"/>
      <c r="AN83" s="326"/>
      <c r="AO83" s="326"/>
      <c r="AP83" s="326"/>
      <c r="AQ83" s="326"/>
      <c r="AR83" s="326"/>
      <c r="AS83" s="326"/>
      <c r="AT83" s="326"/>
    </row>
    <row r="84" spans="1:46" s="327" customFormat="1">
      <c r="A84" s="325" t="str">
        <f t="shared" si="1"/>
        <v>Westfield State University3</v>
      </c>
      <c r="B84" s="785" t="s">
        <v>2396</v>
      </c>
      <c r="C84" s="851" t="s">
        <v>2068</v>
      </c>
      <c r="D84" s="333">
        <v>2.3E-2</v>
      </c>
      <c r="E84" s="850">
        <v>2015</v>
      </c>
      <c r="F84" s="329" t="s">
        <v>980</v>
      </c>
      <c r="G84" s="773"/>
      <c r="H84" s="783"/>
      <c r="I84" s="795"/>
      <c r="J84" s="792"/>
      <c r="K84" s="792"/>
      <c r="L84" s="554"/>
      <c r="M84" s="550"/>
      <c r="N84" s="797" t="s">
        <v>218</v>
      </c>
      <c r="O84" s="326">
        <v>3</v>
      </c>
      <c r="P84" s="326" t="str">
        <f>VLOOKUP(N84,Source!F:F,1,FALSE)</f>
        <v>Westfield State University</v>
      </c>
      <c r="Q84" s="326"/>
      <c r="R84" s="326"/>
      <c r="S84" s="326"/>
      <c r="T84" s="326"/>
      <c r="U84" s="326"/>
      <c r="V84" s="326"/>
      <c r="W84" s="326"/>
      <c r="X84" s="326"/>
      <c r="Y84" s="326"/>
      <c r="Z84" s="326"/>
      <c r="AA84" s="326"/>
      <c r="AB84" s="326"/>
      <c r="AC84" s="326"/>
      <c r="AD84" s="326"/>
      <c r="AE84" s="326"/>
      <c r="AF84" s="326"/>
      <c r="AG84" s="326"/>
      <c r="AH84" s="326"/>
      <c r="AI84" s="326"/>
      <c r="AJ84" s="326"/>
      <c r="AK84" s="326"/>
      <c r="AL84" s="326"/>
      <c r="AM84" s="326"/>
      <c r="AN84" s="326"/>
      <c r="AO84" s="326"/>
      <c r="AP84" s="326"/>
      <c r="AQ84" s="326"/>
      <c r="AR84" s="326"/>
      <c r="AS84" s="326"/>
      <c r="AT84" s="326"/>
    </row>
    <row r="85" spans="1:46" s="327" customFormat="1">
      <c r="A85" s="325" t="str">
        <f t="shared" si="1"/>
        <v>Westfield State University4</v>
      </c>
      <c r="B85" s="769" t="s">
        <v>2058</v>
      </c>
      <c r="C85" s="769" t="s">
        <v>2068</v>
      </c>
      <c r="D85" s="781">
        <v>4.0000000000000001E-3</v>
      </c>
      <c r="E85" s="850">
        <v>2023</v>
      </c>
      <c r="F85" s="329" t="s">
        <v>980</v>
      </c>
      <c r="G85" s="773"/>
      <c r="H85" s="783"/>
      <c r="I85" s="795"/>
      <c r="J85" s="792"/>
      <c r="K85" s="792"/>
      <c r="L85" s="554"/>
      <c r="M85" s="550"/>
      <c r="N85" s="800" t="s">
        <v>218</v>
      </c>
      <c r="O85" s="326">
        <v>4</v>
      </c>
      <c r="P85" s="326" t="str">
        <f>VLOOKUP(N85,Source!F:F,1,FALSE)</f>
        <v>Westfield State University</v>
      </c>
      <c r="Q85" s="326"/>
      <c r="R85" s="326"/>
      <c r="S85" s="326"/>
      <c r="T85" s="326"/>
      <c r="U85" s="326"/>
      <c r="V85" s="326"/>
      <c r="W85" s="326"/>
      <c r="X85" s="326"/>
      <c r="Y85" s="326"/>
      <c r="Z85" s="326"/>
      <c r="AA85" s="326"/>
      <c r="AB85" s="326"/>
      <c r="AC85" s="326"/>
      <c r="AD85" s="326"/>
      <c r="AE85" s="326"/>
      <c r="AF85" s="326"/>
      <c r="AG85" s="326"/>
      <c r="AH85" s="326"/>
      <c r="AI85" s="326"/>
      <c r="AJ85" s="326"/>
      <c r="AK85" s="326"/>
      <c r="AL85" s="326"/>
      <c r="AM85" s="326"/>
      <c r="AN85" s="326"/>
      <c r="AO85" s="326"/>
      <c r="AP85" s="326"/>
      <c r="AQ85" s="326"/>
      <c r="AR85" s="326"/>
      <c r="AS85" s="326"/>
      <c r="AT85" s="326"/>
    </row>
    <row r="86" spans="1:46" s="327" customFormat="1">
      <c r="A86" s="325" t="str">
        <f t="shared" si="1"/>
        <v>Westfield State University5</v>
      </c>
      <c r="B86" s="769" t="s">
        <v>2059</v>
      </c>
      <c r="C86" s="773" t="s">
        <v>2068</v>
      </c>
      <c r="D86" s="782">
        <v>3.0000000000000001E-3</v>
      </c>
      <c r="E86" s="850">
        <v>2022</v>
      </c>
      <c r="F86" s="329" t="s">
        <v>980</v>
      </c>
      <c r="G86" s="773"/>
      <c r="H86" s="783"/>
      <c r="I86" s="795"/>
      <c r="J86" s="792"/>
      <c r="K86" s="792"/>
      <c r="L86" s="554"/>
      <c r="M86" s="550"/>
      <c r="N86" s="797" t="s">
        <v>218</v>
      </c>
      <c r="O86" s="326">
        <v>5</v>
      </c>
      <c r="P86" s="326" t="str">
        <f>VLOOKUP(N86,Source!F:F,1,FALSE)</f>
        <v>Westfield State University</v>
      </c>
      <c r="Q86" s="326"/>
      <c r="R86" s="326"/>
      <c r="S86" s="326"/>
      <c r="T86" s="326"/>
      <c r="U86" s="326"/>
      <c r="V86" s="326"/>
      <c r="W86" s="326"/>
      <c r="X86" s="326"/>
      <c r="Y86" s="326"/>
      <c r="Z86" s="326"/>
      <c r="AA86" s="326"/>
      <c r="AB86" s="326"/>
      <c r="AC86" s="326"/>
      <c r="AD86" s="326"/>
      <c r="AE86" s="326"/>
      <c r="AF86" s="326"/>
      <c r="AG86" s="326"/>
      <c r="AH86" s="326"/>
      <c r="AI86" s="326"/>
      <c r="AJ86" s="326"/>
      <c r="AK86" s="326"/>
      <c r="AL86" s="326"/>
      <c r="AM86" s="326"/>
      <c r="AN86" s="326"/>
      <c r="AO86" s="326"/>
      <c r="AP86" s="326"/>
      <c r="AQ86" s="326"/>
      <c r="AR86" s="326"/>
      <c r="AS86" s="326"/>
      <c r="AT86" s="326"/>
    </row>
    <row r="87" spans="1:46" s="327" customFormat="1">
      <c r="A87" s="325" t="str">
        <f t="shared" si="1"/>
        <v>Westfield State University6</v>
      </c>
      <c r="B87" s="837"/>
      <c r="C87" s="837"/>
      <c r="D87" s="775"/>
      <c r="E87" s="841"/>
      <c r="F87" s="772"/>
      <c r="G87" s="772"/>
      <c r="H87" s="768" t="s">
        <v>1062</v>
      </c>
      <c r="I87" s="773" t="s">
        <v>1063</v>
      </c>
      <c r="J87" s="792" t="s">
        <v>981</v>
      </c>
      <c r="K87" s="550" t="s">
        <v>981</v>
      </c>
      <c r="L87" s="784" t="s">
        <v>982</v>
      </c>
      <c r="M87" s="550"/>
      <c r="N87" s="797" t="s">
        <v>218</v>
      </c>
      <c r="O87" s="326">
        <v>6</v>
      </c>
      <c r="P87" s="326" t="str">
        <f>VLOOKUP(N87,Source!F:F,1,FALSE)</f>
        <v>Westfield State University</v>
      </c>
      <c r="Q87" s="326"/>
      <c r="R87" s="326"/>
      <c r="S87" s="326"/>
      <c r="T87" s="326"/>
      <c r="U87" s="326"/>
      <c r="V87" s="326"/>
      <c r="W87" s="326"/>
      <c r="X87" s="326"/>
      <c r="Y87" s="326"/>
      <c r="Z87" s="326"/>
      <c r="AA87" s="326"/>
      <c r="AB87" s="326"/>
      <c r="AC87" s="326"/>
      <c r="AD87" s="326"/>
      <c r="AE87" s="326"/>
      <c r="AF87" s="326"/>
      <c r="AG87" s="326"/>
      <c r="AH87" s="326"/>
      <c r="AI87" s="326"/>
      <c r="AJ87" s="326"/>
      <c r="AK87" s="326"/>
      <c r="AL87" s="326"/>
      <c r="AM87" s="326"/>
      <c r="AN87" s="326"/>
      <c r="AO87" s="326"/>
      <c r="AP87" s="326"/>
      <c r="AQ87" s="326"/>
      <c r="AR87" s="326"/>
      <c r="AS87" s="326"/>
      <c r="AT87" s="326"/>
    </row>
    <row r="88" spans="1:46" s="327" customFormat="1" ht="30">
      <c r="A88" s="325" t="str">
        <f t="shared" si="1"/>
        <v>Dept. of Conservation and Recreation1</v>
      </c>
      <c r="B88" s="17" t="s">
        <v>2397</v>
      </c>
      <c r="C88" s="17" t="s">
        <v>2452</v>
      </c>
      <c r="D88" s="852"/>
      <c r="E88" s="853" t="s">
        <v>2453</v>
      </c>
      <c r="F88" s="551" t="s">
        <v>980</v>
      </c>
      <c r="G88" s="551"/>
      <c r="H88" s="551"/>
      <c r="I88" s="17" t="s">
        <v>2487</v>
      </c>
      <c r="J88" s="550"/>
      <c r="K88" s="550"/>
      <c r="L88" s="550"/>
      <c r="M88" s="550"/>
      <c r="N88" s="873" t="s">
        <v>92</v>
      </c>
      <c r="O88" s="326">
        <v>1</v>
      </c>
      <c r="P88" s="326" t="str">
        <f>VLOOKUP(N88,Source!F:F,1,FALSE)</f>
        <v>Dept. of Conservation and Recreation</v>
      </c>
      <c r="Q88" s="326"/>
      <c r="R88" s="326"/>
      <c r="S88" s="326"/>
      <c r="T88" s="326"/>
      <c r="U88" s="326"/>
      <c r="V88" s="326"/>
      <c r="W88" s="326"/>
      <c r="X88" s="326"/>
      <c r="Y88" s="326"/>
      <c r="Z88" s="326"/>
      <c r="AA88" s="326"/>
      <c r="AB88" s="326"/>
      <c r="AC88" s="326"/>
      <c r="AD88" s="326"/>
      <c r="AE88" s="326"/>
      <c r="AF88" s="326"/>
      <c r="AG88" s="326"/>
      <c r="AH88" s="326"/>
      <c r="AI88" s="326"/>
      <c r="AJ88" s="326"/>
      <c r="AK88" s="326"/>
      <c r="AL88" s="326"/>
      <c r="AM88" s="326"/>
      <c r="AN88" s="326"/>
      <c r="AO88" s="326"/>
      <c r="AP88" s="326"/>
      <c r="AQ88" s="326"/>
      <c r="AR88" s="326"/>
      <c r="AS88" s="326"/>
      <c r="AT88" s="326"/>
    </row>
    <row r="89" spans="1:46" s="327" customFormat="1" ht="30">
      <c r="A89" s="325" t="str">
        <f t="shared" si="1"/>
        <v>Dept. of Conservation and Recreation2</v>
      </c>
      <c r="B89" s="17" t="s">
        <v>2397</v>
      </c>
      <c r="C89" s="17" t="s">
        <v>2452</v>
      </c>
      <c r="D89" s="852"/>
      <c r="E89" s="853" t="s">
        <v>2453</v>
      </c>
      <c r="F89" s="551" t="s">
        <v>980</v>
      </c>
      <c r="G89" s="861"/>
      <c r="H89" s="551"/>
      <c r="I89" s="17"/>
      <c r="J89" s="550"/>
      <c r="K89" s="550"/>
      <c r="L89" s="550"/>
      <c r="M89" s="550"/>
      <c r="N89" s="873" t="s">
        <v>92</v>
      </c>
      <c r="O89" s="326">
        <v>2</v>
      </c>
      <c r="P89" s="326" t="str">
        <f>VLOOKUP(N89,Source!F:F,1,FALSE)</f>
        <v>Dept. of Conservation and Recreation</v>
      </c>
      <c r="Q89" s="326"/>
      <c r="R89" s="326"/>
      <c r="S89" s="326"/>
      <c r="T89" s="326"/>
      <c r="U89" s="326"/>
      <c r="V89" s="326"/>
      <c r="W89" s="326"/>
      <c r="X89" s="326"/>
      <c r="Y89" s="326"/>
      <c r="Z89" s="326"/>
      <c r="AA89" s="326"/>
      <c r="AB89" s="326"/>
      <c r="AC89" s="326"/>
      <c r="AD89" s="326"/>
      <c r="AE89" s="326"/>
      <c r="AF89" s="326"/>
      <c r="AG89" s="326"/>
      <c r="AH89" s="326"/>
      <c r="AI89" s="326"/>
      <c r="AJ89" s="326"/>
      <c r="AK89" s="326"/>
      <c r="AL89" s="326"/>
      <c r="AM89" s="326"/>
      <c r="AN89" s="326"/>
      <c r="AO89" s="326"/>
      <c r="AP89" s="326"/>
      <c r="AQ89" s="326"/>
      <c r="AR89" s="326"/>
      <c r="AS89" s="326"/>
      <c r="AT89" s="326"/>
    </row>
    <row r="90" spans="1:46" s="327" customFormat="1" ht="30">
      <c r="A90" s="325" t="str">
        <f t="shared" si="1"/>
        <v>Dept. of Conservation and Recreation3</v>
      </c>
      <c r="B90" s="17" t="s">
        <v>2398</v>
      </c>
      <c r="C90" s="17" t="s">
        <v>2452</v>
      </c>
      <c r="D90" s="852"/>
      <c r="E90" s="853" t="s">
        <v>2453</v>
      </c>
      <c r="F90" s="551" t="s">
        <v>980</v>
      </c>
      <c r="G90" s="861"/>
      <c r="H90" s="551"/>
      <c r="I90" s="17" t="s">
        <v>2488</v>
      </c>
      <c r="J90" s="550"/>
      <c r="K90" s="550"/>
      <c r="L90" s="550"/>
      <c r="M90" s="550"/>
      <c r="N90" s="873" t="s">
        <v>92</v>
      </c>
      <c r="O90" s="326">
        <v>3</v>
      </c>
      <c r="P90" s="326" t="str">
        <f>VLOOKUP(N90,Source!F:F,1,FALSE)</f>
        <v>Dept. of Conservation and Recreation</v>
      </c>
      <c r="Q90" s="326"/>
      <c r="R90" s="326"/>
      <c r="S90" s="326"/>
      <c r="T90" s="326"/>
      <c r="U90" s="326"/>
      <c r="V90" s="326"/>
      <c r="W90" s="326"/>
      <c r="X90" s="326"/>
      <c r="Y90" s="326"/>
      <c r="Z90" s="326"/>
      <c r="AA90" s="326"/>
      <c r="AB90" s="326"/>
      <c r="AC90" s="326"/>
      <c r="AD90" s="326"/>
      <c r="AE90" s="326"/>
      <c r="AF90" s="326"/>
      <c r="AG90" s="326"/>
      <c r="AH90" s="326"/>
      <c r="AI90" s="326"/>
      <c r="AJ90" s="326"/>
      <c r="AK90" s="326"/>
      <c r="AL90" s="326"/>
      <c r="AM90" s="326"/>
      <c r="AN90" s="326"/>
      <c r="AO90" s="326"/>
      <c r="AP90" s="326"/>
      <c r="AQ90" s="326"/>
      <c r="AR90" s="326"/>
      <c r="AS90" s="326"/>
      <c r="AT90" s="326"/>
    </row>
    <row r="91" spans="1:46" s="327" customFormat="1" ht="30">
      <c r="A91" s="325" t="str">
        <f t="shared" si="1"/>
        <v>Dept. of Conservation and Recreation4</v>
      </c>
      <c r="B91" s="17" t="s">
        <v>2399</v>
      </c>
      <c r="C91" s="17" t="s">
        <v>2452</v>
      </c>
      <c r="D91" s="852"/>
      <c r="E91" s="853" t="s">
        <v>2453</v>
      </c>
      <c r="F91" s="551" t="s">
        <v>980</v>
      </c>
      <c r="G91" s="861"/>
      <c r="H91" s="551"/>
      <c r="I91" s="17"/>
      <c r="J91" s="550"/>
      <c r="K91" s="550"/>
      <c r="L91" s="550"/>
      <c r="M91" s="550"/>
      <c r="N91" s="873" t="s">
        <v>92</v>
      </c>
      <c r="O91" s="326">
        <v>4</v>
      </c>
      <c r="P91" s="326" t="str">
        <f>VLOOKUP(N91,Source!F:F,1,FALSE)</f>
        <v>Dept. of Conservation and Recreation</v>
      </c>
      <c r="Q91" s="326"/>
      <c r="R91" s="326"/>
      <c r="S91" s="326"/>
      <c r="T91" s="326"/>
      <c r="U91" s="326"/>
      <c r="V91" s="326"/>
      <c r="W91" s="326"/>
      <c r="X91" s="326"/>
      <c r="Y91" s="326"/>
      <c r="Z91" s="326"/>
      <c r="AA91" s="326"/>
      <c r="AB91" s="326"/>
      <c r="AC91" s="326"/>
      <c r="AD91" s="326"/>
      <c r="AE91" s="326"/>
      <c r="AF91" s="326"/>
      <c r="AG91" s="326"/>
      <c r="AH91" s="326"/>
      <c r="AI91" s="326"/>
      <c r="AJ91" s="326"/>
      <c r="AK91" s="326"/>
      <c r="AL91" s="326"/>
      <c r="AM91" s="326"/>
      <c r="AN91" s="326"/>
      <c r="AO91" s="326"/>
      <c r="AP91" s="326"/>
      <c r="AQ91" s="326"/>
      <c r="AR91" s="326"/>
      <c r="AS91" s="326"/>
      <c r="AT91" s="326"/>
    </row>
    <row r="92" spans="1:46" s="327" customFormat="1" ht="30">
      <c r="A92" s="325" t="str">
        <f t="shared" si="1"/>
        <v>Dept. of Conservation and Recreation5</v>
      </c>
      <c r="B92" s="17" t="s">
        <v>2400</v>
      </c>
      <c r="C92" s="17" t="s">
        <v>989</v>
      </c>
      <c r="D92" s="852"/>
      <c r="E92" s="853" t="s">
        <v>2453</v>
      </c>
      <c r="F92" s="551" t="s">
        <v>980</v>
      </c>
      <c r="G92" s="861"/>
      <c r="H92" s="551"/>
      <c r="I92" s="17" t="s">
        <v>2489</v>
      </c>
      <c r="J92" s="550"/>
      <c r="K92" s="550"/>
      <c r="L92" s="550"/>
      <c r="M92" s="550"/>
      <c r="N92" s="873" t="s">
        <v>92</v>
      </c>
      <c r="O92" s="326">
        <v>5</v>
      </c>
      <c r="P92" s="326" t="str">
        <f>VLOOKUP(N92,Source!F:F,1,FALSE)</f>
        <v>Dept. of Conservation and Recreation</v>
      </c>
      <c r="Q92" s="326"/>
      <c r="R92" s="326"/>
      <c r="S92" s="326"/>
      <c r="T92" s="326"/>
      <c r="U92" s="326"/>
      <c r="V92" s="326"/>
      <c r="W92" s="326"/>
      <c r="X92" s="326"/>
      <c r="Y92" s="326"/>
      <c r="Z92" s="326"/>
      <c r="AA92" s="326"/>
      <c r="AB92" s="326"/>
      <c r="AC92" s="326"/>
      <c r="AD92" s="326"/>
      <c r="AE92" s="326"/>
      <c r="AF92" s="326"/>
      <c r="AG92" s="326"/>
      <c r="AH92" s="326"/>
      <c r="AI92" s="326"/>
      <c r="AJ92" s="326"/>
      <c r="AK92" s="326"/>
      <c r="AL92" s="326"/>
      <c r="AM92" s="326"/>
      <c r="AN92" s="326"/>
      <c r="AO92" s="326"/>
      <c r="AP92" s="326"/>
      <c r="AQ92" s="326"/>
      <c r="AR92" s="326"/>
      <c r="AS92" s="326"/>
      <c r="AT92" s="326"/>
    </row>
    <row r="93" spans="1:46" s="327" customFormat="1" ht="30">
      <c r="A93" s="325" t="str">
        <f t="shared" si="1"/>
        <v>Dept. of Conservation and Recreation6</v>
      </c>
      <c r="B93" s="17" t="s">
        <v>2400</v>
      </c>
      <c r="C93" s="17" t="s">
        <v>2452</v>
      </c>
      <c r="D93" s="854">
        <v>1E-3</v>
      </c>
      <c r="E93" s="853" t="s">
        <v>2453</v>
      </c>
      <c r="F93" s="551" t="s">
        <v>980</v>
      </c>
      <c r="G93" s="861"/>
      <c r="H93" s="551"/>
      <c r="I93" s="17" t="s">
        <v>2490</v>
      </c>
      <c r="J93" s="550"/>
      <c r="K93" s="550"/>
      <c r="L93" s="550"/>
      <c r="M93" s="550"/>
      <c r="N93" s="873" t="s">
        <v>92</v>
      </c>
      <c r="O93" s="326">
        <v>6</v>
      </c>
      <c r="P93" s="326" t="str">
        <f>VLOOKUP(N93,Source!F:F,1,FALSE)</f>
        <v>Dept. of Conservation and Recreation</v>
      </c>
      <c r="Q93" s="326"/>
      <c r="R93" s="326"/>
      <c r="S93" s="326"/>
      <c r="T93" s="326"/>
      <c r="U93" s="326"/>
      <c r="V93" s="326"/>
      <c r="W93" s="326"/>
      <c r="X93" s="326"/>
      <c r="Y93" s="326"/>
      <c r="Z93" s="326"/>
      <c r="AA93" s="326"/>
      <c r="AB93" s="326"/>
      <c r="AC93" s="326"/>
      <c r="AD93" s="326"/>
      <c r="AE93" s="326"/>
      <c r="AF93" s="326"/>
      <c r="AG93" s="326"/>
      <c r="AH93" s="326"/>
      <c r="AI93" s="326"/>
      <c r="AJ93" s="326"/>
      <c r="AK93" s="326"/>
      <c r="AL93" s="326"/>
      <c r="AM93" s="326"/>
      <c r="AN93" s="326"/>
      <c r="AO93" s="326"/>
      <c r="AP93" s="326"/>
      <c r="AQ93" s="326"/>
      <c r="AR93" s="326"/>
      <c r="AS93" s="326"/>
      <c r="AT93" s="326"/>
    </row>
    <row r="94" spans="1:46" s="327" customFormat="1" ht="30">
      <c r="A94" s="325" t="str">
        <f t="shared" si="1"/>
        <v>Dept. of Conservation and Recreation7</v>
      </c>
      <c r="B94" s="17" t="s">
        <v>2401</v>
      </c>
      <c r="C94" s="17" t="s">
        <v>989</v>
      </c>
      <c r="D94" s="852"/>
      <c r="E94" s="853" t="s">
        <v>2453</v>
      </c>
      <c r="F94" s="551" t="s">
        <v>980</v>
      </c>
      <c r="G94" s="861"/>
      <c r="H94" s="551"/>
      <c r="I94" s="17"/>
      <c r="J94" s="550"/>
      <c r="K94" s="550"/>
      <c r="L94" s="550"/>
      <c r="M94" s="550"/>
      <c r="N94" s="873" t="s">
        <v>92</v>
      </c>
      <c r="O94" s="326">
        <v>7</v>
      </c>
      <c r="P94" s="326" t="str">
        <f>VLOOKUP(N94,Source!F:F,1,FALSE)</f>
        <v>Dept. of Conservation and Recreation</v>
      </c>
      <c r="Q94" s="326"/>
      <c r="R94" s="326"/>
      <c r="S94" s="326"/>
      <c r="T94" s="326"/>
      <c r="U94" s="326"/>
      <c r="V94" s="326"/>
      <c r="W94" s="326"/>
      <c r="X94" s="326"/>
      <c r="Y94" s="326"/>
      <c r="Z94" s="326"/>
      <c r="AA94" s="326"/>
      <c r="AB94" s="326"/>
      <c r="AC94" s="326"/>
      <c r="AD94" s="326"/>
      <c r="AE94" s="326"/>
      <c r="AF94" s="326"/>
      <c r="AG94" s="326"/>
      <c r="AH94" s="326"/>
      <c r="AI94" s="326"/>
      <c r="AJ94" s="326"/>
      <c r="AK94" s="326"/>
      <c r="AL94" s="326"/>
      <c r="AM94" s="326"/>
      <c r="AN94" s="326"/>
      <c r="AO94" s="326"/>
      <c r="AP94" s="326"/>
      <c r="AQ94" s="326"/>
      <c r="AR94" s="326"/>
      <c r="AS94" s="326"/>
      <c r="AT94" s="326"/>
    </row>
    <row r="95" spans="1:46" s="327" customFormat="1" ht="30">
      <c r="A95" s="325" t="str">
        <f t="shared" si="1"/>
        <v>Dept. of Conservation and Recreation8</v>
      </c>
      <c r="B95" s="17" t="s">
        <v>2401</v>
      </c>
      <c r="C95" s="17" t="s">
        <v>2452</v>
      </c>
      <c r="D95" s="852"/>
      <c r="E95" s="853" t="s">
        <v>2453</v>
      </c>
      <c r="F95" s="551" t="s">
        <v>980</v>
      </c>
      <c r="G95" s="861"/>
      <c r="H95" s="551"/>
      <c r="I95" s="17"/>
      <c r="J95" s="550"/>
      <c r="K95" s="550"/>
      <c r="L95" s="550"/>
      <c r="M95" s="550"/>
      <c r="N95" s="873" t="s">
        <v>92</v>
      </c>
      <c r="O95" s="326">
        <v>8</v>
      </c>
      <c r="P95" s="326" t="str">
        <f>VLOOKUP(N95,Source!F:F,1,FALSE)</f>
        <v>Dept. of Conservation and Recreation</v>
      </c>
      <c r="Q95" s="326"/>
      <c r="R95" s="326"/>
      <c r="S95" s="326"/>
      <c r="T95" s="326"/>
      <c r="U95" s="326"/>
      <c r="V95" s="326"/>
      <c r="W95" s="326"/>
      <c r="X95" s="326"/>
      <c r="Y95" s="326"/>
      <c r="Z95" s="326"/>
      <c r="AA95" s="326"/>
      <c r="AB95" s="326"/>
      <c r="AC95" s="326"/>
      <c r="AD95" s="326"/>
      <c r="AE95" s="326"/>
      <c r="AF95" s="326"/>
      <c r="AG95" s="326"/>
      <c r="AH95" s="326"/>
      <c r="AI95" s="326"/>
      <c r="AJ95" s="326"/>
      <c r="AK95" s="326"/>
      <c r="AL95" s="326"/>
      <c r="AM95" s="326"/>
      <c r="AN95" s="326"/>
      <c r="AO95" s="326"/>
      <c r="AP95" s="326"/>
      <c r="AQ95" s="326"/>
      <c r="AR95" s="326"/>
      <c r="AS95" s="326"/>
      <c r="AT95" s="326"/>
    </row>
    <row r="96" spans="1:46" s="327" customFormat="1" ht="30">
      <c r="A96" s="325" t="str">
        <f t="shared" si="1"/>
        <v>Dept. of Conservation and Recreation9</v>
      </c>
      <c r="B96" s="17" t="s">
        <v>2401</v>
      </c>
      <c r="C96" s="17" t="s">
        <v>2452</v>
      </c>
      <c r="D96" s="852"/>
      <c r="E96" s="853" t="s">
        <v>2453</v>
      </c>
      <c r="F96" s="551" t="s">
        <v>980</v>
      </c>
      <c r="G96" s="861"/>
      <c r="H96" s="551"/>
      <c r="I96" s="17"/>
      <c r="J96" s="550"/>
      <c r="K96" s="550"/>
      <c r="L96" s="550"/>
      <c r="M96" s="550"/>
      <c r="N96" s="873" t="s">
        <v>92</v>
      </c>
      <c r="O96" s="326">
        <v>9</v>
      </c>
      <c r="P96" s="326" t="str">
        <f>VLOOKUP(N96,Source!F:F,1,FALSE)</f>
        <v>Dept. of Conservation and Recreation</v>
      </c>
      <c r="Q96" s="326"/>
      <c r="R96" s="326"/>
      <c r="S96" s="326"/>
      <c r="T96" s="326"/>
      <c r="U96" s="326"/>
      <c r="V96" s="326"/>
      <c r="W96" s="326"/>
      <c r="X96" s="326"/>
      <c r="Y96" s="326"/>
      <c r="Z96" s="326"/>
      <c r="AA96" s="326"/>
      <c r="AB96" s="326"/>
      <c r="AC96" s="326"/>
      <c r="AD96" s="326"/>
      <c r="AE96" s="326"/>
      <c r="AF96" s="326"/>
      <c r="AG96" s="326"/>
      <c r="AH96" s="326"/>
      <c r="AI96" s="326"/>
      <c r="AJ96" s="326"/>
      <c r="AK96" s="326"/>
      <c r="AL96" s="326"/>
      <c r="AM96" s="326"/>
      <c r="AN96" s="326"/>
      <c r="AO96" s="326"/>
      <c r="AP96" s="326"/>
      <c r="AQ96" s="326"/>
      <c r="AR96" s="326"/>
      <c r="AS96" s="326"/>
      <c r="AT96" s="326"/>
    </row>
    <row r="97" spans="1:47" s="327" customFormat="1" ht="30">
      <c r="A97" s="325" t="str">
        <f t="shared" si="1"/>
        <v>Dept. of Conservation and Recreation10</v>
      </c>
      <c r="B97" s="17" t="s">
        <v>2401</v>
      </c>
      <c r="C97" s="17" t="s">
        <v>2454</v>
      </c>
      <c r="D97" s="852"/>
      <c r="E97" s="853" t="s">
        <v>2453</v>
      </c>
      <c r="F97" s="551" t="s">
        <v>980</v>
      </c>
      <c r="G97" s="861"/>
      <c r="H97" s="551"/>
      <c r="I97" s="17"/>
      <c r="J97" s="550"/>
      <c r="K97" s="550"/>
      <c r="L97" s="550"/>
      <c r="M97" s="550"/>
      <c r="N97" s="873" t="s">
        <v>92</v>
      </c>
      <c r="O97" s="326">
        <v>10</v>
      </c>
      <c r="P97" s="326" t="str">
        <f>VLOOKUP(N97,Source!F:F,1,FALSE)</f>
        <v>Dept. of Conservation and Recreation</v>
      </c>
      <c r="Q97" s="326"/>
      <c r="R97" s="326"/>
      <c r="S97" s="326"/>
      <c r="T97" s="326"/>
      <c r="U97" s="326"/>
      <c r="V97" s="326"/>
      <c r="W97" s="326"/>
      <c r="X97" s="326"/>
      <c r="Y97" s="326"/>
      <c r="Z97" s="326"/>
      <c r="AA97" s="326"/>
      <c r="AB97" s="326"/>
      <c r="AC97" s="326"/>
      <c r="AD97" s="326"/>
      <c r="AE97" s="326"/>
      <c r="AF97" s="326"/>
      <c r="AG97" s="326"/>
      <c r="AH97" s="326"/>
      <c r="AI97" s="326"/>
      <c r="AJ97" s="326"/>
      <c r="AK97" s="326"/>
      <c r="AL97" s="326"/>
      <c r="AM97" s="326"/>
      <c r="AN97" s="326"/>
      <c r="AO97" s="326"/>
      <c r="AP97" s="326"/>
      <c r="AQ97" s="326"/>
      <c r="AR97" s="326"/>
      <c r="AS97" s="326"/>
      <c r="AT97" s="326"/>
    </row>
    <row r="98" spans="1:47" s="327" customFormat="1" ht="30">
      <c r="A98" s="325" t="str">
        <f t="shared" si="1"/>
        <v>Dept. of Conservation and Recreation11</v>
      </c>
      <c r="B98" s="17" t="s">
        <v>2402</v>
      </c>
      <c r="C98" s="17" t="s">
        <v>989</v>
      </c>
      <c r="D98" s="852"/>
      <c r="E98" s="853" t="s">
        <v>2453</v>
      </c>
      <c r="F98" s="551" t="s">
        <v>980</v>
      </c>
      <c r="G98" s="861"/>
      <c r="H98" s="551"/>
      <c r="I98" s="17"/>
      <c r="J98" s="550"/>
      <c r="K98" s="550"/>
      <c r="L98" s="550"/>
      <c r="M98" s="550"/>
      <c r="N98" s="873" t="s">
        <v>92</v>
      </c>
      <c r="O98" s="326">
        <v>11</v>
      </c>
      <c r="P98" s="326" t="str">
        <f>VLOOKUP(N98,Source!F:F,1,FALSE)</f>
        <v>Dept. of Conservation and Recreation</v>
      </c>
      <c r="Q98" s="326"/>
      <c r="R98" s="326"/>
      <c r="S98" s="326"/>
      <c r="T98" s="326"/>
      <c r="U98" s="326"/>
      <c r="V98" s="326"/>
      <c r="W98" s="326"/>
      <c r="X98" s="326"/>
      <c r="Y98" s="326"/>
      <c r="Z98" s="326"/>
      <c r="AA98" s="326"/>
      <c r="AB98" s="326"/>
      <c r="AC98" s="326"/>
      <c r="AD98" s="326"/>
      <c r="AE98" s="326"/>
      <c r="AF98" s="326"/>
      <c r="AG98" s="326"/>
      <c r="AH98" s="326"/>
      <c r="AI98" s="326"/>
      <c r="AJ98" s="326"/>
      <c r="AK98" s="326"/>
      <c r="AL98" s="326"/>
      <c r="AM98" s="326"/>
      <c r="AN98" s="326"/>
      <c r="AO98" s="326"/>
      <c r="AP98" s="326"/>
      <c r="AQ98" s="326"/>
      <c r="AR98" s="326"/>
      <c r="AS98" s="326"/>
      <c r="AT98" s="326"/>
    </row>
    <row r="99" spans="1:47" s="327" customFormat="1" ht="30">
      <c r="A99" s="325" t="str">
        <f t="shared" si="1"/>
        <v>Dept. of Conservation and Recreation12</v>
      </c>
      <c r="B99" s="17" t="s">
        <v>2402</v>
      </c>
      <c r="C99" s="17" t="s">
        <v>2452</v>
      </c>
      <c r="D99" s="852"/>
      <c r="E99" s="853" t="s">
        <v>2453</v>
      </c>
      <c r="F99" s="551" t="s">
        <v>980</v>
      </c>
      <c r="G99" s="861"/>
      <c r="H99" s="551"/>
      <c r="I99" s="17"/>
      <c r="J99" s="550"/>
      <c r="K99" s="550"/>
      <c r="L99" s="550"/>
      <c r="M99" s="550"/>
      <c r="N99" s="873" t="s">
        <v>92</v>
      </c>
      <c r="O99" s="326">
        <v>12</v>
      </c>
      <c r="P99" s="326" t="str">
        <f>VLOOKUP(N99,Source!F:F,1,FALSE)</f>
        <v>Dept. of Conservation and Recreation</v>
      </c>
      <c r="Q99" s="326"/>
      <c r="R99" s="326"/>
      <c r="S99" s="326"/>
      <c r="T99" s="326"/>
      <c r="U99" s="326"/>
      <c r="V99" s="326"/>
      <c r="W99" s="326"/>
      <c r="X99" s="326"/>
      <c r="Y99" s="326"/>
      <c r="Z99" s="326"/>
      <c r="AA99" s="326"/>
      <c r="AB99" s="326"/>
      <c r="AC99" s="326"/>
      <c r="AD99" s="326"/>
      <c r="AE99" s="326"/>
      <c r="AF99" s="326"/>
      <c r="AG99" s="326"/>
      <c r="AH99" s="326"/>
      <c r="AI99" s="326"/>
      <c r="AJ99" s="326"/>
      <c r="AK99" s="326"/>
      <c r="AL99" s="326"/>
      <c r="AM99" s="326"/>
      <c r="AN99" s="326"/>
      <c r="AO99" s="326"/>
      <c r="AP99" s="326"/>
      <c r="AQ99" s="326"/>
      <c r="AR99" s="326"/>
      <c r="AS99" s="326"/>
      <c r="AT99" s="326"/>
    </row>
    <row r="100" spans="1:47" s="327" customFormat="1" ht="30">
      <c r="A100" s="325" t="str">
        <f t="shared" si="1"/>
        <v>Dept. of Conservation and Recreation13</v>
      </c>
      <c r="B100" s="17" t="s">
        <v>2402</v>
      </c>
      <c r="C100" s="17" t="s">
        <v>2452</v>
      </c>
      <c r="D100" s="852"/>
      <c r="E100" s="853" t="s">
        <v>2453</v>
      </c>
      <c r="F100" s="551" t="s">
        <v>980</v>
      </c>
      <c r="G100" s="861"/>
      <c r="H100" s="551"/>
      <c r="I100" s="17"/>
      <c r="J100" s="550"/>
      <c r="K100" s="550"/>
      <c r="L100" s="550"/>
      <c r="M100" s="550"/>
      <c r="N100" s="873" t="s">
        <v>92</v>
      </c>
      <c r="O100" s="326">
        <v>13</v>
      </c>
      <c r="P100" s="326" t="str">
        <f>VLOOKUP(N100,Source!F:F,1,FALSE)</f>
        <v>Dept. of Conservation and Recreation</v>
      </c>
      <c r="Q100" s="326"/>
      <c r="R100" s="326"/>
      <c r="S100" s="326"/>
      <c r="T100" s="326"/>
      <c r="U100" s="326"/>
      <c r="V100" s="326"/>
      <c r="W100" s="326"/>
      <c r="X100" s="326"/>
      <c r="Y100" s="326"/>
      <c r="Z100" s="326"/>
      <c r="AA100" s="326"/>
      <c r="AB100" s="326"/>
      <c r="AC100" s="326"/>
      <c r="AD100" s="326"/>
      <c r="AE100" s="326"/>
      <c r="AF100" s="326"/>
      <c r="AG100" s="326"/>
      <c r="AH100" s="326"/>
      <c r="AI100" s="326"/>
      <c r="AJ100" s="326"/>
      <c r="AK100" s="326"/>
      <c r="AL100" s="326"/>
      <c r="AM100" s="326"/>
      <c r="AN100" s="326"/>
      <c r="AO100" s="326"/>
      <c r="AP100" s="326"/>
      <c r="AQ100" s="326"/>
      <c r="AR100" s="326"/>
      <c r="AS100" s="326"/>
      <c r="AT100" s="326"/>
    </row>
    <row r="101" spans="1:47" s="327" customFormat="1" ht="30">
      <c r="A101" s="325" t="str">
        <f t="shared" si="1"/>
        <v>Dept. of Conservation and Recreation14</v>
      </c>
      <c r="B101" s="17" t="s">
        <v>2403</v>
      </c>
      <c r="C101" s="17" t="s">
        <v>2452</v>
      </c>
      <c r="D101" s="852"/>
      <c r="E101" s="853" t="s">
        <v>2453</v>
      </c>
      <c r="F101" s="551" t="s">
        <v>980</v>
      </c>
      <c r="G101" s="861"/>
      <c r="H101" s="551"/>
      <c r="I101" s="17"/>
      <c r="J101" s="550"/>
      <c r="K101" s="550"/>
      <c r="L101" s="550"/>
      <c r="M101" s="550"/>
      <c r="N101" s="873" t="s">
        <v>92</v>
      </c>
      <c r="O101" s="326">
        <v>14</v>
      </c>
      <c r="P101" s="326" t="str">
        <f>VLOOKUP(N101,Source!F:F,1,FALSE)</f>
        <v>Dept. of Conservation and Recreation</v>
      </c>
      <c r="Q101" s="326"/>
      <c r="R101" s="326"/>
      <c r="S101" s="326"/>
      <c r="T101" s="326"/>
      <c r="U101" s="326"/>
      <c r="V101" s="326"/>
      <c r="W101" s="326"/>
      <c r="X101" s="326"/>
      <c r="Y101" s="326"/>
      <c r="Z101" s="326"/>
      <c r="AA101" s="326"/>
      <c r="AB101" s="326"/>
      <c r="AC101" s="326"/>
      <c r="AD101" s="326"/>
      <c r="AE101" s="326"/>
      <c r="AF101" s="326"/>
      <c r="AG101" s="326"/>
      <c r="AH101" s="326"/>
      <c r="AI101" s="326"/>
      <c r="AJ101" s="326"/>
      <c r="AK101" s="326"/>
      <c r="AL101" s="326"/>
      <c r="AM101" s="326"/>
      <c r="AN101" s="326"/>
      <c r="AO101" s="326"/>
      <c r="AP101" s="326"/>
      <c r="AQ101" s="326"/>
      <c r="AR101" s="326"/>
      <c r="AS101" s="326"/>
      <c r="AT101" s="326"/>
    </row>
    <row r="102" spans="1:47" s="327" customFormat="1" ht="30">
      <c r="A102" s="325" t="str">
        <f t="shared" si="1"/>
        <v>Dept. of Conservation and Recreation15</v>
      </c>
      <c r="B102" s="17" t="s">
        <v>2404</v>
      </c>
      <c r="C102" s="17" t="s">
        <v>2452</v>
      </c>
      <c r="D102" s="852"/>
      <c r="E102" s="853" t="s">
        <v>2453</v>
      </c>
      <c r="F102" s="551" t="s">
        <v>980</v>
      </c>
      <c r="G102" s="861"/>
      <c r="H102" s="551"/>
      <c r="I102" s="17"/>
      <c r="J102" s="550"/>
      <c r="K102" s="550"/>
      <c r="L102" s="550"/>
      <c r="M102" s="550"/>
      <c r="N102" s="873" t="s">
        <v>92</v>
      </c>
      <c r="O102" s="326">
        <v>15</v>
      </c>
      <c r="P102" s="326" t="str">
        <f>VLOOKUP(N102,Source!F:F,1,FALSE)</f>
        <v>Dept. of Conservation and Recreation</v>
      </c>
      <c r="Q102" s="326"/>
      <c r="R102" s="326"/>
      <c r="S102" s="326"/>
      <c r="T102" s="326"/>
      <c r="U102" s="326"/>
      <c r="V102" s="326"/>
      <c r="W102" s="326"/>
      <c r="X102" s="326"/>
      <c r="Y102" s="326"/>
      <c r="Z102" s="326"/>
      <c r="AA102" s="326"/>
      <c r="AB102" s="326"/>
      <c r="AC102" s="326"/>
      <c r="AD102" s="326"/>
      <c r="AE102" s="326"/>
      <c r="AF102" s="326"/>
      <c r="AG102" s="326"/>
      <c r="AH102" s="326"/>
      <c r="AI102" s="326"/>
      <c r="AJ102" s="326"/>
      <c r="AK102" s="326"/>
      <c r="AL102" s="326"/>
      <c r="AM102" s="326"/>
      <c r="AN102" s="326"/>
      <c r="AO102" s="326"/>
      <c r="AP102" s="326"/>
      <c r="AQ102" s="326"/>
      <c r="AR102" s="326"/>
      <c r="AS102" s="326"/>
      <c r="AT102" s="326"/>
    </row>
    <row r="103" spans="1:47" s="327" customFormat="1" ht="30">
      <c r="A103" s="325" t="str">
        <f t="shared" si="1"/>
        <v>Dept. of Conservation and Recreation16</v>
      </c>
      <c r="B103" s="17" t="s">
        <v>2405</v>
      </c>
      <c r="C103" s="17" t="s">
        <v>2452</v>
      </c>
      <c r="D103" s="852"/>
      <c r="E103" s="853" t="s">
        <v>2453</v>
      </c>
      <c r="F103" s="551" t="s">
        <v>980</v>
      </c>
      <c r="G103" s="861"/>
      <c r="H103" s="551"/>
      <c r="I103" s="17" t="s">
        <v>2491</v>
      </c>
      <c r="J103" s="550"/>
      <c r="K103" s="550"/>
      <c r="L103" s="550"/>
      <c r="M103" s="550"/>
      <c r="N103" s="873" t="s">
        <v>92</v>
      </c>
      <c r="O103" s="326">
        <v>16</v>
      </c>
      <c r="P103" s="326" t="str">
        <f>VLOOKUP(N103,Source!F:F,1,FALSE)</f>
        <v>Dept. of Conservation and Recreation</v>
      </c>
      <c r="Q103" s="326"/>
      <c r="R103" s="326"/>
      <c r="S103" s="326"/>
      <c r="T103" s="326"/>
      <c r="U103" s="326"/>
      <c r="V103" s="326"/>
      <c r="W103" s="326"/>
      <c r="X103" s="326"/>
      <c r="Y103" s="326"/>
      <c r="Z103" s="326"/>
      <c r="AA103" s="326"/>
      <c r="AB103" s="326"/>
      <c r="AC103" s="326"/>
      <c r="AD103" s="326"/>
      <c r="AE103" s="326"/>
      <c r="AF103" s="326"/>
      <c r="AG103" s="326"/>
      <c r="AH103" s="326"/>
      <c r="AI103" s="326"/>
      <c r="AJ103" s="326"/>
      <c r="AK103" s="326"/>
      <c r="AL103" s="326"/>
      <c r="AM103" s="326"/>
      <c r="AN103" s="326"/>
      <c r="AO103" s="326"/>
      <c r="AP103" s="326"/>
      <c r="AQ103" s="326"/>
      <c r="AR103" s="326"/>
      <c r="AS103" s="326"/>
      <c r="AT103" s="326"/>
    </row>
    <row r="104" spans="1:47" s="327" customFormat="1" ht="30">
      <c r="A104" s="325" t="str">
        <f t="shared" si="1"/>
        <v>Dept. of Conservation and Recreation17</v>
      </c>
      <c r="B104" s="17" t="s">
        <v>2406</v>
      </c>
      <c r="C104" s="17" t="s">
        <v>2452</v>
      </c>
      <c r="D104" s="852"/>
      <c r="E104" s="853" t="s">
        <v>2453</v>
      </c>
      <c r="F104" s="551" t="s">
        <v>980</v>
      </c>
      <c r="G104" s="861"/>
      <c r="H104" s="551"/>
      <c r="I104" s="17"/>
      <c r="J104" s="550"/>
      <c r="K104" s="550"/>
      <c r="L104" s="550"/>
      <c r="M104" s="550"/>
      <c r="N104" s="873" t="s">
        <v>92</v>
      </c>
      <c r="O104" s="326">
        <v>17</v>
      </c>
      <c r="P104" s="326" t="str">
        <f>VLOOKUP(N104,Source!F:F,1,FALSE)</f>
        <v>Dept. of Conservation and Recreation</v>
      </c>
      <c r="Q104" s="326"/>
      <c r="R104" s="326"/>
      <c r="S104" s="326"/>
      <c r="T104" s="326"/>
      <c r="U104" s="326"/>
      <c r="V104" s="326"/>
      <c r="W104" s="326"/>
      <c r="X104" s="326"/>
      <c r="Y104" s="326"/>
      <c r="Z104" s="326"/>
      <c r="AA104" s="326"/>
      <c r="AB104" s="326"/>
      <c r="AC104" s="326"/>
      <c r="AD104" s="326"/>
      <c r="AE104" s="326"/>
      <c r="AF104" s="326"/>
      <c r="AG104" s="326"/>
      <c r="AH104" s="326"/>
      <c r="AI104" s="326"/>
      <c r="AJ104" s="326"/>
      <c r="AK104" s="326"/>
      <c r="AL104" s="326"/>
      <c r="AM104" s="326"/>
      <c r="AN104" s="326"/>
      <c r="AO104" s="326"/>
      <c r="AP104" s="326"/>
      <c r="AQ104" s="326"/>
      <c r="AR104" s="326"/>
      <c r="AS104" s="326"/>
      <c r="AT104" s="326"/>
    </row>
    <row r="105" spans="1:47" s="331" customFormat="1" ht="30">
      <c r="A105" s="325" t="str">
        <f t="shared" si="1"/>
        <v>Dept. of Conservation and Recreation18</v>
      </c>
      <c r="B105" s="17" t="s">
        <v>2407</v>
      </c>
      <c r="C105" s="17" t="s">
        <v>989</v>
      </c>
      <c r="D105" s="854">
        <v>0.02</v>
      </c>
      <c r="E105" s="853" t="s">
        <v>2453</v>
      </c>
      <c r="F105" s="551" t="s">
        <v>980</v>
      </c>
      <c r="G105" s="861"/>
      <c r="H105" s="551"/>
      <c r="I105" s="17" t="s">
        <v>2492</v>
      </c>
      <c r="J105" s="550"/>
      <c r="K105" s="550"/>
      <c r="L105" s="550"/>
      <c r="M105" s="550"/>
      <c r="N105" s="873" t="s">
        <v>92</v>
      </c>
      <c r="O105" s="326">
        <v>18</v>
      </c>
      <c r="P105" s="326" t="str">
        <f>VLOOKUP(N105,Source!F:F,1,FALSE)</f>
        <v>Dept. of Conservation and Recreation</v>
      </c>
      <c r="Q105" s="330"/>
      <c r="R105" s="330"/>
      <c r="S105" s="330"/>
      <c r="T105" s="330"/>
      <c r="U105" s="330"/>
      <c r="V105" s="330"/>
      <c r="W105" s="330"/>
      <c r="X105" s="330"/>
      <c r="Y105" s="330"/>
      <c r="Z105" s="330"/>
      <c r="AA105" s="330"/>
      <c r="AB105" s="330"/>
      <c r="AC105" s="330"/>
      <c r="AD105" s="330"/>
      <c r="AE105" s="330"/>
      <c r="AF105" s="330"/>
      <c r="AG105" s="330"/>
      <c r="AH105" s="330"/>
      <c r="AI105" s="330"/>
      <c r="AJ105" s="330"/>
      <c r="AK105" s="330"/>
      <c r="AL105" s="330"/>
      <c r="AM105" s="330"/>
      <c r="AN105" s="330"/>
      <c r="AO105" s="330"/>
      <c r="AP105" s="330"/>
      <c r="AQ105" s="330"/>
      <c r="AR105" s="330"/>
      <c r="AS105" s="330"/>
      <c r="AT105" s="330"/>
      <c r="AU105" s="330"/>
    </row>
    <row r="106" spans="1:47" ht="30">
      <c r="A106" s="325" t="str">
        <f t="shared" si="1"/>
        <v>Dept. of Conservation and Recreation19</v>
      </c>
      <c r="B106" s="17" t="s">
        <v>2408</v>
      </c>
      <c r="C106" s="17" t="s">
        <v>2452</v>
      </c>
      <c r="D106" s="852"/>
      <c r="E106" s="853" t="s">
        <v>2453</v>
      </c>
      <c r="F106" s="551" t="s">
        <v>980</v>
      </c>
      <c r="G106" s="861"/>
      <c r="H106" s="551"/>
      <c r="I106" s="17"/>
      <c r="J106" s="550"/>
      <c r="K106" s="550"/>
      <c r="L106" s="550"/>
      <c r="M106" s="550"/>
      <c r="N106" s="873" t="s">
        <v>92</v>
      </c>
      <c r="O106" s="326">
        <v>19</v>
      </c>
      <c r="P106" s="326" t="str">
        <f>VLOOKUP(N106,Source!F:F,1,FALSE)</f>
        <v>Dept. of Conservation and Recreation</v>
      </c>
    </row>
    <row r="107" spans="1:47" ht="30">
      <c r="A107" s="325" t="str">
        <f t="shared" si="1"/>
        <v>Dept. of Conservation and Recreation20</v>
      </c>
      <c r="B107" s="17" t="s">
        <v>2409</v>
      </c>
      <c r="C107" s="17" t="s">
        <v>2452</v>
      </c>
      <c r="D107" s="854">
        <v>2.2000000000000002</v>
      </c>
      <c r="E107" s="853" t="s">
        <v>2455</v>
      </c>
      <c r="F107" s="551" t="s">
        <v>980</v>
      </c>
      <c r="G107" s="861"/>
      <c r="H107" s="551"/>
      <c r="I107" s="17" t="s">
        <v>2493</v>
      </c>
      <c r="J107" s="550"/>
      <c r="K107" s="550"/>
      <c r="L107" s="550"/>
      <c r="M107" s="550"/>
      <c r="N107" s="873" t="s">
        <v>92</v>
      </c>
      <c r="O107" s="326">
        <v>20</v>
      </c>
      <c r="P107" s="326" t="str">
        <f>VLOOKUP(N107,Source!F:F,1,FALSE)</f>
        <v>Dept. of Conservation and Recreation</v>
      </c>
    </row>
    <row r="108" spans="1:47" ht="30">
      <c r="A108" s="325" t="str">
        <f t="shared" si="1"/>
        <v>Dept. of Conservation and Recreation21</v>
      </c>
      <c r="B108" s="17" t="s">
        <v>2409</v>
      </c>
      <c r="C108" s="17" t="s">
        <v>989</v>
      </c>
      <c r="D108" s="852"/>
      <c r="E108" s="853" t="s">
        <v>2453</v>
      </c>
      <c r="F108" s="551" t="s">
        <v>980</v>
      </c>
      <c r="G108" s="861"/>
      <c r="H108" s="551"/>
      <c r="I108" s="17"/>
      <c r="J108" s="550"/>
      <c r="K108" s="550"/>
      <c r="L108" s="550"/>
      <c r="M108" s="550"/>
      <c r="N108" s="873" t="s">
        <v>92</v>
      </c>
      <c r="O108" s="326">
        <v>21</v>
      </c>
      <c r="P108" s="326" t="str">
        <f>VLOOKUP(N108,Source!F:F,1,FALSE)</f>
        <v>Dept. of Conservation and Recreation</v>
      </c>
    </row>
    <row r="109" spans="1:47" ht="30">
      <c r="A109" s="325" t="str">
        <f t="shared" si="1"/>
        <v>Dept. of Conservation and Recreation22</v>
      </c>
      <c r="B109" s="17" t="s">
        <v>2410</v>
      </c>
      <c r="C109" s="17" t="s">
        <v>2452</v>
      </c>
      <c r="D109" s="852"/>
      <c r="E109" s="853" t="s">
        <v>2453</v>
      </c>
      <c r="F109" s="551" t="s">
        <v>980</v>
      </c>
      <c r="G109" s="861"/>
      <c r="H109" s="551"/>
      <c r="I109" s="17"/>
      <c r="J109" s="550"/>
      <c r="K109" s="550"/>
      <c r="L109" s="550"/>
      <c r="M109" s="550"/>
      <c r="N109" s="873" t="s">
        <v>92</v>
      </c>
      <c r="O109" s="326">
        <v>22</v>
      </c>
      <c r="P109" s="326" t="str">
        <f>VLOOKUP(N109,Source!F:F,1,FALSE)</f>
        <v>Dept. of Conservation and Recreation</v>
      </c>
    </row>
    <row r="110" spans="1:47" ht="30">
      <c r="A110" s="325" t="str">
        <f t="shared" si="1"/>
        <v>Dept. of Conservation and Recreation23</v>
      </c>
      <c r="B110" s="17" t="s">
        <v>2411</v>
      </c>
      <c r="C110" s="17" t="s">
        <v>989</v>
      </c>
      <c r="D110" s="852"/>
      <c r="E110" s="853" t="s">
        <v>2453</v>
      </c>
      <c r="F110" s="551" t="s">
        <v>980</v>
      </c>
      <c r="G110" s="861"/>
      <c r="H110" s="551"/>
      <c r="I110" s="17"/>
      <c r="J110" s="550"/>
      <c r="K110" s="550"/>
      <c r="L110" s="550"/>
      <c r="M110" s="550"/>
      <c r="N110" s="873" t="s">
        <v>92</v>
      </c>
      <c r="O110" s="326">
        <v>23</v>
      </c>
      <c r="P110" s="326" t="str">
        <f>VLOOKUP(N110,Source!F:F,1,FALSE)</f>
        <v>Dept. of Conservation and Recreation</v>
      </c>
    </row>
    <row r="111" spans="1:47" ht="30">
      <c r="A111" s="325" t="str">
        <f t="shared" si="1"/>
        <v>Dept. of Conservation and Recreation24</v>
      </c>
      <c r="B111" s="17" t="s">
        <v>2412</v>
      </c>
      <c r="C111" s="17" t="s">
        <v>2452</v>
      </c>
      <c r="D111" s="852"/>
      <c r="E111" s="853" t="s">
        <v>2453</v>
      </c>
      <c r="F111" s="551" t="s">
        <v>980</v>
      </c>
      <c r="G111" s="861"/>
      <c r="H111" s="551"/>
      <c r="I111" s="17" t="s">
        <v>2494</v>
      </c>
      <c r="J111" s="550"/>
      <c r="K111" s="550"/>
      <c r="L111" s="550"/>
      <c r="M111" s="550"/>
      <c r="N111" s="873" t="s">
        <v>92</v>
      </c>
      <c r="O111" s="326">
        <v>24</v>
      </c>
      <c r="P111" s="326" t="str">
        <f>VLOOKUP(N111,Source!F:F,1,FALSE)</f>
        <v>Dept. of Conservation and Recreation</v>
      </c>
    </row>
    <row r="112" spans="1:47" ht="30">
      <c r="A112" s="325" t="str">
        <f t="shared" si="1"/>
        <v>Dept. of Conservation and Recreation25</v>
      </c>
      <c r="B112" s="17" t="s">
        <v>2412</v>
      </c>
      <c r="C112" s="17" t="s">
        <v>2452</v>
      </c>
      <c r="D112" s="854">
        <v>60</v>
      </c>
      <c r="E112" s="853" t="s">
        <v>2453</v>
      </c>
      <c r="F112" s="551" t="s">
        <v>980</v>
      </c>
      <c r="G112" s="861"/>
      <c r="H112" s="551"/>
      <c r="I112" s="17" t="s">
        <v>2495</v>
      </c>
      <c r="J112" s="550"/>
      <c r="K112" s="550"/>
      <c r="L112" s="550"/>
      <c r="M112" s="550"/>
      <c r="N112" s="873" t="s">
        <v>92</v>
      </c>
      <c r="O112" s="326">
        <v>25</v>
      </c>
      <c r="P112" s="326" t="str">
        <f>VLOOKUP(N112,Source!F:F,1,FALSE)</f>
        <v>Dept. of Conservation and Recreation</v>
      </c>
    </row>
    <row r="113" spans="1:16" ht="30">
      <c r="A113" s="325" t="str">
        <f t="shared" si="1"/>
        <v>Dept. of Conservation and Recreation26</v>
      </c>
      <c r="B113" s="17" t="s">
        <v>2413</v>
      </c>
      <c r="C113" s="17" t="s">
        <v>2452</v>
      </c>
      <c r="D113" s="852"/>
      <c r="E113" s="853" t="s">
        <v>2453</v>
      </c>
      <c r="F113" s="551" t="s">
        <v>980</v>
      </c>
      <c r="G113" s="861"/>
      <c r="H113" s="551"/>
      <c r="I113" s="17"/>
      <c r="J113" s="550"/>
      <c r="K113" s="550"/>
      <c r="L113" s="550"/>
      <c r="M113" s="550"/>
      <c r="N113" s="873" t="s">
        <v>92</v>
      </c>
      <c r="O113" s="326">
        <v>26</v>
      </c>
      <c r="P113" s="326" t="str">
        <f>VLOOKUP(N113,Source!F:F,1,FALSE)</f>
        <v>Dept. of Conservation and Recreation</v>
      </c>
    </row>
    <row r="114" spans="1:16" ht="30">
      <c r="A114" s="325" t="str">
        <f t="shared" si="1"/>
        <v>Dept. of Conservation and Recreation27</v>
      </c>
      <c r="B114" s="17" t="s">
        <v>2414</v>
      </c>
      <c r="C114" s="17" t="s">
        <v>2454</v>
      </c>
      <c r="D114" s="852"/>
      <c r="E114" s="853" t="s">
        <v>2453</v>
      </c>
      <c r="F114" s="551" t="s">
        <v>980</v>
      </c>
      <c r="G114" s="861"/>
      <c r="H114" s="551"/>
      <c r="I114" s="17"/>
      <c r="J114" s="550"/>
      <c r="K114" s="550"/>
      <c r="L114" s="550"/>
      <c r="M114" s="550"/>
      <c r="N114" s="873" t="s">
        <v>92</v>
      </c>
      <c r="O114" s="326">
        <v>27</v>
      </c>
      <c r="P114" s="326" t="str">
        <f>VLOOKUP(N114,Source!F:F,1,FALSE)</f>
        <v>Dept. of Conservation and Recreation</v>
      </c>
    </row>
    <row r="115" spans="1:16" ht="30">
      <c r="A115" s="325" t="str">
        <f t="shared" si="1"/>
        <v>Dept. of Conservation and Recreation28</v>
      </c>
      <c r="B115" s="17" t="s">
        <v>2415</v>
      </c>
      <c r="C115" s="17" t="s">
        <v>2452</v>
      </c>
      <c r="D115" s="852"/>
      <c r="E115" s="853" t="s">
        <v>2453</v>
      </c>
      <c r="F115" s="551" t="s">
        <v>980</v>
      </c>
      <c r="G115" s="551"/>
      <c r="H115" s="551"/>
      <c r="I115" s="17"/>
      <c r="J115" s="550"/>
      <c r="K115" s="550"/>
      <c r="L115" s="550"/>
      <c r="M115" s="550"/>
      <c r="N115" s="873" t="s">
        <v>92</v>
      </c>
      <c r="O115" s="326">
        <v>28</v>
      </c>
      <c r="P115" s="326" t="str">
        <f>VLOOKUP(N115,Source!F:F,1,FALSE)</f>
        <v>Dept. of Conservation and Recreation</v>
      </c>
    </row>
    <row r="116" spans="1:16" ht="30">
      <c r="A116" s="325" t="str">
        <f t="shared" si="1"/>
        <v>Dept. of Conservation and Recreation29</v>
      </c>
      <c r="B116" s="17" t="s">
        <v>2416</v>
      </c>
      <c r="C116" s="17" t="s">
        <v>2452</v>
      </c>
      <c r="D116" s="854">
        <v>6.5</v>
      </c>
      <c r="E116" s="853" t="s">
        <v>2456</v>
      </c>
      <c r="F116" s="551" t="s">
        <v>980</v>
      </c>
      <c r="G116" s="551"/>
      <c r="H116" s="551"/>
      <c r="I116" s="17" t="s">
        <v>2496</v>
      </c>
      <c r="J116" s="550"/>
      <c r="K116" s="550"/>
      <c r="L116" s="550"/>
      <c r="M116" s="550"/>
      <c r="N116" s="873" t="s">
        <v>92</v>
      </c>
      <c r="O116" s="326">
        <v>29</v>
      </c>
      <c r="P116" s="326" t="str">
        <f>VLOOKUP(N116,Source!F:F,1,FALSE)</f>
        <v>Dept. of Conservation and Recreation</v>
      </c>
    </row>
    <row r="117" spans="1:16" ht="30">
      <c r="A117" s="325" t="str">
        <f t="shared" si="1"/>
        <v>Dept. of Conservation and Recreation30</v>
      </c>
      <c r="B117" s="17" t="s">
        <v>2416</v>
      </c>
      <c r="C117" s="17" t="s">
        <v>989</v>
      </c>
      <c r="D117" s="852"/>
      <c r="E117" s="853" t="s">
        <v>2453</v>
      </c>
      <c r="F117" s="551" t="s">
        <v>980</v>
      </c>
      <c r="G117" s="551"/>
      <c r="H117" s="551"/>
      <c r="I117" s="17" t="s">
        <v>2497</v>
      </c>
      <c r="J117" s="550"/>
      <c r="K117" s="550"/>
      <c r="L117" s="550"/>
      <c r="M117" s="550"/>
      <c r="N117" s="873" t="s">
        <v>92</v>
      </c>
      <c r="O117" s="326">
        <v>30</v>
      </c>
      <c r="P117" s="326" t="str">
        <f>VLOOKUP(N117,Source!F:F,1,FALSE)</f>
        <v>Dept. of Conservation and Recreation</v>
      </c>
    </row>
    <row r="118" spans="1:16" ht="30">
      <c r="A118" s="325" t="str">
        <f t="shared" si="1"/>
        <v>Dept. of Conservation and Recreation31</v>
      </c>
      <c r="B118" s="17" t="s">
        <v>2416</v>
      </c>
      <c r="C118" s="17" t="s">
        <v>2452</v>
      </c>
      <c r="D118" s="854">
        <v>0.3</v>
      </c>
      <c r="E118" s="853" t="s">
        <v>2453</v>
      </c>
      <c r="F118" s="551" t="s">
        <v>980</v>
      </c>
      <c r="G118" s="551"/>
      <c r="H118" s="551"/>
      <c r="I118" s="17"/>
      <c r="J118" s="550"/>
      <c r="K118" s="550"/>
      <c r="L118" s="550"/>
      <c r="M118" s="550"/>
      <c r="N118" s="873" t="s">
        <v>92</v>
      </c>
      <c r="O118" s="326">
        <v>31</v>
      </c>
      <c r="P118" s="326" t="str">
        <f>VLOOKUP(N118,Source!F:F,1,FALSE)</f>
        <v>Dept. of Conservation and Recreation</v>
      </c>
    </row>
    <row r="119" spans="1:16" ht="30">
      <c r="A119" s="325" t="str">
        <f t="shared" si="1"/>
        <v>Dept. of Conservation and Recreation32</v>
      </c>
      <c r="B119" s="17" t="s">
        <v>2417</v>
      </c>
      <c r="C119" s="17" t="s">
        <v>2452</v>
      </c>
      <c r="D119" s="852"/>
      <c r="E119" s="853" t="s">
        <v>2453</v>
      </c>
      <c r="F119" s="551" t="s">
        <v>980</v>
      </c>
      <c r="G119" s="551"/>
      <c r="H119" s="551"/>
      <c r="I119" s="17"/>
      <c r="J119" s="550"/>
      <c r="K119" s="550"/>
      <c r="L119" s="550"/>
      <c r="M119" s="550"/>
      <c r="N119" s="873" t="s">
        <v>92</v>
      </c>
      <c r="O119" s="326">
        <v>32</v>
      </c>
      <c r="P119" s="326" t="str">
        <f>VLOOKUP(N119,Source!F:F,1,FALSE)</f>
        <v>Dept. of Conservation and Recreation</v>
      </c>
    </row>
    <row r="120" spans="1:16" ht="30">
      <c r="A120" s="325" t="str">
        <f t="shared" si="1"/>
        <v>Dept. of Conservation and Recreation33</v>
      </c>
      <c r="B120" s="17" t="s">
        <v>2417</v>
      </c>
      <c r="C120" s="17" t="s">
        <v>2452</v>
      </c>
      <c r="D120" s="852"/>
      <c r="E120" s="853" t="s">
        <v>2453</v>
      </c>
      <c r="F120" s="551" t="s">
        <v>980</v>
      </c>
      <c r="G120" s="551"/>
      <c r="H120" s="551"/>
      <c r="I120" s="17"/>
      <c r="J120" s="550"/>
      <c r="K120" s="550"/>
      <c r="L120" s="550"/>
      <c r="M120" s="550"/>
      <c r="N120" s="873" t="s">
        <v>92</v>
      </c>
      <c r="O120" s="326">
        <v>33</v>
      </c>
      <c r="P120" s="326" t="str">
        <f>VLOOKUP(N120,Source!F:F,1,FALSE)</f>
        <v>Dept. of Conservation and Recreation</v>
      </c>
    </row>
    <row r="121" spans="1:16" ht="30">
      <c r="A121" s="325" t="str">
        <f t="shared" si="1"/>
        <v>Dept. of Conservation and Recreation34</v>
      </c>
      <c r="B121" s="17" t="s">
        <v>2418</v>
      </c>
      <c r="C121" s="17" t="s">
        <v>2452</v>
      </c>
      <c r="D121" s="852"/>
      <c r="E121" s="853" t="s">
        <v>2453</v>
      </c>
      <c r="F121" s="551" t="s">
        <v>980</v>
      </c>
      <c r="G121" s="551"/>
      <c r="H121" s="551"/>
      <c r="I121" s="17" t="s">
        <v>2498</v>
      </c>
      <c r="J121" s="550"/>
      <c r="K121" s="550"/>
      <c r="L121" s="550"/>
      <c r="M121" s="550"/>
      <c r="N121" s="873" t="s">
        <v>92</v>
      </c>
      <c r="O121" s="326">
        <v>34</v>
      </c>
      <c r="P121" s="326" t="str">
        <f>VLOOKUP(N121,Source!F:F,1,FALSE)</f>
        <v>Dept. of Conservation and Recreation</v>
      </c>
    </row>
    <row r="122" spans="1:16" ht="30">
      <c r="A122" s="325" t="str">
        <f t="shared" si="1"/>
        <v>Dept. of Conservation and Recreation35</v>
      </c>
      <c r="B122" s="17" t="s">
        <v>2418</v>
      </c>
      <c r="C122" s="17" t="s">
        <v>989</v>
      </c>
      <c r="D122" s="854">
        <v>0.02</v>
      </c>
      <c r="E122" s="853" t="s">
        <v>2453</v>
      </c>
      <c r="F122" s="551" t="s">
        <v>980</v>
      </c>
      <c r="G122" s="551"/>
      <c r="H122" s="551"/>
      <c r="I122" s="17" t="s">
        <v>2499</v>
      </c>
      <c r="J122" s="550"/>
      <c r="K122" s="550"/>
      <c r="L122" s="550"/>
      <c r="M122" s="550"/>
      <c r="N122" s="873" t="s">
        <v>92</v>
      </c>
      <c r="O122" s="326">
        <v>35</v>
      </c>
      <c r="P122" s="326" t="str">
        <f>VLOOKUP(N122,Source!F:F,1,FALSE)</f>
        <v>Dept. of Conservation and Recreation</v>
      </c>
    </row>
    <row r="123" spans="1:16" ht="30">
      <c r="A123" s="325" t="str">
        <f t="shared" si="1"/>
        <v>Dept. of Conservation and Recreation36</v>
      </c>
      <c r="B123" s="17" t="s">
        <v>2418</v>
      </c>
      <c r="C123" s="17" t="s">
        <v>989</v>
      </c>
      <c r="D123" s="854">
        <v>3.8</v>
      </c>
      <c r="E123" s="853" t="s">
        <v>2453</v>
      </c>
      <c r="F123" s="551" t="s">
        <v>980</v>
      </c>
      <c r="G123" s="551"/>
      <c r="H123" s="551"/>
      <c r="I123" s="17" t="s">
        <v>2500</v>
      </c>
      <c r="J123" s="550"/>
      <c r="K123" s="550"/>
      <c r="L123" s="550"/>
      <c r="M123" s="550"/>
      <c r="N123" s="873" t="s">
        <v>92</v>
      </c>
      <c r="O123" s="326">
        <v>36</v>
      </c>
      <c r="P123" s="326" t="str">
        <f>VLOOKUP(N123,Source!F:F,1,FALSE)</f>
        <v>Dept. of Conservation and Recreation</v>
      </c>
    </row>
    <row r="124" spans="1:16" ht="30">
      <c r="A124" s="325" t="str">
        <f t="shared" si="1"/>
        <v>Dept. of Conservation and Recreation37</v>
      </c>
      <c r="B124" s="17" t="s">
        <v>2419</v>
      </c>
      <c r="C124" s="17" t="s">
        <v>2452</v>
      </c>
      <c r="D124" s="852"/>
      <c r="E124" s="853" t="s">
        <v>2453</v>
      </c>
      <c r="F124" s="551" t="s">
        <v>980</v>
      </c>
      <c r="G124" s="551"/>
      <c r="H124" s="551"/>
      <c r="I124" s="17"/>
      <c r="J124" s="550"/>
      <c r="K124" s="550"/>
      <c r="L124" s="550"/>
      <c r="M124" s="550"/>
      <c r="N124" s="873" t="s">
        <v>92</v>
      </c>
      <c r="O124" s="326">
        <v>37</v>
      </c>
      <c r="P124" s="326" t="str">
        <f>VLOOKUP(N124,Source!F:F,1,FALSE)</f>
        <v>Dept. of Conservation and Recreation</v>
      </c>
    </row>
    <row r="125" spans="1:16" ht="30">
      <c r="A125" s="325" t="str">
        <f t="shared" si="1"/>
        <v>Dept. of Conservation and Recreation38</v>
      </c>
      <c r="B125" s="17" t="s">
        <v>2419</v>
      </c>
      <c r="C125" s="17" t="s">
        <v>2452</v>
      </c>
      <c r="D125" s="852"/>
      <c r="E125" s="853" t="s">
        <v>2453</v>
      </c>
      <c r="F125" s="551" t="s">
        <v>980</v>
      </c>
      <c r="G125" s="551"/>
      <c r="H125" s="551"/>
      <c r="I125" s="17"/>
      <c r="J125" s="550"/>
      <c r="K125" s="550"/>
      <c r="L125" s="550"/>
      <c r="M125" s="550"/>
      <c r="N125" s="873" t="s">
        <v>92</v>
      </c>
      <c r="O125" s="326">
        <v>38</v>
      </c>
      <c r="P125" s="326" t="str">
        <f>VLOOKUP(N125,Source!F:F,1,FALSE)</f>
        <v>Dept. of Conservation and Recreation</v>
      </c>
    </row>
    <row r="126" spans="1:16" ht="30">
      <c r="A126" s="325" t="str">
        <f t="shared" si="1"/>
        <v>Dept. of Conservation and Recreation39</v>
      </c>
      <c r="B126" s="17" t="s">
        <v>2419</v>
      </c>
      <c r="C126" s="17" t="s">
        <v>2452</v>
      </c>
      <c r="D126" s="852"/>
      <c r="E126" s="853" t="s">
        <v>2453</v>
      </c>
      <c r="F126" s="551" t="s">
        <v>980</v>
      </c>
      <c r="G126" s="551"/>
      <c r="H126" s="551"/>
      <c r="I126" s="17"/>
      <c r="J126" s="550"/>
      <c r="K126" s="550"/>
      <c r="L126" s="550"/>
      <c r="M126" s="550"/>
      <c r="N126" s="873" t="s">
        <v>92</v>
      </c>
      <c r="O126" s="326">
        <v>39</v>
      </c>
      <c r="P126" s="326" t="str">
        <f>VLOOKUP(N126,Source!F:F,1,FALSE)</f>
        <v>Dept. of Conservation and Recreation</v>
      </c>
    </row>
    <row r="127" spans="1:16" ht="30">
      <c r="A127" s="325" t="str">
        <f t="shared" si="1"/>
        <v>Dept. of Conservation and Recreation40</v>
      </c>
      <c r="B127" s="17" t="s">
        <v>2420</v>
      </c>
      <c r="C127" s="17" t="s">
        <v>2452</v>
      </c>
      <c r="D127" s="852"/>
      <c r="E127" s="853" t="s">
        <v>2453</v>
      </c>
      <c r="F127" s="551" t="s">
        <v>980</v>
      </c>
      <c r="G127" s="551"/>
      <c r="H127" s="551"/>
      <c r="I127" s="17"/>
      <c r="J127" s="550"/>
      <c r="K127" s="550"/>
      <c r="L127" s="550"/>
      <c r="M127" s="550"/>
      <c r="N127" s="873" t="s">
        <v>92</v>
      </c>
      <c r="O127" s="326">
        <v>40</v>
      </c>
      <c r="P127" s="326" t="str">
        <f>VLOOKUP(N127,Source!F:F,1,FALSE)</f>
        <v>Dept. of Conservation and Recreation</v>
      </c>
    </row>
    <row r="128" spans="1:16" ht="30">
      <c r="A128" s="325" t="str">
        <f t="shared" si="1"/>
        <v>Dept. of Conservation and Recreation41</v>
      </c>
      <c r="B128" s="17" t="s">
        <v>2420</v>
      </c>
      <c r="C128" s="17" t="s">
        <v>2452</v>
      </c>
      <c r="D128" s="852"/>
      <c r="E128" s="853" t="s">
        <v>2453</v>
      </c>
      <c r="F128" s="551" t="s">
        <v>980</v>
      </c>
      <c r="G128" s="551"/>
      <c r="H128" s="551"/>
      <c r="I128" s="17"/>
      <c r="J128" s="550"/>
      <c r="K128" s="550"/>
      <c r="L128" s="550"/>
      <c r="M128" s="550"/>
      <c r="N128" s="873" t="s">
        <v>92</v>
      </c>
      <c r="O128" s="326">
        <v>41</v>
      </c>
      <c r="P128" s="326" t="str">
        <f>VLOOKUP(N128,Source!F:F,1,FALSE)</f>
        <v>Dept. of Conservation and Recreation</v>
      </c>
    </row>
    <row r="129" spans="1:16" ht="30">
      <c r="A129" s="325" t="str">
        <f t="shared" si="1"/>
        <v>Dept. of Conservation and Recreation42</v>
      </c>
      <c r="B129" s="17" t="s">
        <v>2421</v>
      </c>
      <c r="C129" s="17" t="s">
        <v>2454</v>
      </c>
      <c r="D129" s="852"/>
      <c r="E129" s="853" t="s">
        <v>2453</v>
      </c>
      <c r="F129" s="551" t="s">
        <v>980</v>
      </c>
      <c r="G129" s="551"/>
      <c r="H129" s="551"/>
      <c r="I129" s="17" t="s">
        <v>2501</v>
      </c>
      <c r="J129" s="550"/>
      <c r="K129" s="550"/>
      <c r="L129" s="550"/>
      <c r="M129" s="550"/>
      <c r="N129" s="873" t="s">
        <v>92</v>
      </c>
      <c r="O129" s="326">
        <v>42</v>
      </c>
      <c r="P129" s="326" t="str">
        <f>VLOOKUP(N129,Source!F:F,1,FALSE)</f>
        <v>Dept. of Conservation and Recreation</v>
      </c>
    </row>
    <row r="130" spans="1:16" ht="30">
      <c r="A130" s="325" t="str">
        <f t="shared" si="1"/>
        <v>Dept. of Conservation and Recreation43</v>
      </c>
      <c r="B130" s="17" t="s">
        <v>2421</v>
      </c>
      <c r="C130" s="17" t="s">
        <v>2452</v>
      </c>
      <c r="D130" s="852"/>
      <c r="E130" s="853" t="s">
        <v>2453</v>
      </c>
      <c r="F130" s="551" t="s">
        <v>980</v>
      </c>
      <c r="G130" s="551"/>
      <c r="H130" s="551"/>
      <c r="I130" s="17" t="s">
        <v>2502</v>
      </c>
      <c r="J130" s="550"/>
      <c r="K130" s="550"/>
      <c r="L130" s="550"/>
      <c r="M130" s="550"/>
      <c r="N130" s="873" t="s">
        <v>92</v>
      </c>
      <c r="O130" s="326">
        <v>43</v>
      </c>
      <c r="P130" s="326" t="str">
        <f>VLOOKUP(N130,Source!F:F,1,FALSE)</f>
        <v>Dept. of Conservation and Recreation</v>
      </c>
    </row>
    <row r="131" spans="1:16" ht="30">
      <c r="A131" s="325" t="str">
        <f t="shared" si="1"/>
        <v>Dept. of Conservation and Recreation44</v>
      </c>
      <c r="B131" s="17" t="s">
        <v>2421</v>
      </c>
      <c r="C131" s="17" t="s">
        <v>989</v>
      </c>
      <c r="D131" s="852"/>
      <c r="E131" s="853" t="s">
        <v>2453</v>
      </c>
      <c r="F131" s="551" t="s">
        <v>980</v>
      </c>
      <c r="G131" s="551"/>
      <c r="H131" s="551"/>
      <c r="I131" s="17" t="s">
        <v>2503</v>
      </c>
      <c r="J131" s="550"/>
      <c r="K131" s="550"/>
      <c r="L131" s="550"/>
      <c r="M131" s="550"/>
      <c r="N131" s="873" t="s">
        <v>92</v>
      </c>
      <c r="O131" s="326">
        <v>44</v>
      </c>
      <c r="P131" s="326" t="str">
        <f>VLOOKUP(N131,Source!F:F,1,FALSE)</f>
        <v>Dept. of Conservation and Recreation</v>
      </c>
    </row>
    <row r="132" spans="1:16" ht="30">
      <c r="A132" s="325" t="str">
        <f t="shared" si="1"/>
        <v>Dept. of Conservation and Recreation45</v>
      </c>
      <c r="B132" s="17" t="s">
        <v>2421</v>
      </c>
      <c r="C132" s="17" t="s">
        <v>2452</v>
      </c>
      <c r="D132" s="852"/>
      <c r="E132" s="853" t="s">
        <v>2453</v>
      </c>
      <c r="F132" s="551" t="s">
        <v>980</v>
      </c>
      <c r="G132" s="551"/>
      <c r="H132" s="551"/>
      <c r="I132" s="17"/>
      <c r="J132" s="550"/>
      <c r="K132" s="550"/>
      <c r="L132" s="550"/>
      <c r="M132" s="550"/>
      <c r="N132" s="873" t="s">
        <v>92</v>
      </c>
      <c r="O132" s="326">
        <v>45</v>
      </c>
      <c r="P132" s="326" t="str">
        <f>VLOOKUP(N132,Source!F:F,1,FALSE)</f>
        <v>Dept. of Conservation and Recreation</v>
      </c>
    </row>
    <row r="133" spans="1:16" ht="30">
      <c r="A133" s="325" t="str">
        <f t="shared" si="1"/>
        <v>Dept. of Conservation and Recreation46</v>
      </c>
      <c r="B133" s="17" t="s">
        <v>2421</v>
      </c>
      <c r="C133" s="17" t="s">
        <v>2452</v>
      </c>
      <c r="D133" s="852"/>
      <c r="E133" s="853" t="s">
        <v>2453</v>
      </c>
      <c r="F133" s="551" t="s">
        <v>980</v>
      </c>
      <c r="G133" s="551"/>
      <c r="H133" s="551"/>
      <c r="I133" s="17"/>
      <c r="J133" s="550"/>
      <c r="K133" s="550"/>
      <c r="L133" s="550"/>
      <c r="M133" s="550"/>
      <c r="N133" s="873" t="s">
        <v>92</v>
      </c>
      <c r="O133" s="326">
        <v>46</v>
      </c>
      <c r="P133" s="326" t="str">
        <f>VLOOKUP(N133,Source!F:F,1,FALSE)</f>
        <v>Dept. of Conservation and Recreation</v>
      </c>
    </row>
    <row r="134" spans="1:16" ht="30">
      <c r="A134" s="325" t="str">
        <f t="shared" si="1"/>
        <v>Dept. of Conservation and Recreation47</v>
      </c>
      <c r="B134" s="17" t="s">
        <v>2421</v>
      </c>
      <c r="C134" s="17" t="s">
        <v>2452</v>
      </c>
      <c r="D134" s="854">
        <v>3.5</v>
      </c>
      <c r="E134" s="853" t="s">
        <v>2453</v>
      </c>
      <c r="F134" s="551" t="s">
        <v>980</v>
      </c>
      <c r="G134" s="551"/>
      <c r="H134" s="551"/>
      <c r="I134" s="17" t="s">
        <v>2504</v>
      </c>
      <c r="J134" s="550"/>
      <c r="K134" s="550"/>
      <c r="L134" s="550"/>
      <c r="M134" s="550"/>
      <c r="N134" s="873" t="s">
        <v>92</v>
      </c>
      <c r="O134" s="326">
        <v>47</v>
      </c>
      <c r="P134" s="326" t="str">
        <f>VLOOKUP(N134,Source!F:F,1,FALSE)</f>
        <v>Dept. of Conservation and Recreation</v>
      </c>
    </row>
    <row r="135" spans="1:16" ht="30">
      <c r="A135" s="325" t="str">
        <f t="shared" si="1"/>
        <v>Dept. of Conservation and Recreation48</v>
      </c>
      <c r="B135" s="17" t="s">
        <v>2422</v>
      </c>
      <c r="C135" s="17" t="s">
        <v>2452</v>
      </c>
      <c r="D135" s="852"/>
      <c r="E135" s="853" t="s">
        <v>2453</v>
      </c>
      <c r="F135" s="551" t="s">
        <v>980</v>
      </c>
      <c r="G135" s="551"/>
      <c r="H135" s="551"/>
      <c r="I135" s="17"/>
      <c r="J135" s="550"/>
      <c r="K135" s="550"/>
      <c r="L135" s="550"/>
      <c r="M135" s="550"/>
      <c r="N135" s="873" t="s">
        <v>92</v>
      </c>
      <c r="O135" s="326">
        <v>48</v>
      </c>
      <c r="P135" s="326" t="str">
        <f>VLOOKUP(N135,Source!F:F,1,FALSE)</f>
        <v>Dept. of Conservation and Recreation</v>
      </c>
    </row>
    <row r="136" spans="1:16" ht="30">
      <c r="A136" s="325" t="str">
        <f t="shared" si="1"/>
        <v>Dept. of Conservation and Recreation49</v>
      </c>
      <c r="B136" s="17" t="s">
        <v>2423</v>
      </c>
      <c r="C136" s="17" t="s">
        <v>989</v>
      </c>
      <c r="D136" s="852"/>
      <c r="E136" s="853" t="s">
        <v>2453</v>
      </c>
      <c r="F136" s="551" t="s">
        <v>980</v>
      </c>
      <c r="G136" s="551"/>
      <c r="H136" s="551"/>
      <c r="I136" s="17"/>
      <c r="J136" s="550"/>
      <c r="K136" s="550"/>
      <c r="L136" s="550"/>
      <c r="M136" s="550"/>
      <c r="N136" s="873" t="s">
        <v>92</v>
      </c>
      <c r="O136" s="326">
        <v>49</v>
      </c>
      <c r="P136" s="326" t="str">
        <f>VLOOKUP(N136,Source!F:F,1,FALSE)</f>
        <v>Dept. of Conservation and Recreation</v>
      </c>
    </row>
    <row r="137" spans="1:16" ht="30">
      <c r="A137" s="325" t="str">
        <f t="shared" si="1"/>
        <v>Dept. of Conservation and Recreation50</v>
      </c>
      <c r="B137" s="17" t="s">
        <v>2424</v>
      </c>
      <c r="C137" s="17" t="s">
        <v>2452</v>
      </c>
      <c r="D137" s="854">
        <v>21</v>
      </c>
      <c r="E137" s="853" t="s">
        <v>2453</v>
      </c>
      <c r="F137" s="551" t="s">
        <v>980</v>
      </c>
      <c r="G137" s="551"/>
      <c r="H137" s="551"/>
      <c r="I137" s="17" t="s">
        <v>2505</v>
      </c>
      <c r="J137" s="550"/>
      <c r="K137" s="550"/>
      <c r="L137" s="550"/>
      <c r="M137" s="550"/>
      <c r="N137" s="873" t="s">
        <v>92</v>
      </c>
      <c r="O137" s="326">
        <v>50</v>
      </c>
      <c r="P137" s="326" t="str">
        <f>VLOOKUP(N137,Source!F:F,1,FALSE)</f>
        <v>Dept. of Conservation and Recreation</v>
      </c>
    </row>
    <row r="138" spans="1:16" ht="30">
      <c r="A138" s="325" t="str">
        <f t="shared" si="1"/>
        <v>Dept. of Conservation and Recreation51</v>
      </c>
      <c r="B138" s="17" t="s">
        <v>2424</v>
      </c>
      <c r="C138" s="17" t="s">
        <v>2452</v>
      </c>
      <c r="D138" s="852"/>
      <c r="E138" s="853" t="s">
        <v>2453</v>
      </c>
      <c r="F138" s="551" t="s">
        <v>980</v>
      </c>
      <c r="G138" s="551"/>
      <c r="H138" s="551"/>
      <c r="I138" s="17"/>
      <c r="J138" s="550"/>
      <c r="K138" s="550"/>
      <c r="L138" s="550"/>
      <c r="M138" s="550"/>
      <c r="N138" s="873" t="s">
        <v>92</v>
      </c>
      <c r="O138" s="326">
        <v>51</v>
      </c>
      <c r="P138" s="326" t="str">
        <f>VLOOKUP(N138,Source!F:F,1,FALSE)</f>
        <v>Dept. of Conservation and Recreation</v>
      </c>
    </row>
    <row r="139" spans="1:16" ht="30">
      <c r="A139" s="325" t="str">
        <f t="shared" si="1"/>
        <v>Dept. of Conservation and Recreation52</v>
      </c>
      <c r="B139" s="17" t="s">
        <v>2424</v>
      </c>
      <c r="C139" s="17" t="s">
        <v>2452</v>
      </c>
      <c r="D139" s="852"/>
      <c r="E139" s="853" t="s">
        <v>2453</v>
      </c>
      <c r="F139" s="551" t="s">
        <v>980</v>
      </c>
      <c r="G139" s="551"/>
      <c r="H139" s="551"/>
      <c r="I139" s="17"/>
      <c r="J139" s="550"/>
      <c r="K139" s="550"/>
      <c r="L139" s="550"/>
      <c r="M139" s="550"/>
      <c r="N139" s="873" t="s">
        <v>92</v>
      </c>
      <c r="O139" s="326">
        <v>52</v>
      </c>
      <c r="P139" s="326" t="str">
        <f>VLOOKUP(N139,Source!F:F,1,FALSE)</f>
        <v>Dept. of Conservation and Recreation</v>
      </c>
    </row>
    <row r="140" spans="1:16" ht="30">
      <c r="A140" s="325" t="str">
        <f t="shared" ref="A140:A178" si="2">N140&amp;O140</f>
        <v>Dept. of Conservation and Recreation53</v>
      </c>
      <c r="B140" s="17" t="s">
        <v>2266</v>
      </c>
      <c r="C140" s="17" t="s">
        <v>989</v>
      </c>
      <c r="D140" s="852"/>
      <c r="E140" s="853" t="s">
        <v>2453</v>
      </c>
      <c r="F140" s="551" t="s">
        <v>980</v>
      </c>
      <c r="G140" s="551"/>
      <c r="H140" s="551"/>
      <c r="I140" s="17"/>
      <c r="J140" s="550"/>
      <c r="K140" s="550"/>
      <c r="L140" s="550"/>
      <c r="M140" s="550"/>
      <c r="N140" s="873" t="s">
        <v>92</v>
      </c>
      <c r="O140" s="326">
        <v>53</v>
      </c>
      <c r="P140" s="326" t="str">
        <f>VLOOKUP(N140,Source!F:F,1,FALSE)</f>
        <v>Dept. of Conservation and Recreation</v>
      </c>
    </row>
    <row r="141" spans="1:16" ht="30">
      <c r="A141" s="325" t="str">
        <f t="shared" si="2"/>
        <v>Dept. of Conservation and Recreation54</v>
      </c>
      <c r="B141" s="17" t="s">
        <v>2266</v>
      </c>
      <c r="C141" s="17" t="s">
        <v>2452</v>
      </c>
      <c r="D141" s="852"/>
      <c r="E141" s="853" t="s">
        <v>2453</v>
      </c>
      <c r="F141" s="551" t="s">
        <v>980</v>
      </c>
      <c r="G141" s="551"/>
      <c r="H141" s="551"/>
      <c r="I141" s="17"/>
      <c r="J141" s="550"/>
      <c r="K141" s="550"/>
      <c r="L141" s="550"/>
      <c r="M141" s="550"/>
      <c r="N141" s="873" t="s">
        <v>92</v>
      </c>
      <c r="O141" s="326">
        <v>54</v>
      </c>
      <c r="P141" s="326" t="str">
        <f>VLOOKUP(N141,Source!F:F,1,FALSE)</f>
        <v>Dept. of Conservation and Recreation</v>
      </c>
    </row>
    <row r="142" spans="1:16" ht="30">
      <c r="A142" s="325" t="str">
        <f t="shared" si="2"/>
        <v>Dept. of Conservation and Recreation55</v>
      </c>
      <c r="B142" s="17" t="s">
        <v>2425</v>
      </c>
      <c r="C142" s="17" t="s">
        <v>2454</v>
      </c>
      <c r="D142" s="852"/>
      <c r="E142" s="853" t="s">
        <v>2453</v>
      </c>
      <c r="F142" s="551" t="s">
        <v>980</v>
      </c>
      <c r="G142" s="551"/>
      <c r="H142" s="551"/>
      <c r="I142" s="17"/>
      <c r="J142" s="550"/>
      <c r="K142" s="550"/>
      <c r="L142" s="550"/>
      <c r="M142" s="550"/>
      <c r="N142" s="873" t="s">
        <v>92</v>
      </c>
      <c r="O142" s="326">
        <v>55</v>
      </c>
      <c r="P142" s="326" t="str">
        <f>VLOOKUP(N142,Source!F:F,1,FALSE)</f>
        <v>Dept. of Conservation and Recreation</v>
      </c>
    </row>
    <row r="143" spans="1:16" ht="30">
      <c r="A143" s="325" t="str">
        <f t="shared" si="2"/>
        <v>Dept. of Conservation and Recreation56</v>
      </c>
      <c r="B143" s="17" t="s">
        <v>2425</v>
      </c>
      <c r="C143" s="17" t="s">
        <v>2452</v>
      </c>
      <c r="D143" s="852"/>
      <c r="E143" s="853" t="s">
        <v>2453</v>
      </c>
      <c r="F143" s="551" t="s">
        <v>980</v>
      </c>
      <c r="G143" s="551"/>
      <c r="H143" s="551"/>
      <c r="I143" s="17"/>
      <c r="J143" s="550"/>
      <c r="K143" s="550"/>
      <c r="L143" s="550"/>
      <c r="M143" s="550"/>
      <c r="N143" s="873" t="s">
        <v>92</v>
      </c>
      <c r="O143" s="326">
        <v>56</v>
      </c>
      <c r="P143" s="326" t="str">
        <f>VLOOKUP(N143,Source!F:F,1,FALSE)</f>
        <v>Dept. of Conservation and Recreation</v>
      </c>
    </row>
    <row r="144" spans="1:16" ht="30">
      <c r="A144" s="325" t="str">
        <f t="shared" si="2"/>
        <v>Dept. of Conservation and Recreation57</v>
      </c>
      <c r="B144" s="17" t="s">
        <v>2426</v>
      </c>
      <c r="C144" s="17" t="s">
        <v>2452</v>
      </c>
      <c r="D144" s="852"/>
      <c r="E144" s="853" t="s">
        <v>2453</v>
      </c>
      <c r="F144" s="551" t="s">
        <v>980</v>
      </c>
      <c r="G144" s="551"/>
      <c r="H144" s="551"/>
      <c r="I144" s="17"/>
      <c r="J144" s="550"/>
      <c r="K144" s="550"/>
      <c r="L144" s="550"/>
      <c r="M144" s="550"/>
      <c r="N144" s="873" t="s">
        <v>92</v>
      </c>
      <c r="O144" s="326">
        <v>57</v>
      </c>
      <c r="P144" s="326" t="str">
        <f>VLOOKUP(N144,Source!F:F,1,FALSE)</f>
        <v>Dept. of Conservation and Recreation</v>
      </c>
    </row>
    <row r="145" spans="1:16" ht="30">
      <c r="A145" s="325" t="str">
        <f t="shared" si="2"/>
        <v>Dept. of Conservation and Recreation58</v>
      </c>
      <c r="B145" s="17" t="s">
        <v>2046</v>
      </c>
      <c r="C145" s="17" t="s">
        <v>989</v>
      </c>
      <c r="D145" s="852"/>
      <c r="E145" s="853" t="s">
        <v>2453</v>
      </c>
      <c r="F145" s="551" t="s">
        <v>980</v>
      </c>
      <c r="G145" s="551"/>
      <c r="H145" s="551"/>
      <c r="I145" s="17"/>
      <c r="J145" s="550"/>
      <c r="K145" s="550"/>
      <c r="L145" s="550"/>
      <c r="M145" s="550"/>
      <c r="N145" s="873" t="s">
        <v>92</v>
      </c>
      <c r="O145" s="326">
        <v>58</v>
      </c>
      <c r="P145" s="326" t="str">
        <f>VLOOKUP(N145,Source!F:F,1,FALSE)</f>
        <v>Dept. of Conservation and Recreation</v>
      </c>
    </row>
    <row r="146" spans="1:16" ht="30">
      <c r="A146" s="325" t="str">
        <f t="shared" si="2"/>
        <v>Dept. of Conservation and Recreation59</v>
      </c>
      <c r="B146" s="17" t="s">
        <v>2427</v>
      </c>
      <c r="C146" s="17" t="s">
        <v>2454</v>
      </c>
      <c r="D146" s="852"/>
      <c r="E146" s="853" t="s">
        <v>2453</v>
      </c>
      <c r="F146" s="551" t="s">
        <v>980</v>
      </c>
      <c r="G146" s="551"/>
      <c r="H146" s="551"/>
      <c r="I146" s="17" t="s">
        <v>2506</v>
      </c>
      <c r="J146" s="550"/>
      <c r="K146" s="550"/>
      <c r="L146" s="550"/>
      <c r="M146" s="550"/>
      <c r="N146" s="873" t="s">
        <v>92</v>
      </c>
      <c r="O146" s="326">
        <v>59</v>
      </c>
      <c r="P146" s="326" t="str">
        <f>VLOOKUP(N146,Source!F:F,1,FALSE)</f>
        <v>Dept. of Conservation and Recreation</v>
      </c>
    </row>
    <row r="147" spans="1:16" ht="30">
      <c r="A147" s="325" t="str">
        <f t="shared" si="2"/>
        <v>Dept. of Conservation and Recreation60</v>
      </c>
      <c r="B147" s="17" t="s">
        <v>2427</v>
      </c>
      <c r="C147" s="17" t="s">
        <v>2452</v>
      </c>
      <c r="D147" s="854">
        <v>2</v>
      </c>
      <c r="E147" s="853" t="s">
        <v>2453</v>
      </c>
      <c r="F147" s="551" t="s">
        <v>980</v>
      </c>
      <c r="G147" s="551"/>
      <c r="H147" s="551"/>
      <c r="I147" s="17"/>
      <c r="J147" s="550"/>
      <c r="K147" s="550"/>
      <c r="L147" s="550"/>
      <c r="M147" s="550"/>
      <c r="N147" s="873" t="s">
        <v>92</v>
      </c>
      <c r="O147" s="326">
        <v>60</v>
      </c>
      <c r="P147" s="326" t="str">
        <f>VLOOKUP(N147,Source!F:F,1,FALSE)</f>
        <v>Dept. of Conservation and Recreation</v>
      </c>
    </row>
    <row r="148" spans="1:16" ht="30">
      <c r="A148" s="325" t="str">
        <f t="shared" si="2"/>
        <v>Dept. of Conservation and Recreation61</v>
      </c>
      <c r="B148" s="17" t="s">
        <v>2428</v>
      </c>
      <c r="C148" s="17" t="s">
        <v>2452</v>
      </c>
      <c r="D148" s="852"/>
      <c r="E148" s="853" t="s">
        <v>2453</v>
      </c>
      <c r="F148" s="551" t="s">
        <v>980</v>
      </c>
      <c r="G148" s="551"/>
      <c r="H148" s="551"/>
      <c r="I148" s="17"/>
      <c r="J148" s="550"/>
      <c r="K148" s="550"/>
      <c r="L148" s="550"/>
      <c r="M148" s="550"/>
      <c r="N148" s="873" t="s">
        <v>92</v>
      </c>
      <c r="O148" s="326">
        <v>61</v>
      </c>
      <c r="P148" s="326" t="str">
        <f>VLOOKUP(N148,Source!F:F,1,FALSE)</f>
        <v>Dept. of Conservation and Recreation</v>
      </c>
    </row>
    <row r="149" spans="1:16" ht="30">
      <c r="A149" s="325" t="str">
        <f t="shared" si="2"/>
        <v>Dept. of Conservation and Recreation62</v>
      </c>
      <c r="B149" s="17" t="s">
        <v>2429</v>
      </c>
      <c r="C149" s="17" t="s">
        <v>989</v>
      </c>
      <c r="D149" s="852"/>
      <c r="E149" s="853" t="s">
        <v>2453</v>
      </c>
      <c r="F149" s="551" t="s">
        <v>980</v>
      </c>
      <c r="G149" s="551"/>
      <c r="H149" s="551"/>
      <c r="I149" s="17"/>
      <c r="J149" s="550"/>
      <c r="K149" s="550"/>
      <c r="L149" s="550"/>
      <c r="M149" s="550"/>
      <c r="N149" s="873" t="s">
        <v>92</v>
      </c>
      <c r="O149" s="326">
        <v>62</v>
      </c>
      <c r="P149" s="326" t="str">
        <f>VLOOKUP(N149,Source!F:F,1,FALSE)</f>
        <v>Dept. of Conservation and Recreation</v>
      </c>
    </row>
    <row r="150" spans="1:16" ht="30">
      <c r="A150" s="325" t="str">
        <f t="shared" si="2"/>
        <v>Dept. of Conservation and Recreation63</v>
      </c>
      <c r="B150" s="17" t="s">
        <v>2430</v>
      </c>
      <c r="C150" s="17" t="s">
        <v>2454</v>
      </c>
      <c r="D150" s="852"/>
      <c r="E150" s="853" t="s">
        <v>2453</v>
      </c>
      <c r="F150" s="551" t="s">
        <v>980</v>
      </c>
      <c r="G150" s="551"/>
      <c r="H150" s="551"/>
      <c r="I150" s="17" t="s">
        <v>2507</v>
      </c>
      <c r="J150" s="550"/>
      <c r="K150" s="550"/>
      <c r="L150" s="550"/>
      <c r="M150" s="550"/>
      <c r="N150" s="873" t="s">
        <v>92</v>
      </c>
      <c r="O150" s="326">
        <v>63</v>
      </c>
      <c r="P150" s="326" t="str">
        <f>VLOOKUP(N150,Source!F:F,1,FALSE)</f>
        <v>Dept. of Conservation and Recreation</v>
      </c>
    </row>
    <row r="151" spans="1:16" ht="30">
      <c r="A151" s="325" t="str">
        <f t="shared" si="2"/>
        <v>Dept. of Conservation and Recreation64</v>
      </c>
      <c r="B151" s="17" t="s">
        <v>2430</v>
      </c>
      <c r="C151" s="17" t="s">
        <v>2452</v>
      </c>
      <c r="D151" s="852"/>
      <c r="E151" s="853" t="s">
        <v>2453</v>
      </c>
      <c r="F151" s="551" t="s">
        <v>980</v>
      </c>
      <c r="G151" s="551"/>
      <c r="H151" s="551"/>
      <c r="I151" s="17" t="s">
        <v>2508</v>
      </c>
      <c r="J151" s="550"/>
      <c r="K151" s="550"/>
      <c r="L151" s="550"/>
      <c r="M151" s="550"/>
      <c r="N151" s="873" t="s">
        <v>92</v>
      </c>
      <c r="O151" s="326">
        <v>64</v>
      </c>
      <c r="P151" s="326" t="str">
        <f>VLOOKUP(N151,Source!F:F,1,FALSE)</f>
        <v>Dept. of Conservation and Recreation</v>
      </c>
    </row>
    <row r="152" spans="1:16" ht="30">
      <c r="A152" s="325" t="str">
        <f t="shared" si="2"/>
        <v>Dept. of Conservation and Recreation65</v>
      </c>
      <c r="B152" s="17" t="s">
        <v>2431</v>
      </c>
      <c r="C152" s="17" t="s">
        <v>2452</v>
      </c>
      <c r="D152" s="852"/>
      <c r="E152" s="853" t="s">
        <v>2453</v>
      </c>
      <c r="F152" s="551" t="s">
        <v>980</v>
      </c>
      <c r="G152" s="551"/>
      <c r="H152" s="551"/>
      <c r="I152" s="17"/>
      <c r="J152" s="550"/>
      <c r="K152" s="550"/>
      <c r="L152" s="550"/>
      <c r="M152" s="550"/>
      <c r="N152" s="873" t="s">
        <v>92</v>
      </c>
      <c r="O152" s="326">
        <v>65</v>
      </c>
      <c r="P152" s="326" t="str">
        <f>VLOOKUP(N152,Source!F:F,1,FALSE)</f>
        <v>Dept. of Conservation and Recreation</v>
      </c>
    </row>
    <row r="153" spans="1:16" ht="30">
      <c r="A153" s="325" t="str">
        <f t="shared" si="2"/>
        <v>Dept. of Conservation and Recreation66</v>
      </c>
      <c r="B153" s="17" t="s">
        <v>2432</v>
      </c>
      <c r="C153" s="17" t="s">
        <v>989</v>
      </c>
      <c r="D153" s="854">
        <v>0.01</v>
      </c>
      <c r="E153" s="853" t="s">
        <v>2457</v>
      </c>
      <c r="F153" s="551" t="s">
        <v>980</v>
      </c>
      <c r="G153" s="551"/>
      <c r="H153" s="551"/>
      <c r="I153" s="17" t="s">
        <v>2509</v>
      </c>
      <c r="J153" s="550"/>
      <c r="K153" s="550"/>
      <c r="L153" s="550"/>
      <c r="M153" s="550"/>
      <c r="N153" s="873" t="s">
        <v>92</v>
      </c>
      <c r="O153" s="326">
        <v>66</v>
      </c>
      <c r="P153" s="326" t="str">
        <f>VLOOKUP(N153,Source!F:F,1,FALSE)</f>
        <v>Dept. of Conservation and Recreation</v>
      </c>
    </row>
    <row r="154" spans="1:16" ht="30">
      <c r="A154" s="325" t="str">
        <f t="shared" si="2"/>
        <v>Dept. of Conservation and Recreation67</v>
      </c>
      <c r="B154" s="17" t="s">
        <v>2261</v>
      </c>
      <c r="C154" s="17" t="s">
        <v>2454</v>
      </c>
      <c r="D154" s="854">
        <v>0.1</v>
      </c>
      <c r="E154" s="853" t="s">
        <v>2453</v>
      </c>
      <c r="F154" s="551" t="s">
        <v>980</v>
      </c>
      <c r="G154" s="551"/>
      <c r="H154" s="551"/>
      <c r="I154" s="17" t="s">
        <v>2510</v>
      </c>
      <c r="J154" s="550"/>
      <c r="K154" s="550"/>
      <c r="L154" s="550"/>
      <c r="M154" s="550"/>
      <c r="N154" s="873" t="s">
        <v>92</v>
      </c>
      <c r="O154" s="326">
        <v>67</v>
      </c>
      <c r="P154" s="326" t="str">
        <f>VLOOKUP(N154,Source!F:F,1,FALSE)</f>
        <v>Dept. of Conservation and Recreation</v>
      </c>
    </row>
    <row r="155" spans="1:16" ht="30">
      <c r="A155" s="325" t="str">
        <f t="shared" si="2"/>
        <v>Dept. of Conservation and Recreation68</v>
      </c>
      <c r="B155" s="17" t="s">
        <v>2433</v>
      </c>
      <c r="C155" s="17" t="s">
        <v>2452</v>
      </c>
      <c r="D155" s="852"/>
      <c r="E155" s="853" t="s">
        <v>2453</v>
      </c>
      <c r="F155" s="551" t="s">
        <v>980</v>
      </c>
      <c r="G155" s="551"/>
      <c r="H155" s="551"/>
      <c r="I155" s="17"/>
      <c r="J155" s="550"/>
      <c r="K155" s="550"/>
      <c r="L155" s="550"/>
      <c r="M155" s="550"/>
      <c r="N155" s="873" t="s">
        <v>92</v>
      </c>
      <c r="O155" s="326">
        <v>68</v>
      </c>
      <c r="P155" s="326" t="str">
        <f>VLOOKUP(N155,Source!F:F,1,FALSE)</f>
        <v>Dept. of Conservation and Recreation</v>
      </c>
    </row>
    <row r="156" spans="1:16" ht="30">
      <c r="A156" s="325" t="str">
        <f t="shared" si="2"/>
        <v>Dept. of Conservation and Recreation69</v>
      </c>
      <c r="B156" s="17" t="s">
        <v>2434</v>
      </c>
      <c r="C156" s="17" t="s">
        <v>2452</v>
      </c>
      <c r="D156" s="852"/>
      <c r="E156" s="853" t="s">
        <v>2453</v>
      </c>
      <c r="F156" s="551" t="s">
        <v>980</v>
      </c>
      <c r="G156" s="551"/>
      <c r="H156" s="551"/>
      <c r="I156" s="17"/>
      <c r="J156" s="550"/>
      <c r="K156" s="550"/>
      <c r="L156" s="550"/>
      <c r="M156" s="550"/>
      <c r="N156" s="873" t="s">
        <v>92</v>
      </c>
      <c r="O156" s="326">
        <v>69</v>
      </c>
      <c r="P156" s="326" t="str">
        <f>VLOOKUP(N156,Source!F:F,1,FALSE)</f>
        <v>Dept. of Conservation and Recreation</v>
      </c>
    </row>
    <row r="157" spans="1:16" ht="30">
      <c r="A157" s="325" t="str">
        <f t="shared" si="2"/>
        <v>Dept. of Conservation and Recreation70</v>
      </c>
      <c r="B157" s="17" t="s">
        <v>2435</v>
      </c>
      <c r="C157" s="17" t="s">
        <v>2452</v>
      </c>
      <c r="D157" s="852"/>
      <c r="E157" s="853" t="s">
        <v>2453</v>
      </c>
      <c r="F157" s="551" t="s">
        <v>980</v>
      </c>
      <c r="G157" s="551"/>
      <c r="H157" s="551"/>
      <c r="I157" s="17"/>
      <c r="J157" s="550"/>
      <c r="K157" s="550"/>
      <c r="L157" s="550"/>
      <c r="M157" s="550"/>
      <c r="N157" s="873" t="s">
        <v>92</v>
      </c>
      <c r="O157" s="326">
        <v>70</v>
      </c>
      <c r="P157" s="326" t="str">
        <f>VLOOKUP(N157,Source!F:F,1,FALSE)</f>
        <v>Dept. of Conservation and Recreation</v>
      </c>
    </row>
    <row r="158" spans="1:16" ht="30">
      <c r="A158" s="325" t="str">
        <f t="shared" si="2"/>
        <v>Dept. of Conservation and Recreation71</v>
      </c>
      <c r="B158" s="17" t="s">
        <v>2436</v>
      </c>
      <c r="C158" s="17" t="s">
        <v>2452</v>
      </c>
      <c r="D158" s="852"/>
      <c r="E158" s="853" t="s">
        <v>2453</v>
      </c>
      <c r="F158" s="551" t="s">
        <v>980</v>
      </c>
      <c r="G158" s="551"/>
      <c r="H158" s="551"/>
      <c r="I158" s="17" t="s">
        <v>2511</v>
      </c>
      <c r="J158" s="550"/>
      <c r="K158" s="550"/>
      <c r="L158" s="550"/>
      <c r="M158" s="550"/>
      <c r="N158" s="873" t="s">
        <v>92</v>
      </c>
      <c r="O158" s="326">
        <v>71</v>
      </c>
      <c r="P158" s="326" t="str">
        <f>VLOOKUP(N158,Source!F:F,1,FALSE)</f>
        <v>Dept. of Conservation and Recreation</v>
      </c>
    </row>
    <row r="159" spans="1:16" ht="30">
      <c r="A159" s="325" t="str">
        <f t="shared" si="2"/>
        <v>Dept. of Conservation and Recreation72</v>
      </c>
      <c r="B159" s="17" t="s">
        <v>2437</v>
      </c>
      <c r="C159" s="17" t="s">
        <v>2452</v>
      </c>
      <c r="D159" s="852"/>
      <c r="E159" s="853" t="s">
        <v>2453</v>
      </c>
      <c r="F159" s="551" t="s">
        <v>980</v>
      </c>
      <c r="G159" s="551"/>
      <c r="H159" s="551"/>
      <c r="I159" s="17"/>
      <c r="J159" s="550"/>
      <c r="K159" s="550"/>
      <c r="L159" s="550"/>
      <c r="M159" s="550"/>
      <c r="N159" s="873" t="s">
        <v>92</v>
      </c>
      <c r="O159" s="326">
        <v>72</v>
      </c>
      <c r="P159" s="326" t="str">
        <f>VLOOKUP(N159,Source!F:F,1,FALSE)</f>
        <v>Dept. of Conservation and Recreation</v>
      </c>
    </row>
    <row r="160" spans="1:16" ht="30">
      <c r="A160" s="325" t="str">
        <f t="shared" si="2"/>
        <v>Dept. of Conservation and Recreation73</v>
      </c>
      <c r="B160" s="17" t="s">
        <v>2438</v>
      </c>
      <c r="C160" s="17" t="s">
        <v>2452</v>
      </c>
      <c r="D160" s="852"/>
      <c r="E160" s="853" t="s">
        <v>2453</v>
      </c>
      <c r="F160" s="551" t="s">
        <v>980</v>
      </c>
      <c r="G160" s="551"/>
      <c r="H160" s="551"/>
      <c r="I160" s="17"/>
      <c r="J160" s="550"/>
      <c r="K160" s="550"/>
      <c r="L160" s="550"/>
      <c r="M160" s="550"/>
      <c r="N160" s="873" t="s">
        <v>92</v>
      </c>
      <c r="O160" s="326">
        <v>73</v>
      </c>
      <c r="P160" s="326" t="str">
        <f>VLOOKUP(N160,Source!F:F,1,FALSE)</f>
        <v>Dept. of Conservation and Recreation</v>
      </c>
    </row>
    <row r="161" spans="1:16" ht="30">
      <c r="A161" s="325" t="str">
        <f t="shared" si="2"/>
        <v>Dept. of Conservation and Recreation74</v>
      </c>
      <c r="B161" s="17" t="s">
        <v>2439</v>
      </c>
      <c r="C161" s="17" t="s">
        <v>2454</v>
      </c>
      <c r="D161" s="852"/>
      <c r="E161" s="853" t="s">
        <v>2453</v>
      </c>
      <c r="F161" s="551" t="s">
        <v>980</v>
      </c>
      <c r="G161" s="551"/>
      <c r="H161" s="551"/>
      <c r="I161" s="17" t="s">
        <v>2512</v>
      </c>
      <c r="J161" s="550"/>
      <c r="K161" s="550"/>
      <c r="L161" s="550"/>
      <c r="M161" s="550"/>
      <c r="N161" s="873" t="s">
        <v>92</v>
      </c>
      <c r="O161" s="326">
        <v>74</v>
      </c>
      <c r="P161" s="326" t="str">
        <f>VLOOKUP(N161,Source!F:F,1,FALSE)</f>
        <v>Dept. of Conservation and Recreation</v>
      </c>
    </row>
    <row r="162" spans="1:16" ht="30">
      <c r="A162" s="325" t="str">
        <f t="shared" si="2"/>
        <v>Dept. of Conservation and Recreation75</v>
      </c>
      <c r="B162" s="17" t="s">
        <v>2440</v>
      </c>
      <c r="C162" s="17" t="s">
        <v>2452</v>
      </c>
      <c r="D162" s="852"/>
      <c r="E162" s="853" t="s">
        <v>2453</v>
      </c>
      <c r="F162" s="551" t="s">
        <v>980</v>
      </c>
      <c r="G162" s="551"/>
      <c r="H162" s="551"/>
      <c r="I162" s="17"/>
      <c r="J162" s="550"/>
      <c r="K162" s="550"/>
      <c r="L162" s="550"/>
      <c r="M162" s="550"/>
      <c r="N162" s="873" t="s">
        <v>92</v>
      </c>
      <c r="O162" s="326">
        <v>75</v>
      </c>
      <c r="P162" s="326" t="str">
        <f>VLOOKUP(N162,Source!F:F,1,FALSE)</f>
        <v>Dept. of Conservation and Recreation</v>
      </c>
    </row>
    <row r="163" spans="1:16" ht="30">
      <c r="A163" s="325" t="str">
        <f t="shared" si="2"/>
        <v>Dept. of Conservation and Recreation76</v>
      </c>
      <c r="B163" s="17" t="s">
        <v>2440</v>
      </c>
      <c r="C163" s="17" t="s">
        <v>2452</v>
      </c>
      <c r="D163" s="852"/>
      <c r="E163" s="853" t="s">
        <v>2453</v>
      </c>
      <c r="F163" s="551" t="s">
        <v>980</v>
      </c>
      <c r="G163" s="551"/>
      <c r="H163" s="551"/>
      <c r="I163" s="17"/>
      <c r="J163" s="550"/>
      <c r="K163" s="550"/>
      <c r="L163" s="550"/>
      <c r="M163" s="550"/>
      <c r="N163" s="873" t="s">
        <v>92</v>
      </c>
      <c r="O163" s="326">
        <v>76</v>
      </c>
      <c r="P163" s="326" t="str">
        <f>VLOOKUP(N163,Source!F:F,1,FALSE)</f>
        <v>Dept. of Conservation and Recreation</v>
      </c>
    </row>
    <row r="164" spans="1:16" ht="30">
      <c r="A164" s="325" t="str">
        <f t="shared" si="2"/>
        <v>Dept. of Conservation and Recreation77</v>
      </c>
      <c r="B164" s="17" t="s">
        <v>2441</v>
      </c>
      <c r="C164" s="17" t="s">
        <v>2452</v>
      </c>
      <c r="D164" s="852"/>
      <c r="E164" s="853" t="s">
        <v>2453</v>
      </c>
      <c r="F164" s="551" t="s">
        <v>980</v>
      </c>
      <c r="G164" s="551"/>
      <c r="H164" s="551"/>
      <c r="I164" s="17"/>
      <c r="J164" s="550"/>
      <c r="K164" s="550"/>
      <c r="L164" s="550"/>
      <c r="M164" s="550"/>
      <c r="N164" s="873" t="s">
        <v>92</v>
      </c>
      <c r="O164" s="326">
        <v>77</v>
      </c>
      <c r="P164" s="326" t="str">
        <f>VLOOKUP(N164,Source!F:F,1,FALSE)</f>
        <v>Dept. of Conservation and Recreation</v>
      </c>
    </row>
    <row r="165" spans="1:16" ht="30">
      <c r="A165" s="325" t="str">
        <f t="shared" si="2"/>
        <v>Dept. of Conservation and Recreation78</v>
      </c>
      <c r="B165" s="17" t="s">
        <v>2441</v>
      </c>
      <c r="C165" s="17" t="s">
        <v>2452</v>
      </c>
      <c r="D165" s="852"/>
      <c r="E165" s="853" t="s">
        <v>2453</v>
      </c>
      <c r="F165" s="551" t="s">
        <v>980</v>
      </c>
      <c r="G165" s="551"/>
      <c r="H165" s="551"/>
      <c r="I165" s="17"/>
      <c r="J165" s="550"/>
      <c r="K165" s="550"/>
      <c r="L165" s="550"/>
      <c r="M165" s="550"/>
      <c r="N165" s="873" t="s">
        <v>92</v>
      </c>
      <c r="O165" s="326">
        <v>78</v>
      </c>
      <c r="P165" s="326" t="str">
        <f>VLOOKUP(N165,Source!F:F,1,FALSE)</f>
        <v>Dept. of Conservation and Recreation</v>
      </c>
    </row>
    <row r="166" spans="1:16" ht="30">
      <c r="A166" s="325" t="str">
        <f t="shared" si="2"/>
        <v>Dept. of Conservation and Recreation79</v>
      </c>
      <c r="B166" s="17" t="s">
        <v>2441</v>
      </c>
      <c r="C166" s="17" t="s">
        <v>2452</v>
      </c>
      <c r="D166" s="852"/>
      <c r="E166" s="853" t="s">
        <v>2453</v>
      </c>
      <c r="F166" s="551" t="s">
        <v>980</v>
      </c>
      <c r="G166" s="551"/>
      <c r="H166" s="551"/>
      <c r="I166" s="17"/>
      <c r="J166" s="550"/>
      <c r="K166" s="550"/>
      <c r="L166" s="550"/>
      <c r="M166" s="550"/>
      <c r="N166" s="873" t="s">
        <v>92</v>
      </c>
      <c r="O166" s="326">
        <v>79</v>
      </c>
      <c r="P166" s="326" t="str">
        <f>VLOOKUP(N166,Source!F:F,1,FALSE)</f>
        <v>Dept. of Conservation and Recreation</v>
      </c>
    </row>
    <row r="167" spans="1:16" ht="30">
      <c r="A167" s="325" t="str">
        <f t="shared" si="2"/>
        <v>Dept. of Conservation and Recreation80</v>
      </c>
      <c r="B167" s="17" t="s">
        <v>2442</v>
      </c>
      <c r="C167" s="17" t="s">
        <v>2454</v>
      </c>
      <c r="D167" s="854">
        <v>2.1</v>
      </c>
      <c r="E167" s="853" t="s">
        <v>2458</v>
      </c>
      <c r="F167" s="551" t="s">
        <v>980</v>
      </c>
      <c r="G167" s="551"/>
      <c r="H167" s="551"/>
      <c r="I167" s="17" t="s">
        <v>2513</v>
      </c>
      <c r="J167" s="550"/>
      <c r="K167" s="550"/>
      <c r="L167" s="550"/>
      <c r="M167" s="550"/>
      <c r="N167" s="873" t="s">
        <v>92</v>
      </c>
      <c r="O167" s="326">
        <v>80</v>
      </c>
      <c r="P167" s="326" t="str">
        <f>VLOOKUP(N167,Source!F:F,1,FALSE)</f>
        <v>Dept. of Conservation and Recreation</v>
      </c>
    </row>
    <row r="168" spans="1:16" ht="30">
      <c r="A168" s="325" t="str">
        <f t="shared" si="2"/>
        <v>Dept. of Conservation and Recreation81</v>
      </c>
      <c r="B168" s="17" t="s">
        <v>2442</v>
      </c>
      <c r="C168" s="17" t="s">
        <v>2454</v>
      </c>
      <c r="D168" s="852"/>
      <c r="E168" s="853" t="s">
        <v>2453</v>
      </c>
      <c r="F168" s="551" t="s">
        <v>980</v>
      </c>
      <c r="G168" s="551"/>
      <c r="H168" s="551"/>
      <c r="I168" s="17" t="s">
        <v>2513</v>
      </c>
      <c r="J168" s="550"/>
      <c r="K168" s="550"/>
      <c r="L168" s="550"/>
      <c r="M168" s="550"/>
      <c r="N168" s="873" t="s">
        <v>92</v>
      </c>
      <c r="O168" s="326">
        <v>81</v>
      </c>
      <c r="P168" s="326" t="str">
        <f>VLOOKUP(N168,Source!F:F,1,FALSE)</f>
        <v>Dept. of Conservation and Recreation</v>
      </c>
    </row>
    <row r="169" spans="1:16" ht="30">
      <c r="A169" s="325" t="str">
        <f t="shared" si="2"/>
        <v>Dept. of Conservation and Recreation82</v>
      </c>
      <c r="B169" s="17" t="s">
        <v>2443</v>
      </c>
      <c r="C169" s="17" t="s">
        <v>2454</v>
      </c>
      <c r="D169" s="854">
        <v>35</v>
      </c>
      <c r="E169" s="853" t="s">
        <v>2459</v>
      </c>
      <c r="F169" s="551" t="s">
        <v>980</v>
      </c>
      <c r="G169" s="551"/>
      <c r="H169" s="551"/>
      <c r="I169" s="17" t="s">
        <v>2514</v>
      </c>
      <c r="J169" s="550"/>
      <c r="K169" s="550"/>
      <c r="L169" s="550"/>
      <c r="M169" s="550"/>
      <c r="N169" s="873" t="s">
        <v>92</v>
      </c>
      <c r="O169" s="326">
        <v>82</v>
      </c>
      <c r="P169" s="326" t="str">
        <f>VLOOKUP(N169,Source!F:F,1,FALSE)</f>
        <v>Dept. of Conservation and Recreation</v>
      </c>
    </row>
    <row r="170" spans="1:16" ht="30">
      <c r="A170" s="325" t="str">
        <f t="shared" si="2"/>
        <v>Dept. of Conservation and Recreation83</v>
      </c>
      <c r="B170" s="17" t="s">
        <v>2443</v>
      </c>
      <c r="C170" s="17" t="s">
        <v>2452</v>
      </c>
      <c r="D170" s="852"/>
      <c r="E170" s="853" t="s">
        <v>2458</v>
      </c>
      <c r="F170" s="551" t="s">
        <v>980</v>
      </c>
      <c r="G170" s="551"/>
      <c r="H170" s="551"/>
      <c r="I170" s="17" t="s">
        <v>2515</v>
      </c>
      <c r="J170" s="550"/>
      <c r="K170" s="550"/>
      <c r="L170" s="550"/>
      <c r="M170" s="550"/>
      <c r="N170" s="873" t="s">
        <v>92</v>
      </c>
      <c r="O170" s="326">
        <v>83</v>
      </c>
      <c r="P170" s="326" t="str">
        <f>VLOOKUP(N170,Source!F:F,1,FALSE)</f>
        <v>Dept. of Conservation and Recreation</v>
      </c>
    </row>
    <row r="171" spans="1:16" ht="30">
      <c r="A171" s="325" t="str">
        <f t="shared" si="2"/>
        <v>Dept. of Conservation and Recreation84</v>
      </c>
      <c r="B171" s="17" t="s">
        <v>2444</v>
      </c>
      <c r="C171" s="17" t="s">
        <v>2454</v>
      </c>
      <c r="D171" s="852"/>
      <c r="E171" s="853" t="s">
        <v>2453</v>
      </c>
      <c r="F171" s="551" t="s">
        <v>980</v>
      </c>
      <c r="G171" s="551"/>
      <c r="H171" s="551"/>
      <c r="I171" s="17"/>
      <c r="J171" s="550"/>
      <c r="K171" s="550"/>
      <c r="L171" s="550"/>
      <c r="M171" s="550"/>
      <c r="N171" s="873" t="s">
        <v>92</v>
      </c>
      <c r="O171" s="326">
        <v>84</v>
      </c>
      <c r="P171" s="326" t="str">
        <f>VLOOKUP(N171,Source!F:F,1,FALSE)</f>
        <v>Dept. of Conservation and Recreation</v>
      </c>
    </row>
    <row r="172" spans="1:16" ht="30">
      <c r="A172" s="325" t="str">
        <f t="shared" si="2"/>
        <v>Dept. of Conservation and Recreation85</v>
      </c>
      <c r="B172" s="17" t="s">
        <v>2444</v>
      </c>
      <c r="C172" s="17" t="s">
        <v>989</v>
      </c>
      <c r="D172" s="852"/>
      <c r="E172" s="853" t="s">
        <v>2453</v>
      </c>
      <c r="F172" s="551" t="s">
        <v>980</v>
      </c>
      <c r="G172" s="551"/>
      <c r="H172" s="551"/>
      <c r="I172" s="17"/>
      <c r="J172" s="550"/>
      <c r="K172" s="550"/>
      <c r="L172" s="550"/>
      <c r="M172" s="550"/>
      <c r="N172" s="873" t="s">
        <v>92</v>
      </c>
      <c r="O172" s="326">
        <v>85</v>
      </c>
      <c r="P172" s="326" t="str">
        <f>VLOOKUP(N172,Source!F:F,1,FALSE)</f>
        <v>Dept. of Conservation and Recreation</v>
      </c>
    </row>
    <row r="173" spans="1:16" ht="30">
      <c r="A173" s="325" t="str">
        <f t="shared" si="2"/>
        <v>Dept. of Conservation and Recreation86</v>
      </c>
      <c r="B173" s="17" t="s">
        <v>2445</v>
      </c>
      <c r="C173" s="17" t="s">
        <v>2452</v>
      </c>
      <c r="D173" s="852"/>
      <c r="E173" s="853" t="s">
        <v>2460</v>
      </c>
      <c r="F173" s="551" t="s">
        <v>980</v>
      </c>
      <c r="G173" s="551"/>
      <c r="H173" s="551"/>
      <c r="I173" s="17" t="s">
        <v>2516</v>
      </c>
      <c r="J173" s="550"/>
      <c r="K173" s="550"/>
      <c r="L173" s="550"/>
      <c r="M173" s="550"/>
      <c r="N173" s="873" t="s">
        <v>92</v>
      </c>
      <c r="O173" s="326">
        <v>86</v>
      </c>
      <c r="P173" s="326" t="str">
        <f>VLOOKUP(N173,Source!F:F,1,FALSE)</f>
        <v>Dept. of Conservation and Recreation</v>
      </c>
    </row>
    <row r="174" spans="1:16" ht="30">
      <c r="A174" s="325" t="str">
        <f t="shared" si="2"/>
        <v>Dept. of Conservation and Recreation87</v>
      </c>
      <c r="B174" s="17" t="s">
        <v>2445</v>
      </c>
      <c r="C174" s="17" t="s">
        <v>989</v>
      </c>
      <c r="D174" s="854">
        <v>0.06</v>
      </c>
      <c r="E174" s="853" t="s">
        <v>2461</v>
      </c>
      <c r="F174" s="551" t="s">
        <v>980</v>
      </c>
      <c r="G174" s="551"/>
      <c r="H174" s="551"/>
      <c r="I174" s="17" t="s">
        <v>2517</v>
      </c>
      <c r="J174" s="550"/>
      <c r="K174" s="550"/>
      <c r="L174" s="550"/>
      <c r="M174" s="550"/>
      <c r="N174" s="873" t="s">
        <v>92</v>
      </c>
      <c r="O174" s="326">
        <v>87</v>
      </c>
      <c r="P174" s="326" t="str">
        <f>VLOOKUP(N174,Source!F:F,1,FALSE)</f>
        <v>Dept. of Conservation and Recreation</v>
      </c>
    </row>
    <row r="175" spans="1:16" ht="30">
      <c r="A175" s="325" t="str">
        <f t="shared" si="2"/>
        <v>Dept. of Conservation and Recreation88</v>
      </c>
      <c r="B175" s="17" t="s">
        <v>2446</v>
      </c>
      <c r="C175" s="17" t="s">
        <v>2452</v>
      </c>
      <c r="D175" s="854">
        <v>4.5</v>
      </c>
      <c r="E175" s="853" t="s">
        <v>2453</v>
      </c>
      <c r="F175" s="551" t="s">
        <v>980</v>
      </c>
      <c r="G175" s="551"/>
      <c r="H175" s="551"/>
      <c r="I175" s="17" t="s">
        <v>2518</v>
      </c>
      <c r="J175" s="550"/>
      <c r="K175" s="550"/>
      <c r="L175" s="550"/>
      <c r="M175" s="550"/>
      <c r="N175" s="873" t="s">
        <v>92</v>
      </c>
      <c r="O175" s="326">
        <v>88</v>
      </c>
      <c r="P175" s="326" t="str">
        <f>VLOOKUP(N175,Source!F:F,1,FALSE)</f>
        <v>Dept. of Conservation and Recreation</v>
      </c>
    </row>
    <row r="176" spans="1:16" ht="30">
      <c r="A176" s="325" t="str">
        <f t="shared" si="2"/>
        <v>Dept. of Conservation and Recreation89</v>
      </c>
      <c r="B176" s="17" t="s">
        <v>2446</v>
      </c>
      <c r="C176" s="17" t="s">
        <v>2452</v>
      </c>
      <c r="D176" s="854">
        <v>2.8</v>
      </c>
      <c r="E176" s="853" t="s">
        <v>2453</v>
      </c>
      <c r="F176" s="551" t="s">
        <v>980</v>
      </c>
      <c r="G176" s="551"/>
      <c r="H176" s="551"/>
      <c r="I176" s="17" t="s">
        <v>2519</v>
      </c>
      <c r="J176" s="550"/>
      <c r="K176" s="550"/>
      <c r="L176" s="550"/>
      <c r="M176" s="550"/>
      <c r="N176" s="873" t="s">
        <v>92</v>
      </c>
      <c r="O176" s="326">
        <v>89</v>
      </c>
      <c r="P176" s="326" t="str">
        <f>VLOOKUP(N176,Source!F:F,1,FALSE)</f>
        <v>Dept. of Conservation and Recreation</v>
      </c>
    </row>
    <row r="177" spans="1:16" ht="30">
      <c r="A177" s="325" t="str">
        <f t="shared" si="2"/>
        <v>Dept. of Conservation and Recreation90</v>
      </c>
      <c r="B177" s="17" t="s">
        <v>2447</v>
      </c>
      <c r="C177" s="17" t="s">
        <v>2452</v>
      </c>
      <c r="D177" s="852"/>
      <c r="E177" s="853" t="s">
        <v>2453</v>
      </c>
      <c r="F177" s="551" t="s">
        <v>980</v>
      </c>
      <c r="G177" s="551"/>
      <c r="H177" s="551"/>
      <c r="I177" s="17"/>
      <c r="J177" s="550"/>
      <c r="K177" s="550"/>
      <c r="L177" s="550"/>
      <c r="M177" s="550"/>
      <c r="N177" s="873" t="s">
        <v>92</v>
      </c>
      <c r="O177" s="326">
        <v>90</v>
      </c>
      <c r="P177" s="326" t="str">
        <f>VLOOKUP(N177,Source!F:F,1,FALSE)</f>
        <v>Dept. of Conservation and Recreation</v>
      </c>
    </row>
    <row r="178" spans="1:16" ht="30">
      <c r="A178" s="325" t="str">
        <f t="shared" si="2"/>
        <v>Dept. of Conservation and Recreation91</v>
      </c>
      <c r="B178" s="17" t="s">
        <v>2448</v>
      </c>
      <c r="C178" s="17" t="s">
        <v>989</v>
      </c>
      <c r="D178" s="852"/>
      <c r="E178" s="853" t="s">
        <v>2453</v>
      </c>
      <c r="F178" s="551" t="s">
        <v>980</v>
      </c>
      <c r="G178" s="551"/>
      <c r="H178" s="551"/>
      <c r="I178" s="17"/>
      <c r="J178" s="550"/>
      <c r="K178" s="550"/>
      <c r="L178" s="550"/>
      <c r="M178" s="550"/>
      <c r="N178" s="873" t="s">
        <v>92</v>
      </c>
      <c r="O178" s="326">
        <v>91</v>
      </c>
      <c r="P178" s="326" t="str">
        <f>VLOOKUP(N178,Source!F:F,1,FALSE)</f>
        <v>Dept. of Conservation and Recreation</v>
      </c>
    </row>
  </sheetData>
  <autoFilter ref="A1:P178" xr:uid="{00000000-0009-0000-0000-000019000000}"/>
  <dataValidations count="1">
    <dataValidation type="list" allowBlank="1" showInputMessage="1" showErrorMessage="1" sqref="C105:C1048576 C1 F20:F29 F32:F54 F1:F18 F56:F1048576" xr:uid="{00000000-0002-0000-1900-000000000000}"/>
  </dataValidations>
  <hyperlinks>
    <hyperlink ref="K1" r:id="rId1" location="interactive-map-" xr:uid="{00000000-0004-0000-1900-00002B000000}"/>
    <hyperlink ref="B7" r:id="rId2" xr:uid="{8036BFBB-AFE7-4FF3-A3DC-B3CD4AF9F6F2}"/>
    <hyperlink ref="H87" r:id="rId3" xr:uid="{82EBA98E-34DC-4408-99DB-4C07055740BD}"/>
    <hyperlink ref="H58" r:id="rId4" xr:uid="{6E732368-E748-4715-A64E-3848A2BD3FD0}"/>
    <hyperlink ref="H52" r:id="rId5" xr:uid="{584C31A7-9B3E-42E5-B69B-E901F87DA37B}"/>
    <hyperlink ref="H49" r:id="rId6" xr:uid="{700A8333-9040-416C-A59B-CA763F3E91D9}"/>
    <hyperlink ref="H48" r:id="rId7" xr:uid="{0275B71A-E553-489E-B85E-C0C2B05AC73D}"/>
    <hyperlink ref="H46" r:id="rId8" xr:uid="{89095D95-8212-49B5-AB3C-3BFE7A23B991}"/>
    <hyperlink ref="H47" r:id="rId9" xr:uid="{5DD6DF77-3E89-49C2-8B20-8BE880C30CE6}"/>
    <hyperlink ref="H53" r:id="rId10" xr:uid="{D8EB7B56-14E0-46B8-B603-F0F2388D3A8E}"/>
    <hyperlink ref="H57" r:id="rId11" xr:uid="{B3293331-D0A9-4CA3-9CCB-8AFE280DE67B}"/>
    <hyperlink ref="H35:H37" r:id="rId12" display="Lee Michalopoulos " xr:uid="{55CABBC5-372A-43F2-9ABB-09C800D71258}"/>
    <hyperlink ref="H26" r:id="rId13" xr:uid="{97B57D97-5B49-4F1D-A977-9A8F3F4960F3}"/>
    <hyperlink ref="H51" r:id="rId14" xr:uid="{CB02A57A-398B-4CAC-B610-9962B27D01DF}"/>
    <hyperlink ref="H30" r:id="rId15" xr:uid="{4A81D608-861E-4911-ACB5-AC53ADA791D7}"/>
    <hyperlink ref="H41" r:id="rId16" xr:uid="{C29973A0-DC0F-4957-8642-85CF913B98D3}"/>
    <hyperlink ref="H37" r:id="rId17" xr:uid="{DE42CB4F-A63D-473B-A132-47FC70204AD2}"/>
    <hyperlink ref="H40" r:id="rId18" xr:uid="{9488229B-48E1-48DB-B7EF-D55034070FBF}"/>
    <hyperlink ref="H34" r:id="rId19" xr:uid="{0D1D7884-0338-43F1-A0F9-41DF983BC46A}"/>
    <hyperlink ref="H33" r:id="rId20" xr:uid="{1AACE02E-AC6C-4A4D-A09D-E2EB0A8D1052}"/>
    <hyperlink ref="H32" r:id="rId21" xr:uid="{3F772C92-E4DF-46EF-AD60-EA540E70D5E2}"/>
    <hyperlink ref="H31" r:id="rId22" xr:uid="{85AD1F13-32C8-4642-8D74-812941618A4D}"/>
    <hyperlink ref="H29" r:id="rId23" xr:uid="{A61E9235-0643-4D5E-95C7-77223A11C7FC}"/>
    <hyperlink ref="H36" r:id="rId24" xr:uid="{83096CA1-D30A-4697-A386-9FEBB0415742}"/>
    <hyperlink ref="H39" r:id="rId25" xr:uid="{82E02D91-47EF-4727-B340-675C5AF677CF}"/>
    <hyperlink ref="H42" r:id="rId26" xr:uid="{F0D495CE-69C9-4B0B-A8E4-66926D3B5715}"/>
    <hyperlink ref="H44" r:id="rId27" xr:uid="{4C0E35D9-C7A4-4F16-B6ED-41DD86983722}"/>
    <hyperlink ref="H35" r:id="rId28" xr:uid="{1D741442-F5BA-4F7B-B708-805B4586C0BB}"/>
    <hyperlink ref="H2" r:id="rId29" display="mailto:joe.desa@bristolcc.edu" xr:uid="{E2048F38-B152-4587-8D3C-21649D55C59A}"/>
    <hyperlink ref="H62" r:id="rId30" xr:uid="{E64D6D5E-08A4-46EA-8F22-697863649332}"/>
    <hyperlink ref="H14" r:id="rId31" xr:uid="{63AA9B5A-5287-4BEC-856C-588A5E9CE168}"/>
    <hyperlink ref="H25" r:id="rId32" xr:uid="{E29EBF61-9B5F-4BB5-A625-B5B3D1EAC111}"/>
    <hyperlink ref="H24" r:id="rId33" xr:uid="{DF1F2737-FA4A-4AB0-9062-A3A8DFD443A6}"/>
    <hyperlink ref="H3" r:id="rId34" display="mailto:joe.desa@bristolcc.edu" xr:uid="{203569DA-AFDB-4737-8199-9DDA4DE63DB6}"/>
    <hyperlink ref="H55" r:id="rId35" xr:uid="{9CCBC677-0E09-4BAF-889B-9188442391E3}"/>
    <hyperlink ref="I23" r:id="rId36" xr:uid="{C7700CA6-777B-4E36-8B2F-DF0A364E7D64}"/>
    <hyperlink ref="I54" r:id="rId37" xr:uid="{BF29E5F2-28AD-44AA-A524-8D1593F20D2A}"/>
    <hyperlink ref="H19" r:id="rId38" xr:uid="{21FD57C2-9D5A-482C-8F9D-C163706AD816}"/>
    <hyperlink ref="J76" r:id="rId39" xr:uid="{65554BFC-AC5D-4BB8-B82F-E0F820DE355E}"/>
    <hyperlink ref="J22" r:id="rId40" xr:uid="{940FB62B-3542-49F5-94AB-5BE3F76E1F8B}"/>
    <hyperlink ref="J2" r:id="rId41" xr:uid="{6851DB70-6FBF-45DF-847D-8814B74A3460}"/>
    <hyperlink ref="J49" r:id="rId42" xr:uid="{FA705794-1B09-4FA3-ACF9-B09CCB9179A5}"/>
    <hyperlink ref="J48" r:id="rId43" xr:uid="{BD757444-D634-4851-8DB9-E139FC281C03}"/>
    <hyperlink ref="J47" r:id="rId44" xr:uid="{96EDB487-F32C-4263-A451-8E97FDF3FD5C}"/>
    <hyperlink ref="J46" r:id="rId45" xr:uid="{99A25F98-CA0B-4AD7-97D3-664920C1E804}"/>
    <hyperlink ref="J35:J37" r:id="rId46" display="Yes" xr:uid="{437CA474-6DD7-4B36-ACDC-CE13C459FAF4}"/>
    <hyperlink ref="J60" r:id="rId47" xr:uid="{B702FB1C-F222-4FD0-A9B3-AB36E849E2C8}"/>
    <hyperlink ref="J5:J19" r:id="rId48" display="Yes" xr:uid="{4487126C-8287-485D-AC3A-34DCB8DBE324}"/>
    <hyperlink ref="J28" r:id="rId49" xr:uid="{0A617904-9001-49BB-9257-F8036B225D2C}"/>
    <hyperlink ref="J27" r:id="rId50" xr:uid="{27E39182-ECF2-45E4-B24D-0F2D2D4C83FD}"/>
    <hyperlink ref="J14" r:id="rId51" xr:uid="{BD8BDE00-1940-4B6B-977D-A9017F338582}"/>
    <hyperlink ref="J13" r:id="rId52" xr:uid="{42D51A92-F45A-48DB-8DED-9B20F1A95D9D}"/>
    <hyperlink ref="J12" r:id="rId53" xr:uid="{A28D7EFF-2878-41BF-9D94-EA1910E6898C}"/>
    <hyperlink ref="J9" r:id="rId54" xr:uid="{4AA63E5B-FF41-4A3D-9B63-072EDE732C3A}"/>
    <hyperlink ref="J6" r:id="rId55" xr:uid="{884D619E-0DDD-4A4B-A636-348E46AF398B}"/>
    <hyperlink ref="J4" r:id="rId56" xr:uid="{834DC019-2492-456E-A6F1-1587D4ABE213}"/>
    <hyperlink ref="J62" r:id="rId57" xr:uid="{1EEED75C-AC54-4A5D-83AB-8BF06E881F11}"/>
    <hyperlink ref="J3" r:id="rId58" xr:uid="{E9ACBC4C-5D13-44EE-8469-01E1BCC00F61}"/>
    <hyperlink ref="J10" r:id="rId59" xr:uid="{4D5D9B28-B2BE-4B58-85AD-1CD40F53CA10}"/>
    <hyperlink ref="L87" r:id="rId60" xr:uid="{3B51312F-1F80-4C88-9B4C-F844C1DE71ED}"/>
    <hyperlink ref="M30" r:id="rId61" xr:uid="{9F81F309-1043-4631-BA9A-833116CCD5F0}"/>
    <hyperlink ref="M47" r:id="rId62" display="Sites are located here" xr:uid="{24607993-C65C-4DE4-AF10-052466AFB2DF}"/>
    <hyperlink ref="L23" r:id="rId63" xr:uid="{1BF0273F-3BA1-496F-A917-82551327ACDF}"/>
  </hyperlinks>
  <pageMargins left="0.7" right="0.7" top="0.75" bottom="0.75" header="0.3" footer="0.3"/>
  <legacyDrawing r:id="rId6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FBFB4-FF22-4ECB-80A1-4504EBD71A22}">
  <dimension ref="A1:G188"/>
  <sheetViews>
    <sheetView topLeftCell="A112" workbookViewId="0">
      <selection activeCell="C4" sqref="C4"/>
    </sheetView>
  </sheetViews>
  <sheetFormatPr defaultRowHeight="15"/>
  <cols>
    <col min="1" max="1" width="40.7109375" customWidth="1"/>
    <col min="2" max="2" width="6" customWidth="1"/>
    <col min="3" max="3" width="40.7109375" customWidth="1"/>
    <col min="4" max="4" width="31.42578125" style="48" customWidth="1"/>
    <col min="5" max="5" width="21.140625" customWidth="1"/>
    <col min="6" max="6" width="17.28515625" customWidth="1"/>
    <col min="7" max="7" width="11.85546875" style="47" customWidth="1"/>
    <col min="8" max="8" width="12.42578125" bestFit="1" customWidth="1"/>
    <col min="9" max="9" width="8.28515625" bestFit="1" customWidth="1"/>
    <col min="10" max="10" width="16.140625" bestFit="1" customWidth="1"/>
  </cols>
  <sheetData>
    <row r="1" spans="1:7">
      <c r="A1" s="604" t="s">
        <v>2561</v>
      </c>
      <c r="B1" s="604" t="s">
        <v>400</v>
      </c>
      <c r="C1" s="604" t="s">
        <v>1137</v>
      </c>
      <c r="D1" s="604" t="s">
        <v>919</v>
      </c>
      <c r="E1" s="604" t="s">
        <v>952</v>
      </c>
      <c r="F1" s="604" t="s">
        <v>953</v>
      </c>
      <c r="G1" s="604" t="s">
        <v>954</v>
      </c>
    </row>
    <row r="2" spans="1:7">
      <c r="A2" s="603" t="str">
        <f>C2&amp;B2</f>
        <v>Fitchburg State University1</v>
      </c>
      <c r="B2" s="603">
        <v>1</v>
      </c>
      <c r="C2" s="603" t="s">
        <v>107</v>
      </c>
      <c r="D2" s="328" t="s">
        <v>1356</v>
      </c>
      <c r="E2" s="328" t="s">
        <v>1122</v>
      </c>
      <c r="F2" s="328" t="s">
        <v>1403</v>
      </c>
      <c r="G2" s="328">
        <v>2</v>
      </c>
    </row>
    <row r="3" spans="1:7">
      <c r="A3" s="603" t="str">
        <f t="shared" ref="A3:A66" si="0">C3&amp;B3</f>
        <v>Framingham State University2</v>
      </c>
      <c r="B3" s="603">
        <v>2</v>
      </c>
      <c r="C3" s="603" t="s">
        <v>35</v>
      </c>
      <c r="D3" s="328" t="s">
        <v>1357</v>
      </c>
      <c r="E3" s="328" t="s">
        <v>1122</v>
      </c>
      <c r="F3" s="328" t="s">
        <v>1404</v>
      </c>
      <c r="G3" s="328">
        <v>1</v>
      </c>
    </row>
    <row r="4" spans="1:7">
      <c r="A4" s="603" t="str">
        <f t="shared" si="0"/>
        <v>Massasoit Comm. College1</v>
      </c>
      <c r="B4" s="603">
        <v>1</v>
      </c>
      <c r="C4" s="603" t="s">
        <v>154</v>
      </c>
      <c r="D4" s="328" t="s">
        <v>1358</v>
      </c>
      <c r="E4" s="328" t="s">
        <v>1127</v>
      </c>
      <c r="F4" s="605"/>
      <c r="G4" s="605">
        <v>1</v>
      </c>
    </row>
    <row r="5" spans="1:7">
      <c r="A5" s="603" t="str">
        <f t="shared" si="0"/>
        <v>North Shore Comm. College1</v>
      </c>
      <c r="B5" s="603">
        <v>1</v>
      </c>
      <c r="C5" s="603" t="s">
        <v>177</v>
      </c>
      <c r="D5" s="324" t="s">
        <v>739</v>
      </c>
      <c r="E5" s="328" t="s">
        <v>1379</v>
      </c>
      <c r="F5" s="328" t="s">
        <v>1405</v>
      </c>
      <c r="G5" s="328">
        <v>2</v>
      </c>
    </row>
    <row r="6" spans="1:7">
      <c r="A6" s="603" t="str">
        <f t="shared" si="0"/>
        <v>North Shore Comm. College2</v>
      </c>
      <c r="B6" s="603">
        <v>2</v>
      </c>
      <c r="C6" s="603" t="s">
        <v>177</v>
      </c>
      <c r="D6" s="324" t="s">
        <v>739</v>
      </c>
      <c r="E6" s="328" t="s">
        <v>1379</v>
      </c>
      <c r="F6" s="328" t="s">
        <v>1406</v>
      </c>
      <c r="G6" s="328">
        <v>1</v>
      </c>
    </row>
    <row r="7" spans="1:7">
      <c r="A7" s="603" t="str">
        <f t="shared" si="0"/>
        <v>North Shore Comm. College3</v>
      </c>
      <c r="B7" s="603">
        <v>3</v>
      </c>
      <c r="C7" s="603" t="s">
        <v>177</v>
      </c>
      <c r="D7" s="324" t="s">
        <v>739</v>
      </c>
      <c r="E7" s="324" t="s">
        <v>1083</v>
      </c>
      <c r="F7" s="328"/>
      <c r="G7" s="328">
        <v>4</v>
      </c>
    </row>
    <row r="8" spans="1:7">
      <c r="A8" s="603" t="str">
        <f t="shared" si="0"/>
        <v>Springfield Technical Comm. College1</v>
      </c>
      <c r="B8" s="603">
        <v>1</v>
      </c>
      <c r="C8" s="603" t="s">
        <v>195</v>
      </c>
      <c r="D8" s="324" t="s">
        <v>745</v>
      </c>
      <c r="E8" s="324" t="s">
        <v>1379</v>
      </c>
      <c r="F8" s="328"/>
      <c r="G8" s="328">
        <v>7</v>
      </c>
    </row>
    <row r="9" spans="1:7">
      <c r="A9" s="603" t="str">
        <f t="shared" si="0"/>
        <v>Springfield Technical Comm. College2</v>
      </c>
      <c r="B9" s="603">
        <v>2</v>
      </c>
      <c r="C9" s="603" t="s">
        <v>195</v>
      </c>
      <c r="D9" s="324" t="s">
        <v>745</v>
      </c>
      <c r="E9" s="324" t="s">
        <v>1383</v>
      </c>
      <c r="F9" s="328"/>
      <c r="G9" s="328">
        <v>1</v>
      </c>
    </row>
    <row r="10" spans="1:7">
      <c r="A10" s="603" t="str">
        <f t="shared" si="0"/>
        <v>Springfield Technical Comm. College3</v>
      </c>
      <c r="B10" s="603">
        <v>3</v>
      </c>
      <c r="C10" s="603" t="s">
        <v>195</v>
      </c>
      <c r="D10" s="324" t="s">
        <v>745</v>
      </c>
      <c r="E10" s="324" t="s">
        <v>2560</v>
      </c>
      <c r="F10" s="328"/>
      <c r="G10" s="328">
        <v>1</v>
      </c>
    </row>
    <row r="11" spans="1:7">
      <c r="A11" s="603" t="str">
        <f t="shared" si="0"/>
        <v>Springfield Technical Comm. College4</v>
      </c>
      <c r="B11" s="603">
        <v>4</v>
      </c>
      <c r="C11" s="603" t="s">
        <v>195</v>
      </c>
      <c r="D11" s="324" t="s">
        <v>745</v>
      </c>
      <c r="E11" s="324" t="s">
        <v>1380</v>
      </c>
      <c r="F11" s="328"/>
      <c r="G11" s="328">
        <v>1</v>
      </c>
    </row>
    <row r="12" spans="1:7">
      <c r="A12" s="603" t="str">
        <f t="shared" si="0"/>
        <v>UMass Amherst1</v>
      </c>
      <c r="B12" s="603">
        <v>1</v>
      </c>
      <c r="C12" s="603" t="s">
        <v>201</v>
      </c>
      <c r="D12" s="328" t="s">
        <v>2555</v>
      </c>
      <c r="E12" s="328" t="s">
        <v>1127</v>
      </c>
      <c r="F12" s="328" t="s">
        <v>1404</v>
      </c>
      <c r="G12" s="328">
        <v>2</v>
      </c>
    </row>
    <row r="13" spans="1:7">
      <c r="A13" s="603" t="str">
        <f t="shared" si="0"/>
        <v>UMass Amherst2</v>
      </c>
      <c r="B13" s="603">
        <v>2</v>
      </c>
      <c r="C13" s="603" t="s">
        <v>201</v>
      </c>
      <c r="D13" s="328" t="s">
        <v>2555</v>
      </c>
      <c r="E13" s="328" t="s">
        <v>1126</v>
      </c>
      <c r="F13" s="328" t="s">
        <v>1404</v>
      </c>
      <c r="G13" s="328">
        <v>2</v>
      </c>
    </row>
    <row r="14" spans="1:7">
      <c r="A14" s="603" t="str">
        <f t="shared" si="0"/>
        <v>UMass Amherst3</v>
      </c>
      <c r="B14" s="603">
        <v>3</v>
      </c>
      <c r="C14" s="603" t="s">
        <v>201</v>
      </c>
      <c r="D14" s="328" t="s">
        <v>2555</v>
      </c>
      <c r="E14" s="328" t="s">
        <v>1381</v>
      </c>
      <c r="F14" s="328" t="s">
        <v>1404</v>
      </c>
      <c r="G14" s="328">
        <v>1</v>
      </c>
    </row>
    <row r="15" spans="1:7">
      <c r="A15" s="603" t="str">
        <f t="shared" si="0"/>
        <v>UMass Amherst4</v>
      </c>
      <c r="B15" s="603">
        <v>4</v>
      </c>
      <c r="C15" s="603" t="s">
        <v>201</v>
      </c>
      <c r="D15" s="328" t="s">
        <v>2555</v>
      </c>
      <c r="E15" s="328" t="s">
        <v>1083</v>
      </c>
      <c r="F15" s="328" t="s">
        <v>1136</v>
      </c>
      <c r="G15" s="328">
        <v>2</v>
      </c>
    </row>
    <row r="16" spans="1:7">
      <c r="A16" s="603" t="str">
        <f t="shared" si="0"/>
        <v>UMass Amherst5</v>
      </c>
      <c r="B16" s="603">
        <v>5</v>
      </c>
      <c r="C16" s="603" t="s">
        <v>201</v>
      </c>
      <c r="D16" s="328" t="s">
        <v>2555</v>
      </c>
      <c r="E16" s="328" t="s">
        <v>1129</v>
      </c>
      <c r="F16" s="328" t="s">
        <v>1404</v>
      </c>
      <c r="G16" s="328">
        <v>2</v>
      </c>
    </row>
    <row r="17" spans="1:7">
      <c r="A17" s="603" t="str">
        <f t="shared" si="0"/>
        <v>UMass Amherst6</v>
      </c>
      <c r="B17" s="603">
        <v>6</v>
      </c>
      <c r="C17" s="603" t="s">
        <v>201</v>
      </c>
      <c r="D17" s="328" t="s">
        <v>2555</v>
      </c>
      <c r="E17" s="328" t="s">
        <v>1382</v>
      </c>
      <c r="F17" s="328" t="s">
        <v>1404</v>
      </c>
      <c r="G17" s="328">
        <v>2</v>
      </c>
    </row>
    <row r="18" spans="1:7">
      <c r="A18" s="603" t="str">
        <f t="shared" si="0"/>
        <v>UMass Amherst7</v>
      </c>
      <c r="B18" s="603">
        <v>7</v>
      </c>
      <c r="C18" s="603" t="s">
        <v>201</v>
      </c>
      <c r="D18" s="328" t="s">
        <v>2555</v>
      </c>
      <c r="E18" s="328" t="s">
        <v>1383</v>
      </c>
      <c r="F18" s="328" t="s">
        <v>1404</v>
      </c>
      <c r="G18" s="328">
        <v>2</v>
      </c>
    </row>
    <row r="19" spans="1:7">
      <c r="A19" s="603" t="str">
        <f t="shared" si="0"/>
        <v>UMass Amherst8</v>
      </c>
      <c r="B19" s="603">
        <v>8</v>
      </c>
      <c r="C19" s="603" t="s">
        <v>201</v>
      </c>
      <c r="D19" s="328" t="s">
        <v>2556</v>
      </c>
      <c r="E19" s="328" t="s">
        <v>350</v>
      </c>
      <c r="F19" s="328" t="s">
        <v>2559</v>
      </c>
      <c r="G19" s="328">
        <v>1</v>
      </c>
    </row>
    <row r="20" spans="1:7">
      <c r="A20" s="603" t="str">
        <f t="shared" si="0"/>
        <v>UMass Lowell1</v>
      </c>
      <c r="B20" s="603">
        <v>1</v>
      </c>
      <c r="C20" s="603" t="s">
        <v>212</v>
      </c>
      <c r="D20" s="328" t="s">
        <v>1359</v>
      </c>
      <c r="E20" s="328" t="s">
        <v>1384</v>
      </c>
      <c r="F20" s="328" t="s">
        <v>1407</v>
      </c>
      <c r="G20" s="328">
        <v>3</v>
      </c>
    </row>
    <row r="21" spans="1:7">
      <c r="A21" s="603" t="str">
        <f t="shared" si="0"/>
        <v>UMass Lowell2</v>
      </c>
      <c r="B21" s="603">
        <v>2</v>
      </c>
      <c r="C21" s="603" t="s">
        <v>212</v>
      </c>
      <c r="D21" s="328" t="s">
        <v>1359</v>
      </c>
      <c r="E21" s="328" t="s">
        <v>1385</v>
      </c>
      <c r="F21" s="328" t="s">
        <v>1407</v>
      </c>
      <c r="G21" s="328">
        <v>1</v>
      </c>
    </row>
    <row r="22" spans="1:7">
      <c r="A22" s="603" t="str">
        <f t="shared" si="0"/>
        <v>UMass Lowell3</v>
      </c>
      <c r="B22" s="603">
        <v>3</v>
      </c>
      <c r="C22" s="603" t="s">
        <v>212</v>
      </c>
      <c r="D22" s="328" t="s">
        <v>1359</v>
      </c>
      <c r="E22" s="328" t="s">
        <v>1126</v>
      </c>
      <c r="F22" s="328" t="s">
        <v>1408</v>
      </c>
      <c r="G22" s="328">
        <v>3</v>
      </c>
    </row>
    <row r="23" spans="1:7">
      <c r="A23" s="603" t="str">
        <f t="shared" si="0"/>
        <v>UMass Lowell4</v>
      </c>
      <c r="B23" s="603">
        <v>4</v>
      </c>
      <c r="C23" s="603" t="s">
        <v>212</v>
      </c>
      <c r="D23" s="328" t="s">
        <v>1359</v>
      </c>
      <c r="E23" s="328" t="s">
        <v>1386</v>
      </c>
      <c r="F23" s="328" t="s">
        <v>1408</v>
      </c>
      <c r="G23" s="328">
        <v>6</v>
      </c>
    </row>
    <row r="24" spans="1:7">
      <c r="A24" s="603" t="str">
        <f t="shared" si="0"/>
        <v>UMass Lowell5</v>
      </c>
      <c r="B24" s="603">
        <v>5</v>
      </c>
      <c r="C24" s="603" t="s">
        <v>212</v>
      </c>
      <c r="D24" s="328" t="s">
        <v>1359</v>
      </c>
      <c r="E24" s="328" t="s">
        <v>1126</v>
      </c>
      <c r="F24" s="328" t="s">
        <v>1408</v>
      </c>
      <c r="G24" s="328">
        <v>3</v>
      </c>
    </row>
    <row r="25" spans="1:7">
      <c r="A25" s="603" t="str">
        <f t="shared" si="0"/>
        <v>Worcester State University1</v>
      </c>
      <c r="B25" s="603">
        <v>1</v>
      </c>
      <c r="C25" s="603" t="s">
        <v>220</v>
      </c>
      <c r="D25" s="328" t="s">
        <v>1360</v>
      </c>
      <c r="E25" s="328" t="s">
        <v>1126</v>
      </c>
      <c r="F25" s="328" t="s">
        <v>1409</v>
      </c>
      <c r="G25" s="328">
        <v>5</v>
      </c>
    </row>
    <row r="26" spans="1:7">
      <c r="A26" s="603" t="str">
        <f t="shared" si="0"/>
        <v>Mass. Bay Comm. College1</v>
      </c>
      <c r="B26" s="603">
        <v>1</v>
      </c>
      <c r="C26" s="603" t="s">
        <v>128</v>
      </c>
      <c r="D26" s="328" t="s">
        <v>1361</v>
      </c>
      <c r="E26" s="328" t="s">
        <v>1126</v>
      </c>
      <c r="F26" s="328" t="s">
        <v>1408</v>
      </c>
      <c r="G26" s="328">
        <v>1</v>
      </c>
    </row>
    <row r="27" spans="1:7">
      <c r="A27" s="603" t="str">
        <f t="shared" si="0"/>
        <v>Mass. Bay Comm. College2</v>
      </c>
      <c r="B27" s="603">
        <v>2</v>
      </c>
      <c r="C27" s="603" t="s">
        <v>128</v>
      </c>
      <c r="D27" s="328" t="s">
        <v>1361</v>
      </c>
      <c r="E27" s="328" t="s">
        <v>1383</v>
      </c>
      <c r="F27" s="328" t="s">
        <v>1408</v>
      </c>
      <c r="G27" s="328">
        <v>1</v>
      </c>
    </row>
    <row r="28" spans="1:7">
      <c r="A28" s="603" t="str">
        <f t="shared" si="0"/>
        <v>Mass. Water Resources Authority1</v>
      </c>
      <c r="B28" s="603">
        <v>1</v>
      </c>
      <c r="C28" s="603" t="s">
        <v>145</v>
      </c>
      <c r="D28" s="328" t="s">
        <v>1363</v>
      </c>
      <c r="E28" s="328" t="s">
        <v>1378</v>
      </c>
      <c r="F28" s="328" t="s">
        <v>1410</v>
      </c>
      <c r="G28" s="328">
        <v>1</v>
      </c>
    </row>
    <row r="29" spans="1:7">
      <c r="A29" s="603" t="str">
        <f t="shared" si="0"/>
        <v>Mass. Water Resources Authority2</v>
      </c>
      <c r="B29" s="603">
        <v>2</v>
      </c>
      <c r="C29" s="603" t="s">
        <v>145</v>
      </c>
      <c r="D29" s="328" t="s">
        <v>1363</v>
      </c>
      <c r="E29" s="328" t="s">
        <v>1129</v>
      </c>
      <c r="F29" s="328" t="s">
        <v>1410</v>
      </c>
      <c r="G29" s="328">
        <v>1</v>
      </c>
    </row>
    <row r="30" spans="1:7">
      <c r="A30" s="603" t="str">
        <f t="shared" si="0"/>
        <v>Mass. Water Resources Authority3</v>
      </c>
      <c r="B30" s="603">
        <v>3</v>
      </c>
      <c r="C30" s="603" t="s">
        <v>145</v>
      </c>
      <c r="D30" s="328" t="s">
        <v>1363</v>
      </c>
      <c r="E30" s="328" t="s">
        <v>1390</v>
      </c>
      <c r="F30" s="328" t="s">
        <v>1410</v>
      </c>
      <c r="G30" s="328">
        <v>1</v>
      </c>
    </row>
    <row r="31" spans="1:7">
      <c r="A31" s="603" t="str">
        <f t="shared" si="0"/>
        <v>Mass. Water Resources Authority4</v>
      </c>
      <c r="B31" s="603">
        <v>4</v>
      </c>
      <c r="C31" s="603" t="s">
        <v>145</v>
      </c>
      <c r="D31" s="328" t="s">
        <v>1363</v>
      </c>
      <c r="E31" s="328" t="s">
        <v>1127</v>
      </c>
      <c r="F31" s="328" t="s">
        <v>1410</v>
      </c>
      <c r="G31" s="328">
        <v>1</v>
      </c>
    </row>
    <row r="32" spans="1:7">
      <c r="A32" s="603" t="str">
        <f t="shared" si="0"/>
        <v>Mass. Water Resources Authority5</v>
      </c>
      <c r="B32" s="603">
        <v>5</v>
      </c>
      <c r="C32" s="603" t="s">
        <v>145</v>
      </c>
      <c r="D32" s="328" t="s">
        <v>2086</v>
      </c>
      <c r="E32" s="328" t="s">
        <v>1126</v>
      </c>
      <c r="F32" s="328" t="s">
        <v>1408</v>
      </c>
      <c r="G32" s="328">
        <v>2</v>
      </c>
    </row>
    <row r="33" spans="1:7">
      <c r="A33" s="603" t="str">
        <f t="shared" si="0"/>
        <v>Mass. Water Resources Authority6</v>
      </c>
      <c r="B33" s="603">
        <v>6</v>
      </c>
      <c r="C33" s="603" t="s">
        <v>145</v>
      </c>
      <c r="D33" s="328" t="s">
        <v>2086</v>
      </c>
      <c r="E33" s="328" t="s">
        <v>1129</v>
      </c>
      <c r="F33" s="328" t="s">
        <v>1408</v>
      </c>
      <c r="G33" s="328">
        <v>1</v>
      </c>
    </row>
    <row r="34" spans="1:7">
      <c r="A34" s="603" t="str">
        <f t="shared" si="0"/>
        <v>Mass. Water Resources Authority7</v>
      </c>
      <c r="B34" s="603">
        <v>7</v>
      </c>
      <c r="C34" s="603" t="s">
        <v>145</v>
      </c>
      <c r="D34" s="328" t="s">
        <v>569</v>
      </c>
      <c r="E34" s="328" t="s">
        <v>1126</v>
      </c>
      <c r="F34" s="328"/>
      <c r="G34" s="328">
        <v>3</v>
      </c>
    </row>
    <row r="35" spans="1:7">
      <c r="A35" s="603" t="str">
        <f t="shared" si="0"/>
        <v>Mass. Water Resources Authority8</v>
      </c>
      <c r="B35" s="603">
        <v>8</v>
      </c>
      <c r="C35" s="603" t="s">
        <v>145</v>
      </c>
      <c r="D35" s="328" t="s">
        <v>569</v>
      </c>
      <c r="E35" s="328" t="s">
        <v>1127</v>
      </c>
      <c r="F35" s="328"/>
      <c r="G35" s="328">
        <v>3</v>
      </c>
    </row>
    <row r="36" spans="1:7">
      <c r="A36" s="603" t="str">
        <f t="shared" si="0"/>
        <v>Mass. Water Resources Authority9</v>
      </c>
      <c r="B36" s="603">
        <v>9</v>
      </c>
      <c r="C36" s="603" t="s">
        <v>145</v>
      </c>
      <c r="D36" s="328" t="s">
        <v>569</v>
      </c>
      <c r="E36" s="328" t="s">
        <v>2087</v>
      </c>
      <c r="F36" s="328"/>
      <c r="G36" s="328">
        <v>1</v>
      </c>
    </row>
    <row r="37" spans="1:7">
      <c r="A37" s="603" t="str">
        <f t="shared" si="0"/>
        <v>Mass. Water Resources Authority10</v>
      </c>
      <c r="B37" s="603">
        <v>10</v>
      </c>
      <c r="C37" s="603" t="s">
        <v>145</v>
      </c>
      <c r="D37" s="328" t="s">
        <v>2557</v>
      </c>
      <c r="E37" s="328" t="s">
        <v>1129</v>
      </c>
      <c r="F37" s="328" t="s">
        <v>1410</v>
      </c>
      <c r="G37" s="328">
        <v>1</v>
      </c>
    </row>
    <row r="38" spans="1:7">
      <c r="A38" s="603" t="str">
        <f t="shared" si="0"/>
        <v>Mass. Water Resources Authority11</v>
      </c>
      <c r="B38" s="603">
        <v>11</v>
      </c>
      <c r="C38" s="603" t="s">
        <v>145</v>
      </c>
      <c r="D38" s="328" t="s">
        <v>2557</v>
      </c>
      <c r="E38" s="328" t="s">
        <v>1122</v>
      </c>
      <c r="F38" s="328"/>
      <c r="G38" s="328">
        <v>1</v>
      </c>
    </row>
    <row r="39" spans="1:7">
      <c r="A39" s="603" t="str">
        <f t="shared" si="0"/>
        <v>Mass. Water Resources Authority12</v>
      </c>
      <c r="B39" s="603">
        <v>12</v>
      </c>
      <c r="C39" s="603" t="s">
        <v>145</v>
      </c>
      <c r="D39" s="328" t="s">
        <v>2558</v>
      </c>
      <c r="E39" s="328" t="s">
        <v>1129</v>
      </c>
      <c r="F39" s="328" t="s">
        <v>1408</v>
      </c>
      <c r="G39" s="328">
        <v>1</v>
      </c>
    </row>
    <row r="40" spans="1:7">
      <c r="A40" s="603" t="str">
        <f t="shared" si="0"/>
        <v>Mass. Water Resources Authority13</v>
      </c>
      <c r="B40" s="603">
        <v>13</v>
      </c>
      <c r="C40" s="603" t="s">
        <v>145</v>
      </c>
      <c r="D40" s="328" t="s">
        <v>2558</v>
      </c>
      <c r="E40" s="328" t="s">
        <v>1126</v>
      </c>
      <c r="F40" s="328" t="s">
        <v>1408</v>
      </c>
      <c r="G40" s="328">
        <v>1</v>
      </c>
    </row>
    <row r="41" spans="1:7">
      <c r="A41" s="603" t="str">
        <f t="shared" si="0"/>
        <v>MassDOT - Highway &amp; Turnpike Divisions1</v>
      </c>
      <c r="B41" s="603">
        <v>1</v>
      </c>
      <c r="C41" s="603" t="s">
        <v>166</v>
      </c>
      <c r="D41" s="328" t="s">
        <v>1362</v>
      </c>
      <c r="E41" s="328" t="s">
        <v>1378</v>
      </c>
      <c r="F41" s="328" t="s">
        <v>1404</v>
      </c>
      <c r="G41" s="328">
        <v>2</v>
      </c>
    </row>
    <row r="42" spans="1:7">
      <c r="A42" s="603" t="str">
        <f t="shared" si="0"/>
        <v>MassDOT - Highway &amp; Turnpike Divisions2</v>
      </c>
      <c r="B42" s="603">
        <v>2</v>
      </c>
      <c r="C42" s="603" t="s">
        <v>166</v>
      </c>
      <c r="D42" s="328" t="s">
        <v>1362</v>
      </c>
      <c r="E42" s="328" t="s">
        <v>1387</v>
      </c>
      <c r="F42" s="328" t="s">
        <v>1408</v>
      </c>
      <c r="G42" s="328">
        <v>2</v>
      </c>
    </row>
    <row r="43" spans="1:7">
      <c r="A43" s="603" t="str">
        <f t="shared" si="0"/>
        <v>MassDOT - Highway &amp; Turnpike Divisions3</v>
      </c>
      <c r="B43" s="603">
        <v>3</v>
      </c>
      <c r="C43" s="603" t="s">
        <v>166</v>
      </c>
      <c r="D43" s="328" t="s">
        <v>1362</v>
      </c>
      <c r="E43" s="328" t="s">
        <v>1388</v>
      </c>
      <c r="F43" s="328" t="s">
        <v>1408</v>
      </c>
      <c r="G43" s="328">
        <v>2</v>
      </c>
    </row>
    <row r="44" spans="1:7">
      <c r="A44" s="603" t="str">
        <f t="shared" si="0"/>
        <v>MassDOT - Highway &amp; Turnpike Divisions4</v>
      </c>
      <c r="B44" s="603">
        <v>4</v>
      </c>
      <c r="C44" s="603" t="s">
        <v>166</v>
      </c>
      <c r="D44" s="328" t="s">
        <v>1362</v>
      </c>
      <c r="E44" s="328" t="s">
        <v>1128</v>
      </c>
      <c r="F44" s="328" t="s">
        <v>1408</v>
      </c>
      <c r="G44" s="328">
        <v>1</v>
      </c>
    </row>
    <row r="45" spans="1:7">
      <c r="A45" s="603" t="str">
        <f t="shared" si="0"/>
        <v>MassDOT - Highway &amp; Turnpike Divisions5</v>
      </c>
      <c r="B45" s="603">
        <v>5</v>
      </c>
      <c r="C45" s="603" t="s">
        <v>166</v>
      </c>
      <c r="D45" s="328" t="s">
        <v>1362</v>
      </c>
      <c r="E45" s="328" t="s">
        <v>1389</v>
      </c>
      <c r="F45" s="328" t="s">
        <v>1408</v>
      </c>
      <c r="G45" s="328">
        <v>1</v>
      </c>
    </row>
    <row r="46" spans="1:7">
      <c r="A46" s="603" t="str">
        <f t="shared" si="0"/>
        <v>MassDOT - Highway &amp; Turnpike Divisions6</v>
      </c>
      <c r="B46" s="603">
        <v>6</v>
      </c>
      <c r="C46" s="603" t="s">
        <v>166</v>
      </c>
      <c r="D46" s="328" t="s">
        <v>1364</v>
      </c>
      <c r="E46" s="328" t="s">
        <v>1391</v>
      </c>
      <c r="F46" s="328"/>
      <c r="G46" s="328">
        <v>1</v>
      </c>
    </row>
    <row r="47" spans="1:7">
      <c r="A47" s="603" t="str">
        <f t="shared" si="0"/>
        <v>MassDOT - Highway &amp; Turnpike Divisions7</v>
      </c>
      <c r="B47" s="603">
        <v>7</v>
      </c>
      <c r="C47" s="603" t="s">
        <v>166</v>
      </c>
      <c r="D47" s="328" t="s">
        <v>1364</v>
      </c>
      <c r="E47" s="328" t="s">
        <v>1392</v>
      </c>
      <c r="F47" s="328"/>
      <c r="G47" s="328">
        <v>1</v>
      </c>
    </row>
    <row r="48" spans="1:7">
      <c r="A48" s="603" t="str">
        <f t="shared" si="0"/>
        <v>MassDOT - Highway &amp; Turnpike Divisions8</v>
      </c>
      <c r="B48" s="603">
        <v>8</v>
      </c>
      <c r="C48" s="603" t="s">
        <v>166</v>
      </c>
      <c r="D48" s="328" t="s">
        <v>1364</v>
      </c>
      <c r="E48" s="328" t="s">
        <v>1128</v>
      </c>
      <c r="F48" s="328"/>
      <c r="G48" s="328">
        <v>1</v>
      </c>
    </row>
    <row r="49" spans="1:7">
      <c r="A49" s="603" t="str">
        <f t="shared" si="0"/>
        <v>MassDOT - Highway &amp; Turnpike Divisions9</v>
      </c>
      <c r="B49" s="603">
        <v>9</v>
      </c>
      <c r="C49" s="603" t="s">
        <v>166</v>
      </c>
      <c r="D49" s="328" t="s">
        <v>1364</v>
      </c>
      <c r="E49" s="328" t="s">
        <v>1393</v>
      </c>
      <c r="F49" s="328"/>
      <c r="G49" s="328">
        <v>1</v>
      </c>
    </row>
    <row r="50" spans="1:7">
      <c r="A50" s="603" t="str">
        <f t="shared" si="0"/>
        <v>MassDOT - Highway &amp; Turnpike Divisions10</v>
      </c>
      <c r="B50" s="603">
        <v>10</v>
      </c>
      <c r="C50" s="603" t="s">
        <v>166</v>
      </c>
      <c r="D50" s="328" t="s">
        <v>1364</v>
      </c>
      <c r="E50" s="328" t="s">
        <v>1394</v>
      </c>
      <c r="F50" s="328"/>
      <c r="G50" s="328"/>
    </row>
    <row r="51" spans="1:7">
      <c r="A51" s="603" t="str">
        <f t="shared" si="0"/>
        <v>MassDOT - Highway &amp; Turnpike Divisions11</v>
      </c>
      <c r="B51" s="603">
        <v>11</v>
      </c>
      <c r="C51" s="603" t="s">
        <v>166</v>
      </c>
      <c r="D51" s="328" t="s">
        <v>1364</v>
      </c>
      <c r="E51" s="328" t="s">
        <v>1395</v>
      </c>
      <c r="F51" s="328"/>
      <c r="G51" s="328"/>
    </row>
    <row r="52" spans="1:7">
      <c r="A52" s="603" t="str">
        <f t="shared" si="0"/>
        <v>MassDOT - Highway &amp; Turnpike Divisions12</v>
      </c>
      <c r="B52" s="603">
        <v>12</v>
      </c>
      <c r="C52" s="603" t="s">
        <v>166</v>
      </c>
      <c r="D52" s="328" t="s">
        <v>1364</v>
      </c>
      <c r="E52" s="328" t="s">
        <v>1396</v>
      </c>
      <c r="F52" s="328"/>
      <c r="G52" s="328">
        <v>1</v>
      </c>
    </row>
    <row r="53" spans="1:7">
      <c r="A53" s="603" t="str">
        <f t="shared" si="0"/>
        <v>MassDOT - Highway &amp; Turnpike Divisions13</v>
      </c>
      <c r="B53" s="603">
        <v>13</v>
      </c>
      <c r="C53" s="603" t="s">
        <v>166</v>
      </c>
      <c r="D53" s="328" t="s">
        <v>1364</v>
      </c>
      <c r="E53" s="328" t="s">
        <v>1397</v>
      </c>
      <c r="F53" s="328"/>
      <c r="G53" s="328">
        <v>1</v>
      </c>
    </row>
    <row r="54" spans="1:7">
      <c r="A54" s="603" t="str">
        <f t="shared" si="0"/>
        <v>MassDOT - Highway &amp; Turnpike Divisions14</v>
      </c>
      <c r="B54" s="603">
        <v>14</v>
      </c>
      <c r="C54" s="603" t="s">
        <v>166</v>
      </c>
      <c r="D54" s="328" t="s">
        <v>1364</v>
      </c>
      <c r="E54" s="328" t="s">
        <v>1398</v>
      </c>
      <c r="F54" s="328"/>
      <c r="G54" s="328"/>
    </row>
    <row r="55" spans="1:7">
      <c r="A55" s="603" t="str">
        <f t="shared" si="0"/>
        <v>MassDOT - Highway &amp; Turnpike Divisions15</v>
      </c>
      <c r="B55" s="603">
        <v>15</v>
      </c>
      <c r="C55" s="603" t="s">
        <v>166</v>
      </c>
      <c r="D55" s="328" t="s">
        <v>1365</v>
      </c>
      <c r="E55" s="328" t="s">
        <v>1399</v>
      </c>
      <c r="F55" s="328"/>
      <c r="G55" s="328">
        <v>1</v>
      </c>
    </row>
    <row r="56" spans="1:7">
      <c r="A56" s="603" t="str">
        <f t="shared" si="0"/>
        <v>MassDOT - Highway &amp; Turnpike Divisions16</v>
      </c>
      <c r="B56" s="603">
        <v>16</v>
      </c>
      <c r="C56" s="603" t="s">
        <v>166</v>
      </c>
      <c r="D56" s="328" t="s">
        <v>1365</v>
      </c>
      <c r="E56" s="328" t="s">
        <v>1392</v>
      </c>
      <c r="F56" s="328"/>
      <c r="G56" s="328">
        <v>1</v>
      </c>
    </row>
    <row r="57" spans="1:7">
      <c r="A57" s="603" t="str">
        <f t="shared" si="0"/>
        <v>MassDOT - Highway &amp; Turnpike Divisions17</v>
      </c>
      <c r="B57" s="603">
        <v>17</v>
      </c>
      <c r="C57" s="603" t="s">
        <v>166</v>
      </c>
      <c r="D57" s="328" t="s">
        <v>1365</v>
      </c>
      <c r="E57" s="328" t="s">
        <v>1128</v>
      </c>
      <c r="F57" s="328"/>
      <c r="G57" s="328">
        <v>1</v>
      </c>
    </row>
    <row r="58" spans="1:7">
      <c r="A58" s="603" t="str">
        <f t="shared" si="0"/>
        <v>MassDOT - Highway &amp; Turnpike Divisions18</v>
      </c>
      <c r="B58" s="603">
        <v>18</v>
      </c>
      <c r="C58" s="603" t="s">
        <v>166</v>
      </c>
      <c r="D58" s="328" t="s">
        <v>1365</v>
      </c>
      <c r="E58" s="328" t="s">
        <v>1393</v>
      </c>
      <c r="F58" s="328"/>
      <c r="G58" s="328">
        <v>1</v>
      </c>
    </row>
    <row r="59" spans="1:7">
      <c r="A59" s="603" t="str">
        <f t="shared" si="0"/>
        <v>MassDOT - Highway &amp; Turnpike Divisions19</v>
      </c>
      <c r="B59" s="603">
        <v>19</v>
      </c>
      <c r="C59" s="603" t="s">
        <v>166</v>
      </c>
      <c r="D59" s="328" t="s">
        <v>1365</v>
      </c>
      <c r="E59" s="328" t="s">
        <v>1394</v>
      </c>
      <c r="F59" s="328"/>
      <c r="G59" s="328"/>
    </row>
    <row r="60" spans="1:7">
      <c r="A60" s="603" t="str">
        <f t="shared" si="0"/>
        <v>MassDOT - Highway &amp; Turnpike Divisions20</v>
      </c>
      <c r="B60" s="603">
        <v>20</v>
      </c>
      <c r="C60" s="603" t="s">
        <v>166</v>
      </c>
      <c r="D60" s="328" t="s">
        <v>1365</v>
      </c>
      <c r="E60" s="328" t="s">
        <v>1395</v>
      </c>
      <c r="F60" s="328"/>
      <c r="G60" s="328"/>
    </row>
    <row r="61" spans="1:7">
      <c r="A61" s="603" t="str">
        <f t="shared" si="0"/>
        <v>MassDOT - Highway &amp; Turnpike Divisions21</v>
      </c>
      <c r="B61" s="603">
        <v>21</v>
      </c>
      <c r="C61" s="603" t="s">
        <v>166</v>
      </c>
      <c r="D61" s="328" t="s">
        <v>1366</v>
      </c>
      <c r="E61" s="328" t="s">
        <v>1399</v>
      </c>
      <c r="F61" s="328"/>
      <c r="G61" s="328">
        <v>1</v>
      </c>
    </row>
    <row r="62" spans="1:7">
      <c r="A62" s="603" t="str">
        <f t="shared" si="0"/>
        <v>MassDOT - Highway &amp; Turnpike Divisions22</v>
      </c>
      <c r="B62" s="603">
        <v>22</v>
      </c>
      <c r="C62" s="603" t="s">
        <v>166</v>
      </c>
      <c r="D62" s="328" t="s">
        <v>1366</v>
      </c>
      <c r="E62" s="328" t="s">
        <v>1392</v>
      </c>
      <c r="F62" s="328"/>
      <c r="G62" s="328">
        <v>1</v>
      </c>
    </row>
    <row r="63" spans="1:7">
      <c r="A63" s="603" t="str">
        <f t="shared" si="0"/>
        <v>MassDOT - Highway &amp; Turnpike Divisions23</v>
      </c>
      <c r="B63" s="603">
        <v>23</v>
      </c>
      <c r="C63" s="603" t="s">
        <v>166</v>
      </c>
      <c r="D63" s="328" t="s">
        <v>1366</v>
      </c>
      <c r="E63" s="328" t="s">
        <v>1128</v>
      </c>
      <c r="F63" s="328"/>
      <c r="G63" s="328">
        <v>1</v>
      </c>
    </row>
    <row r="64" spans="1:7">
      <c r="A64" s="603" t="str">
        <f t="shared" si="0"/>
        <v>MassDOT - Highway &amp; Turnpike Divisions24</v>
      </c>
      <c r="B64" s="603">
        <v>24</v>
      </c>
      <c r="C64" s="603" t="s">
        <v>166</v>
      </c>
      <c r="D64" s="328" t="s">
        <v>1366</v>
      </c>
      <c r="E64" s="328" t="s">
        <v>1393</v>
      </c>
      <c r="F64" s="328"/>
      <c r="G64" s="328">
        <v>1</v>
      </c>
    </row>
    <row r="65" spans="1:7">
      <c r="A65" s="603" t="str">
        <f t="shared" si="0"/>
        <v>MassDOT - Highway &amp; Turnpike Divisions25</v>
      </c>
      <c r="B65" s="603">
        <v>25</v>
      </c>
      <c r="C65" s="603" t="s">
        <v>166</v>
      </c>
      <c r="D65" s="328" t="s">
        <v>1366</v>
      </c>
      <c r="E65" s="328" t="s">
        <v>1394</v>
      </c>
      <c r="F65" s="328"/>
      <c r="G65" s="328"/>
    </row>
    <row r="66" spans="1:7">
      <c r="A66" s="603" t="str">
        <f t="shared" si="0"/>
        <v>MassDOT - Highway &amp; Turnpike Divisions26</v>
      </c>
      <c r="B66" s="603">
        <v>26</v>
      </c>
      <c r="C66" s="603" t="s">
        <v>166</v>
      </c>
      <c r="D66" s="328" t="s">
        <v>1366</v>
      </c>
      <c r="E66" s="328" t="s">
        <v>1395</v>
      </c>
      <c r="F66" s="328"/>
      <c r="G66" s="328"/>
    </row>
    <row r="67" spans="1:7">
      <c r="A67" s="603" t="str">
        <f t="shared" ref="A67:A130" si="1">C67&amp;B67</f>
        <v>MassDOT - Highway &amp; Turnpike Divisions27</v>
      </c>
      <c r="B67" s="603">
        <v>27</v>
      </c>
      <c r="C67" s="603" t="s">
        <v>166</v>
      </c>
      <c r="D67" s="328" t="s">
        <v>1366</v>
      </c>
      <c r="E67" s="328" t="s">
        <v>1396</v>
      </c>
      <c r="F67" s="328"/>
      <c r="G67" s="328">
        <v>1</v>
      </c>
    </row>
    <row r="68" spans="1:7">
      <c r="A68" s="603" t="str">
        <f t="shared" si="1"/>
        <v>MassDOT - Highway &amp; Turnpike Divisions28</v>
      </c>
      <c r="B68" s="603">
        <v>28</v>
      </c>
      <c r="C68" s="603" t="s">
        <v>166</v>
      </c>
      <c r="D68" s="328" t="s">
        <v>1366</v>
      </c>
      <c r="E68" s="328" t="s">
        <v>1397</v>
      </c>
      <c r="F68" s="328"/>
      <c r="G68" s="328">
        <v>1</v>
      </c>
    </row>
    <row r="69" spans="1:7">
      <c r="A69" s="603" t="str">
        <f t="shared" si="1"/>
        <v>MassDOT - Highway &amp; Turnpike Divisions29</v>
      </c>
      <c r="B69" s="603">
        <v>29</v>
      </c>
      <c r="C69" s="603" t="s">
        <v>166</v>
      </c>
      <c r="D69" s="328" t="s">
        <v>1367</v>
      </c>
      <c r="E69" s="328" t="s">
        <v>1399</v>
      </c>
      <c r="F69" s="328"/>
      <c r="G69" s="328">
        <v>1</v>
      </c>
    </row>
    <row r="70" spans="1:7">
      <c r="A70" s="603" t="str">
        <f t="shared" si="1"/>
        <v>MassDOT - Highway &amp; Turnpike Divisions30</v>
      </c>
      <c r="B70" s="603">
        <v>30</v>
      </c>
      <c r="C70" s="603" t="s">
        <v>166</v>
      </c>
      <c r="D70" s="328" t="s">
        <v>1367</v>
      </c>
      <c r="E70" s="328" t="s">
        <v>1392</v>
      </c>
      <c r="F70" s="328"/>
      <c r="G70" s="328">
        <v>1</v>
      </c>
    </row>
    <row r="71" spans="1:7">
      <c r="A71" s="603" t="str">
        <f t="shared" si="1"/>
        <v>MassDOT - Highway &amp; Turnpike Divisions31</v>
      </c>
      <c r="B71" s="603">
        <v>31</v>
      </c>
      <c r="C71" s="603" t="s">
        <v>166</v>
      </c>
      <c r="D71" s="328" t="s">
        <v>1367</v>
      </c>
      <c r="E71" s="328" t="s">
        <v>1128</v>
      </c>
      <c r="F71" s="328"/>
      <c r="G71" s="328">
        <v>1</v>
      </c>
    </row>
    <row r="72" spans="1:7">
      <c r="A72" s="603" t="str">
        <f t="shared" si="1"/>
        <v>MassDOT - Highway &amp; Turnpike Divisions32</v>
      </c>
      <c r="B72" s="603">
        <v>32</v>
      </c>
      <c r="C72" s="603" t="s">
        <v>166</v>
      </c>
      <c r="D72" s="328" t="s">
        <v>1367</v>
      </c>
      <c r="E72" s="328" t="s">
        <v>1393</v>
      </c>
      <c r="F72" s="328"/>
      <c r="G72" s="328">
        <v>1</v>
      </c>
    </row>
    <row r="73" spans="1:7">
      <c r="A73" s="603" t="str">
        <f t="shared" si="1"/>
        <v>MassDOT - Highway &amp; Turnpike Divisions33</v>
      </c>
      <c r="B73" s="603">
        <v>33</v>
      </c>
      <c r="C73" s="603" t="s">
        <v>166</v>
      </c>
      <c r="D73" s="328" t="s">
        <v>1367</v>
      </c>
      <c r="E73" s="328" t="s">
        <v>1394</v>
      </c>
      <c r="F73" s="328"/>
      <c r="G73" s="328"/>
    </row>
    <row r="74" spans="1:7">
      <c r="A74" s="603" t="str">
        <f t="shared" si="1"/>
        <v>MassDOT - Highway &amp; Turnpike Divisions34</v>
      </c>
      <c r="B74" s="603">
        <v>34</v>
      </c>
      <c r="C74" s="603" t="s">
        <v>166</v>
      </c>
      <c r="D74" s="328" t="s">
        <v>1367</v>
      </c>
      <c r="E74" s="328" t="s">
        <v>1395</v>
      </c>
      <c r="F74" s="328"/>
      <c r="G74" s="328"/>
    </row>
    <row r="75" spans="1:7">
      <c r="A75" s="603" t="str">
        <f t="shared" si="1"/>
        <v>MassDOT - Highway &amp; Turnpike Divisions35</v>
      </c>
      <c r="B75" s="603">
        <v>35</v>
      </c>
      <c r="C75" s="603" t="s">
        <v>166</v>
      </c>
      <c r="D75" s="328" t="s">
        <v>1367</v>
      </c>
      <c r="E75" s="328" t="s">
        <v>1397</v>
      </c>
      <c r="F75" s="328"/>
      <c r="G75" s="328"/>
    </row>
    <row r="76" spans="1:7">
      <c r="A76" s="603" t="str">
        <f t="shared" si="1"/>
        <v>MassDOT - Highway &amp; Turnpike Divisions36</v>
      </c>
      <c r="B76" s="603">
        <v>36</v>
      </c>
      <c r="C76" s="603" t="s">
        <v>166</v>
      </c>
      <c r="D76" s="328" t="s">
        <v>1368</v>
      </c>
      <c r="E76" s="328" t="s">
        <v>1400</v>
      </c>
      <c r="F76" s="328"/>
      <c r="G76" s="328">
        <v>2</v>
      </c>
    </row>
    <row r="77" spans="1:7">
      <c r="A77" s="603" t="str">
        <f t="shared" si="1"/>
        <v>MassDOT - Highway &amp; Turnpike Divisions37</v>
      </c>
      <c r="B77" s="603">
        <v>37</v>
      </c>
      <c r="C77" s="603" t="s">
        <v>166</v>
      </c>
      <c r="D77" s="328" t="s">
        <v>1368</v>
      </c>
      <c r="E77" s="328" t="s">
        <v>1392</v>
      </c>
      <c r="F77" s="328"/>
      <c r="G77" s="328">
        <v>1</v>
      </c>
    </row>
    <row r="78" spans="1:7">
      <c r="A78" s="603" t="str">
        <f t="shared" si="1"/>
        <v>MassDOT - Highway &amp; Turnpike Divisions38</v>
      </c>
      <c r="B78" s="603">
        <v>38</v>
      </c>
      <c r="C78" s="603" t="s">
        <v>166</v>
      </c>
      <c r="D78" s="328" t="s">
        <v>1368</v>
      </c>
      <c r="E78" s="328" t="s">
        <v>1128</v>
      </c>
      <c r="F78" s="328"/>
      <c r="G78" s="328">
        <v>1</v>
      </c>
    </row>
    <row r="79" spans="1:7">
      <c r="A79" s="603" t="str">
        <f t="shared" si="1"/>
        <v>MassDOT - Highway &amp; Turnpike Divisions39</v>
      </c>
      <c r="B79" s="603">
        <v>39</v>
      </c>
      <c r="C79" s="603" t="s">
        <v>166</v>
      </c>
      <c r="D79" s="328" t="s">
        <v>1368</v>
      </c>
      <c r="E79" s="328" t="s">
        <v>1401</v>
      </c>
      <c r="F79" s="328"/>
      <c r="G79" s="328">
        <v>2</v>
      </c>
    </row>
    <row r="80" spans="1:7">
      <c r="A80" s="603" t="str">
        <f t="shared" si="1"/>
        <v>MassDOT - Highway &amp; Turnpike Divisions40</v>
      </c>
      <c r="B80" s="603">
        <v>40</v>
      </c>
      <c r="C80" s="603" t="s">
        <v>166</v>
      </c>
      <c r="D80" s="328" t="s">
        <v>1368</v>
      </c>
      <c r="E80" s="328" t="s">
        <v>1383</v>
      </c>
      <c r="F80" s="328"/>
      <c r="G80" s="328">
        <v>1</v>
      </c>
    </row>
    <row r="81" spans="1:7">
      <c r="A81" s="603" t="str">
        <f t="shared" si="1"/>
        <v>MassDOT - Highway &amp; Turnpike Divisions41</v>
      </c>
      <c r="B81" s="603">
        <v>41</v>
      </c>
      <c r="C81" s="603" t="s">
        <v>166</v>
      </c>
      <c r="D81" s="328" t="s">
        <v>1368</v>
      </c>
      <c r="E81" s="328" t="s">
        <v>1402</v>
      </c>
      <c r="F81" s="328"/>
      <c r="G81" s="328"/>
    </row>
    <row r="82" spans="1:7">
      <c r="A82" s="603" t="str">
        <f t="shared" si="1"/>
        <v>MassDOT - Highway &amp; Turnpike Divisions42</v>
      </c>
      <c r="B82" s="603">
        <v>42</v>
      </c>
      <c r="C82" s="603" t="s">
        <v>166</v>
      </c>
      <c r="D82" s="328" t="s">
        <v>1368</v>
      </c>
      <c r="E82" s="328" t="s">
        <v>1395</v>
      </c>
      <c r="F82" s="328"/>
      <c r="G82" s="328"/>
    </row>
    <row r="83" spans="1:7">
      <c r="A83" s="603" t="str">
        <f t="shared" si="1"/>
        <v>MassDOT - Highway &amp; Turnpike Divisions43</v>
      </c>
      <c r="B83" s="603">
        <v>43</v>
      </c>
      <c r="C83" s="603" t="s">
        <v>166</v>
      </c>
      <c r="D83" s="328" t="s">
        <v>1368</v>
      </c>
      <c r="E83" s="328" t="s">
        <v>1397</v>
      </c>
      <c r="F83" s="328"/>
      <c r="G83" s="328">
        <v>1</v>
      </c>
    </row>
    <row r="84" spans="1:7">
      <c r="A84" s="603" t="str">
        <f t="shared" si="1"/>
        <v>MassDOT - Highway &amp; Turnpike Divisions44</v>
      </c>
      <c r="B84" s="603">
        <v>44</v>
      </c>
      <c r="C84" s="603" t="s">
        <v>166</v>
      </c>
      <c r="D84" s="328" t="s">
        <v>1369</v>
      </c>
      <c r="E84" s="328" t="s">
        <v>1399</v>
      </c>
      <c r="F84" s="328"/>
      <c r="G84" s="328">
        <v>1</v>
      </c>
    </row>
    <row r="85" spans="1:7">
      <c r="A85" s="603" t="str">
        <f t="shared" si="1"/>
        <v>MassDOT - Highway &amp; Turnpike Divisions45</v>
      </c>
      <c r="B85" s="603">
        <v>45</v>
      </c>
      <c r="C85" s="603" t="s">
        <v>166</v>
      </c>
      <c r="D85" s="328" t="s">
        <v>1369</v>
      </c>
      <c r="E85" s="328" t="s">
        <v>1392</v>
      </c>
      <c r="F85" s="328"/>
      <c r="G85" s="328">
        <v>1</v>
      </c>
    </row>
    <row r="86" spans="1:7">
      <c r="A86" s="603" t="str">
        <f t="shared" si="1"/>
        <v>MassDOT - Highway &amp; Turnpike Divisions46</v>
      </c>
      <c r="B86" s="603">
        <v>46</v>
      </c>
      <c r="C86" s="603" t="s">
        <v>166</v>
      </c>
      <c r="D86" s="328" t="s">
        <v>1369</v>
      </c>
      <c r="E86" s="328" t="s">
        <v>1128</v>
      </c>
      <c r="F86" s="328"/>
      <c r="G86" s="328">
        <v>1</v>
      </c>
    </row>
    <row r="87" spans="1:7">
      <c r="A87" s="603" t="str">
        <f t="shared" si="1"/>
        <v>MassDOT - Highway &amp; Turnpike Divisions47</v>
      </c>
      <c r="B87" s="603">
        <v>47</v>
      </c>
      <c r="C87" s="603" t="s">
        <v>166</v>
      </c>
      <c r="D87" s="328" t="s">
        <v>1369</v>
      </c>
      <c r="E87" s="328" t="s">
        <v>1393</v>
      </c>
      <c r="F87" s="328"/>
      <c r="G87" s="328">
        <v>1</v>
      </c>
    </row>
    <row r="88" spans="1:7">
      <c r="A88" s="603" t="str">
        <f t="shared" si="1"/>
        <v>MassDOT - Highway &amp; Turnpike Divisions48</v>
      </c>
      <c r="B88" s="603">
        <v>48</v>
      </c>
      <c r="C88" s="603" t="s">
        <v>166</v>
      </c>
      <c r="D88" s="328" t="s">
        <v>1369</v>
      </c>
      <c r="E88" s="328" t="s">
        <v>1394</v>
      </c>
      <c r="F88" s="328"/>
      <c r="G88" s="328"/>
    </row>
    <row r="89" spans="1:7">
      <c r="A89" s="603" t="str">
        <f t="shared" si="1"/>
        <v>MassDOT - Highway &amp; Turnpike Divisions49</v>
      </c>
      <c r="B89" s="603">
        <v>49</v>
      </c>
      <c r="C89" s="603" t="s">
        <v>166</v>
      </c>
      <c r="D89" s="328" t="s">
        <v>1369</v>
      </c>
      <c r="E89" s="328" t="s">
        <v>1395</v>
      </c>
      <c r="F89" s="328"/>
      <c r="G89" s="328"/>
    </row>
    <row r="90" spans="1:7">
      <c r="A90" s="603" t="str">
        <f t="shared" si="1"/>
        <v>MassDOT - Highway &amp; Turnpike Divisions50</v>
      </c>
      <c r="B90" s="603">
        <v>50</v>
      </c>
      <c r="C90" s="603" t="s">
        <v>166</v>
      </c>
      <c r="D90" s="328" t="s">
        <v>1370</v>
      </c>
      <c r="E90" s="328" t="s">
        <v>1399</v>
      </c>
      <c r="F90" s="328"/>
      <c r="G90" s="328">
        <v>1</v>
      </c>
    </row>
    <row r="91" spans="1:7">
      <c r="A91" s="603" t="str">
        <f t="shared" si="1"/>
        <v>MassDOT - Highway &amp; Turnpike Divisions51</v>
      </c>
      <c r="B91" s="603">
        <v>51</v>
      </c>
      <c r="C91" s="603" t="s">
        <v>166</v>
      </c>
      <c r="D91" s="328" t="s">
        <v>1370</v>
      </c>
      <c r="E91" s="328" t="s">
        <v>1392</v>
      </c>
      <c r="F91" s="328"/>
      <c r="G91" s="328">
        <v>1</v>
      </c>
    </row>
    <row r="92" spans="1:7">
      <c r="A92" s="603" t="str">
        <f t="shared" si="1"/>
        <v>MassDOT - Highway &amp; Turnpike Divisions52</v>
      </c>
      <c r="B92" s="603">
        <v>52</v>
      </c>
      <c r="C92" s="603" t="s">
        <v>166</v>
      </c>
      <c r="D92" s="328" t="s">
        <v>1370</v>
      </c>
      <c r="E92" s="328" t="s">
        <v>1128</v>
      </c>
      <c r="F92" s="328"/>
      <c r="G92" s="328">
        <v>1</v>
      </c>
    </row>
    <row r="93" spans="1:7">
      <c r="A93" s="603" t="str">
        <f t="shared" si="1"/>
        <v>MassDOT - Highway &amp; Turnpike Divisions53</v>
      </c>
      <c r="B93" s="603">
        <v>53</v>
      </c>
      <c r="C93" s="603" t="s">
        <v>166</v>
      </c>
      <c r="D93" s="328" t="s">
        <v>1370</v>
      </c>
      <c r="E93" s="328" t="s">
        <v>1393</v>
      </c>
      <c r="F93" s="328"/>
      <c r="G93" s="328">
        <v>1</v>
      </c>
    </row>
    <row r="94" spans="1:7">
      <c r="A94" s="603" t="str">
        <f t="shared" si="1"/>
        <v>MassDOT - Highway &amp; Turnpike Divisions54</v>
      </c>
      <c r="B94" s="603">
        <v>54</v>
      </c>
      <c r="C94" s="603" t="s">
        <v>166</v>
      </c>
      <c r="D94" s="328" t="s">
        <v>1370</v>
      </c>
      <c r="E94" s="328" t="s">
        <v>1394</v>
      </c>
      <c r="F94" s="328"/>
      <c r="G94" s="328"/>
    </row>
    <row r="95" spans="1:7">
      <c r="A95" s="603" t="str">
        <f t="shared" si="1"/>
        <v>MassDOT - Highway &amp; Turnpike Divisions55</v>
      </c>
      <c r="B95" s="603">
        <v>55</v>
      </c>
      <c r="C95" s="603" t="s">
        <v>166</v>
      </c>
      <c r="D95" s="328" t="s">
        <v>1370</v>
      </c>
      <c r="E95" s="328" t="s">
        <v>1395</v>
      </c>
      <c r="F95" s="328"/>
      <c r="G95" s="328"/>
    </row>
    <row r="96" spans="1:7">
      <c r="A96" s="603" t="str">
        <f t="shared" si="1"/>
        <v>MassDOT - Highway &amp; Turnpike Divisions56</v>
      </c>
      <c r="B96" s="603">
        <v>56</v>
      </c>
      <c r="C96" s="603" t="s">
        <v>166</v>
      </c>
      <c r="D96" s="328" t="s">
        <v>1371</v>
      </c>
      <c r="E96" s="328" t="s">
        <v>1399</v>
      </c>
      <c r="F96" s="328"/>
      <c r="G96" s="328">
        <v>1</v>
      </c>
    </row>
    <row r="97" spans="1:7">
      <c r="A97" s="603" t="str">
        <f t="shared" si="1"/>
        <v>MassDOT - Highway &amp; Turnpike Divisions57</v>
      </c>
      <c r="B97" s="603">
        <v>57</v>
      </c>
      <c r="C97" s="603" t="s">
        <v>166</v>
      </c>
      <c r="D97" s="328" t="s">
        <v>1371</v>
      </c>
      <c r="E97" s="328" t="s">
        <v>1392</v>
      </c>
      <c r="F97" s="328"/>
      <c r="G97" s="328">
        <v>1</v>
      </c>
    </row>
    <row r="98" spans="1:7">
      <c r="A98" s="603" t="str">
        <f t="shared" si="1"/>
        <v>MassDOT - Highway &amp; Turnpike Divisions58</v>
      </c>
      <c r="B98" s="603">
        <v>58</v>
      </c>
      <c r="C98" s="603" t="s">
        <v>166</v>
      </c>
      <c r="D98" s="328" t="s">
        <v>1371</v>
      </c>
      <c r="E98" s="328" t="s">
        <v>1128</v>
      </c>
      <c r="F98" s="328"/>
      <c r="G98" s="328">
        <v>1</v>
      </c>
    </row>
    <row r="99" spans="1:7">
      <c r="A99" s="603" t="str">
        <f t="shared" si="1"/>
        <v>MassDOT - Highway &amp; Turnpike Divisions59</v>
      </c>
      <c r="B99" s="603">
        <v>59</v>
      </c>
      <c r="C99" s="603" t="s">
        <v>166</v>
      </c>
      <c r="D99" s="328" t="s">
        <v>1371</v>
      </c>
      <c r="E99" s="328" t="s">
        <v>1393</v>
      </c>
      <c r="F99" s="328"/>
      <c r="G99" s="328">
        <v>1</v>
      </c>
    </row>
    <row r="100" spans="1:7">
      <c r="A100" s="603" t="str">
        <f t="shared" si="1"/>
        <v>MassDOT - Highway &amp; Turnpike Divisions60</v>
      </c>
      <c r="B100" s="603">
        <v>60</v>
      </c>
      <c r="C100" s="603" t="s">
        <v>166</v>
      </c>
      <c r="D100" s="328" t="s">
        <v>1371</v>
      </c>
      <c r="E100" s="328" t="s">
        <v>1394</v>
      </c>
      <c r="F100" s="328"/>
      <c r="G100" s="328"/>
    </row>
    <row r="101" spans="1:7">
      <c r="A101" s="603" t="str">
        <f t="shared" si="1"/>
        <v>MassDOT - Highway &amp; Turnpike Divisions61</v>
      </c>
      <c r="B101" s="603">
        <v>61</v>
      </c>
      <c r="C101" s="603" t="s">
        <v>166</v>
      </c>
      <c r="D101" s="328" t="s">
        <v>1371</v>
      </c>
      <c r="E101" s="328" t="s">
        <v>1395</v>
      </c>
      <c r="F101" s="328"/>
      <c r="G101" s="328"/>
    </row>
    <row r="102" spans="1:7">
      <c r="A102" s="603" t="str">
        <f t="shared" si="1"/>
        <v>MassDOT - Highway &amp; Turnpike Divisions62</v>
      </c>
      <c r="B102" s="603">
        <v>62</v>
      </c>
      <c r="C102" s="603" t="s">
        <v>166</v>
      </c>
      <c r="D102" s="328" t="s">
        <v>1371</v>
      </c>
      <c r="E102" s="328" t="s">
        <v>1397</v>
      </c>
      <c r="F102" s="328"/>
      <c r="G102" s="328">
        <v>1</v>
      </c>
    </row>
    <row r="103" spans="1:7">
      <c r="A103" s="603" t="str">
        <f t="shared" si="1"/>
        <v>MassDOT - Highway &amp; Turnpike Divisions63</v>
      </c>
      <c r="B103" s="603">
        <v>63</v>
      </c>
      <c r="C103" s="603" t="s">
        <v>166</v>
      </c>
      <c r="D103" s="328" t="s">
        <v>1372</v>
      </c>
      <c r="E103" s="328" t="s">
        <v>1399</v>
      </c>
      <c r="F103" s="328"/>
      <c r="G103" s="328">
        <v>1</v>
      </c>
    </row>
    <row r="104" spans="1:7">
      <c r="A104" s="603" t="str">
        <f t="shared" si="1"/>
        <v>MassDOT - Highway &amp; Turnpike Divisions64</v>
      </c>
      <c r="B104" s="603">
        <v>64</v>
      </c>
      <c r="C104" s="603" t="s">
        <v>166</v>
      </c>
      <c r="D104" s="328" t="s">
        <v>1372</v>
      </c>
      <c r="E104" s="328" t="s">
        <v>1392</v>
      </c>
      <c r="F104" s="328"/>
      <c r="G104" s="328">
        <v>1</v>
      </c>
    </row>
    <row r="105" spans="1:7">
      <c r="A105" s="603" t="str">
        <f t="shared" si="1"/>
        <v>MassDOT - Highway &amp; Turnpike Divisions65</v>
      </c>
      <c r="B105" s="603">
        <v>65</v>
      </c>
      <c r="C105" s="603" t="s">
        <v>166</v>
      </c>
      <c r="D105" s="328" t="s">
        <v>1372</v>
      </c>
      <c r="E105" s="328" t="s">
        <v>1128</v>
      </c>
      <c r="F105" s="328"/>
      <c r="G105" s="328">
        <v>1</v>
      </c>
    </row>
    <row r="106" spans="1:7">
      <c r="A106" s="603" t="str">
        <f t="shared" si="1"/>
        <v>MassDOT - Highway &amp; Turnpike Divisions66</v>
      </c>
      <c r="B106" s="603">
        <v>66</v>
      </c>
      <c r="C106" s="603" t="s">
        <v>166</v>
      </c>
      <c r="D106" s="328" t="s">
        <v>1372</v>
      </c>
      <c r="E106" s="328" t="s">
        <v>1393</v>
      </c>
      <c r="F106" s="328"/>
      <c r="G106" s="328">
        <v>1</v>
      </c>
    </row>
    <row r="107" spans="1:7">
      <c r="A107" s="603" t="str">
        <f t="shared" si="1"/>
        <v>MassDOT - Highway &amp; Turnpike Divisions67</v>
      </c>
      <c r="B107" s="603">
        <v>67</v>
      </c>
      <c r="C107" s="603" t="s">
        <v>166</v>
      </c>
      <c r="D107" s="328" t="s">
        <v>1372</v>
      </c>
      <c r="E107" s="328" t="s">
        <v>1394</v>
      </c>
      <c r="F107" s="328"/>
      <c r="G107" s="328"/>
    </row>
    <row r="108" spans="1:7">
      <c r="A108" s="603" t="str">
        <f t="shared" si="1"/>
        <v>MassDOT - Highway &amp; Turnpike Divisions68</v>
      </c>
      <c r="B108" s="603">
        <v>68</v>
      </c>
      <c r="C108" s="603" t="s">
        <v>166</v>
      </c>
      <c r="D108" s="328" t="s">
        <v>1372</v>
      </c>
      <c r="E108" s="328" t="s">
        <v>1395</v>
      </c>
      <c r="F108" s="328"/>
      <c r="G108" s="328"/>
    </row>
    <row r="109" spans="1:7">
      <c r="A109" s="603" t="str">
        <f t="shared" si="1"/>
        <v>MassDOT - Highway &amp; Turnpike Divisions69</v>
      </c>
      <c r="B109" s="603">
        <v>69</v>
      </c>
      <c r="C109" s="603" t="s">
        <v>166</v>
      </c>
      <c r="D109" s="328" t="s">
        <v>1372</v>
      </c>
      <c r="E109" s="328" t="s">
        <v>1397</v>
      </c>
      <c r="F109" s="328"/>
      <c r="G109" s="328">
        <v>1</v>
      </c>
    </row>
    <row r="110" spans="1:7">
      <c r="A110" s="603" t="str">
        <f t="shared" si="1"/>
        <v>MassDOT - Highway &amp; Turnpike Divisions70</v>
      </c>
      <c r="B110" s="603">
        <v>70</v>
      </c>
      <c r="C110" s="603" t="s">
        <v>166</v>
      </c>
      <c r="D110" s="328" t="s">
        <v>1373</v>
      </c>
      <c r="E110" s="328" t="s">
        <v>1399</v>
      </c>
      <c r="F110" s="328"/>
      <c r="G110" s="328">
        <v>1</v>
      </c>
    </row>
    <row r="111" spans="1:7">
      <c r="A111" s="603" t="str">
        <f t="shared" si="1"/>
        <v>MassDOT - Highway &amp; Turnpike Divisions71</v>
      </c>
      <c r="B111" s="603">
        <v>71</v>
      </c>
      <c r="C111" s="603" t="s">
        <v>166</v>
      </c>
      <c r="D111" s="328" t="s">
        <v>1373</v>
      </c>
      <c r="E111" s="328" t="s">
        <v>1392</v>
      </c>
      <c r="F111" s="328"/>
      <c r="G111" s="328">
        <v>1</v>
      </c>
    </row>
    <row r="112" spans="1:7">
      <c r="A112" s="603" t="str">
        <f t="shared" si="1"/>
        <v>MassDOT - Highway &amp; Turnpike Divisions72</v>
      </c>
      <c r="B112" s="603">
        <v>72</v>
      </c>
      <c r="C112" s="603" t="s">
        <v>166</v>
      </c>
      <c r="D112" s="328" t="s">
        <v>1373</v>
      </c>
      <c r="E112" s="328" t="s">
        <v>1128</v>
      </c>
      <c r="F112" s="328"/>
      <c r="G112" s="328">
        <v>1</v>
      </c>
    </row>
    <row r="113" spans="1:7">
      <c r="A113" s="603" t="str">
        <f t="shared" si="1"/>
        <v>MassDOT - Highway &amp; Turnpike Divisions73</v>
      </c>
      <c r="B113" s="603">
        <v>73</v>
      </c>
      <c r="C113" s="603" t="s">
        <v>166</v>
      </c>
      <c r="D113" s="328" t="s">
        <v>1373</v>
      </c>
      <c r="E113" s="328" t="s">
        <v>1393</v>
      </c>
      <c r="F113" s="328"/>
      <c r="G113" s="328">
        <v>1</v>
      </c>
    </row>
    <row r="114" spans="1:7">
      <c r="A114" s="603" t="str">
        <f t="shared" si="1"/>
        <v>MassDOT - Highway &amp; Turnpike Divisions74</v>
      </c>
      <c r="B114" s="603">
        <v>74</v>
      </c>
      <c r="C114" s="603" t="s">
        <v>166</v>
      </c>
      <c r="D114" s="328" t="s">
        <v>1373</v>
      </c>
      <c r="E114" s="328" t="s">
        <v>1394</v>
      </c>
      <c r="F114" s="328"/>
      <c r="G114" s="328"/>
    </row>
    <row r="115" spans="1:7">
      <c r="A115" s="603" t="str">
        <f t="shared" si="1"/>
        <v>MassDOT - Highway &amp; Turnpike Divisions75</v>
      </c>
      <c r="B115" s="603">
        <v>75</v>
      </c>
      <c r="C115" s="603" t="s">
        <v>166</v>
      </c>
      <c r="D115" s="328" t="s">
        <v>1373</v>
      </c>
      <c r="E115" s="328" t="s">
        <v>1395</v>
      </c>
      <c r="F115" s="328"/>
      <c r="G115" s="328"/>
    </row>
    <row r="116" spans="1:7">
      <c r="A116" s="603" t="str">
        <f t="shared" si="1"/>
        <v>MassDOT - Highway &amp; Turnpike Divisions76</v>
      </c>
      <c r="B116" s="603">
        <v>76</v>
      </c>
      <c r="C116" s="603" t="s">
        <v>166</v>
      </c>
      <c r="D116" s="328" t="s">
        <v>1373</v>
      </c>
      <c r="E116" s="328" t="s">
        <v>1397</v>
      </c>
      <c r="F116" s="328"/>
      <c r="G116" s="328">
        <v>1</v>
      </c>
    </row>
    <row r="117" spans="1:7">
      <c r="A117" s="603" t="str">
        <f t="shared" si="1"/>
        <v>MassDOT - Highway &amp; Turnpike Divisions77</v>
      </c>
      <c r="B117" s="603">
        <v>77</v>
      </c>
      <c r="C117" s="603" t="s">
        <v>166</v>
      </c>
      <c r="D117" s="328" t="s">
        <v>1374</v>
      </c>
      <c r="E117" s="328" t="s">
        <v>1397</v>
      </c>
      <c r="F117" s="328"/>
      <c r="G117" s="328">
        <v>1</v>
      </c>
    </row>
    <row r="118" spans="1:7">
      <c r="A118" s="603" t="str">
        <f t="shared" si="1"/>
        <v>MassDOT - Highway &amp; Turnpike Divisions78</v>
      </c>
      <c r="B118" s="603">
        <v>78</v>
      </c>
      <c r="C118" s="603" t="s">
        <v>166</v>
      </c>
      <c r="D118" s="328" t="s">
        <v>1375</v>
      </c>
      <c r="E118" s="328" t="s">
        <v>1399</v>
      </c>
      <c r="F118" s="328"/>
      <c r="G118" s="328">
        <v>1</v>
      </c>
    </row>
    <row r="119" spans="1:7">
      <c r="A119" s="603" t="str">
        <f t="shared" si="1"/>
        <v>MassDOT - Highway &amp; Turnpike Divisions79</v>
      </c>
      <c r="B119" s="603">
        <v>79</v>
      </c>
      <c r="C119" s="603" t="s">
        <v>166</v>
      </c>
      <c r="D119" s="328" t="s">
        <v>1375</v>
      </c>
      <c r="E119" s="328" t="s">
        <v>1392</v>
      </c>
      <c r="F119" s="328"/>
      <c r="G119" s="328">
        <v>1</v>
      </c>
    </row>
    <row r="120" spans="1:7">
      <c r="A120" s="603" t="str">
        <f t="shared" si="1"/>
        <v>MassDOT - Highway &amp; Turnpike Divisions80</v>
      </c>
      <c r="B120" s="603">
        <v>80</v>
      </c>
      <c r="C120" s="603" t="s">
        <v>166</v>
      </c>
      <c r="D120" s="328" t="s">
        <v>1375</v>
      </c>
      <c r="E120" s="328" t="s">
        <v>1128</v>
      </c>
      <c r="F120" s="328"/>
      <c r="G120" s="328">
        <v>1</v>
      </c>
    </row>
    <row r="121" spans="1:7">
      <c r="A121" s="603" t="str">
        <f t="shared" si="1"/>
        <v>MassDOT - Highway &amp; Turnpike Divisions81</v>
      </c>
      <c r="B121" s="603">
        <v>81</v>
      </c>
      <c r="C121" s="603" t="s">
        <v>166</v>
      </c>
      <c r="D121" s="328" t="s">
        <v>1375</v>
      </c>
      <c r="E121" s="328" t="s">
        <v>1393</v>
      </c>
      <c r="F121" s="328"/>
      <c r="G121" s="328">
        <v>1</v>
      </c>
    </row>
    <row r="122" spans="1:7">
      <c r="A122" s="603" t="str">
        <f t="shared" si="1"/>
        <v>MassDOT - Highway &amp; Turnpike Divisions82</v>
      </c>
      <c r="B122" s="603">
        <v>82</v>
      </c>
      <c r="C122" s="603" t="s">
        <v>166</v>
      </c>
      <c r="D122" s="328" t="s">
        <v>1375</v>
      </c>
      <c r="E122" s="328" t="s">
        <v>1394</v>
      </c>
      <c r="F122" s="328"/>
      <c r="G122" s="328"/>
    </row>
    <row r="123" spans="1:7">
      <c r="A123" s="603" t="str">
        <f t="shared" si="1"/>
        <v>MassDOT - Highway &amp; Turnpike Divisions83</v>
      </c>
      <c r="B123" s="603">
        <v>83</v>
      </c>
      <c r="C123" s="603" t="s">
        <v>166</v>
      </c>
      <c r="D123" s="328" t="s">
        <v>1375</v>
      </c>
      <c r="E123" s="328" t="s">
        <v>1395</v>
      </c>
      <c r="F123" s="328"/>
      <c r="G123" s="328"/>
    </row>
    <row r="124" spans="1:7">
      <c r="A124" s="603" t="str">
        <f t="shared" si="1"/>
        <v>MassDOT - Highway &amp; Turnpike Divisions84</v>
      </c>
      <c r="B124" s="603">
        <v>84</v>
      </c>
      <c r="C124" s="603" t="s">
        <v>166</v>
      </c>
      <c r="D124" s="328" t="s">
        <v>1376</v>
      </c>
      <c r="E124" s="328" t="s">
        <v>1399</v>
      </c>
      <c r="F124" s="328"/>
      <c r="G124" s="328">
        <v>1</v>
      </c>
    </row>
    <row r="125" spans="1:7">
      <c r="A125" s="603" t="str">
        <f t="shared" si="1"/>
        <v>MassDOT - Highway &amp; Turnpike Divisions85</v>
      </c>
      <c r="B125" s="603">
        <v>85</v>
      </c>
      <c r="C125" s="603" t="s">
        <v>166</v>
      </c>
      <c r="D125" s="328" t="s">
        <v>1376</v>
      </c>
      <c r="E125" s="328" t="s">
        <v>1392</v>
      </c>
      <c r="F125" s="328"/>
      <c r="G125" s="328">
        <v>1</v>
      </c>
    </row>
    <row r="126" spans="1:7">
      <c r="A126" s="603" t="str">
        <f t="shared" si="1"/>
        <v>MassDOT - Highway &amp; Turnpike Divisions86</v>
      </c>
      <c r="B126" s="603">
        <v>86</v>
      </c>
      <c r="C126" s="603" t="s">
        <v>166</v>
      </c>
      <c r="D126" s="328" t="s">
        <v>1376</v>
      </c>
      <c r="E126" s="328" t="s">
        <v>1128</v>
      </c>
      <c r="F126" s="328"/>
      <c r="G126" s="328">
        <v>1</v>
      </c>
    </row>
    <row r="127" spans="1:7">
      <c r="A127" s="603" t="str">
        <f t="shared" si="1"/>
        <v>MassDOT - Highway &amp; Turnpike Divisions87</v>
      </c>
      <c r="B127" s="603">
        <v>87</v>
      </c>
      <c r="C127" s="603" t="s">
        <v>166</v>
      </c>
      <c r="D127" s="328" t="s">
        <v>1376</v>
      </c>
      <c r="E127" s="328" t="s">
        <v>1393</v>
      </c>
      <c r="F127" s="328"/>
      <c r="G127" s="328">
        <v>1</v>
      </c>
    </row>
    <row r="128" spans="1:7">
      <c r="A128" s="603" t="str">
        <f t="shared" si="1"/>
        <v>MassDOT - Highway &amp; Turnpike Divisions88</v>
      </c>
      <c r="B128" s="603">
        <v>88</v>
      </c>
      <c r="C128" s="603" t="s">
        <v>166</v>
      </c>
      <c r="D128" s="328" t="s">
        <v>1376</v>
      </c>
      <c r="E128" s="328" t="s">
        <v>1394</v>
      </c>
      <c r="F128" s="328"/>
      <c r="G128" s="328"/>
    </row>
    <row r="129" spans="1:7">
      <c r="A129" s="603" t="str">
        <f t="shared" si="1"/>
        <v>MassDOT - Highway &amp; Turnpike Divisions89</v>
      </c>
      <c r="B129" s="603">
        <v>89</v>
      </c>
      <c r="C129" s="603" t="s">
        <v>166</v>
      </c>
      <c r="D129" s="328" t="s">
        <v>1376</v>
      </c>
      <c r="E129" s="328" t="s">
        <v>1395</v>
      </c>
      <c r="F129" s="328"/>
      <c r="G129" s="328"/>
    </row>
    <row r="130" spans="1:7">
      <c r="A130" s="603" t="str">
        <f t="shared" si="1"/>
        <v>MassDOT - Highway &amp; Turnpike Divisions90</v>
      </c>
      <c r="B130" s="603">
        <v>90</v>
      </c>
      <c r="C130" s="603" t="s">
        <v>166</v>
      </c>
      <c r="D130" s="328" t="s">
        <v>1376</v>
      </c>
      <c r="E130" s="328" t="s">
        <v>1397</v>
      </c>
      <c r="F130" s="328"/>
      <c r="G130" s="328">
        <v>1</v>
      </c>
    </row>
    <row r="131" spans="1:7">
      <c r="A131" s="603" t="str">
        <f t="shared" ref="A131:A188" si="2">C131&amp;B131</f>
        <v>MassDOT - Highway &amp; Turnpike Divisions91</v>
      </c>
      <c r="B131" s="603">
        <v>91</v>
      </c>
      <c r="C131" s="603" t="s">
        <v>166</v>
      </c>
      <c r="D131" s="328" t="s">
        <v>1377</v>
      </c>
      <c r="E131" s="328" t="s">
        <v>1399</v>
      </c>
      <c r="F131" s="328"/>
      <c r="G131" s="328">
        <v>1</v>
      </c>
    </row>
    <row r="132" spans="1:7">
      <c r="A132" s="603" t="str">
        <f t="shared" si="2"/>
        <v>MassDOT - Highway &amp; Turnpike Divisions92</v>
      </c>
      <c r="B132" s="603">
        <v>92</v>
      </c>
      <c r="C132" s="603" t="s">
        <v>166</v>
      </c>
      <c r="D132" s="328" t="s">
        <v>1377</v>
      </c>
      <c r="E132" s="328" t="s">
        <v>1392</v>
      </c>
      <c r="F132" s="328"/>
      <c r="G132" s="328">
        <v>1</v>
      </c>
    </row>
    <row r="133" spans="1:7">
      <c r="A133" s="603" t="str">
        <f t="shared" si="2"/>
        <v>MassDOT - Highway &amp; Turnpike Divisions93</v>
      </c>
      <c r="B133" s="603">
        <v>93</v>
      </c>
      <c r="C133" s="603" t="s">
        <v>166</v>
      </c>
      <c r="D133" s="328" t="s">
        <v>1377</v>
      </c>
      <c r="E133" s="328" t="s">
        <v>1128</v>
      </c>
      <c r="F133" s="328"/>
      <c r="G133" s="328">
        <v>1</v>
      </c>
    </row>
    <row r="134" spans="1:7">
      <c r="A134" s="603" t="str">
        <f t="shared" si="2"/>
        <v>MassDOT - Highway &amp; Turnpike Divisions94</v>
      </c>
      <c r="B134" s="603">
        <v>94</v>
      </c>
      <c r="C134" s="603" t="s">
        <v>166</v>
      </c>
      <c r="D134" s="328" t="s">
        <v>1377</v>
      </c>
      <c r="E134" s="328" t="s">
        <v>1393</v>
      </c>
      <c r="F134" s="328"/>
      <c r="G134" s="328">
        <v>1</v>
      </c>
    </row>
    <row r="135" spans="1:7">
      <c r="A135" s="603" t="str">
        <f t="shared" si="2"/>
        <v>MassDOT - Highway &amp; Turnpike Divisions95</v>
      </c>
      <c r="B135" s="603">
        <v>95</v>
      </c>
      <c r="C135" s="603" t="s">
        <v>166</v>
      </c>
      <c r="D135" s="328" t="s">
        <v>1377</v>
      </c>
      <c r="E135" s="328" t="s">
        <v>1394</v>
      </c>
      <c r="F135" s="328"/>
      <c r="G135" s="328">
        <v>1</v>
      </c>
    </row>
    <row r="136" spans="1:7">
      <c r="A136" s="603" t="str">
        <f t="shared" si="2"/>
        <v>MassDOT - Highway &amp; Turnpike Divisions96</v>
      </c>
      <c r="B136" s="603">
        <v>96</v>
      </c>
      <c r="C136" s="603" t="s">
        <v>166</v>
      </c>
      <c r="D136" s="328" t="s">
        <v>1377</v>
      </c>
      <c r="E136" s="328" t="s">
        <v>1395</v>
      </c>
      <c r="F136" s="328"/>
      <c r="G136" s="328">
        <v>1</v>
      </c>
    </row>
    <row r="137" spans="1:7">
      <c r="A137" s="603" t="str">
        <f t="shared" si="2"/>
        <v>Dept. of Correction1</v>
      </c>
      <c r="B137" s="603">
        <v>1</v>
      </c>
      <c r="C137" s="603" t="s">
        <v>93</v>
      </c>
      <c r="D137" s="328" t="s">
        <v>2088</v>
      </c>
      <c r="E137" s="328" t="s">
        <v>1127</v>
      </c>
      <c r="F137" s="328" t="s">
        <v>2093</v>
      </c>
      <c r="G137" s="328">
        <v>1</v>
      </c>
    </row>
    <row r="138" spans="1:7">
      <c r="A138" s="603" t="str">
        <f t="shared" si="2"/>
        <v>Dept. of Correction2</v>
      </c>
      <c r="B138" s="603">
        <v>2</v>
      </c>
      <c r="C138" s="603" t="s">
        <v>93</v>
      </c>
      <c r="D138" s="328" t="s">
        <v>2088</v>
      </c>
      <c r="E138" s="328" t="s">
        <v>1128</v>
      </c>
      <c r="F138" s="328" t="s">
        <v>2093</v>
      </c>
      <c r="G138" s="328">
        <v>1</v>
      </c>
    </row>
    <row r="139" spans="1:7">
      <c r="A139" s="603" t="str">
        <f t="shared" si="2"/>
        <v>Dept. of Correction3</v>
      </c>
      <c r="B139" s="603">
        <v>3</v>
      </c>
      <c r="C139" s="603" t="s">
        <v>93</v>
      </c>
      <c r="D139" s="328" t="s">
        <v>2088</v>
      </c>
      <c r="E139" s="328" t="s">
        <v>716</v>
      </c>
      <c r="F139" s="328" t="s">
        <v>2093</v>
      </c>
      <c r="G139" s="328">
        <v>1</v>
      </c>
    </row>
    <row r="140" spans="1:7">
      <c r="A140" s="603" t="str">
        <f t="shared" si="2"/>
        <v>Dept. of Correction4</v>
      </c>
      <c r="B140" s="603">
        <v>4</v>
      </c>
      <c r="C140" s="603" t="s">
        <v>93</v>
      </c>
      <c r="D140" s="328" t="s">
        <v>2089</v>
      </c>
      <c r="E140" s="328" t="s">
        <v>1127</v>
      </c>
      <c r="F140" s="328" t="s">
        <v>2093</v>
      </c>
      <c r="G140" s="328">
        <v>1</v>
      </c>
    </row>
    <row r="141" spans="1:7">
      <c r="A141" s="603" t="str">
        <f t="shared" si="2"/>
        <v>Dept. of Correction5</v>
      </c>
      <c r="B141" s="603">
        <v>5</v>
      </c>
      <c r="C141" s="603" t="s">
        <v>93</v>
      </c>
      <c r="D141" s="328" t="s">
        <v>2089</v>
      </c>
      <c r="E141" s="328" t="s">
        <v>1128</v>
      </c>
      <c r="F141" s="328" t="s">
        <v>2093</v>
      </c>
      <c r="G141" s="328">
        <v>1</v>
      </c>
    </row>
    <row r="142" spans="1:7">
      <c r="A142" s="603" t="str">
        <f t="shared" si="2"/>
        <v>Dept. of Correction6</v>
      </c>
      <c r="B142" s="603">
        <v>6</v>
      </c>
      <c r="C142" s="603" t="s">
        <v>93</v>
      </c>
      <c r="D142" s="328" t="s">
        <v>2089</v>
      </c>
      <c r="E142" s="328" t="s">
        <v>1383</v>
      </c>
      <c r="F142" s="328" t="s">
        <v>2093</v>
      </c>
      <c r="G142" s="328">
        <v>1</v>
      </c>
    </row>
    <row r="143" spans="1:7">
      <c r="A143" s="603" t="str">
        <f t="shared" si="2"/>
        <v>Dept. of Correction7</v>
      </c>
      <c r="B143" s="603">
        <v>7</v>
      </c>
      <c r="C143" s="603" t="s">
        <v>93</v>
      </c>
      <c r="D143" s="328" t="s">
        <v>2089</v>
      </c>
      <c r="E143" s="328" t="s">
        <v>1129</v>
      </c>
      <c r="F143" s="328" t="s">
        <v>2093</v>
      </c>
      <c r="G143" s="328">
        <v>1</v>
      </c>
    </row>
    <row r="144" spans="1:7">
      <c r="A144" s="603" t="str">
        <f t="shared" si="2"/>
        <v>Dept. of Correction8</v>
      </c>
      <c r="B144" s="603">
        <v>8</v>
      </c>
      <c r="C144" s="603" t="s">
        <v>93</v>
      </c>
      <c r="D144" s="328" t="s">
        <v>2090</v>
      </c>
      <c r="E144" s="328" t="s">
        <v>1127</v>
      </c>
      <c r="F144" s="328" t="s">
        <v>2093</v>
      </c>
      <c r="G144" s="328">
        <v>1</v>
      </c>
    </row>
    <row r="145" spans="1:7">
      <c r="A145" s="603" t="str">
        <f t="shared" si="2"/>
        <v>Dept. of Correction9</v>
      </c>
      <c r="B145" s="603">
        <v>9</v>
      </c>
      <c r="C145" s="603" t="s">
        <v>93</v>
      </c>
      <c r="D145" s="328" t="s">
        <v>2090</v>
      </c>
      <c r="E145" s="328" t="s">
        <v>1128</v>
      </c>
      <c r="F145" s="328" t="s">
        <v>2093</v>
      </c>
      <c r="G145" s="328">
        <v>1</v>
      </c>
    </row>
    <row r="146" spans="1:7">
      <c r="A146" s="603" t="str">
        <f t="shared" si="2"/>
        <v>Dept. of Correction10</v>
      </c>
      <c r="B146" s="603">
        <v>10</v>
      </c>
      <c r="C146" s="603" t="s">
        <v>93</v>
      </c>
      <c r="D146" s="328" t="s">
        <v>2090</v>
      </c>
      <c r="E146" s="328" t="s">
        <v>1383</v>
      </c>
      <c r="F146" s="328" t="s">
        <v>2093</v>
      </c>
      <c r="G146" s="328">
        <v>1</v>
      </c>
    </row>
    <row r="147" spans="1:7">
      <c r="A147" s="603" t="str">
        <f t="shared" si="2"/>
        <v>Dept. of Correction11</v>
      </c>
      <c r="B147" s="603">
        <v>11</v>
      </c>
      <c r="C147" s="603" t="s">
        <v>93</v>
      </c>
      <c r="D147" s="328" t="s">
        <v>2091</v>
      </c>
      <c r="E147" s="328" t="s">
        <v>1127</v>
      </c>
      <c r="F147" s="328" t="s">
        <v>2093</v>
      </c>
      <c r="G147" s="328">
        <v>1</v>
      </c>
    </row>
    <row r="148" spans="1:7">
      <c r="A148" s="603" t="str">
        <f t="shared" si="2"/>
        <v>Dept. of Correction12</v>
      </c>
      <c r="B148" s="603">
        <v>12</v>
      </c>
      <c r="C148" s="603" t="s">
        <v>93</v>
      </c>
      <c r="D148" s="328" t="s">
        <v>2091</v>
      </c>
      <c r="E148" s="328" t="s">
        <v>1128</v>
      </c>
      <c r="F148" s="328" t="s">
        <v>2093</v>
      </c>
      <c r="G148" s="328">
        <v>1</v>
      </c>
    </row>
    <row r="149" spans="1:7">
      <c r="A149" s="603" t="str">
        <f t="shared" si="2"/>
        <v>Dept. of Correction13</v>
      </c>
      <c r="B149" s="603">
        <v>13</v>
      </c>
      <c r="C149" s="603" t="s">
        <v>93</v>
      </c>
      <c r="D149" s="328" t="s">
        <v>2091</v>
      </c>
      <c r="E149" s="328" t="s">
        <v>716</v>
      </c>
      <c r="F149" s="328" t="s">
        <v>2093</v>
      </c>
      <c r="G149" s="328">
        <v>1</v>
      </c>
    </row>
    <row r="150" spans="1:7">
      <c r="A150" s="603" t="str">
        <f t="shared" si="2"/>
        <v>Dept. of Correction14</v>
      </c>
      <c r="B150" s="603">
        <v>14</v>
      </c>
      <c r="C150" s="603" t="s">
        <v>93</v>
      </c>
      <c r="D150" s="328" t="s">
        <v>2091</v>
      </c>
      <c r="E150" s="328" t="s">
        <v>716</v>
      </c>
      <c r="F150" s="328" t="s">
        <v>2093</v>
      </c>
      <c r="G150" s="328">
        <v>1</v>
      </c>
    </row>
    <row r="151" spans="1:7">
      <c r="A151" s="603" t="str">
        <f t="shared" si="2"/>
        <v>Dept. of Correction15</v>
      </c>
      <c r="B151" s="603">
        <v>15</v>
      </c>
      <c r="C151" s="603" t="s">
        <v>93</v>
      </c>
      <c r="D151" s="328" t="s">
        <v>2092</v>
      </c>
      <c r="E151" s="328" t="s">
        <v>1127</v>
      </c>
      <c r="F151" s="328" t="s">
        <v>2093</v>
      </c>
      <c r="G151" s="328">
        <v>2</v>
      </c>
    </row>
    <row r="152" spans="1:7">
      <c r="A152" s="603" t="str">
        <f t="shared" si="2"/>
        <v>Dept. of Correction16</v>
      </c>
      <c r="B152" s="603">
        <v>16</v>
      </c>
      <c r="C152" s="603" t="s">
        <v>93</v>
      </c>
      <c r="D152" s="328" t="s">
        <v>2092</v>
      </c>
      <c r="E152" s="328" t="s">
        <v>1128</v>
      </c>
      <c r="F152" s="328" t="s">
        <v>2093</v>
      </c>
      <c r="G152" s="328">
        <v>1</v>
      </c>
    </row>
    <row r="153" spans="1:7">
      <c r="A153" s="603" t="str">
        <f t="shared" si="2"/>
        <v>Dept. of Correction17</v>
      </c>
      <c r="B153" s="603">
        <v>17</v>
      </c>
      <c r="C153" s="603" t="s">
        <v>93</v>
      </c>
      <c r="D153" s="328" t="s">
        <v>2092</v>
      </c>
      <c r="E153" s="328" t="s">
        <v>1383</v>
      </c>
      <c r="F153" s="328" t="s">
        <v>2093</v>
      </c>
      <c r="G153" s="328">
        <v>1</v>
      </c>
    </row>
    <row r="154" spans="1:7">
      <c r="A154" s="603" t="str">
        <f t="shared" si="2"/>
        <v>Dept. of Correction18</v>
      </c>
      <c r="B154" s="603">
        <v>18</v>
      </c>
      <c r="C154" s="603" t="s">
        <v>93</v>
      </c>
      <c r="D154" s="328" t="s">
        <v>2092</v>
      </c>
      <c r="E154" s="328" t="s">
        <v>716</v>
      </c>
      <c r="F154" s="328" t="s">
        <v>2093</v>
      </c>
      <c r="G154" s="328">
        <v>1</v>
      </c>
    </row>
    <row r="155" spans="1:7">
      <c r="A155" s="603" t="str">
        <f t="shared" si="2"/>
        <v>Dept. of Correction19</v>
      </c>
      <c r="B155" s="603">
        <v>19</v>
      </c>
      <c r="C155" s="603" t="s">
        <v>93</v>
      </c>
      <c r="D155" s="328" t="s">
        <v>2092</v>
      </c>
      <c r="E155" s="328" t="s">
        <v>716</v>
      </c>
      <c r="F155" s="328" t="s">
        <v>2093</v>
      </c>
      <c r="G155" s="328">
        <v>1</v>
      </c>
    </row>
    <row r="156" spans="1:7">
      <c r="A156" s="603" t="str">
        <f t="shared" si="2"/>
        <v>Northern Essex Comm. College1</v>
      </c>
      <c r="B156" s="875">
        <v>1</v>
      </c>
      <c r="C156" s="875" t="s">
        <v>182</v>
      </c>
      <c r="D156" s="328" t="s">
        <v>2537</v>
      </c>
      <c r="E156" s="328" t="s">
        <v>1126</v>
      </c>
      <c r="F156" s="328" t="s">
        <v>2538</v>
      </c>
      <c r="G156" s="328">
        <v>2</v>
      </c>
    </row>
    <row r="157" spans="1:7">
      <c r="A157" s="603" t="str">
        <f t="shared" si="2"/>
        <v>MassPort Authority1</v>
      </c>
      <c r="B157" s="875">
        <v>1</v>
      </c>
      <c r="C157" s="875" t="s">
        <v>167</v>
      </c>
      <c r="D157" s="328" t="s">
        <v>2539</v>
      </c>
      <c r="E157" s="328" t="s">
        <v>1122</v>
      </c>
      <c r="F157" s="328" t="s">
        <v>1403</v>
      </c>
      <c r="G157" s="328">
        <v>2</v>
      </c>
    </row>
    <row r="158" spans="1:7">
      <c r="A158" s="603" t="str">
        <f t="shared" si="2"/>
        <v>MassPort Authority2</v>
      </c>
      <c r="B158" s="875">
        <v>2</v>
      </c>
      <c r="C158" s="875" t="s">
        <v>167</v>
      </c>
      <c r="D158" s="328" t="s">
        <v>2539</v>
      </c>
      <c r="E158" s="328" t="s">
        <v>1127</v>
      </c>
      <c r="F158" s="328" t="s">
        <v>1403</v>
      </c>
      <c r="G158" s="328">
        <v>4</v>
      </c>
    </row>
    <row r="159" spans="1:7">
      <c r="A159" s="603" t="str">
        <f t="shared" si="2"/>
        <v>MassPort Authority3</v>
      </c>
      <c r="B159" s="875">
        <v>3</v>
      </c>
      <c r="C159" s="875" t="s">
        <v>167</v>
      </c>
      <c r="D159" s="328" t="s">
        <v>2539</v>
      </c>
      <c r="E159" s="328" t="s">
        <v>1126</v>
      </c>
      <c r="F159" s="328" t="s">
        <v>716</v>
      </c>
      <c r="G159" s="328">
        <v>3</v>
      </c>
    </row>
    <row r="160" spans="1:7">
      <c r="A160" s="603" t="str">
        <f t="shared" si="2"/>
        <v>Dept. of Conservation and Recreation1</v>
      </c>
      <c r="B160" s="875">
        <v>1</v>
      </c>
      <c r="C160" s="875" t="s">
        <v>92</v>
      </c>
      <c r="D160" s="328" t="s">
        <v>829</v>
      </c>
      <c r="E160" s="328" t="s">
        <v>1129</v>
      </c>
      <c r="F160" s="328" t="s">
        <v>2540</v>
      </c>
      <c r="G160" s="328">
        <v>1</v>
      </c>
    </row>
    <row r="161" spans="1:7">
      <c r="A161" s="603" t="str">
        <f t="shared" si="2"/>
        <v>Dept. of Conservation and Recreation2</v>
      </c>
      <c r="B161" s="875">
        <v>2</v>
      </c>
      <c r="C161" s="875" t="s">
        <v>92</v>
      </c>
      <c r="D161" s="328" t="s">
        <v>829</v>
      </c>
      <c r="E161" s="328" t="s">
        <v>2541</v>
      </c>
      <c r="F161" s="328" t="s">
        <v>2540</v>
      </c>
      <c r="G161" s="328">
        <v>1</v>
      </c>
    </row>
    <row r="162" spans="1:7">
      <c r="A162" s="603" t="str">
        <f t="shared" si="2"/>
        <v>Dept. of Conservation and Recreation3</v>
      </c>
      <c r="B162" s="875">
        <v>3</v>
      </c>
      <c r="C162" s="875" t="s">
        <v>92</v>
      </c>
      <c r="D162" s="328" t="s">
        <v>829</v>
      </c>
      <c r="E162" s="328" t="s">
        <v>1129</v>
      </c>
      <c r="F162" s="328" t="s">
        <v>2540</v>
      </c>
      <c r="G162" s="328">
        <v>1</v>
      </c>
    </row>
    <row r="163" spans="1:7">
      <c r="A163" s="603" t="str">
        <f t="shared" si="2"/>
        <v>Dept. of Conservation and Recreation4</v>
      </c>
      <c r="B163" s="875">
        <v>4</v>
      </c>
      <c r="C163" s="875" t="s">
        <v>92</v>
      </c>
      <c r="D163" s="328" t="s">
        <v>829</v>
      </c>
      <c r="E163" s="328" t="s">
        <v>2542</v>
      </c>
      <c r="F163" s="328" t="s">
        <v>2543</v>
      </c>
      <c r="G163" s="328">
        <v>1</v>
      </c>
    </row>
    <row r="164" spans="1:7">
      <c r="A164" s="603" t="str">
        <f t="shared" si="2"/>
        <v>Dept. of Conservation and Recreation5</v>
      </c>
      <c r="B164" s="875">
        <v>5</v>
      </c>
      <c r="C164" s="875" t="s">
        <v>92</v>
      </c>
      <c r="D164" s="328" t="s">
        <v>829</v>
      </c>
      <c r="E164" s="328" t="s">
        <v>2544</v>
      </c>
      <c r="F164" s="328" t="s">
        <v>2540</v>
      </c>
      <c r="G164" s="328">
        <v>1</v>
      </c>
    </row>
    <row r="165" spans="1:7">
      <c r="A165" s="603" t="str">
        <f t="shared" si="2"/>
        <v>Dept. of Conservation and Recreation6</v>
      </c>
      <c r="B165" s="875">
        <v>6</v>
      </c>
      <c r="C165" s="875" t="s">
        <v>92</v>
      </c>
      <c r="D165" s="328" t="s">
        <v>829</v>
      </c>
      <c r="E165" s="328" t="s">
        <v>2544</v>
      </c>
      <c r="F165" s="328" t="s">
        <v>2543</v>
      </c>
      <c r="G165" s="328">
        <v>1</v>
      </c>
    </row>
    <row r="166" spans="1:7">
      <c r="A166" s="603" t="str">
        <f t="shared" si="2"/>
        <v>Dept. of Conservation and Recreation7</v>
      </c>
      <c r="B166" s="875">
        <v>7</v>
      </c>
      <c r="C166" s="875" t="s">
        <v>92</v>
      </c>
      <c r="D166" s="328" t="s">
        <v>829</v>
      </c>
      <c r="E166" s="328" t="s">
        <v>1129</v>
      </c>
      <c r="F166" s="328" t="s">
        <v>2540</v>
      </c>
      <c r="G166" s="328">
        <v>1</v>
      </c>
    </row>
    <row r="167" spans="1:7">
      <c r="A167" s="603" t="str">
        <f t="shared" si="2"/>
        <v>Dept. of Conservation and Recreation8</v>
      </c>
      <c r="B167" s="875">
        <v>8</v>
      </c>
      <c r="C167" s="875" t="s">
        <v>92</v>
      </c>
      <c r="D167" s="328" t="s">
        <v>829</v>
      </c>
      <c r="E167" s="328" t="s">
        <v>1129</v>
      </c>
      <c r="F167" s="328" t="s">
        <v>2540</v>
      </c>
      <c r="G167" s="328">
        <v>1</v>
      </c>
    </row>
    <row r="168" spans="1:7">
      <c r="A168" s="603" t="str">
        <f t="shared" si="2"/>
        <v>Dept. of Conservation and Recreation9</v>
      </c>
      <c r="B168" s="875">
        <v>9</v>
      </c>
      <c r="C168" s="875" t="s">
        <v>92</v>
      </c>
      <c r="D168" s="328" t="s">
        <v>829</v>
      </c>
      <c r="E168" s="328" t="s">
        <v>1129</v>
      </c>
      <c r="F168" s="328" t="s">
        <v>2540</v>
      </c>
      <c r="G168" s="328">
        <v>1</v>
      </c>
    </row>
    <row r="169" spans="1:7">
      <c r="A169" s="603" t="str">
        <f t="shared" si="2"/>
        <v>Dept. of Conservation and Recreation10</v>
      </c>
      <c r="B169" s="875">
        <v>10</v>
      </c>
      <c r="C169" s="875" t="s">
        <v>92</v>
      </c>
      <c r="D169" s="328" t="s">
        <v>829</v>
      </c>
      <c r="E169" s="328" t="s">
        <v>1126</v>
      </c>
      <c r="F169" s="328" t="s">
        <v>2540</v>
      </c>
      <c r="G169" s="328">
        <v>1</v>
      </c>
    </row>
    <row r="170" spans="1:7">
      <c r="A170" s="603" t="str">
        <f t="shared" si="2"/>
        <v>Dept. of Conservation and Recreation11</v>
      </c>
      <c r="B170" s="875">
        <v>11</v>
      </c>
      <c r="C170" s="875" t="s">
        <v>92</v>
      </c>
      <c r="D170" s="328" t="s">
        <v>829</v>
      </c>
      <c r="E170" s="328" t="s">
        <v>1126</v>
      </c>
      <c r="F170" s="328" t="s">
        <v>2540</v>
      </c>
      <c r="G170" s="328">
        <v>1</v>
      </c>
    </row>
    <row r="171" spans="1:7">
      <c r="A171" s="603" t="str">
        <f t="shared" si="2"/>
        <v>Dept. of Conservation and Recreation12</v>
      </c>
      <c r="B171" s="875">
        <v>12</v>
      </c>
      <c r="C171" s="875" t="s">
        <v>92</v>
      </c>
      <c r="D171" s="328" t="s">
        <v>829</v>
      </c>
      <c r="E171" s="328" t="s">
        <v>1126</v>
      </c>
      <c r="F171" s="328" t="s">
        <v>2540</v>
      </c>
      <c r="G171" s="328">
        <v>1</v>
      </c>
    </row>
    <row r="172" spans="1:7">
      <c r="A172" s="603" t="str">
        <f t="shared" si="2"/>
        <v>Dept. of Conservation and Recreation13</v>
      </c>
      <c r="B172" s="875">
        <v>13</v>
      </c>
      <c r="C172" s="875" t="s">
        <v>92</v>
      </c>
      <c r="D172" s="328" t="s">
        <v>829</v>
      </c>
      <c r="E172" s="328" t="s">
        <v>1126</v>
      </c>
      <c r="F172" s="328" t="s">
        <v>2540</v>
      </c>
      <c r="G172" s="328">
        <v>1</v>
      </c>
    </row>
    <row r="173" spans="1:7">
      <c r="A173" s="603" t="str">
        <f t="shared" si="2"/>
        <v>Dept. of Conservation and Recreation14</v>
      </c>
      <c r="B173" s="875">
        <v>14</v>
      </c>
      <c r="C173" s="875" t="s">
        <v>92</v>
      </c>
      <c r="D173" s="328" t="s">
        <v>829</v>
      </c>
      <c r="E173" s="328" t="s">
        <v>2545</v>
      </c>
      <c r="F173" s="328" t="s">
        <v>2546</v>
      </c>
      <c r="G173" s="328">
        <v>1</v>
      </c>
    </row>
    <row r="174" spans="1:7">
      <c r="A174" s="603" t="str">
        <f t="shared" si="2"/>
        <v>Dept. of Conservation and Recreation15</v>
      </c>
      <c r="B174" s="875">
        <v>15</v>
      </c>
      <c r="C174" s="875" t="s">
        <v>92</v>
      </c>
      <c r="D174" s="328" t="s">
        <v>829</v>
      </c>
      <c r="E174" s="328" t="s">
        <v>2545</v>
      </c>
      <c r="F174" s="328" t="s">
        <v>2546</v>
      </c>
      <c r="G174" s="328">
        <v>1</v>
      </c>
    </row>
    <row r="175" spans="1:7">
      <c r="A175" s="603" t="str">
        <f t="shared" si="2"/>
        <v>Dept. of Conservation and Recreation16</v>
      </c>
      <c r="B175" s="875">
        <v>16</v>
      </c>
      <c r="C175" s="875" t="s">
        <v>92</v>
      </c>
      <c r="D175" s="328" t="s">
        <v>829</v>
      </c>
      <c r="E175" s="328" t="s">
        <v>2545</v>
      </c>
      <c r="F175" s="328" t="s">
        <v>2546</v>
      </c>
      <c r="G175" s="328">
        <v>1</v>
      </c>
    </row>
    <row r="176" spans="1:7">
      <c r="A176" s="603" t="str">
        <f t="shared" si="2"/>
        <v>Dept. of Conservation and Recreation17</v>
      </c>
      <c r="B176" s="875">
        <v>17</v>
      </c>
      <c r="C176" s="875" t="s">
        <v>92</v>
      </c>
      <c r="D176" s="328" t="s">
        <v>829</v>
      </c>
      <c r="E176" s="328" t="s">
        <v>2547</v>
      </c>
      <c r="F176" s="328" t="s">
        <v>2546</v>
      </c>
      <c r="G176" s="328">
        <v>1</v>
      </c>
    </row>
    <row r="177" spans="1:7">
      <c r="A177" s="603" t="str">
        <f t="shared" si="2"/>
        <v>Dept. of Conservation and Recreation18</v>
      </c>
      <c r="B177" s="875">
        <v>18</v>
      </c>
      <c r="C177" s="875" t="s">
        <v>92</v>
      </c>
      <c r="D177" s="328" t="s">
        <v>829</v>
      </c>
      <c r="E177" s="328" t="s">
        <v>2547</v>
      </c>
      <c r="F177" s="328" t="s">
        <v>2546</v>
      </c>
      <c r="G177" s="328">
        <v>1</v>
      </c>
    </row>
    <row r="178" spans="1:7">
      <c r="A178" s="603" t="str">
        <f t="shared" si="2"/>
        <v>Dept. of Conservation and Recreation19</v>
      </c>
      <c r="B178" s="875">
        <v>19</v>
      </c>
      <c r="C178" s="875" t="s">
        <v>92</v>
      </c>
      <c r="D178" s="328" t="s">
        <v>829</v>
      </c>
      <c r="E178" s="328" t="s">
        <v>2548</v>
      </c>
      <c r="F178" s="328" t="s">
        <v>2540</v>
      </c>
      <c r="G178" s="328">
        <v>1</v>
      </c>
    </row>
    <row r="179" spans="1:7">
      <c r="A179" s="603" t="str">
        <f t="shared" si="2"/>
        <v>Dept. of Conservation and Recreation20</v>
      </c>
      <c r="B179" s="875">
        <v>20</v>
      </c>
      <c r="C179" s="875" t="s">
        <v>92</v>
      </c>
      <c r="D179" s="328" t="s">
        <v>829</v>
      </c>
      <c r="E179" s="328" t="s">
        <v>2548</v>
      </c>
      <c r="F179" s="328" t="s">
        <v>2540</v>
      </c>
      <c r="G179" s="328">
        <v>1</v>
      </c>
    </row>
    <row r="180" spans="1:7">
      <c r="A180" s="603" t="str">
        <f t="shared" si="2"/>
        <v>Dept. of Conservation and Recreation21</v>
      </c>
      <c r="B180" s="875">
        <v>21</v>
      </c>
      <c r="C180" s="875" t="s">
        <v>92</v>
      </c>
      <c r="D180" s="328" t="s">
        <v>829</v>
      </c>
      <c r="E180" s="328" t="s">
        <v>2549</v>
      </c>
      <c r="F180" s="328" t="s">
        <v>2550</v>
      </c>
      <c r="G180" s="328">
        <v>1</v>
      </c>
    </row>
    <row r="181" spans="1:7">
      <c r="A181" s="603" t="str">
        <f t="shared" si="2"/>
        <v>Dept. of Conservation and Recreation22</v>
      </c>
      <c r="B181" s="875">
        <v>22</v>
      </c>
      <c r="C181" s="875" t="s">
        <v>92</v>
      </c>
      <c r="D181" s="328" t="s">
        <v>829</v>
      </c>
      <c r="E181" s="328" t="s">
        <v>2549</v>
      </c>
      <c r="F181" s="328" t="s">
        <v>2550</v>
      </c>
      <c r="G181" s="328">
        <v>1</v>
      </c>
    </row>
    <row r="182" spans="1:7">
      <c r="A182" s="603" t="str">
        <f t="shared" si="2"/>
        <v>Dept. of Conservation and Recreation23</v>
      </c>
      <c r="B182" s="875">
        <v>23</v>
      </c>
      <c r="C182" s="875" t="s">
        <v>92</v>
      </c>
      <c r="D182" s="328" t="s">
        <v>829</v>
      </c>
      <c r="E182" s="328" t="s">
        <v>2551</v>
      </c>
      <c r="F182" s="328" t="s">
        <v>2540</v>
      </c>
      <c r="G182" s="328">
        <v>1</v>
      </c>
    </row>
    <row r="183" spans="1:7">
      <c r="A183" s="603" t="str">
        <f t="shared" si="2"/>
        <v>Dept. of Conservation and Recreation24</v>
      </c>
      <c r="B183" s="875">
        <v>24</v>
      </c>
      <c r="C183" s="875" t="s">
        <v>92</v>
      </c>
      <c r="D183" s="328" t="s">
        <v>829</v>
      </c>
      <c r="E183" s="328" t="s">
        <v>1129</v>
      </c>
      <c r="F183" s="328" t="s">
        <v>2540</v>
      </c>
      <c r="G183" s="328">
        <v>1</v>
      </c>
    </row>
    <row r="184" spans="1:7">
      <c r="A184" s="603" t="str">
        <f t="shared" si="2"/>
        <v>Dept. of Conservation and Recreation25</v>
      </c>
      <c r="B184" s="875">
        <v>25</v>
      </c>
      <c r="C184" s="875" t="s">
        <v>92</v>
      </c>
      <c r="D184" s="328" t="s">
        <v>829</v>
      </c>
      <c r="E184" s="328" t="s">
        <v>2552</v>
      </c>
      <c r="F184" s="328" t="s">
        <v>2540</v>
      </c>
      <c r="G184" s="328">
        <v>1</v>
      </c>
    </row>
    <row r="185" spans="1:7">
      <c r="A185" s="603" t="str">
        <f t="shared" si="2"/>
        <v>Dept. of Conservation and Recreation26</v>
      </c>
      <c r="B185" s="875">
        <v>26</v>
      </c>
      <c r="C185" s="875" t="s">
        <v>92</v>
      </c>
      <c r="D185" s="328" t="s">
        <v>829</v>
      </c>
      <c r="E185" s="328" t="s">
        <v>2553</v>
      </c>
      <c r="F185" s="328" t="s">
        <v>2540</v>
      </c>
      <c r="G185" s="328">
        <v>1</v>
      </c>
    </row>
    <row r="186" spans="1:7">
      <c r="A186" s="603" t="str">
        <f t="shared" si="2"/>
        <v>Dept. of Conservation and Recreation27</v>
      </c>
      <c r="B186" s="875">
        <v>27</v>
      </c>
      <c r="C186" s="875" t="s">
        <v>92</v>
      </c>
      <c r="D186" s="328" t="s">
        <v>829</v>
      </c>
      <c r="E186" s="328" t="s">
        <v>1126</v>
      </c>
      <c r="F186" s="328" t="s">
        <v>2540</v>
      </c>
      <c r="G186" s="328">
        <v>1</v>
      </c>
    </row>
    <row r="187" spans="1:7">
      <c r="A187" s="603" t="str">
        <f t="shared" si="2"/>
        <v>Dept. of Conservation and Recreation28</v>
      </c>
      <c r="B187" s="875">
        <v>28</v>
      </c>
      <c r="C187" s="875" t="s">
        <v>92</v>
      </c>
      <c r="D187" s="328" t="s">
        <v>829</v>
      </c>
      <c r="E187" s="328" t="s">
        <v>1127</v>
      </c>
      <c r="F187" s="328" t="s">
        <v>2543</v>
      </c>
      <c r="G187" s="328">
        <v>1</v>
      </c>
    </row>
    <row r="188" spans="1:7">
      <c r="A188" s="603" t="str">
        <f t="shared" si="2"/>
        <v>Dept. of Conservation and Recreation29</v>
      </c>
      <c r="B188" s="875">
        <v>29</v>
      </c>
      <c r="C188" s="875" t="s">
        <v>92</v>
      </c>
      <c r="D188" s="328" t="s">
        <v>829</v>
      </c>
      <c r="E188" s="328" t="s">
        <v>2554</v>
      </c>
      <c r="F188" s="328" t="s">
        <v>2540</v>
      </c>
      <c r="G188" s="328">
        <v>1</v>
      </c>
    </row>
  </sheetData>
  <autoFilter ref="A1:G135" xr:uid="{268FBFB4-FF22-4ECB-80A1-4504EBD71A22}"/>
  <phoneticPr fontId="79" type="noConversion"/>
  <pageMargins left="0.7" right="0.7" top="0.75" bottom="0.75" header="0.3" footer="0.3"/>
  <pageSetup paperSize="0" orientation="portrait" horizontalDpi="0" verticalDpi="0" copie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7">
    <tabColor rgb="FF92D050"/>
  </sheetPr>
  <dimension ref="A1:BG53"/>
  <sheetViews>
    <sheetView topLeftCell="F1" workbookViewId="0">
      <selection activeCell="B11" sqref="B11"/>
    </sheetView>
  </sheetViews>
  <sheetFormatPr defaultColWidth="8.85546875" defaultRowHeight="15"/>
  <cols>
    <col min="1" max="1" width="50.7109375" bestFit="1" customWidth="1"/>
    <col min="2" max="2" width="50.7109375" customWidth="1"/>
    <col min="4" max="4" width="13.140625" bestFit="1" customWidth="1"/>
    <col min="6" max="6" width="41.28515625" customWidth="1"/>
    <col min="7" max="7" width="22.140625" style="85" customWidth="1"/>
    <col min="9" max="9" width="26.42578125" bestFit="1" customWidth="1"/>
    <col min="18" max="18" width="9.140625"/>
    <col min="19" max="19" width="14.28515625" bestFit="1" customWidth="1"/>
    <col min="20" max="20" width="29" bestFit="1" customWidth="1"/>
    <col min="21" max="22" width="49" bestFit="1" customWidth="1"/>
    <col min="24" max="24" width="44.140625" bestFit="1" customWidth="1"/>
    <col min="26" max="26" width="44.140625" bestFit="1" customWidth="1"/>
    <col min="28" max="28" width="44.140625" bestFit="1" customWidth="1"/>
    <col min="30" max="30" width="39.140625" bestFit="1" customWidth="1"/>
    <col min="33" max="33" width="43.85546875" bestFit="1" customWidth="1"/>
    <col min="35" max="35" width="32.7109375" bestFit="1" customWidth="1"/>
    <col min="37" max="37" width="37.28515625" bestFit="1" customWidth="1"/>
    <col min="39" max="39" width="26.140625" bestFit="1" customWidth="1"/>
    <col min="43" max="43" width="18.140625" bestFit="1" customWidth="1"/>
    <col min="48" max="48" width="12.28515625" bestFit="1" customWidth="1"/>
    <col min="59" max="59" width="24.85546875" customWidth="1"/>
  </cols>
  <sheetData>
    <row r="1" spans="1:59" ht="15" customHeight="1">
      <c r="A1" s="1" t="s">
        <v>281</v>
      </c>
      <c r="B1" s="1" t="s">
        <v>281</v>
      </c>
      <c r="D1" s="1" t="s">
        <v>330</v>
      </c>
      <c r="F1" s="19" t="s">
        <v>399</v>
      </c>
      <c r="G1" s="84" t="s">
        <v>2562</v>
      </c>
      <c r="I1" s="19" t="s">
        <v>225</v>
      </c>
      <c r="L1" s="1" t="s">
        <v>1064</v>
      </c>
      <c r="M1" s="1" t="s">
        <v>1065</v>
      </c>
      <c r="N1" s="1" t="s">
        <v>346</v>
      </c>
      <c r="O1" s="1" t="s">
        <v>1066</v>
      </c>
      <c r="P1" s="2" t="s">
        <v>1067</v>
      </c>
      <c r="Q1" s="2" t="s">
        <v>1068</v>
      </c>
      <c r="S1" s="1" t="s">
        <v>225</v>
      </c>
      <c r="T1" s="1" t="s">
        <v>225</v>
      </c>
      <c r="U1" s="1" t="s">
        <v>225</v>
      </c>
      <c r="V1" s="1" t="s">
        <v>225</v>
      </c>
      <c r="W1" s="1" t="s">
        <v>225</v>
      </c>
      <c r="X1" s="1" t="s">
        <v>225</v>
      </c>
      <c r="Z1" s="1" t="s">
        <v>395</v>
      </c>
      <c r="AB1" s="1" t="s">
        <v>225</v>
      </c>
      <c r="AD1" s="19" t="s">
        <v>225</v>
      </c>
      <c r="AG1" s="19" t="s">
        <v>305</v>
      </c>
      <c r="AI1" s="19" t="s">
        <v>395</v>
      </c>
      <c r="AK1" s="19" t="s">
        <v>1069</v>
      </c>
      <c r="AM1" s="19" t="s">
        <v>305</v>
      </c>
      <c r="AO1" s="19" t="s">
        <v>225</v>
      </c>
      <c r="AQ1" s="19" t="s">
        <v>776</v>
      </c>
      <c r="AS1" s="19" t="s">
        <v>225</v>
      </c>
      <c r="AV1" s="19" t="s">
        <v>225</v>
      </c>
      <c r="AZ1" s="19" t="s">
        <v>225</v>
      </c>
      <c r="BC1" s="578" t="s">
        <v>1341</v>
      </c>
      <c r="BD1" s="578" t="s">
        <v>1344</v>
      </c>
      <c r="BE1" s="578" t="s">
        <v>1345</v>
      </c>
      <c r="BG1" s="19" t="s">
        <v>225</v>
      </c>
    </row>
    <row r="2" spans="1:59" ht="15.75">
      <c r="A2" s="17" t="s">
        <v>1070</v>
      </c>
      <c r="B2" s="17" t="s">
        <v>1071</v>
      </c>
      <c r="D2" s="17" t="s">
        <v>743</v>
      </c>
      <c r="F2" s="19" t="s">
        <v>49</v>
      </c>
      <c r="G2" s="877" t="s">
        <v>50</v>
      </c>
      <c r="I2" s="17" t="s">
        <v>982</v>
      </c>
      <c r="L2" s="17" t="s">
        <v>315</v>
      </c>
      <c r="M2" s="17" t="s">
        <v>318</v>
      </c>
      <c r="N2" s="17" t="s">
        <v>318</v>
      </c>
      <c r="O2" s="17" t="s">
        <v>327</v>
      </c>
      <c r="P2" s="17" t="s">
        <v>325</v>
      </c>
      <c r="Q2" s="17" t="s">
        <v>315</v>
      </c>
      <c r="S2" s="17" t="s">
        <v>1072</v>
      </c>
      <c r="T2" s="17" t="s">
        <v>982</v>
      </c>
      <c r="U2" s="17" t="s">
        <v>1073</v>
      </c>
      <c r="V2" s="17" t="s">
        <v>1074</v>
      </c>
      <c r="W2" s="17" t="s">
        <v>846</v>
      </c>
      <c r="X2" s="17" t="s">
        <v>1075</v>
      </c>
      <c r="Z2" s="17" t="s">
        <v>1076</v>
      </c>
      <c r="AB2" s="58" t="s">
        <v>821</v>
      </c>
      <c r="AD2" s="17" t="s">
        <v>1077</v>
      </c>
      <c r="AG2" s="17" t="s">
        <v>1078</v>
      </c>
      <c r="AI2" s="17" t="s">
        <v>1079</v>
      </c>
      <c r="AK2" s="17" t="s">
        <v>408</v>
      </c>
      <c r="AM2" s="17" t="s">
        <v>1080</v>
      </c>
      <c r="AO2" t="s">
        <v>1081</v>
      </c>
      <c r="AQ2" t="s">
        <v>1082</v>
      </c>
      <c r="AS2" t="s">
        <v>982</v>
      </c>
      <c r="AV2" t="s">
        <v>980</v>
      </c>
      <c r="AZ2" s="344" t="s">
        <v>408</v>
      </c>
      <c r="BC2" t="s">
        <v>982</v>
      </c>
      <c r="BD2" t="s">
        <v>982</v>
      </c>
      <c r="BE2" t="s">
        <v>982</v>
      </c>
      <c r="BG2" t="s">
        <v>1083</v>
      </c>
    </row>
    <row r="3" spans="1:59" ht="15.75">
      <c r="A3" s="17" t="s">
        <v>1084</v>
      </c>
      <c r="B3" s="17" t="s">
        <v>738</v>
      </c>
      <c r="D3" s="17" t="s">
        <v>1085</v>
      </c>
      <c r="F3" s="353" t="s">
        <v>51</v>
      </c>
      <c r="G3" s="876">
        <v>304401</v>
      </c>
      <c r="I3" s="17" t="s">
        <v>981</v>
      </c>
      <c r="L3" s="17" t="s">
        <v>1086</v>
      </c>
      <c r="M3" s="17" t="s">
        <v>1087</v>
      </c>
      <c r="N3" s="17" t="s">
        <v>1068</v>
      </c>
      <c r="O3" s="17" t="s">
        <v>1088</v>
      </c>
      <c r="P3" s="17" t="s">
        <v>1088</v>
      </c>
      <c r="Q3" s="17" t="s">
        <v>1086</v>
      </c>
      <c r="S3" s="17" t="s">
        <v>981</v>
      </c>
      <c r="T3" s="17" t="s">
        <v>981</v>
      </c>
      <c r="U3" s="17" t="s">
        <v>1089</v>
      </c>
      <c r="V3" s="17" t="s">
        <v>1090</v>
      </c>
      <c r="W3" s="17" t="s">
        <v>822</v>
      </c>
      <c r="X3" s="17" t="s">
        <v>1091</v>
      </c>
      <c r="Z3" s="17" t="s">
        <v>1092</v>
      </c>
      <c r="AB3" s="58" t="s">
        <v>857</v>
      </c>
      <c r="AD3" s="17" t="s">
        <v>1093</v>
      </c>
      <c r="AG3" s="17" t="s">
        <v>1094</v>
      </c>
      <c r="AI3" s="17" t="s">
        <v>405</v>
      </c>
      <c r="AK3" s="17" t="s">
        <v>1095</v>
      </c>
      <c r="AM3" s="17" t="s">
        <v>1096</v>
      </c>
      <c r="AO3" t="s">
        <v>1097</v>
      </c>
      <c r="AQ3" t="s">
        <v>1098</v>
      </c>
      <c r="AS3" t="s">
        <v>981</v>
      </c>
      <c r="AV3" t="s">
        <v>985</v>
      </c>
      <c r="AZ3" s="344" t="s">
        <v>1095</v>
      </c>
      <c r="BC3" t="s">
        <v>981</v>
      </c>
      <c r="BD3" t="s">
        <v>981</v>
      </c>
      <c r="BE3" t="s">
        <v>981</v>
      </c>
      <c r="BG3" t="s">
        <v>1099</v>
      </c>
    </row>
    <row r="4" spans="1:59" ht="15.75">
      <c r="A4" s="17" t="s">
        <v>264</v>
      </c>
      <c r="B4" s="17" t="s">
        <v>1100</v>
      </c>
      <c r="D4" s="17" t="s">
        <v>734</v>
      </c>
      <c r="F4" s="353" t="s">
        <v>58</v>
      </c>
      <c r="G4" s="876">
        <v>2062731</v>
      </c>
      <c r="I4" s="17" t="s">
        <v>1101</v>
      </c>
      <c r="L4" s="17" t="s">
        <v>1088</v>
      </c>
      <c r="M4" s="17" t="s">
        <v>1068</v>
      </c>
      <c r="O4" s="17" t="s">
        <v>743</v>
      </c>
      <c r="P4" s="17" t="s">
        <v>743</v>
      </c>
      <c r="Q4" s="17" t="s">
        <v>1088</v>
      </c>
      <c r="S4" s="17" t="s">
        <v>1102</v>
      </c>
      <c r="T4" s="17" t="s">
        <v>1103</v>
      </c>
      <c r="U4" s="17" t="s">
        <v>1104</v>
      </c>
      <c r="V4" s="17"/>
      <c r="W4" s="17" t="s">
        <v>1355</v>
      </c>
      <c r="X4" s="17" t="s">
        <v>350</v>
      </c>
      <c r="Z4" s="17" t="s">
        <v>350</v>
      </c>
      <c r="AB4" s="58" t="s">
        <v>1105</v>
      </c>
      <c r="AD4" s="17" t="s">
        <v>1106</v>
      </c>
      <c r="AG4" s="17" t="s">
        <v>1107</v>
      </c>
      <c r="AI4" s="17" t="s">
        <v>1108</v>
      </c>
      <c r="AK4" s="17" t="s">
        <v>1109</v>
      </c>
      <c r="AM4" s="17" t="s">
        <v>1110</v>
      </c>
      <c r="AO4" t="s">
        <v>350</v>
      </c>
      <c r="AQ4" t="s">
        <v>1111</v>
      </c>
      <c r="AS4" t="s">
        <v>1112</v>
      </c>
      <c r="AV4" t="s">
        <v>994</v>
      </c>
      <c r="AZ4" s="344" t="s">
        <v>1109</v>
      </c>
      <c r="BC4" t="s">
        <v>1121</v>
      </c>
      <c r="BD4" t="s">
        <v>1343</v>
      </c>
      <c r="BG4" t="s">
        <v>1113</v>
      </c>
    </row>
    <row r="5" spans="1:59" ht="15.75">
      <c r="A5" s="17" t="s">
        <v>263</v>
      </c>
      <c r="B5" s="17" t="s">
        <v>1114</v>
      </c>
      <c r="D5" s="17" t="s">
        <v>1115</v>
      </c>
      <c r="F5" s="353" t="s">
        <v>27</v>
      </c>
      <c r="G5" s="876">
        <v>404491</v>
      </c>
      <c r="L5" s="17" t="s">
        <v>743</v>
      </c>
      <c r="O5" s="17" t="s">
        <v>734</v>
      </c>
      <c r="P5" s="17" t="s">
        <v>1068</v>
      </c>
      <c r="Q5" s="17" t="s">
        <v>743</v>
      </c>
      <c r="S5" s="17" t="s">
        <v>1116</v>
      </c>
      <c r="T5" s="17" t="s">
        <v>1117</v>
      </c>
      <c r="U5" s="17" t="s">
        <v>1118</v>
      </c>
      <c r="V5" s="17" t="s">
        <v>350</v>
      </c>
      <c r="W5" s="17" t="s">
        <v>350</v>
      </c>
      <c r="X5" s="17"/>
      <c r="AB5" s="58" t="s">
        <v>350</v>
      </c>
      <c r="AG5" s="17" t="s">
        <v>350</v>
      </c>
      <c r="AK5" s="17" t="s">
        <v>1119</v>
      </c>
      <c r="AQ5" t="s">
        <v>346</v>
      </c>
      <c r="AS5" t="s">
        <v>1120</v>
      </c>
      <c r="AV5" t="s">
        <v>1121</v>
      </c>
      <c r="AZ5" s="344" t="s">
        <v>1119</v>
      </c>
      <c r="BG5" t="s">
        <v>1122</v>
      </c>
    </row>
    <row r="6" spans="1:59" ht="16.5" thickBot="1">
      <c r="A6" s="17" t="s">
        <v>432</v>
      </c>
      <c r="B6" s="17" t="s">
        <v>723</v>
      </c>
      <c r="D6" s="17" t="s">
        <v>1123</v>
      </c>
      <c r="F6" s="353" t="s">
        <v>73</v>
      </c>
      <c r="G6" s="876">
        <v>481475</v>
      </c>
      <c r="L6" s="17" t="s">
        <v>318</v>
      </c>
      <c r="O6" s="17" t="s">
        <v>1068</v>
      </c>
      <c r="Q6" s="17" t="s">
        <v>318</v>
      </c>
      <c r="AK6" s="17" t="s">
        <v>350</v>
      </c>
      <c r="AQ6" t="s">
        <v>1124</v>
      </c>
      <c r="AZ6" s="345" t="s">
        <v>1125</v>
      </c>
      <c r="BG6" t="s">
        <v>1126</v>
      </c>
    </row>
    <row r="7" spans="1:59" ht="15.75">
      <c r="A7" s="17" t="s">
        <v>468</v>
      </c>
      <c r="B7" s="17" t="s">
        <v>350</v>
      </c>
      <c r="D7" s="17" t="s">
        <v>350</v>
      </c>
      <c r="F7" s="271" t="s">
        <v>78</v>
      </c>
      <c r="G7" s="876">
        <v>650000</v>
      </c>
      <c r="L7" s="17" t="s">
        <v>1068</v>
      </c>
      <c r="Q7" s="17" t="s">
        <v>1087</v>
      </c>
      <c r="AZ7" s="344"/>
      <c r="BG7" t="s">
        <v>1127</v>
      </c>
    </row>
    <row r="8" spans="1:59">
      <c r="A8" s="17" t="s">
        <v>457</v>
      </c>
      <c r="F8" s="353" t="s">
        <v>79</v>
      </c>
      <c r="G8" s="876">
        <v>330254</v>
      </c>
      <c r="Q8" s="17" t="s">
        <v>1068</v>
      </c>
      <c r="BG8" t="s">
        <v>1128</v>
      </c>
    </row>
    <row r="9" spans="1:59" ht="14.25" customHeight="1">
      <c r="A9" s="17" t="s">
        <v>350</v>
      </c>
      <c r="F9" s="353" t="s">
        <v>1637</v>
      </c>
      <c r="G9" s="876">
        <v>721058</v>
      </c>
      <c r="BG9" t="s">
        <v>1129</v>
      </c>
    </row>
    <row r="10" spans="1:59">
      <c r="F10" s="353" t="s">
        <v>92</v>
      </c>
      <c r="G10" s="876" t="s">
        <v>654</v>
      </c>
      <c r="BG10" t="s">
        <v>350</v>
      </c>
    </row>
    <row r="11" spans="1:59">
      <c r="F11" s="353" t="s">
        <v>93</v>
      </c>
      <c r="G11" s="876">
        <v>5903400</v>
      </c>
    </row>
    <row r="12" spans="1:59">
      <c r="F12" s="353" t="s">
        <v>98</v>
      </c>
      <c r="G12" s="876">
        <v>1230256</v>
      </c>
    </row>
    <row r="13" spans="1:59">
      <c r="A13" s="820" t="s">
        <v>2180</v>
      </c>
      <c r="F13" s="353" t="s">
        <v>99</v>
      </c>
      <c r="G13" s="876">
        <v>201174</v>
      </c>
    </row>
    <row r="14" spans="1:59">
      <c r="A14" t="s">
        <v>2179</v>
      </c>
      <c r="F14" s="353" t="s">
        <v>100</v>
      </c>
      <c r="G14" s="876">
        <v>199843</v>
      </c>
    </row>
    <row r="15" spans="1:59">
      <c r="A15" t="s">
        <v>2178</v>
      </c>
      <c r="F15" s="353" t="s">
        <v>101</v>
      </c>
      <c r="G15" s="876">
        <v>1812030</v>
      </c>
    </row>
    <row r="16" spans="1:59">
      <c r="F16" s="353" t="s">
        <v>102</v>
      </c>
      <c r="G16" s="876">
        <v>2481221</v>
      </c>
    </row>
    <row r="17" spans="6:7">
      <c r="F17" s="353" t="s">
        <v>103</v>
      </c>
      <c r="G17" s="878">
        <v>781119</v>
      </c>
    </row>
    <row r="18" spans="6:7">
      <c r="F18" s="353" t="s">
        <v>104</v>
      </c>
      <c r="G18" s="876">
        <v>559530</v>
      </c>
    </row>
    <row r="19" spans="6:7">
      <c r="F19" s="353" t="s">
        <v>105</v>
      </c>
      <c r="G19" s="876">
        <v>2856249</v>
      </c>
    </row>
    <row r="20" spans="6:7">
      <c r="F20" s="353" t="s">
        <v>106</v>
      </c>
      <c r="G20" s="876" t="s">
        <v>654</v>
      </c>
    </row>
    <row r="21" spans="6:7">
      <c r="F21" s="353" t="s">
        <v>107</v>
      </c>
      <c r="G21" s="876">
        <v>1589858</v>
      </c>
    </row>
    <row r="22" spans="6:7">
      <c r="F22" s="353" t="s">
        <v>35</v>
      </c>
      <c r="G22" s="876">
        <v>1444264</v>
      </c>
    </row>
    <row r="23" spans="6:7">
      <c r="F23" s="353" t="s">
        <v>116</v>
      </c>
      <c r="G23" s="876">
        <v>286651</v>
      </c>
    </row>
    <row r="24" spans="6:7">
      <c r="F24" s="353" t="s">
        <v>121</v>
      </c>
      <c r="G24" s="876">
        <v>594566</v>
      </c>
    </row>
    <row r="25" spans="6:7">
      <c r="F25" s="353" t="s">
        <v>2378</v>
      </c>
      <c r="G25" s="876">
        <v>228576</v>
      </c>
    </row>
    <row r="26" spans="6:7">
      <c r="F26" s="353" t="s">
        <v>127</v>
      </c>
      <c r="G26" s="876" t="s">
        <v>654</v>
      </c>
    </row>
    <row r="27" spans="6:7">
      <c r="F27" s="353" t="s">
        <v>128</v>
      </c>
      <c r="G27" s="876">
        <v>191695</v>
      </c>
    </row>
    <row r="28" spans="6:7">
      <c r="F28" s="353" t="s">
        <v>1004</v>
      </c>
      <c r="G28" s="876" t="s">
        <v>654</v>
      </c>
    </row>
    <row r="29" spans="6:7">
      <c r="F29" s="353" t="s">
        <v>132</v>
      </c>
      <c r="G29" s="876">
        <v>1147269</v>
      </c>
    </row>
    <row r="30" spans="6:7">
      <c r="F30" s="353" t="s">
        <v>134</v>
      </c>
      <c r="G30" s="878">
        <v>797073</v>
      </c>
    </row>
    <row r="31" spans="6:7">
      <c r="F31" s="353" t="s">
        <v>137</v>
      </c>
      <c r="G31" s="876">
        <v>832389</v>
      </c>
    </row>
    <row r="32" spans="6:7">
      <c r="F32" s="353" t="s">
        <v>145</v>
      </c>
      <c r="G32" s="876" t="s">
        <v>654</v>
      </c>
    </row>
    <row r="33" spans="6:7">
      <c r="F33" s="353" t="s">
        <v>154</v>
      </c>
      <c r="G33" s="876">
        <v>562339</v>
      </c>
    </row>
    <row r="34" spans="6:7">
      <c r="F34" s="353" t="s">
        <v>165</v>
      </c>
      <c r="G34" s="879">
        <v>21828</v>
      </c>
    </row>
    <row r="35" spans="6:7">
      <c r="F35" s="353" t="s">
        <v>166</v>
      </c>
      <c r="G35" s="876">
        <v>2488285</v>
      </c>
    </row>
    <row r="36" spans="6:7">
      <c r="F36" s="353" t="s">
        <v>167</v>
      </c>
      <c r="G36" s="876">
        <v>4354100</v>
      </c>
    </row>
    <row r="37" spans="6:7">
      <c r="F37" s="353" t="s">
        <v>172</v>
      </c>
      <c r="G37" s="876">
        <v>487556</v>
      </c>
    </row>
    <row r="38" spans="6:7">
      <c r="F38" s="353" t="s">
        <v>173</v>
      </c>
      <c r="G38" s="876">
        <v>1489215</v>
      </c>
    </row>
    <row r="39" spans="6:7">
      <c r="F39" s="353" t="s">
        <v>174</v>
      </c>
      <c r="G39" s="876">
        <v>537032</v>
      </c>
    </row>
    <row r="40" spans="6:7">
      <c r="F40" s="353" t="s">
        <v>177</v>
      </c>
      <c r="G40" s="876">
        <v>497777</v>
      </c>
    </row>
    <row r="41" spans="6:7">
      <c r="F41" s="353" t="s">
        <v>182</v>
      </c>
      <c r="G41" s="876">
        <v>522938</v>
      </c>
    </row>
    <row r="42" spans="6:7">
      <c r="F42" s="353" t="s">
        <v>183</v>
      </c>
      <c r="G42" s="878">
        <v>368529</v>
      </c>
    </row>
    <row r="43" spans="6:7">
      <c r="F43" s="353" t="s">
        <v>188</v>
      </c>
      <c r="G43" s="876">
        <v>421634</v>
      </c>
    </row>
    <row r="44" spans="6:7">
      <c r="F44" s="353" t="s">
        <v>190</v>
      </c>
      <c r="G44" s="876">
        <v>1570136</v>
      </c>
    </row>
    <row r="45" spans="6:7">
      <c r="F45" s="353" t="s">
        <v>195</v>
      </c>
      <c r="G45" s="876">
        <v>1072079</v>
      </c>
    </row>
    <row r="46" spans="6:7">
      <c r="F46" s="353" t="s">
        <v>200</v>
      </c>
      <c r="G46" s="876">
        <v>4904430</v>
      </c>
    </row>
    <row r="47" spans="6:7">
      <c r="F47" s="353" t="s">
        <v>201</v>
      </c>
      <c r="G47" s="876">
        <v>13862224</v>
      </c>
    </row>
    <row r="48" spans="6:7">
      <c r="F48" s="353" t="s">
        <v>206</v>
      </c>
      <c r="G48" s="878">
        <v>3072218</v>
      </c>
    </row>
    <row r="49" spans="6:7">
      <c r="F49" s="353" t="s">
        <v>207</v>
      </c>
      <c r="G49" s="876">
        <v>2794793</v>
      </c>
    </row>
    <row r="50" spans="6:7">
      <c r="F50" s="353" t="s">
        <v>212</v>
      </c>
      <c r="G50" s="878">
        <v>4938085</v>
      </c>
    </row>
    <row r="51" spans="6:7">
      <c r="F51" s="353" t="s">
        <v>213</v>
      </c>
      <c r="G51" s="878">
        <v>5185503.37</v>
      </c>
    </row>
    <row r="52" spans="6:7">
      <c r="F52" s="353" t="s">
        <v>218</v>
      </c>
      <c r="G52" s="876">
        <v>1560921</v>
      </c>
    </row>
    <row r="53" spans="6:7">
      <c r="F53" s="353" t="s">
        <v>220</v>
      </c>
      <c r="G53" s="878">
        <v>1240765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0DD5B-ABDE-9A41-9B33-0B5C0AE27893}">
  <sheetPr>
    <tabColor rgb="FFC00000"/>
  </sheetPr>
  <dimension ref="A1:Q24"/>
  <sheetViews>
    <sheetView zoomScale="90" zoomScaleNormal="90" workbookViewId="0">
      <selection activeCell="J9" sqref="J9:N9"/>
    </sheetView>
  </sheetViews>
  <sheetFormatPr defaultColWidth="0" defaultRowHeight="15" customHeight="1"/>
  <cols>
    <col min="1" max="1" width="4.42578125" style="42" customWidth="1"/>
    <col min="2" max="2" width="9.140625" style="42" customWidth="1"/>
    <col min="3" max="3" width="14" style="42" customWidth="1"/>
    <col min="4" max="4" width="12.42578125" style="42" customWidth="1"/>
    <col min="5" max="8" width="9.140625" style="42" customWidth="1"/>
    <col min="9" max="9" width="10.42578125" style="42" customWidth="1"/>
    <col min="10" max="10" width="9.140625" style="42" customWidth="1"/>
    <col min="11" max="11" width="13" style="42" customWidth="1"/>
    <col min="12" max="13" width="9.140625" style="42" customWidth="1"/>
    <col min="14" max="14" width="15.7109375" style="42" customWidth="1"/>
    <col min="15" max="15" width="26.42578125" style="42" customWidth="1"/>
    <col min="16" max="16" width="10.85546875" style="42" customWidth="1"/>
    <col min="17" max="17" width="0" style="42" hidden="1" customWidth="1"/>
    <col min="18" max="16384" width="9.140625" style="42" hidden="1"/>
  </cols>
  <sheetData>
    <row r="1" spans="1:16" customFormat="1" ht="15.75" thickBot="1">
      <c r="A1" s="42"/>
      <c r="B1" s="939" t="s">
        <v>22</v>
      </c>
      <c r="C1" s="940"/>
      <c r="D1" s="940"/>
      <c r="E1" s="940"/>
      <c r="F1" s="940"/>
      <c r="G1" s="940"/>
      <c r="H1" s="940"/>
      <c r="I1" s="940"/>
      <c r="J1" s="940"/>
      <c r="K1" s="940"/>
      <c r="L1" s="940"/>
      <c r="M1" s="940"/>
      <c r="N1" s="940"/>
      <c r="O1" s="941"/>
      <c r="P1" s="42"/>
    </row>
    <row r="2" spans="1:16" customFormat="1" ht="26.25" customHeight="1">
      <c r="A2" s="42"/>
      <c r="B2" s="942" t="s">
        <v>7</v>
      </c>
      <c r="C2" s="945" t="s">
        <v>1130</v>
      </c>
      <c r="D2" s="946"/>
      <c r="E2" s="946"/>
      <c r="F2" s="946"/>
      <c r="G2" s="946"/>
      <c r="H2" s="946"/>
      <c r="I2" s="946"/>
      <c r="J2" s="946"/>
      <c r="K2" s="946"/>
      <c r="L2" s="946"/>
      <c r="M2" s="946"/>
      <c r="N2" s="946"/>
      <c r="O2" s="947"/>
      <c r="P2" s="42"/>
    </row>
    <row r="3" spans="1:16" customFormat="1" ht="9.75" customHeight="1">
      <c r="A3" s="42"/>
      <c r="B3" s="943"/>
      <c r="C3" s="948"/>
      <c r="D3" s="949"/>
      <c r="E3" s="949"/>
      <c r="F3" s="949"/>
      <c r="G3" s="949"/>
      <c r="H3" s="949"/>
      <c r="I3" s="949"/>
      <c r="J3" s="949"/>
      <c r="K3" s="949"/>
      <c r="L3" s="949"/>
      <c r="M3" s="949"/>
      <c r="N3" s="949"/>
      <c r="O3" s="950"/>
      <c r="P3" s="42"/>
    </row>
    <row r="4" spans="1:16" customFormat="1" ht="21.75" customHeight="1" thickBot="1">
      <c r="A4" s="42"/>
      <c r="B4" s="943"/>
      <c r="C4" s="951" t="s">
        <v>23</v>
      </c>
      <c r="D4" s="952"/>
      <c r="E4" s="952"/>
      <c r="F4" s="952"/>
      <c r="G4" s="952"/>
      <c r="H4" s="952"/>
      <c r="I4" s="952"/>
      <c r="J4" s="952"/>
      <c r="K4" s="952"/>
      <c r="L4" s="952"/>
      <c r="M4" s="952"/>
      <c r="N4" s="952"/>
      <c r="O4" s="953"/>
      <c r="P4" s="42"/>
    </row>
    <row r="5" spans="1:16" customFormat="1" ht="16.5" customHeight="1" thickBot="1">
      <c r="A5" s="42"/>
      <c r="B5" s="944"/>
      <c r="C5" s="954" t="s">
        <v>24</v>
      </c>
      <c r="D5" s="955"/>
      <c r="E5" s="955"/>
      <c r="F5" s="955"/>
      <c r="G5" s="955"/>
      <c r="H5" s="955"/>
      <c r="I5" s="955"/>
      <c r="J5" s="955"/>
      <c r="K5" s="955"/>
      <c r="L5" s="955"/>
      <c r="M5" s="955"/>
      <c r="N5" s="955"/>
      <c r="O5" s="956"/>
      <c r="P5" s="42"/>
    </row>
    <row r="6" spans="1:16" customFormat="1" ht="15.75" thickBot="1">
      <c r="A6" s="42"/>
      <c r="B6" s="42"/>
      <c r="C6" s="42"/>
      <c r="D6" s="42"/>
      <c r="E6" s="42"/>
      <c r="F6" s="42"/>
      <c r="G6" s="42"/>
      <c r="H6" s="42"/>
      <c r="I6" s="42"/>
      <c r="J6" s="42"/>
      <c r="K6" s="42"/>
      <c r="L6" s="42"/>
      <c r="M6" s="42"/>
      <c r="N6" s="42"/>
      <c r="O6" s="42"/>
      <c r="P6" s="42"/>
    </row>
    <row r="7" spans="1:16" customFormat="1" ht="21.75" thickBot="1">
      <c r="A7" s="42"/>
      <c r="B7" s="936" t="s">
        <v>25</v>
      </c>
      <c r="C7" s="937"/>
      <c r="D7" s="937"/>
      <c r="E7" s="937"/>
      <c r="F7" s="937"/>
      <c r="G7" s="937"/>
      <c r="H7" s="937"/>
      <c r="I7" s="937"/>
      <c r="J7" s="937"/>
      <c r="K7" s="937"/>
      <c r="L7" s="937"/>
      <c r="M7" s="937"/>
      <c r="N7" s="937"/>
      <c r="O7" s="938"/>
      <c r="P7" s="42"/>
    </row>
    <row r="8" spans="1:16" s="65" customFormat="1" ht="15.75">
      <c r="J8" s="68"/>
    </row>
    <row r="9" spans="1:16" s="65" customFormat="1" ht="31.5" customHeight="1">
      <c r="D9" s="932" t="s">
        <v>26</v>
      </c>
      <c r="E9" s="932"/>
      <c r="F9" s="932"/>
      <c r="G9" s="932"/>
      <c r="H9" s="932"/>
      <c r="I9" s="933"/>
      <c r="J9" s="934" t="s">
        <v>49</v>
      </c>
      <c r="K9" s="935"/>
      <c r="L9" s="935"/>
      <c r="M9" s="935"/>
      <c r="N9" s="935"/>
    </row>
    <row r="10" spans="1:16" s="65" customFormat="1" ht="15.75">
      <c r="B10" s="69"/>
      <c r="C10" s="69"/>
      <c r="D10" s="69"/>
      <c r="E10" s="68"/>
      <c r="F10" s="68"/>
      <c r="G10" s="68"/>
      <c r="H10" s="68"/>
      <c r="I10" s="68"/>
      <c r="J10" s="68"/>
    </row>
    <row r="11" spans="1:16" s="47" customFormat="1" ht="18.75" customHeight="1" thickBot="1">
      <c r="A11" s="65"/>
      <c r="B11" s="922" t="s">
        <v>28</v>
      </c>
      <c r="C11" s="922"/>
      <c r="D11" s="928" t="str">
        <f>IFERROR(VLOOKUP($J$9,'Contacts Source'!$A$1:$Q$53,2,FALSE),"")</f>
        <v>-</v>
      </c>
      <c r="E11" s="928"/>
      <c r="F11" s="928"/>
      <c r="G11" s="928"/>
      <c r="H11" s="928"/>
      <c r="I11" s="928"/>
      <c r="J11" s="922" t="s">
        <v>29</v>
      </c>
      <c r="K11" s="922"/>
      <c r="L11" s="928" t="str">
        <f>IFERROR(VLOOKUP($J$9,'Contacts Source'!$A$1:$Q$53,4,FALSE),"")</f>
        <v>-</v>
      </c>
      <c r="M11" s="928"/>
      <c r="N11" s="928"/>
      <c r="O11" s="928"/>
      <c r="P11" s="65"/>
    </row>
    <row r="12" spans="1:16" s="47" customFormat="1" ht="18.75" customHeight="1">
      <c r="A12" s="65"/>
      <c r="B12" s="925" t="s">
        <v>30</v>
      </c>
      <c r="C12" s="925"/>
      <c r="D12" s="930" t="str">
        <f>IFERROR(VLOOKUP($J$9,'Contacts Source'!$A$1:$Q$53,3,FALSE),"")</f>
        <v>-</v>
      </c>
      <c r="E12" s="930"/>
      <c r="F12" s="930"/>
      <c r="G12" s="930"/>
      <c r="H12" s="930"/>
      <c r="I12" s="930"/>
      <c r="J12" s="925" t="s">
        <v>31</v>
      </c>
      <c r="K12" s="925"/>
      <c r="L12" s="930" t="str">
        <f>IFERROR(VLOOKUP($J$9,'Contacts Source'!$A$1:$Q$53,5,FALSE),"")</f>
        <v>-</v>
      </c>
      <c r="M12" s="930"/>
      <c r="N12" s="930"/>
      <c r="O12" s="930"/>
      <c r="P12" s="65"/>
    </row>
    <row r="13" spans="1:16" s="47" customFormat="1" ht="18.75" customHeight="1">
      <c r="A13" s="65"/>
      <c r="B13" s="86"/>
      <c r="C13" s="86"/>
      <c r="D13" s="86"/>
      <c r="E13" s="87"/>
      <c r="F13" s="87"/>
      <c r="G13" s="87"/>
      <c r="H13" s="87"/>
      <c r="I13" s="87"/>
      <c r="J13" s="86"/>
      <c r="K13" s="86"/>
      <c r="L13" s="87"/>
      <c r="M13" s="87"/>
      <c r="N13" s="87"/>
      <c r="O13" s="87"/>
      <c r="P13" s="65"/>
    </row>
    <row r="14" spans="1:16" s="47" customFormat="1" ht="18.75" customHeight="1" thickBot="1">
      <c r="A14" s="65"/>
      <c r="B14" s="922" t="s">
        <v>32</v>
      </c>
      <c r="C14" s="922"/>
      <c r="D14" s="928" t="str">
        <f>IFERROR(VLOOKUP($J$9,'Contacts Source'!$A$1:$Q$53,6,FALSE),"")</f>
        <v>-</v>
      </c>
      <c r="E14" s="928"/>
      <c r="F14" s="928"/>
      <c r="G14" s="928"/>
      <c r="H14" s="928"/>
      <c r="I14" s="928"/>
      <c r="J14" s="922" t="s">
        <v>29</v>
      </c>
      <c r="K14" s="922"/>
      <c r="L14" s="928" t="str">
        <f>IFERROR(VLOOKUP($J$9,'Contacts Source'!$A$1:$Q$53,8,FALSE),"")</f>
        <v>-</v>
      </c>
      <c r="M14" s="928"/>
      <c r="N14" s="928"/>
      <c r="O14" s="928"/>
      <c r="P14" s="65"/>
    </row>
    <row r="15" spans="1:16" s="47" customFormat="1" ht="18.75" customHeight="1">
      <c r="A15" s="65"/>
      <c r="B15" s="925" t="s">
        <v>30</v>
      </c>
      <c r="C15" s="925"/>
      <c r="D15" s="930" t="str">
        <f>IFERROR(VLOOKUP($J$9,'Contacts Source'!$A$1:$Q$53,7,FALSE),"")</f>
        <v>-</v>
      </c>
      <c r="E15" s="930"/>
      <c r="F15" s="930"/>
      <c r="G15" s="930"/>
      <c r="H15" s="930"/>
      <c r="I15" s="930"/>
      <c r="J15" s="925" t="s">
        <v>31</v>
      </c>
      <c r="K15" s="925"/>
      <c r="L15" s="930" t="str">
        <f>IFERROR(VLOOKUP($J$9,'Contacts Source'!$A$1:$Q$53,9,FALSE),"")</f>
        <v>-</v>
      </c>
      <c r="M15" s="930"/>
      <c r="N15" s="930"/>
      <c r="O15" s="930"/>
      <c r="P15" s="65"/>
    </row>
    <row r="16" spans="1:16" s="65" customFormat="1" ht="18.75" customHeight="1">
      <c r="B16" s="86"/>
      <c r="C16" s="86"/>
      <c r="D16" s="86"/>
      <c r="E16" s="87"/>
      <c r="F16" s="87"/>
      <c r="G16" s="87"/>
      <c r="H16" s="87"/>
      <c r="I16" s="87"/>
      <c r="J16" s="86"/>
      <c r="K16" s="86"/>
      <c r="L16" s="87"/>
      <c r="M16" s="87"/>
      <c r="N16" s="87"/>
      <c r="O16" s="87"/>
    </row>
    <row r="17" spans="2:15" s="65" customFormat="1" ht="18.75" customHeight="1" thickBot="1">
      <c r="B17" s="922" t="s">
        <v>33</v>
      </c>
      <c r="C17" s="922"/>
      <c r="D17" s="928" t="str">
        <f>IFERROR(VLOOKUP($J$9,'Contacts Source'!$A$1:$Q$53,10,FALSE),"")</f>
        <v>-</v>
      </c>
      <c r="E17" s="928"/>
      <c r="F17" s="928"/>
      <c r="G17" s="928"/>
      <c r="H17" s="928"/>
      <c r="I17" s="928"/>
      <c r="J17" s="922" t="s">
        <v>29</v>
      </c>
      <c r="K17" s="922"/>
      <c r="L17" s="928" t="str">
        <f>IFERROR(VLOOKUP($J$9,'Contacts Source'!$A$1:$Q$53,12,FALSE),"")</f>
        <v>-</v>
      </c>
      <c r="M17" s="928"/>
      <c r="N17" s="928"/>
      <c r="O17" s="928"/>
    </row>
    <row r="18" spans="2:15" s="65" customFormat="1" ht="18.75" customHeight="1">
      <c r="B18" s="925" t="s">
        <v>30</v>
      </c>
      <c r="C18" s="925"/>
      <c r="D18" s="930" t="str">
        <f>IFERROR(VLOOKUP($J$9,'Contacts Source'!$A$1:$Q$53,11,FALSE),"")</f>
        <v>-</v>
      </c>
      <c r="E18" s="930"/>
      <c r="F18" s="930"/>
      <c r="G18" s="930"/>
      <c r="H18" s="930"/>
      <c r="I18" s="930"/>
      <c r="J18" s="925" t="s">
        <v>31</v>
      </c>
      <c r="K18" s="925"/>
      <c r="L18" s="930" t="str">
        <f>IFERROR(VLOOKUP($J$9,'Contacts Source'!$A$1:$Q$53,13,FALSE),"")</f>
        <v>-</v>
      </c>
      <c r="M18" s="930"/>
      <c r="N18" s="930"/>
      <c r="O18" s="930"/>
    </row>
    <row r="19" spans="2:15" s="65" customFormat="1" ht="18.75" customHeight="1">
      <c r="B19" s="86"/>
      <c r="C19" s="86"/>
      <c r="D19" s="86"/>
      <c r="E19" s="87"/>
      <c r="F19" s="87"/>
      <c r="G19" s="87"/>
      <c r="H19" s="87"/>
      <c r="I19" s="87"/>
      <c r="J19" s="86"/>
      <c r="K19" s="86"/>
      <c r="L19" s="87"/>
      <c r="M19" s="87"/>
      <c r="N19" s="87"/>
      <c r="O19" s="87"/>
    </row>
    <row r="20" spans="2:15" s="65" customFormat="1" ht="18.75" customHeight="1" thickBot="1">
      <c r="B20" s="922" t="s">
        <v>34</v>
      </c>
      <c r="C20" s="922"/>
      <c r="D20" s="931" t="str">
        <f>IFERROR(VLOOKUP($J$9,'Contacts Source'!$A$1:$Q$53,14,FALSE),"")</f>
        <v>-</v>
      </c>
      <c r="E20" s="931"/>
      <c r="F20" s="931"/>
      <c r="G20" s="931"/>
      <c r="H20" s="931"/>
      <c r="I20" s="931"/>
      <c r="J20" s="922" t="s">
        <v>29</v>
      </c>
      <c r="K20" s="922"/>
      <c r="L20" s="929" t="str">
        <f>IFERROR(VLOOKUP($J$9,'Contacts Source'!$A$1:$Q$53,16,FALSE),"")</f>
        <v>-</v>
      </c>
      <c r="M20" s="929"/>
      <c r="N20" s="929"/>
      <c r="O20" s="929"/>
    </row>
    <row r="21" spans="2:15" s="65" customFormat="1" ht="18.75" customHeight="1" thickBot="1">
      <c r="B21" s="925" t="s">
        <v>30</v>
      </c>
      <c r="C21" s="925"/>
      <c r="D21" s="928" t="str">
        <f>IFERROR(VLOOKUP($J$9,'Contacts Source'!$A$1:$Q$53,15,FALSE),"")</f>
        <v>-</v>
      </c>
      <c r="E21" s="928"/>
      <c r="F21" s="928"/>
      <c r="G21" s="928"/>
      <c r="H21" s="928"/>
      <c r="I21" s="928"/>
      <c r="J21" s="925" t="s">
        <v>31</v>
      </c>
      <c r="K21" s="925"/>
      <c r="L21" s="929" t="str">
        <f>IFERROR(VLOOKUP($J$9,'Contacts Source'!$A$1:$Q$53,17,FALSE),"")</f>
        <v>-</v>
      </c>
      <c r="M21" s="929"/>
      <c r="N21" s="929"/>
      <c r="O21" s="929"/>
    </row>
    <row r="22" spans="2:15"/>
    <row r="23" spans="2:15" s="65" customFormat="1" ht="18.75" customHeight="1" thickBot="1">
      <c r="B23" s="922" t="s">
        <v>1490</v>
      </c>
      <c r="C23" s="922"/>
      <c r="D23" s="923"/>
      <c r="E23" s="923"/>
      <c r="F23" s="923"/>
      <c r="G23" s="923"/>
      <c r="H23" s="923"/>
      <c r="I23" s="923"/>
      <c r="J23" s="922" t="s">
        <v>29</v>
      </c>
      <c r="K23" s="922"/>
      <c r="L23" s="924"/>
      <c r="M23" s="924"/>
      <c r="N23" s="924"/>
      <c r="O23" s="924"/>
    </row>
    <row r="24" spans="2:15" s="65" customFormat="1" ht="18.75" customHeight="1">
      <c r="B24" s="925" t="s">
        <v>30</v>
      </c>
      <c r="C24" s="925"/>
      <c r="D24" s="926"/>
      <c r="E24" s="926"/>
      <c r="F24" s="926"/>
      <c r="G24" s="926"/>
      <c r="H24" s="926"/>
      <c r="I24" s="926"/>
      <c r="J24" s="925" t="s">
        <v>31</v>
      </c>
      <c r="K24" s="925"/>
      <c r="L24" s="927"/>
      <c r="M24" s="927"/>
      <c r="N24" s="927"/>
      <c r="O24" s="927"/>
    </row>
  </sheetData>
  <mergeCells count="48">
    <mergeCell ref="B7:O7"/>
    <mergeCell ref="B1:O1"/>
    <mergeCell ref="B2:B5"/>
    <mergeCell ref="C2:O3"/>
    <mergeCell ref="C4:O4"/>
    <mergeCell ref="C5:O5"/>
    <mergeCell ref="D9:I9"/>
    <mergeCell ref="J9:N9"/>
    <mergeCell ref="B11:C11"/>
    <mergeCell ref="D11:I11"/>
    <mergeCell ref="J11:K11"/>
    <mergeCell ref="L11:O11"/>
    <mergeCell ref="B12:C12"/>
    <mergeCell ref="D12:I12"/>
    <mergeCell ref="J12:K12"/>
    <mergeCell ref="L12:O12"/>
    <mergeCell ref="B14:C14"/>
    <mergeCell ref="D14:I14"/>
    <mergeCell ref="J14:K14"/>
    <mergeCell ref="L14:O14"/>
    <mergeCell ref="B15:C15"/>
    <mergeCell ref="D15:I15"/>
    <mergeCell ref="J15:K15"/>
    <mergeCell ref="L15:O15"/>
    <mergeCell ref="B17:C17"/>
    <mergeCell ref="D17:I17"/>
    <mergeCell ref="J17:K17"/>
    <mergeCell ref="L17:O17"/>
    <mergeCell ref="B21:C21"/>
    <mergeCell ref="D21:I21"/>
    <mergeCell ref="J21:K21"/>
    <mergeCell ref="L21:O21"/>
    <mergeCell ref="B18:C18"/>
    <mergeCell ref="D18:I18"/>
    <mergeCell ref="J18:K18"/>
    <mergeCell ref="L18:O18"/>
    <mergeCell ref="B20:C20"/>
    <mergeCell ref="D20:I20"/>
    <mergeCell ref="J20:K20"/>
    <mergeCell ref="L20:O20"/>
    <mergeCell ref="B23:C23"/>
    <mergeCell ref="D23:I23"/>
    <mergeCell ref="J23:K23"/>
    <mergeCell ref="L23:O23"/>
    <mergeCell ref="B24:C24"/>
    <mergeCell ref="D24:I24"/>
    <mergeCell ref="J24:K24"/>
    <mergeCell ref="L24:O24"/>
  </mergeCells>
  <conditionalFormatting sqref="J9">
    <cfRule type="containsText" dxfId="38" priority="1" operator="containsText" text="please">
      <formula>NOT(ISERROR(SEARCH("please",J9)))</formula>
    </cfRule>
  </conditionalFormatting>
  <dataValidations count="1">
    <dataValidation type="list" errorStyle="warning" allowBlank="1" showInputMessage="1" showErrorMessage="1" errorTitle="Invalid Selection" error="Please select your agency from the dropdown menu, as all subsequent tabs will use this information for autpopulated fields." sqref="J9:N9" xr:uid="{95FB49DC-A8E8-FC4C-9643-4028C54A37AA}">
      <formula1>AgencyCampus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3"/>
  <sheetViews>
    <sheetView topLeftCell="A7" zoomScale="90" zoomScaleNormal="90" workbookViewId="0">
      <selection activeCell="A26" sqref="A26"/>
    </sheetView>
  </sheetViews>
  <sheetFormatPr defaultColWidth="33.140625" defaultRowHeight="15"/>
  <cols>
    <col min="1" max="1" width="42" customWidth="1"/>
    <col min="2" max="2" width="18.42578125" bestFit="1" customWidth="1"/>
    <col min="3" max="3" width="43.28515625" bestFit="1" customWidth="1"/>
    <col min="4" max="4" width="37.7109375" bestFit="1" customWidth="1"/>
    <col min="5" max="5" width="18.140625" bestFit="1" customWidth="1"/>
    <col min="6" max="6" width="16.7109375" bestFit="1" customWidth="1"/>
    <col min="7" max="7" width="23.7109375" bestFit="1" customWidth="1"/>
    <col min="8" max="8" width="23.85546875" bestFit="1" customWidth="1"/>
    <col min="9" max="9" width="18.140625" bestFit="1" customWidth="1"/>
  </cols>
  <sheetData>
    <row r="1" spans="1:17">
      <c r="A1" s="66" t="s">
        <v>36</v>
      </c>
      <c r="B1" s="66" t="s">
        <v>37</v>
      </c>
      <c r="C1" s="66" t="s">
        <v>38</v>
      </c>
      <c r="D1" s="66" t="s">
        <v>39</v>
      </c>
      <c r="E1" s="66" t="s">
        <v>40</v>
      </c>
      <c r="F1" s="66" t="s">
        <v>41</v>
      </c>
      <c r="G1" s="66" t="s">
        <v>42</v>
      </c>
      <c r="H1" s="66" t="s">
        <v>43</v>
      </c>
      <c r="I1" s="66" t="s">
        <v>44</v>
      </c>
      <c r="J1" s="66" t="s">
        <v>45</v>
      </c>
      <c r="K1" s="66" t="s">
        <v>46</v>
      </c>
      <c r="L1" s="66" t="s">
        <v>47</v>
      </c>
      <c r="M1" s="66" t="s">
        <v>48</v>
      </c>
      <c r="N1" s="66" t="s">
        <v>1450</v>
      </c>
      <c r="O1" s="66" t="s">
        <v>1451</v>
      </c>
      <c r="P1" s="66" t="s">
        <v>1452</v>
      </c>
      <c r="Q1" s="66" t="s">
        <v>1453</v>
      </c>
    </row>
    <row r="2" spans="1:17">
      <c r="A2" s="17" t="s">
        <v>49</v>
      </c>
      <c r="B2" s="17" t="s">
        <v>50</v>
      </c>
      <c r="C2" s="17" t="s">
        <v>50</v>
      </c>
      <c r="D2" s="17" t="s">
        <v>50</v>
      </c>
      <c r="E2" s="17" t="s">
        <v>50</v>
      </c>
      <c r="F2" s="17" t="s">
        <v>50</v>
      </c>
      <c r="G2" s="17" t="s">
        <v>50</v>
      </c>
      <c r="H2" s="17" t="s">
        <v>50</v>
      </c>
      <c r="I2" s="17" t="s">
        <v>50</v>
      </c>
      <c r="J2" s="17" t="s">
        <v>50</v>
      </c>
      <c r="K2" s="17" t="s">
        <v>50</v>
      </c>
      <c r="L2" s="17" t="s">
        <v>50</v>
      </c>
      <c r="M2" s="17" t="s">
        <v>50</v>
      </c>
      <c r="N2" s="17" t="s">
        <v>50</v>
      </c>
      <c r="O2" s="17" t="s">
        <v>50</v>
      </c>
      <c r="P2" s="17" t="s">
        <v>50</v>
      </c>
      <c r="Q2" s="17" t="s">
        <v>50</v>
      </c>
    </row>
    <row r="3" spans="1:17">
      <c r="A3" s="287" t="s">
        <v>51</v>
      </c>
      <c r="B3" s="269" t="s">
        <v>52</v>
      </c>
      <c r="C3" s="269" t="s">
        <v>53</v>
      </c>
      <c r="D3" s="269" t="s">
        <v>54</v>
      </c>
      <c r="E3" s="269" t="s">
        <v>55</v>
      </c>
      <c r="F3" s="269" t="s">
        <v>2209</v>
      </c>
      <c r="G3" s="456" t="s">
        <v>56</v>
      </c>
      <c r="H3" s="269" t="s">
        <v>2208</v>
      </c>
      <c r="I3" s="269" t="s">
        <v>57</v>
      </c>
      <c r="J3" s="269" t="s">
        <v>50</v>
      </c>
      <c r="K3" s="269" t="s">
        <v>50</v>
      </c>
      <c r="L3" s="269" t="s">
        <v>50</v>
      </c>
      <c r="M3" s="269" t="s">
        <v>50</v>
      </c>
      <c r="N3" s="269" t="s">
        <v>50</v>
      </c>
      <c r="O3" s="269" t="s">
        <v>50</v>
      </c>
      <c r="P3" s="269" t="s">
        <v>50</v>
      </c>
      <c r="Q3" s="269" t="s">
        <v>50</v>
      </c>
    </row>
    <row r="4" spans="1:17">
      <c r="A4" s="287" t="s">
        <v>58</v>
      </c>
      <c r="B4" s="269" t="s">
        <v>59</v>
      </c>
      <c r="C4" s="269" t="s">
        <v>60</v>
      </c>
      <c r="D4" s="269" t="s">
        <v>61</v>
      </c>
      <c r="E4" s="269" t="s">
        <v>62</v>
      </c>
      <c r="F4" s="269" t="s">
        <v>63</v>
      </c>
      <c r="G4" s="269" t="s">
        <v>64</v>
      </c>
      <c r="H4" s="277" t="s">
        <v>65</v>
      </c>
      <c r="I4" s="269" t="s">
        <v>66</v>
      </c>
      <c r="J4" s="269" t="s">
        <v>1416</v>
      </c>
      <c r="K4" s="269" t="s">
        <v>1417</v>
      </c>
      <c r="L4" s="277" t="s">
        <v>1418</v>
      </c>
      <c r="M4" s="269" t="s">
        <v>1419</v>
      </c>
      <c r="N4" s="269" t="s">
        <v>50</v>
      </c>
      <c r="O4" s="269" t="s">
        <v>50</v>
      </c>
      <c r="P4" s="269" t="s">
        <v>50</v>
      </c>
      <c r="Q4" s="269" t="s">
        <v>50</v>
      </c>
    </row>
    <row r="5" spans="1:17">
      <c r="A5" s="287" t="s">
        <v>27</v>
      </c>
      <c r="B5" s="269" t="s">
        <v>2113</v>
      </c>
      <c r="C5" s="269" t="s">
        <v>67</v>
      </c>
      <c r="D5" s="815" t="s">
        <v>2114</v>
      </c>
      <c r="E5" s="269" t="s">
        <v>68</v>
      </c>
      <c r="F5" s="269" t="s">
        <v>69</v>
      </c>
      <c r="G5" s="269" t="s">
        <v>70</v>
      </c>
      <c r="H5" s="277" t="s">
        <v>71</v>
      </c>
      <c r="I5" s="269" t="s">
        <v>72</v>
      </c>
      <c r="J5" s="269" t="s">
        <v>50</v>
      </c>
      <c r="K5" s="269" t="s">
        <v>50</v>
      </c>
      <c r="L5" s="269" t="s">
        <v>50</v>
      </c>
      <c r="M5" s="269" t="s">
        <v>50</v>
      </c>
      <c r="N5" s="269" t="s">
        <v>50</v>
      </c>
      <c r="O5" s="269" t="s">
        <v>50</v>
      </c>
      <c r="P5" s="269" t="s">
        <v>50</v>
      </c>
      <c r="Q5" s="269" t="s">
        <v>50</v>
      </c>
    </row>
    <row r="6" spans="1:17">
      <c r="A6" s="287" t="s">
        <v>73</v>
      </c>
      <c r="B6" s="269" t="s">
        <v>74</v>
      </c>
      <c r="C6" s="269" t="s">
        <v>75</v>
      </c>
      <c r="D6" s="269" t="s">
        <v>76</v>
      </c>
      <c r="E6" s="269" t="s">
        <v>77</v>
      </c>
      <c r="F6" s="269" t="s">
        <v>50</v>
      </c>
      <c r="G6" s="269" t="s">
        <v>50</v>
      </c>
      <c r="H6" s="269" t="s">
        <v>50</v>
      </c>
      <c r="I6" s="269" t="s">
        <v>50</v>
      </c>
      <c r="J6" s="269" t="s">
        <v>50</v>
      </c>
      <c r="K6" s="269" t="s">
        <v>50</v>
      </c>
      <c r="L6" s="269" t="s">
        <v>50</v>
      </c>
      <c r="M6" s="269" t="s">
        <v>50</v>
      </c>
      <c r="N6" s="269" t="s">
        <v>50</v>
      </c>
      <c r="O6" s="269" t="s">
        <v>50</v>
      </c>
      <c r="P6" s="269" t="s">
        <v>50</v>
      </c>
      <c r="Q6" s="269" t="s">
        <v>50</v>
      </c>
    </row>
    <row r="7" spans="1:17">
      <c r="A7" s="21" t="s">
        <v>78</v>
      </c>
      <c r="B7" s="17" t="s">
        <v>50</v>
      </c>
      <c r="C7" s="17" t="s">
        <v>50</v>
      </c>
      <c r="D7" s="17" t="s">
        <v>50</v>
      </c>
      <c r="E7" s="17" t="s">
        <v>50</v>
      </c>
      <c r="F7" s="17" t="s">
        <v>50</v>
      </c>
      <c r="G7" s="17" t="s">
        <v>50</v>
      </c>
      <c r="H7" s="17" t="s">
        <v>50</v>
      </c>
      <c r="I7" s="17" t="s">
        <v>50</v>
      </c>
      <c r="J7" s="17" t="s">
        <v>50</v>
      </c>
      <c r="K7" s="17" t="s">
        <v>50</v>
      </c>
      <c r="L7" s="17" t="s">
        <v>50</v>
      </c>
      <c r="M7" s="17" t="s">
        <v>50</v>
      </c>
      <c r="N7" s="17" t="s">
        <v>50</v>
      </c>
      <c r="O7" s="17" t="s">
        <v>50</v>
      </c>
      <c r="P7" s="17" t="s">
        <v>50</v>
      </c>
      <c r="Q7" s="17" t="s">
        <v>50</v>
      </c>
    </row>
    <row r="8" spans="1:17">
      <c r="A8" s="287" t="s">
        <v>79</v>
      </c>
      <c r="B8" s="269" t="s">
        <v>80</v>
      </c>
      <c r="C8" s="269" t="s">
        <v>81</v>
      </c>
      <c r="D8" s="269" t="s">
        <v>82</v>
      </c>
      <c r="E8" s="269" t="s">
        <v>83</v>
      </c>
      <c r="F8" s="269" t="s">
        <v>84</v>
      </c>
      <c r="G8" s="269" t="s">
        <v>85</v>
      </c>
      <c r="H8" s="269" t="s">
        <v>86</v>
      </c>
      <c r="I8" s="269" t="s">
        <v>87</v>
      </c>
      <c r="J8" s="269" t="s">
        <v>88</v>
      </c>
      <c r="K8" s="269" t="s">
        <v>89</v>
      </c>
      <c r="L8" s="277" t="s">
        <v>90</v>
      </c>
      <c r="M8" s="269" t="s">
        <v>91</v>
      </c>
      <c r="N8" s="269" t="s">
        <v>50</v>
      </c>
      <c r="O8" s="269" t="s">
        <v>50</v>
      </c>
      <c r="P8" s="269" t="s">
        <v>50</v>
      </c>
      <c r="Q8" s="269" t="s">
        <v>50</v>
      </c>
    </row>
    <row r="9" spans="1:17">
      <c r="A9" s="359" t="s">
        <v>1637</v>
      </c>
      <c r="B9" s="17" t="s">
        <v>2115</v>
      </c>
      <c r="C9" s="17" t="s">
        <v>2116</v>
      </c>
      <c r="D9" s="457" t="s">
        <v>2117</v>
      </c>
      <c r="E9" s="17" t="s">
        <v>2118</v>
      </c>
      <c r="F9" s="17" t="s">
        <v>2120</v>
      </c>
      <c r="G9" s="17" t="s">
        <v>118</v>
      </c>
      <c r="H9" s="457" t="s">
        <v>2119</v>
      </c>
      <c r="I9" s="17" t="s">
        <v>2121</v>
      </c>
      <c r="J9" s="17" t="s">
        <v>50</v>
      </c>
      <c r="K9" s="17" t="s">
        <v>50</v>
      </c>
      <c r="L9" s="17" t="s">
        <v>50</v>
      </c>
      <c r="M9" s="17" t="s">
        <v>50</v>
      </c>
      <c r="N9" s="17" t="s">
        <v>50</v>
      </c>
      <c r="O9" s="17" t="s">
        <v>50</v>
      </c>
      <c r="P9" s="17" t="s">
        <v>50</v>
      </c>
      <c r="Q9" s="17" t="s">
        <v>50</v>
      </c>
    </row>
    <row r="10" spans="1:17">
      <c r="A10" s="287" t="s">
        <v>92</v>
      </c>
      <c r="B10" s="269" t="s">
        <v>1420</v>
      </c>
      <c r="C10" s="269" t="s">
        <v>1421</v>
      </c>
      <c r="D10" s="277" t="s">
        <v>1422</v>
      </c>
      <c r="E10" s="269" t="s">
        <v>1423</v>
      </c>
      <c r="F10" s="269" t="s">
        <v>1424</v>
      </c>
      <c r="G10" s="269" t="s">
        <v>1425</v>
      </c>
      <c r="H10" s="277" t="s">
        <v>1426</v>
      </c>
      <c r="I10" s="269" t="s">
        <v>1427</v>
      </c>
      <c r="J10" s="269" t="s">
        <v>50</v>
      </c>
      <c r="K10" s="269" t="s">
        <v>50</v>
      </c>
      <c r="L10" s="269" t="s">
        <v>50</v>
      </c>
      <c r="M10" s="269" t="s">
        <v>50</v>
      </c>
      <c r="N10" s="269" t="s">
        <v>50</v>
      </c>
      <c r="O10" s="269" t="s">
        <v>50</v>
      </c>
      <c r="P10" s="269" t="s">
        <v>50</v>
      </c>
      <c r="Q10" s="269" t="s">
        <v>50</v>
      </c>
    </row>
    <row r="11" spans="1:17">
      <c r="A11" s="287" t="s">
        <v>93</v>
      </c>
      <c r="B11" s="269" t="s">
        <v>94</v>
      </c>
      <c r="C11" s="269" t="s">
        <v>95</v>
      </c>
      <c r="D11" s="269" t="s">
        <v>96</v>
      </c>
      <c r="E11" s="269" t="s">
        <v>97</v>
      </c>
      <c r="F11" s="269" t="s">
        <v>50</v>
      </c>
      <c r="G11" s="269" t="s">
        <v>50</v>
      </c>
      <c r="H11" s="269" t="s">
        <v>50</v>
      </c>
      <c r="I11" s="269" t="s">
        <v>50</v>
      </c>
      <c r="J11" s="269" t="s">
        <v>50</v>
      </c>
      <c r="K11" s="269" t="s">
        <v>50</v>
      </c>
      <c r="L11" s="269" t="s">
        <v>50</v>
      </c>
      <c r="M11" s="269" t="s">
        <v>50</v>
      </c>
      <c r="N11" s="269" t="s">
        <v>50</v>
      </c>
      <c r="O11" s="269" t="s">
        <v>50</v>
      </c>
      <c r="P11" s="269" t="s">
        <v>50</v>
      </c>
      <c r="Q11" s="269" t="s">
        <v>50</v>
      </c>
    </row>
    <row r="12" spans="1:17">
      <c r="A12" s="359" t="s">
        <v>98</v>
      </c>
      <c r="B12" s="17" t="s">
        <v>50</v>
      </c>
      <c r="C12" s="17" t="s">
        <v>50</v>
      </c>
      <c r="D12" s="17" t="s">
        <v>50</v>
      </c>
      <c r="E12" s="17" t="s">
        <v>50</v>
      </c>
      <c r="F12" s="17" t="s">
        <v>50</v>
      </c>
      <c r="G12" s="17" t="s">
        <v>50</v>
      </c>
      <c r="H12" s="17" t="s">
        <v>50</v>
      </c>
      <c r="I12" s="17" t="s">
        <v>50</v>
      </c>
      <c r="J12" s="17" t="s">
        <v>50</v>
      </c>
      <c r="K12" s="17" t="s">
        <v>50</v>
      </c>
      <c r="L12" s="17" t="s">
        <v>50</v>
      </c>
      <c r="M12" s="17" t="s">
        <v>50</v>
      </c>
      <c r="N12" s="17" t="s">
        <v>50</v>
      </c>
      <c r="O12" s="17" t="s">
        <v>50</v>
      </c>
      <c r="P12" s="17" t="s">
        <v>50</v>
      </c>
      <c r="Q12" s="17" t="s">
        <v>50</v>
      </c>
    </row>
    <row r="13" spans="1:17">
      <c r="A13" s="287" t="s">
        <v>99</v>
      </c>
      <c r="B13" s="269" t="s">
        <v>1428</v>
      </c>
      <c r="C13" s="269" t="s">
        <v>1429</v>
      </c>
      <c r="D13" s="277" t="s">
        <v>1430</v>
      </c>
      <c r="E13" s="269" t="s">
        <v>1431</v>
      </c>
      <c r="F13" s="269" t="s">
        <v>1432</v>
      </c>
      <c r="G13" s="269" t="s">
        <v>1433</v>
      </c>
      <c r="H13" s="609" t="s">
        <v>1434</v>
      </c>
      <c r="I13" s="269" t="s">
        <v>1435</v>
      </c>
      <c r="J13" s="269" t="s">
        <v>50</v>
      </c>
      <c r="K13" s="269" t="s">
        <v>50</v>
      </c>
      <c r="L13" s="269" t="s">
        <v>50</v>
      </c>
      <c r="M13" s="269" t="s">
        <v>50</v>
      </c>
      <c r="N13" s="269" t="s">
        <v>50</v>
      </c>
      <c r="O13" s="269" t="s">
        <v>50</v>
      </c>
      <c r="P13" s="269" t="s">
        <v>50</v>
      </c>
      <c r="Q13" s="269" t="s">
        <v>50</v>
      </c>
    </row>
    <row r="14" spans="1:17">
      <c r="A14" s="287" t="s">
        <v>100</v>
      </c>
      <c r="B14" s="269" t="s">
        <v>2122</v>
      </c>
      <c r="C14" s="269" t="s">
        <v>2125</v>
      </c>
      <c r="D14" s="277" t="s">
        <v>2123</v>
      </c>
      <c r="E14" s="269" t="s">
        <v>2124</v>
      </c>
      <c r="F14" s="269" t="s">
        <v>50</v>
      </c>
      <c r="G14" s="269" t="s">
        <v>50</v>
      </c>
      <c r="H14" s="269" t="s">
        <v>50</v>
      </c>
      <c r="I14" s="269" t="s">
        <v>50</v>
      </c>
      <c r="J14" s="269" t="s">
        <v>50</v>
      </c>
      <c r="K14" s="269" t="s">
        <v>50</v>
      </c>
      <c r="L14" s="269" t="s">
        <v>50</v>
      </c>
      <c r="M14" s="269" t="s">
        <v>50</v>
      </c>
      <c r="N14" s="269" t="s">
        <v>50</v>
      </c>
      <c r="O14" s="269" t="s">
        <v>50</v>
      </c>
      <c r="P14" s="269" t="s">
        <v>50</v>
      </c>
      <c r="Q14" s="269" t="s">
        <v>50</v>
      </c>
    </row>
    <row r="15" spans="1:17">
      <c r="A15" s="359" t="s">
        <v>101</v>
      </c>
      <c r="B15" s="17" t="s">
        <v>50</v>
      </c>
      <c r="C15" s="17" t="s">
        <v>50</v>
      </c>
      <c r="D15" s="17" t="s">
        <v>50</v>
      </c>
      <c r="E15" s="17" t="s">
        <v>50</v>
      </c>
      <c r="F15" s="17" t="s">
        <v>50</v>
      </c>
      <c r="G15" s="17" t="s">
        <v>50</v>
      </c>
      <c r="H15" s="17" t="s">
        <v>50</v>
      </c>
      <c r="I15" s="17" t="s">
        <v>50</v>
      </c>
      <c r="J15" s="17" t="s">
        <v>50</v>
      </c>
      <c r="K15" s="17" t="s">
        <v>50</v>
      </c>
      <c r="L15" s="17" t="s">
        <v>50</v>
      </c>
      <c r="M15" s="17" t="s">
        <v>50</v>
      </c>
      <c r="N15" s="17" t="s">
        <v>50</v>
      </c>
      <c r="O15" s="17" t="s">
        <v>50</v>
      </c>
      <c r="P15" s="17" t="s">
        <v>50</v>
      </c>
      <c r="Q15" s="17" t="s">
        <v>50</v>
      </c>
    </row>
    <row r="16" spans="1:17">
      <c r="A16" s="359" t="s">
        <v>102</v>
      </c>
      <c r="B16" s="17" t="s">
        <v>50</v>
      </c>
      <c r="C16" s="17" t="s">
        <v>50</v>
      </c>
      <c r="D16" s="17" t="s">
        <v>50</v>
      </c>
      <c r="E16" s="17" t="s">
        <v>50</v>
      </c>
      <c r="F16" s="17" t="s">
        <v>50</v>
      </c>
      <c r="G16" s="17" t="s">
        <v>50</v>
      </c>
      <c r="H16" s="17" t="s">
        <v>50</v>
      </c>
      <c r="I16" s="17" t="s">
        <v>50</v>
      </c>
      <c r="J16" s="17" t="s">
        <v>50</v>
      </c>
      <c r="K16" s="17" t="s">
        <v>50</v>
      </c>
      <c r="L16" s="17" t="s">
        <v>50</v>
      </c>
      <c r="M16" s="17" t="s">
        <v>50</v>
      </c>
      <c r="N16" s="17" t="s">
        <v>50</v>
      </c>
      <c r="O16" s="17" t="s">
        <v>50</v>
      </c>
      <c r="P16" s="17" t="s">
        <v>50</v>
      </c>
      <c r="Q16" s="17" t="s">
        <v>50</v>
      </c>
    </row>
    <row r="17" spans="1:17">
      <c r="A17" s="287" t="s">
        <v>103</v>
      </c>
      <c r="B17" s="269" t="s">
        <v>1000</v>
      </c>
      <c r="C17" s="269" t="s">
        <v>118</v>
      </c>
      <c r="D17" s="269" t="s">
        <v>1458</v>
      </c>
      <c r="E17" s="269" t="s">
        <v>1459</v>
      </c>
      <c r="F17" s="269" t="s">
        <v>50</v>
      </c>
      <c r="G17" s="269" t="s">
        <v>50</v>
      </c>
      <c r="H17" s="269" t="s">
        <v>50</v>
      </c>
      <c r="I17" s="269" t="s">
        <v>50</v>
      </c>
      <c r="J17" s="269" t="s">
        <v>50</v>
      </c>
      <c r="K17" s="269" t="s">
        <v>50</v>
      </c>
      <c r="L17" s="269" t="s">
        <v>50</v>
      </c>
      <c r="M17" s="269" t="s">
        <v>50</v>
      </c>
      <c r="N17" s="269" t="s">
        <v>50</v>
      </c>
      <c r="O17" s="269" t="s">
        <v>50</v>
      </c>
      <c r="P17" s="269" t="s">
        <v>50</v>
      </c>
      <c r="Q17" s="269" t="s">
        <v>50</v>
      </c>
    </row>
    <row r="18" spans="1:17">
      <c r="A18" s="359" t="s">
        <v>104</v>
      </c>
      <c r="B18" s="17" t="s">
        <v>50</v>
      </c>
      <c r="C18" s="17" t="s">
        <v>50</v>
      </c>
      <c r="D18" s="17" t="s">
        <v>50</v>
      </c>
      <c r="E18" s="17" t="s">
        <v>50</v>
      </c>
      <c r="F18" s="17" t="s">
        <v>50</v>
      </c>
      <c r="G18" s="17" t="s">
        <v>50</v>
      </c>
      <c r="H18" s="17" t="s">
        <v>50</v>
      </c>
      <c r="I18" s="17" t="s">
        <v>50</v>
      </c>
      <c r="J18" s="17" t="s">
        <v>50</v>
      </c>
      <c r="K18" s="17" t="s">
        <v>50</v>
      </c>
      <c r="L18" s="17" t="s">
        <v>50</v>
      </c>
      <c r="M18" s="17" t="s">
        <v>50</v>
      </c>
      <c r="N18" s="17" t="s">
        <v>50</v>
      </c>
      <c r="O18" s="17" t="s">
        <v>50</v>
      </c>
      <c r="P18" s="17" t="s">
        <v>50</v>
      </c>
      <c r="Q18" s="17" t="s">
        <v>50</v>
      </c>
    </row>
    <row r="19" spans="1:17">
      <c r="A19" s="359" t="s">
        <v>105</v>
      </c>
      <c r="B19" s="17" t="s">
        <v>50</v>
      </c>
      <c r="C19" s="17" t="s">
        <v>50</v>
      </c>
      <c r="D19" s="17" t="s">
        <v>50</v>
      </c>
      <c r="E19" s="17" t="s">
        <v>50</v>
      </c>
      <c r="F19" s="17" t="s">
        <v>50</v>
      </c>
      <c r="G19" s="17" t="s">
        <v>50</v>
      </c>
      <c r="H19" s="17" t="s">
        <v>50</v>
      </c>
      <c r="I19" s="17" t="s">
        <v>50</v>
      </c>
      <c r="J19" s="17" t="s">
        <v>50</v>
      </c>
      <c r="K19" s="17" t="s">
        <v>50</v>
      </c>
      <c r="L19" s="17" t="s">
        <v>50</v>
      </c>
      <c r="M19" s="17" t="s">
        <v>50</v>
      </c>
      <c r="N19" s="17" t="s">
        <v>50</v>
      </c>
      <c r="O19" s="17" t="s">
        <v>50</v>
      </c>
      <c r="P19" s="17" t="s">
        <v>50</v>
      </c>
      <c r="Q19" s="17" t="s">
        <v>50</v>
      </c>
    </row>
    <row r="20" spans="1:17">
      <c r="A20" s="359" t="s">
        <v>106</v>
      </c>
      <c r="B20" s="17" t="s">
        <v>50</v>
      </c>
      <c r="C20" s="17" t="s">
        <v>50</v>
      </c>
      <c r="D20" s="17" t="s">
        <v>50</v>
      </c>
      <c r="E20" s="17" t="s">
        <v>50</v>
      </c>
      <c r="F20" s="17" t="s">
        <v>50</v>
      </c>
      <c r="G20" s="17" t="s">
        <v>50</v>
      </c>
      <c r="H20" s="17" t="s">
        <v>50</v>
      </c>
      <c r="I20" s="17" t="s">
        <v>50</v>
      </c>
      <c r="J20" s="17" t="s">
        <v>50</v>
      </c>
      <c r="K20" s="17" t="s">
        <v>50</v>
      </c>
      <c r="L20" s="17" t="s">
        <v>50</v>
      </c>
      <c r="M20" s="17" t="s">
        <v>50</v>
      </c>
      <c r="N20" s="17" t="s">
        <v>50</v>
      </c>
      <c r="O20" s="17" t="s">
        <v>50</v>
      </c>
      <c r="P20" s="17" t="s">
        <v>50</v>
      </c>
      <c r="Q20" s="17" t="s">
        <v>50</v>
      </c>
    </row>
    <row r="21" spans="1:17">
      <c r="A21" s="287" t="s">
        <v>107</v>
      </c>
      <c r="B21" s="269" t="s">
        <v>2127</v>
      </c>
      <c r="C21" s="269" t="s">
        <v>2128</v>
      </c>
      <c r="D21" s="277" t="s">
        <v>2126</v>
      </c>
      <c r="E21" s="269" t="s">
        <v>2129</v>
      </c>
      <c r="F21" s="269" t="s">
        <v>50</v>
      </c>
      <c r="G21" s="269" t="s">
        <v>50</v>
      </c>
      <c r="H21" s="269" t="s">
        <v>50</v>
      </c>
      <c r="I21" s="269" t="s">
        <v>50</v>
      </c>
      <c r="J21" s="269" t="s">
        <v>50</v>
      </c>
      <c r="K21" s="269" t="s">
        <v>50</v>
      </c>
      <c r="L21" s="269" t="s">
        <v>50</v>
      </c>
      <c r="M21" s="269" t="s">
        <v>50</v>
      </c>
      <c r="N21" s="269" t="s">
        <v>50</v>
      </c>
      <c r="O21" s="269" t="s">
        <v>50</v>
      </c>
      <c r="P21" s="269" t="s">
        <v>50</v>
      </c>
      <c r="Q21" s="269" t="s">
        <v>50</v>
      </c>
    </row>
    <row r="22" spans="1:17">
      <c r="A22" s="287" t="s">
        <v>35</v>
      </c>
      <c r="B22" s="269" t="s">
        <v>108</v>
      </c>
      <c r="C22" s="269" t="s">
        <v>109</v>
      </c>
      <c r="D22" s="269" t="s">
        <v>110</v>
      </c>
      <c r="E22" s="269" t="s">
        <v>111</v>
      </c>
      <c r="F22" s="269" t="s">
        <v>112</v>
      </c>
      <c r="G22" s="269" t="s">
        <v>113</v>
      </c>
      <c r="H22" s="269" t="s">
        <v>114</v>
      </c>
      <c r="I22" s="269" t="s">
        <v>115</v>
      </c>
      <c r="J22" s="269" t="s">
        <v>1436</v>
      </c>
      <c r="K22" s="269" t="s">
        <v>1437</v>
      </c>
      <c r="L22" s="269" t="s">
        <v>1438</v>
      </c>
      <c r="M22" s="269" t="s">
        <v>1439</v>
      </c>
      <c r="N22" s="269" t="s">
        <v>50</v>
      </c>
      <c r="O22" s="269" t="s">
        <v>50</v>
      </c>
      <c r="P22" s="269" t="s">
        <v>50</v>
      </c>
      <c r="Q22" s="269" t="s">
        <v>50</v>
      </c>
    </row>
    <row r="23" spans="1:17">
      <c r="A23" s="287" t="s">
        <v>116</v>
      </c>
      <c r="B23" s="269" t="s">
        <v>117</v>
      </c>
      <c r="C23" s="269" t="s">
        <v>118</v>
      </c>
      <c r="D23" s="269" t="s">
        <v>119</v>
      </c>
      <c r="E23" s="269" t="s">
        <v>120</v>
      </c>
      <c r="F23" s="269" t="s">
        <v>2211</v>
      </c>
      <c r="G23" s="269" t="s">
        <v>2212</v>
      </c>
      <c r="H23" s="277" t="s">
        <v>2210</v>
      </c>
      <c r="I23" s="269" t="s">
        <v>120</v>
      </c>
      <c r="J23" s="269" t="s">
        <v>50</v>
      </c>
      <c r="K23" s="269" t="s">
        <v>50</v>
      </c>
      <c r="L23" s="269" t="s">
        <v>50</v>
      </c>
      <c r="M23" s="269" t="s">
        <v>50</v>
      </c>
      <c r="N23" s="269" t="s">
        <v>50</v>
      </c>
      <c r="O23" s="269" t="s">
        <v>50</v>
      </c>
      <c r="P23" s="269" t="s">
        <v>50</v>
      </c>
      <c r="Q23" s="269" t="s">
        <v>50</v>
      </c>
    </row>
    <row r="24" spans="1:17">
      <c r="A24" s="287" t="s">
        <v>121</v>
      </c>
      <c r="B24" s="269" t="s">
        <v>122</v>
      </c>
      <c r="C24" s="269" t="s">
        <v>118</v>
      </c>
      <c r="D24" s="269" t="s">
        <v>123</v>
      </c>
      <c r="E24" s="269" t="s">
        <v>124</v>
      </c>
      <c r="F24" s="269" t="s">
        <v>50</v>
      </c>
      <c r="G24" s="269" t="s">
        <v>50</v>
      </c>
      <c r="H24" s="269" t="s">
        <v>50</v>
      </c>
      <c r="I24" s="269" t="s">
        <v>50</v>
      </c>
      <c r="J24" s="269" t="s">
        <v>50</v>
      </c>
      <c r="K24" s="269" t="s">
        <v>50</v>
      </c>
      <c r="L24" s="269" t="s">
        <v>50</v>
      </c>
      <c r="M24" s="269" t="s">
        <v>50</v>
      </c>
      <c r="N24" s="269" t="s">
        <v>50</v>
      </c>
      <c r="O24" s="269" t="s">
        <v>50</v>
      </c>
      <c r="P24" s="269" t="s">
        <v>50</v>
      </c>
      <c r="Q24" s="269" t="s">
        <v>50</v>
      </c>
    </row>
    <row r="25" spans="1:17">
      <c r="A25" s="287" t="s">
        <v>2378</v>
      </c>
      <c r="B25" s="269" t="s">
        <v>1440</v>
      </c>
      <c r="C25" s="269" t="s">
        <v>126</v>
      </c>
      <c r="D25" s="277" t="s">
        <v>1441</v>
      </c>
      <c r="E25" s="269" t="s">
        <v>1442</v>
      </c>
      <c r="F25" s="269" t="s">
        <v>1443</v>
      </c>
      <c r="G25" s="269" t="s">
        <v>125</v>
      </c>
      <c r="H25" s="277" t="s">
        <v>1444</v>
      </c>
      <c r="I25" s="269" t="s">
        <v>1445</v>
      </c>
      <c r="J25" s="269" t="s">
        <v>1446</v>
      </c>
      <c r="K25" s="269" t="s">
        <v>1447</v>
      </c>
      <c r="L25" s="277" t="s">
        <v>1448</v>
      </c>
      <c r="M25" s="269" t="s">
        <v>1449</v>
      </c>
      <c r="N25" s="269" t="s">
        <v>1454</v>
      </c>
      <c r="O25" s="269" t="s">
        <v>118</v>
      </c>
      <c r="P25" s="277" t="s">
        <v>1455</v>
      </c>
      <c r="Q25" s="269" t="s">
        <v>1456</v>
      </c>
    </row>
    <row r="26" spans="1:17">
      <c r="A26" s="359" t="s">
        <v>127</v>
      </c>
      <c r="B26" s="17" t="s">
        <v>50</v>
      </c>
      <c r="C26" s="17" t="s">
        <v>50</v>
      </c>
      <c r="D26" s="17" t="s">
        <v>50</v>
      </c>
      <c r="E26" s="17" t="s">
        <v>50</v>
      </c>
      <c r="F26" s="17" t="s">
        <v>50</v>
      </c>
      <c r="G26" s="17" t="s">
        <v>50</v>
      </c>
      <c r="H26" s="17" t="s">
        <v>50</v>
      </c>
      <c r="I26" s="17" t="s">
        <v>50</v>
      </c>
      <c r="J26" s="17" t="s">
        <v>50</v>
      </c>
      <c r="K26" s="17" t="s">
        <v>50</v>
      </c>
      <c r="L26" s="17" t="s">
        <v>50</v>
      </c>
      <c r="M26" s="17" t="s">
        <v>50</v>
      </c>
      <c r="N26" s="17" t="s">
        <v>50</v>
      </c>
      <c r="O26" s="17" t="s">
        <v>50</v>
      </c>
      <c r="P26" s="17" t="s">
        <v>50</v>
      </c>
      <c r="Q26" s="17" t="s">
        <v>50</v>
      </c>
    </row>
    <row r="27" spans="1:17">
      <c r="A27" s="287" t="s">
        <v>128</v>
      </c>
      <c r="B27" s="269" t="s">
        <v>129</v>
      </c>
      <c r="C27" s="269" t="s">
        <v>118</v>
      </c>
      <c r="D27" s="269" t="s">
        <v>130</v>
      </c>
      <c r="E27" s="269" t="s">
        <v>131</v>
      </c>
      <c r="F27" s="269" t="s">
        <v>50</v>
      </c>
      <c r="G27" s="269" t="s">
        <v>50</v>
      </c>
      <c r="H27" s="269" t="s">
        <v>50</v>
      </c>
      <c r="I27" s="269" t="s">
        <v>50</v>
      </c>
      <c r="J27" s="269" t="s">
        <v>50</v>
      </c>
      <c r="K27" s="269" t="s">
        <v>50</v>
      </c>
      <c r="L27" s="269" t="s">
        <v>50</v>
      </c>
      <c r="M27" s="269" t="s">
        <v>50</v>
      </c>
      <c r="N27" s="269" t="s">
        <v>50</v>
      </c>
      <c r="O27" s="269" t="s">
        <v>50</v>
      </c>
      <c r="P27" s="269" t="s">
        <v>50</v>
      </c>
      <c r="Q27" s="269" t="s">
        <v>50</v>
      </c>
    </row>
    <row r="28" spans="1:17">
      <c r="A28" s="287" t="s">
        <v>132</v>
      </c>
      <c r="B28" s="275" t="s">
        <v>2213</v>
      </c>
      <c r="C28" s="275" t="s">
        <v>2214</v>
      </c>
      <c r="D28" s="815" t="s">
        <v>2215</v>
      </c>
      <c r="E28" s="275" t="s">
        <v>2216</v>
      </c>
      <c r="F28" s="269" t="s">
        <v>2130</v>
      </c>
      <c r="G28" s="269" t="s">
        <v>2132</v>
      </c>
      <c r="H28" s="277" t="s">
        <v>2131</v>
      </c>
      <c r="I28" s="269" t="s">
        <v>133</v>
      </c>
      <c r="J28" s="269" t="s">
        <v>2134</v>
      </c>
      <c r="K28" s="269" t="s">
        <v>2135</v>
      </c>
      <c r="L28" s="277" t="s">
        <v>2133</v>
      </c>
      <c r="M28" s="269" t="s">
        <v>2136</v>
      </c>
      <c r="N28" s="269" t="s">
        <v>50</v>
      </c>
      <c r="O28" s="269" t="s">
        <v>50</v>
      </c>
      <c r="P28" s="269" t="s">
        <v>50</v>
      </c>
      <c r="Q28" s="269" t="s">
        <v>50</v>
      </c>
    </row>
    <row r="29" spans="1:17">
      <c r="A29" s="287" t="s">
        <v>134</v>
      </c>
      <c r="B29" s="269" t="s">
        <v>2138</v>
      </c>
      <c r="C29" s="269" t="s">
        <v>2139</v>
      </c>
      <c r="D29" s="277" t="s">
        <v>2137</v>
      </c>
      <c r="E29" s="269" t="s">
        <v>135</v>
      </c>
      <c r="F29" s="269" t="s">
        <v>2140</v>
      </c>
      <c r="G29" s="269" t="s">
        <v>2141</v>
      </c>
      <c r="H29" s="277" t="s">
        <v>2142</v>
      </c>
      <c r="I29" s="269" t="s">
        <v>136</v>
      </c>
      <c r="J29" s="269" t="s">
        <v>50</v>
      </c>
      <c r="K29" s="269" t="s">
        <v>50</v>
      </c>
      <c r="L29" s="269" t="s">
        <v>50</v>
      </c>
      <c r="M29" s="269" t="s">
        <v>50</v>
      </c>
      <c r="N29" s="269" t="s">
        <v>50</v>
      </c>
      <c r="O29" s="269" t="s">
        <v>50</v>
      </c>
      <c r="P29" s="269" t="s">
        <v>50</v>
      </c>
      <c r="Q29" s="269" t="s">
        <v>50</v>
      </c>
    </row>
    <row r="30" spans="1:17">
      <c r="A30" s="287" t="s">
        <v>137</v>
      </c>
      <c r="B30" s="269" t="s">
        <v>138</v>
      </c>
      <c r="C30" s="269" t="s">
        <v>139</v>
      </c>
      <c r="D30" s="269" t="s">
        <v>140</v>
      </c>
      <c r="E30" s="269" t="s">
        <v>141</v>
      </c>
      <c r="F30" s="269" t="s">
        <v>142</v>
      </c>
      <c r="G30" s="269" t="s">
        <v>1457</v>
      </c>
      <c r="H30" s="277" t="s">
        <v>143</v>
      </c>
      <c r="I30" s="269" t="s">
        <v>144</v>
      </c>
      <c r="J30" s="269" t="s">
        <v>50</v>
      </c>
      <c r="K30" s="269" t="s">
        <v>50</v>
      </c>
      <c r="L30" s="269" t="s">
        <v>50</v>
      </c>
      <c r="M30" s="269" t="s">
        <v>50</v>
      </c>
      <c r="N30" s="269" t="s">
        <v>50</v>
      </c>
      <c r="O30" s="269" t="s">
        <v>50</v>
      </c>
      <c r="P30" s="269" t="s">
        <v>50</v>
      </c>
      <c r="Q30" s="269" t="s">
        <v>50</v>
      </c>
    </row>
    <row r="31" spans="1:17">
      <c r="A31" s="287" t="s">
        <v>145</v>
      </c>
      <c r="B31" s="269" t="s">
        <v>146</v>
      </c>
      <c r="C31" s="269" t="s">
        <v>147</v>
      </c>
      <c r="D31" s="269" t="s">
        <v>148</v>
      </c>
      <c r="E31" s="269" t="s">
        <v>149</v>
      </c>
      <c r="F31" s="269" t="s">
        <v>150</v>
      </c>
      <c r="G31" s="269" t="s">
        <v>151</v>
      </c>
      <c r="H31" s="269" t="s">
        <v>152</v>
      </c>
      <c r="I31" s="269" t="s">
        <v>153</v>
      </c>
      <c r="J31" s="269" t="s">
        <v>50</v>
      </c>
      <c r="K31" s="269" t="s">
        <v>50</v>
      </c>
      <c r="L31" s="269" t="s">
        <v>50</v>
      </c>
      <c r="M31" s="269" t="s">
        <v>50</v>
      </c>
      <c r="N31" s="269" t="s">
        <v>50</v>
      </c>
      <c r="O31" s="269" t="s">
        <v>50</v>
      </c>
      <c r="P31" s="269" t="s">
        <v>50</v>
      </c>
      <c r="Q31" s="269" t="s">
        <v>50</v>
      </c>
    </row>
    <row r="32" spans="1:17">
      <c r="A32" s="287" t="s">
        <v>154</v>
      </c>
      <c r="B32" s="269" t="s">
        <v>2144</v>
      </c>
      <c r="C32" s="269" t="s">
        <v>118</v>
      </c>
      <c r="D32" s="277" t="s">
        <v>2143</v>
      </c>
      <c r="E32" s="269" t="s">
        <v>155</v>
      </c>
      <c r="F32" s="269" t="s">
        <v>156</v>
      </c>
      <c r="G32" s="269" t="s">
        <v>157</v>
      </c>
      <c r="H32" s="269" t="s">
        <v>158</v>
      </c>
      <c r="I32" s="269" t="s">
        <v>159</v>
      </c>
      <c r="J32" s="269" t="s">
        <v>160</v>
      </c>
      <c r="K32" s="269" t="s">
        <v>161</v>
      </c>
      <c r="L32" s="277" t="s">
        <v>162</v>
      </c>
      <c r="M32" s="269" t="s">
        <v>163</v>
      </c>
      <c r="N32" s="269" t="s">
        <v>50</v>
      </c>
      <c r="O32" s="269" t="s">
        <v>50</v>
      </c>
      <c r="P32" s="269" t="s">
        <v>50</v>
      </c>
      <c r="Q32" s="269" t="s">
        <v>50</v>
      </c>
    </row>
    <row r="33" spans="1:17">
      <c r="A33" s="359" t="s">
        <v>164</v>
      </c>
      <c r="B33" s="17" t="s">
        <v>50</v>
      </c>
      <c r="C33" s="17" t="s">
        <v>50</v>
      </c>
      <c r="D33" s="17" t="s">
        <v>50</v>
      </c>
      <c r="E33" s="17" t="s">
        <v>50</v>
      </c>
      <c r="F33" s="17" t="s">
        <v>50</v>
      </c>
      <c r="G33" s="17" t="s">
        <v>50</v>
      </c>
      <c r="H33" s="17" t="s">
        <v>50</v>
      </c>
      <c r="I33" s="17" t="s">
        <v>50</v>
      </c>
      <c r="J33" s="17" t="s">
        <v>50</v>
      </c>
      <c r="K33" s="17" t="s">
        <v>50</v>
      </c>
      <c r="L33" s="17" t="s">
        <v>50</v>
      </c>
      <c r="M33" s="17" t="s">
        <v>50</v>
      </c>
      <c r="N33" s="17" t="s">
        <v>50</v>
      </c>
      <c r="O33" s="17" t="s">
        <v>50</v>
      </c>
      <c r="P33" s="17" t="s">
        <v>50</v>
      </c>
      <c r="Q33" s="17" t="s">
        <v>50</v>
      </c>
    </row>
    <row r="34" spans="1:17">
      <c r="A34" s="359" t="s">
        <v>165</v>
      </c>
      <c r="B34" s="17" t="s">
        <v>50</v>
      </c>
      <c r="C34" s="17" t="s">
        <v>50</v>
      </c>
      <c r="D34" s="17" t="s">
        <v>50</v>
      </c>
      <c r="E34" s="17" t="s">
        <v>50</v>
      </c>
      <c r="F34" s="17" t="s">
        <v>50</v>
      </c>
      <c r="G34" s="17" t="s">
        <v>50</v>
      </c>
      <c r="H34" s="17" t="s">
        <v>50</v>
      </c>
      <c r="I34" s="17" t="s">
        <v>50</v>
      </c>
      <c r="J34" s="17" t="s">
        <v>50</v>
      </c>
      <c r="K34" s="17" t="s">
        <v>50</v>
      </c>
      <c r="L34" s="17" t="s">
        <v>50</v>
      </c>
      <c r="M34" s="17" t="s">
        <v>50</v>
      </c>
      <c r="N34" s="17" t="s">
        <v>50</v>
      </c>
      <c r="O34" s="17" t="s">
        <v>50</v>
      </c>
      <c r="P34" s="17" t="s">
        <v>50</v>
      </c>
      <c r="Q34" s="17" t="s">
        <v>50</v>
      </c>
    </row>
    <row r="35" spans="1:17">
      <c r="A35" s="359" t="s">
        <v>166</v>
      </c>
      <c r="B35" s="17" t="s">
        <v>50</v>
      </c>
      <c r="C35" s="17" t="s">
        <v>50</v>
      </c>
      <c r="D35" s="17" t="s">
        <v>50</v>
      </c>
      <c r="E35" s="17" t="s">
        <v>50</v>
      </c>
      <c r="F35" s="17" t="s">
        <v>50</v>
      </c>
      <c r="G35" s="17" t="s">
        <v>50</v>
      </c>
      <c r="H35" s="17" t="s">
        <v>50</v>
      </c>
      <c r="I35" s="17" t="s">
        <v>50</v>
      </c>
      <c r="J35" s="17" t="s">
        <v>50</v>
      </c>
      <c r="K35" s="17" t="s">
        <v>50</v>
      </c>
      <c r="L35" s="17" t="s">
        <v>50</v>
      </c>
      <c r="M35" s="17" t="s">
        <v>50</v>
      </c>
      <c r="N35" s="17" t="s">
        <v>50</v>
      </c>
      <c r="O35" s="17" t="s">
        <v>50</v>
      </c>
      <c r="P35" s="17" t="s">
        <v>50</v>
      </c>
      <c r="Q35" s="17" t="s">
        <v>50</v>
      </c>
    </row>
    <row r="36" spans="1:17">
      <c r="A36" s="287" t="s">
        <v>167</v>
      </c>
      <c r="B36" s="269" t="s">
        <v>168</v>
      </c>
      <c r="C36" s="269" t="s">
        <v>169</v>
      </c>
      <c r="D36" s="269" t="s">
        <v>170</v>
      </c>
      <c r="E36" s="269" t="s">
        <v>171</v>
      </c>
      <c r="F36" s="269" t="s">
        <v>2217</v>
      </c>
      <c r="G36" s="269" t="s">
        <v>2218</v>
      </c>
      <c r="H36" s="277" t="s">
        <v>2219</v>
      </c>
      <c r="I36" s="269" t="s">
        <v>2220</v>
      </c>
      <c r="J36" s="269" t="s">
        <v>50</v>
      </c>
      <c r="K36" s="269" t="s">
        <v>50</v>
      </c>
      <c r="L36" s="269" t="s">
        <v>50</v>
      </c>
      <c r="M36" s="269" t="s">
        <v>50</v>
      </c>
      <c r="N36" s="269" t="s">
        <v>50</v>
      </c>
      <c r="O36" s="269" t="s">
        <v>50</v>
      </c>
      <c r="P36" s="269" t="s">
        <v>50</v>
      </c>
      <c r="Q36" s="269" t="s">
        <v>50</v>
      </c>
    </row>
    <row r="37" spans="1:17">
      <c r="A37" s="287" t="s">
        <v>172</v>
      </c>
      <c r="B37" s="269" t="s">
        <v>50</v>
      </c>
      <c r="C37" s="269" t="s">
        <v>50</v>
      </c>
      <c r="D37" s="269" t="s">
        <v>50</v>
      </c>
      <c r="E37" s="269" t="s">
        <v>50</v>
      </c>
      <c r="F37" s="269" t="s">
        <v>50</v>
      </c>
      <c r="G37" s="269" t="s">
        <v>50</v>
      </c>
      <c r="H37" s="269" t="s">
        <v>50</v>
      </c>
      <c r="I37" s="269" t="s">
        <v>50</v>
      </c>
      <c r="J37" s="269" t="s">
        <v>50</v>
      </c>
      <c r="K37" s="269" t="s">
        <v>50</v>
      </c>
      <c r="L37" s="269" t="s">
        <v>50</v>
      </c>
      <c r="M37" s="269" t="s">
        <v>50</v>
      </c>
      <c r="N37" s="269" t="s">
        <v>50</v>
      </c>
      <c r="O37" s="269" t="s">
        <v>50</v>
      </c>
      <c r="P37" s="269" t="s">
        <v>50</v>
      </c>
      <c r="Q37" s="269" t="s">
        <v>50</v>
      </c>
    </row>
    <row r="38" spans="1:17">
      <c r="A38" s="359" t="s">
        <v>173</v>
      </c>
      <c r="B38" s="17" t="s">
        <v>50</v>
      </c>
      <c r="C38" s="17" t="s">
        <v>50</v>
      </c>
      <c r="D38" s="17" t="s">
        <v>50</v>
      </c>
      <c r="E38" s="17" t="s">
        <v>50</v>
      </c>
      <c r="F38" s="17" t="s">
        <v>50</v>
      </c>
      <c r="G38" s="17" t="s">
        <v>50</v>
      </c>
      <c r="H38" s="17" t="s">
        <v>50</v>
      </c>
      <c r="I38" s="17" t="s">
        <v>50</v>
      </c>
      <c r="J38" s="17" t="s">
        <v>50</v>
      </c>
      <c r="K38" s="17" t="s">
        <v>50</v>
      </c>
      <c r="L38" s="17" t="s">
        <v>50</v>
      </c>
      <c r="M38" s="17" t="s">
        <v>50</v>
      </c>
      <c r="N38" s="17" t="s">
        <v>50</v>
      </c>
      <c r="O38" s="17" t="s">
        <v>50</v>
      </c>
      <c r="P38" s="17" t="s">
        <v>50</v>
      </c>
      <c r="Q38" s="17" t="s">
        <v>50</v>
      </c>
    </row>
    <row r="39" spans="1:17">
      <c r="A39" s="359" t="s">
        <v>174</v>
      </c>
      <c r="B39" s="17" t="s">
        <v>1487</v>
      </c>
      <c r="C39" s="17" t="s">
        <v>175</v>
      </c>
      <c r="D39" s="611" t="s">
        <v>1488</v>
      </c>
      <c r="E39" s="17" t="s">
        <v>1489</v>
      </c>
      <c r="F39" s="269" t="s">
        <v>2145</v>
      </c>
      <c r="G39" s="269" t="s">
        <v>2147</v>
      </c>
      <c r="H39" s="277" t="s">
        <v>2148</v>
      </c>
      <c r="I39" s="269" t="s">
        <v>176</v>
      </c>
      <c r="J39" s="269" t="s">
        <v>2146</v>
      </c>
      <c r="K39" s="269" t="s">
        <v>2150</v>
      </c>
      <c r="L39" s="277" t="s">
        <v>2149</v>
      </c>
      <c r="M39" s="269" t="s">
        <v>2151</v>
      </c>
      <c r="N39" s="269" t="s">
        <v>50</v>
      </c>
      <c r="O39" s="269" t="s">
        <v>50</v>
      </c>
      <c r="P39" s="269" t="s">
        <v>50</v>
      </c>
      <c r="Q39" s="269" t="s">
        <v>50</v>
      </c>
    </row>
    <row r="40" spans="1:17">
      <c r="A40" s="287" t="s">
        <v>177</v>
      </c>
      <c r="B40" s="269" t="s">
        <v>178</v>
      </c>
      <c r="C40" s="269" t="s">
        <v>179</v>
      </c>
      <c r="D40" s="269" t="s">
        <v>180</v>
      </c>
      <c r="E40" s="269" t="s">
        <v>181</v>
      </c>
      <c r="F40" s="269" t="s">
        <v>1460</v>
      </c>
      <c r="G40" s="269" t="s">
        <v>1461</v>
      </c>
      <c r="H40" s="269" t="s">
        <v>1462</v>
      </c>
      <c r="I40" s="269" t="s">
        <v>1463</v>
      </c>
      <c r="J40" s="823" t="s">
        <v>2221</v>
      </c>
      <c r="K40" s="823" t="s">
        <v>2221</v>
      </c>
      <c r="L40" s="823" t="s">
        <v>2221</v>
      </c>
      <c r="M40" s="823" t="s">
        <v>2221</v>
      </c>
      <c r="N40" s="823" t="s">
        <v>2221</v>
      </c>
      <c r="O40" s="823" t="s">
        <v>2221</v>
      </c>
      <c r="P40" s="823" t="s">
        <v>2221</v>
      </c>
      <c r="Q40" s="823" t="s">
        <v>2221</v>
      </c>
    </row>
    <row r="41" spans="1:17">
      <c r="A41" s="287" t="s">
        <v>182</v>
      </c>
      <c r="B41" s="269" t="s">
        <v>2152</v>
      </c>
      <c r="C41" s="269" t="s">
        <v>118</v>
      </c>
      <c r="D41" s="277" t="s">
        <v>2153</v>
      </c>
      <c r="E41" s="269" t="s">
        <v>2154</v>
      </c>
      <c r="F41" s="269" t="s">
        <v>50</v>
      </c>
      <c r="G41" s="269" t="s">
        <v>50</v>
      </c>
      <c r="H41" s="269" t="s">
        <v>50</v>
      </c>
      <c r="I41" s="269" t="s">
        <v>50</v>
      </c>
      <c r="J41" s="269" t="s">
        <v>50</v>
      </c>
      <c r="K41" s="269" t="s">
        <v>50</v>
      </c>
      <c r="L41" s="269" t="s">
        <v>50</v>
      </c>
      <c r="M41" s="269" t="s">
        <v>50</v>
      </c>
      <c r="N41" s="269" t="s">
        <v>50</v>
      </c>
      <c r="O41" s="269" t="s">
        <v>50</v>
      </c>
      <c r="P41" s="269" t="s">
        <v>50</v>
      </c>
      <c r="Q41" s="269" t="s">
        <v>50</v>
      </c>
    </row>
    <row r="42" spans="1:17">
      <c r="A42" s="287" t="s">
        <v>183</v>
      </c>
      <c r="B42" s="269" t="s">
        <v>184</v>
      </c>
      <c r="C42" s="269" t="s">
        <v>185</v>
      </c>
      <c r="D42" s="269" t="s">
        <v>186</v>
      </c>
      <c r="E42" s="269" t="s">
        <v>187</v>
      </c>
      <c r="F42" s="269" t="s">
        <v>50</v>
      </c>
      <c r="G42" s="269" t="s">
        <v>50</v>
      </c>
      <c r="H42" s="269" t="s">
        <v>50</v>
      </c>
      <c r="I42" s="269" t="s">
        <v>50</v>
      </c>
      <c r="J42" s="269" t="s">
        <v>50</v>
      </c>
      <c r="K42" s="269" t="s">
        <v>50</v>
      </c>
      <c r="L42" s="269" t="s">
        <v>50</v>
      </c>
      <c r="M42" s="269" t="s">
        <v>50</v>
      </c>
      <c r="N42" s="269" t="s">
        <v>50</v>
      </c>
      <c r="O42" s="269" t="s">
        <v>50</v>
      </c>
      <c r="P42" s="269" t="s">
        <v>50</v>
      </c>
      <c r="Q42" s="269" t="s">
        <v>50</v>
      </c>
    </row>
    <row r="43" spans="1:17">
      <c r="A43" s="287" t="s">
        <v>188</v>
      </c>
      <c r="B43" s="269" t="s">
        <v>2156</v>
      </c>
      <c r="C43" s="269" t="s">
        <v>118</v>
      </c>
      <c r="D43" s="277" t="s">
        <v>2155</v>
      </c>
      <c r="E43" s="269" t="s">
        <v>50</v>
      </c>
      <c r="F43" s="269" t="s">
        <v>189</v>
      </c>
      <c r="G43" s="269" t="s">
        <v>2158</v>
      </c>
      <c r="H43" s="277" t="s">
        <v>2157</v>
      </c>
      <c r="I43" s="269" t="s">
        <v>50</v>
      </c>
      <c r="J43" s="269" t="s">
        <v>50</v>
      </c>
      <c r="K43" s="269" t="s">
        <v>50</v>
      </c>
      <c r="L43" s="277" t="s">
        <v>50</v>
      </c>
      <c r="M43" s="269" t="s">
        <v>50</v>
      </c>
      <c r="N43" s="269" t="s">
        <v>50</v>
      </c>
      <c r="O43" s="269" t="s">
        <v>50</v>
      </c>
      <c r="P43" s="269" t="s">
        <v>50</v>
      </c>
      <c r="Q43" s="269" t="s">
        <v>50</v>
      </c>
    </row>
    <row r="44" spans="1:17">
      <c r="A44" s="287" t="s">
        <v>190</v>
      </c>
      <c r="B44" s="269" t="s">
        <v>191</v>
      </c>
      <c r="C44" s="269" t="s">
        <v>192</v>
      </c>
      <c r="D44" s="269" t="s">
        <v>193</v>
      </c>
      <c r="E44" s="269" t="s">
        <v>194</v>
      </c>
      <c r="F44" s="269" t="s">
        <v>2222</v>
      </c>
      <c r="G44" s="269" t="s">
        <v>2223</v>
      </c>
      <c r="H44" s="277" t="s">
        <v>2224</v>
      </c>
      <c r="I44" s="269" t="s">
        <v>2225</v>
      </c>
      <c r="J44" s="269" t="s">
        <v>1464</v>
      </c>
      <c r="K44" s="269" t="s">
        <v>1465</v>
      </c>
      <c r="L44" s="277" t="s">
        <v>1466</v>
      </c>
      <c r="M44" s="269" t="s">
        <v>1467</v>
      </c>
      <c r="N44" s="269" t="s">
        <v>2226</v>
      </c>
      <c r="O44" s="269" t="s">
        <v>2227</v>
      </c>
      <c r="P44" s="277" t="s">
        <v>2228</v>
      </c>
      <c r="Q44" s="269" t="s">
        <v>2229</v>
      </c>
    </row>
    <row r="45" spans="1:17">
      <c r="A45" s="287" t="s">
        <v>195</v>
      </c>
      <c r="B45" s="269" t="s">
        <v>196</v>
      </c>
      <c r="C45" s="269" t="s">
        <v>197</v>
      </c>
      <c r="D45" s="269" t="s">
        <v>198</v>
      </c>
      <c r="E45" s="269" t="s">
        <v>199</v>
      </c>
      <c r="F45" s="269" t="s">
        <v>2230</v>
      </c>
      <c r="G45" s="269" t="s">
        <v>2232</v>
      </c>
      <c r="H45" s="277" t="s">
        <v>2231</v>
      </c>
      <c r="I45" s="269" t="s">
        <v>2233</v>
      </c>
      <c r="J45" s="269" t="s">
        <v>50</v>
      </c>
      <c r="K45" s="269" t="s">
        <v>50</v>
      </c>
      <c r="L45" s="277" t="s">
        <v>50</v>
      </c>
      <c r="M45" s="269" t="s">
        <v>50</v>
      </c>
      <c r="N45" s="269" t="s">
        <v>50</v>
      </c>
      <c r="O45" s="269" t="s">
        <v>50</v>
      </c>
      <c r="P45" s="269" t="s">
        <v>50</v>
      </c>
      <c r="Q45" s="269" t="s">
        <v>50</v>
      </c>
    </row>
    <row r="46" spans="1:17">
      <c r="A46" s="359" t="s">
        <v>200</v>
      </c>
      <c r="B46" s="17" t="s">
        <v>50</v>
      </c>
      <c r="C46" s="17" t="s">
        <v>50</v>
      </c>
      <c r="D46" s="17" t="s">
        <v>50</v>
      </c>
      <c r="E46" s="17" t="s">
        <v>50</v>
      </c>
      <c r="F46" s="17" t="s">
        <v>50</v>
      </c>
      <c r="G46" s="17" t="s">
        <v>50</v>
      </c>
      <c r="H46" s="17" t="s">
        <v>50</v>
      </c>
      <c r="I46" s="17" t="s">
        <v>50</v>
      </c>
      <c r="J46" s="17" t="s">
        <v>50</v>
      </c>
      <c r="K46" s="17" t="s">
        <v>50</v>
      </c>
      <c r="L46" s="17" t="s">
        <v>50</v>
      </c>
      <c r="M46" s="17" t="s">
        <v>50</v>
      </c>
      <c r="N46" s="17" t="s">
        <v>50</v>
      </c>
      <c r="O46" s="17" t="s">
        <v>50</v>
      </c>
      <c r="P46" s="17" t="s">
        <v>50</v>
      </c>
      <c r="Q46" s="17" t="s">
        <v>50</v>
      </c>
    </row>
    <row r="47" spans="1:17">
      <c r="A47" s="287" t="s">
        <v>201</v>
      </c>
      <c r="B47" s="269" t="s">
        <v>202</v>
      </c>
      <c r="C47" s="269" t="s">
        <v>203</v>
      </c>
      <c r="D47" s="269" t="s">
        <v>204</v>
      </c>
      <c r="E47" s="269" t="s">
        <v>205</v>
      </c>
      <c r="F47" s="269" t="s">
        <v>50</v>
      </c>
      <c r="G47" s="269" t="s">
        <v>50</v>
      </c>
      <c r="H47" s="269" t="s">
        <v>50</v>
      </c>
      <c r="I47" s="269" t="s">
        <v>50</v>
      </c>
      <c r="J47" s="269" t="s">
        <v>50</v>
      </c>
      <c r="K47" s="269" t="s">
        <v>50</v>
      </c>
      <c r="L47" s="269" t="s">
        <v>50</v>
      </c>
      <c r="M47" s="269" t="s">
        <v>50</v>
      </c>
      <c r="N47" s="269" t="s">
        <v>50</v>
      </c>
      <c r="O47" s="269" t="s">
        <v>50</v>
      </c>
      <c r="P47" s="269" t="s">
        <v>50</v>
      </c>
      <c r="Q47" s="269" t="s">
        <v>50</v>
      </c>
    </row>
    <row r="48" spans="1:17">
      <c r="A48" s="287" t="s">
        <v>206</v>
      </c>
      <c r="B48" s="269" t="s">
        <v>1468</v>
      </c>
      <c r="C48" s="610" t="s">
        <v>1469</v>
      </c>
      <c r="D48" s="269" t="s">
        <v>1470</v>
      </c>
      <c r="E48" s="269" t="s">
        <v>50</v>
      </c>
      <c r="F48" s="269" t="s">
        <v>1471</v>
      </c>
      <c r="G48" s="269" t="s">
        <v>1472</v>
      </c>
      <c r="H48" s="269" t="s">
        <v>1473</v>
      </c>
      <c r="I48" s="269" t="s">
        <v>1474</v>
      </c>
      <c r="J48" s="269" t="s">
        <v>50</v>
      </c>
      <c r="K48" s="269" t="s">
        <v>50</v>
      </c>
      <c r="L48" s="269" t="s">
        <v>50</v>
      </c>
      <c r="M48" s="269" t="s">
        <v>50</v>
      </c>
      <c r="N48" s="269" t="s">
        <v>50</v>
      </c>
      <c r="O48" s="269" t="s">
        <v>50</v>
      </c>
      <c r="P48" s="269" t="s">
        <v>50</v>
      </c>
      <c r="Q48" s="269" t="s">
        <v>50</v>
      </c>
    </row>
    <row r="49" spans="1:17">
      <c r="A49" s="287" t="s">
        <v>207</v>
      </c>
      <c r="B49" s="269" t="s">
        <v>208</v>
      </c>
      <c r="C49" s="269" t="s">
        <v>209</v>
      </c>
      <c r="D49" s="277" t="s">
        <v>210</v>
      </c>
      <c r="E49" s="269" t="s">
        <v>211</v>
      </c>
      <c r="F49" s="269" t="s">
        <v>1475</v>
      </c>
      <c r="G49" s="269" t="s">
        <v>1476</v>
      </c>
      <c r="H49" s="269" t="s">
        <v>1477</v>
      </c>
      <c r="I49" s="269" t="s">
        <v>1478</v>
      </c>
      <c r="J49" s="818" t="s">
        <v>2161</v>
      </c>
      <c r="K49" s="817" t="s">
        <v>1461</v>
      </c>
      <c r="L49" s="816" t="s">
        <v>2160</v>
      </c>
      <c r="M49" s="275" t="s">
        <v>2162</v>
      </c>
      <c r="N49" s="824" t="s">
        <v>2221</v>
      </c>
      <c r="O49" s="824" t="s">
        <v>2221</v>
      </c>
      <c r="P49" s="824" t="s">
        <v>2221</v>
      </c>
      <c r="Q49" s="824" t="s">
        <v>2221</v>
      </c>
    </row>
    <row r="50" spans="1:17">
      <c r="A50" s="287" t="s">
        <v>212</v>
      </c>
      <c r="B50" s="269" t="s">
        <v>1491</v>
      </c>
      <c r="C50" s="269" t="s">
        <v>1479</v>
      </c>
      <c r="D50" s="277" t="s">
        <v>2159</v>
      </c>
      <c r="E50" s="269" t="s">
        <v>2234</v>
      </c>
      <c r="F50" s="269"/>
      <c r="G50" s="269"/>
      <c r="H50" s="269"/>
      <c r="I50" s="269"/>
      <c r="J50" s="269"/>
      <c r="K50" s="269"/>
      <c r="L50" s="277"/>
      <c r="M50" s="269"/>
      <c r="N50" s="269" t="s">
        <v>50</v>
      </c>
      <c r="O50" s="269" t="s">
        <v>50</v>
      </c>
      <c r="P50" s="269" t="s">
        <v>50</v>
      </c>
      <c r="Q50" s="269" t="s">
        <v>50</v>
      </c>
    </row>
    <row r="51" spans="1:17">
      <c r="A51" s="287" t="s">
        <v>213</v>
      </c>
      <c r="B51" s="269" t="s">
        <v>1480</v>
      </c>
      <c r="C51" s="269" t="s">
        <v>215</v>
      </c>
      <c r="D51" s="269" t="s">
        <v>1481</v>
      </c>
      <c r="E51" s="273" t="s">
        <v>1482</v>
      </c>
      <c r="F51" s="269" t="s">
        <v>214</v>
      </c>
      <c r="G51" s="269" t="s">
        <v>215</v>
      </c>
      <c r="H51" s="269" t="s">
        <v>216</v>
      </c>
      <c r="I51" s="269" t="s">
        <v>217</v>
      </c>
      <c r="J51" s="269" t="s">
        <v>50</v>
      </c>
      <c r="K51" s="269" t="s">
        <v>50</v>
      </c>
      <c r="L51" s="269" t="s">
        <v>50</v>
      </c>
      <c r="M51" s="269" t="s">
        <v>50</v>
      </c>
      <c r="N51" s="269" t="s">
        <v>50</v>
      </c>
      <c r="O51" s="269" t="s">
        <v>50</v>
      </c>
      <c r="P51" s="269" t="s">
        <v>50</v>
      </c>
      <c r="Q51" s="269" t="s">
        <v>50</v>
      </c>
    </row>
    <row r="52" spans="1:17">
      <c r="A52" s="287" t="s">
        <v>218</v>
      </c>
      <c r="B52" s="269" t="s">
        <v>2163</v>
      </c>
      <c r="C52" s="269" t="s">
        <v>219</v>
      </c>
      <c r="D52" s="277" t="s">
        <v>2164</v>
      </c>
      <c r="E52" s="269" t="s">
        <v>2168</v>
      </c>
      <c r="F52" s="269" t="s">
        <v>2166</v>
      </c>
      <c r="G52" s="269" t="s">
        <v>2167</v>
      </c>
      <c r="H52" s="277" t="s">
        <v>2165</v>
      </c>
      <c r="I52" s="269" t="s">
        <v>2169</v>
      </c>
      <c r="J52" s="269" t="s">
        <v>50</v>
      </c>
      <c r="K52" s="269" t="s">
        <v>50</v>
      </c>
      <c r="L52" s="269" t="s">
        <v>50</v>
      </c>
      <c r="M52" s="269" t="s">
        <v>50</v>
      </c>
      <c r="N52" s="269" t="s">
        <v>50</v>
      </c>
      <c r="O52" s="269" t="s">
        <v>50</v>
      </c>
      <c r="P52" s="269" t="s">
        <v>50</v>
      </c>
      <c r="Q52" s="269" t="s">
        <v>50</v>
      </c>
    </row>
    <row r="53" spans="1:17">
      <c r="A53" s="287" t="s">
        <v>220</v>
      </c>
      <c r="B53" s="269" t="s">
        <v>1483</v>
      </c>
      <c r="C53" s="269" t="s">
        <v>1484</v>
      </c>
      <c r="D53" s="269" t="s">
        <v>1485</v>
      </c>
      <c r="E53" s="269" t="s">
        <v>1486</v>
      </c>
      <c r="F53" s="269" t="s">
        <v>2236</v>
      </c>
      <c r="G53" s="269"/>
      <c r="H53" s="277" t="s">
        <v>2235</v>
      </c>
      <c r="I53" s="269"/>
      <c r="J53" s="269" t="s">
        <v>50</v>
      </c>
      <c r="K53" s="269" t="s">
        <v>50</v>
      </c>
      <c r="L53" s="269" t="s">
        <v>50</v>
      </c>
      <c r="M53" s="269" t="s">
        <v>50</v>
      </c>
      <c r="N53" s="269" t="s">
        <v>50</v>
      </c>
      <c r="O53" s="269" t="s">
        <v>50</v>
      </c>
      <c r="P53" s="269" t="s">
        <v>50</v>
      </c>
      <c r="Q53" s="269" t="s">
        <v>50</v>
      </c>
    </row>
  </sheetData>
  <autoFilter ref="A1:Q53" xr:uid="{00000000-0001-0000-0100-000000000000}"/>
  <hyperlinks>
    <hyperlink ref="H4" r:id="rId1" xr:uid="{00000000-0004-0000-0100-000000000000}"/>
    <hyperlink ref="L4" r:id="rId2" xr:uid="{00000000-0004-0000-0100-000001000000}"/>
    <hyperlink ref="H5" r:id="rId3" xr:uid="{00000000-0004-0000-0100-000002000000}"/>
    <hyperlink ref="D49" r:id="rId4" xr:uid="{00000000-0004-0000-0100-000004000000}"/>
    <hyperlink ref="L8" r:id="rId5" xr:uid="{6F144358-E08E-4245-956B-55C1775720D4}"/>
    <hyperlink ref="H28" r:id="rId6" xr:uid="{30AF63CE-03C3-274E-8458-77B1E6157F28}"/>
    <hyperlink ref="L32" r:id="rId7" xr:uid="{CC966ECF-83D7-3F46-A4DA-77E7FEE37CB0}"/>
    <hyperlink ref="L43" r:id="rId8" display="Khall@rcc.mass.edu" xr:uid="{ADBC7285-A1D9-2A48-99CB-349F785014F9}"/>
    <hyperlink ref="D22" r:id="rId9" xr:uid="{F2DEB8BD-9AD2-46FF-A760-C89D4AE2FC2A}"/>
    <hyperlink ref="H30" r:id="rId10" xr:uid="{1DAEE47E-7906-D544-BCD7-F67B10B1A8D4}"/>
    <hyperlink ref="D10" r:id="rId11" xr:uid="{1893B1DC-961E-45FF-B85C-0AE972829EE1}"/>
    <hyperlink ref="H10" r:id="rId12" xr:uid="{7D36D944-276D-4559-914A-6E72E679D261}"/>
    <hyperlink ref="D13" r:id="rId13" xr:uid="{86A1D3E5-9193-4496-8F6F-F221FDEAE809}"/>
    <hyperlink ref="H13" r:id="rId14" display="mailto:Meaghan.Hencir@mass.gov" xr:uid="{AE1B3885-8E3F-4D1B-837C-1DD3DA25C797}"/>
    <hyperlink ref="D14" r:id="rId15" xr:uid="{5162682A-6D7E-45BB-9BD1-1FC64AEEE272}"/>
    <hyperlink ref="D25" r:id="rId16" xr:uid="{090D01F9-6672-4F1D-82C8-207F14C63531}"/>
    <hyperlink ref="H25" r:id="rId17" xr:uid="{42371CD2-17FB-484D-95EF-601E976ABF7F}"/>
    <hyperlink ref="L25" r:id="rId18" xr:uid="{BD3ADFCC-D503-4262-8276-2F10750ECA13}"/>
    <hyperlink ref="P25" r:id="rId19" xr:uid="{AD96980D-4726-499B-8322-86D279FA4996}"/>
    <hyperlink ref="H44" r:id="rId20" xr:uid="{FD4056B3-8B38-4DB0-B649-DD92BDDBB668}"/>
    <hyperlink ref="L44" r:id="rId21" xr:uid="{306DE67D-1F82-4708-9C9F-CE562998E662}"/>
    <hyperlink ref="D39" r:id="rId22" xr:uid="{3F3A58DA-90D5-4F69-A42E-9AF6B12F29E0}"/>
    <hyperlink ref="L45" r:id="rId23" display="svbush2101@stcc.edu" xr:uid="{0E8062B0-EF57-4B13-B297-F12D2BBF03B0}"/>
    <hyperlink ref="D5" r:id="rId24" display="mailto:JoAnn.Bentley@bristolcc.edu" xr:uid="{02372719-C66E-4E99-A1CF-D0999D2B99F7}"/>
    <hyperlink ref="D9" r:id="rId25" xr:uid="{0C705804-DBF3-4186-A7A3-269394E3E1AD}"/>
    <hyperlink ref="H9" r:id="rId26" xr:uid="{2E760AC5-8C0E-4832-A6AA-4DFF83FC77EC}"/>
    <hyperlink ref="D21" r:id="rId27" xr:uid="{D0A1B318-8D8B-4C6E-A350-FFA579285DD8}"/>
    <hyperlink ref="L28" r:id="rId28" xr:uid="{71D31F60-5345-482D-9089-DE81910915C1}"/>
    <hyperlink ref="D29" r:id="rId29" xr:uid="{336FAB47-4397-4A96-888B-9751CEFAD459}"/>
    <hyperlink ref="H29" r:id="rId30" xr:uid="{06119198-CDA6-46F9-ABF8-25CAD214511D}"/>
    <hyperlink ref="D32" r:id="rId31" xr:uid="{09B9785D-4E90-4EC8-B74B-AF17967D8E89}"/>
    <hyperlink ref="H39" r:id="rId32" xr:uid="{E46EE7C9-033A-48CA-BC10-204D95F08AD4}"/>
    <hyperlink ref="L39" r:id="rId33" xr:uid="{7708A1B3-1246-41C2-8848-1A1266D780EC}"/>
    <hyperlink ref="D41" r:id="rId34" xr:uid="{C07CD988-3EE2-4CBB-8DFE-E10A3E247CF1}"/>
    <hyperlink ref="D43" r:id="rId35" xr:uid="{2A551DA2-5A76-4939-A219-C7B5A9A9598B}"/>
    <hyperlink ref="H43" r:id="rId36" xr:uid="{DF79E717-715D-4259-AB90-1F416F95FE04}"/>
    <hyperlink ref="H45" r:id="rId37" xr:uid="{19EFA1B5-4E95-4F97-A9A3-C1FDE716008F}"/>
    <hyperlink ref="L49" r:id="rId38" xr:uid="{DF2E3DB9-CFC9-46E7-BB83-7A5E404AA015}"/>
    <hyperlink ref="D52" r:id="rId39" display="srobbins@westfield.ma.edu" xr:uid="{F83417D4-9E2A-48C0-B0EB-64F0EED21207}"/>
    <hyperlink ref="H23" r:id="rId40" xr:uid="{15223B63-BE6A-43DA-BB9B-266B0CAB38F9}"/>
    <hyperlink ref="D28" r:id="rId41" xr:uid="{CB30FA4D-5704-4D26-8A7A-11B2DF4206BF}"/>
    <hyperlink ref="H36" r:id="rId42" xr:uid="{1677F256-EA30-4A4E-8BEF-33DE3F9D0AAE}"/>
    <hyperlink ref="P44" r:id="rId43" xr:uid="{BFC9B37D-609E-48C9-80A3-BEEE41C56441}"/>
    <hyperlink ref="D50" r:id="rId44" xr:uid="{29434B9C-E1CD-4EF0-A85E-795E600F7ABE}"/>
    <hyperlink ref="H53" r:id="rId45" xr:uid="{35D40B17-956A-4BE6-90C7-A7277FDA1EEB}"/>
  </hyperlinks>
  <pageMargins left="0.7" right="0.7" top="0.75" bottom="0.75" header="0.3" footer="0.3"/>
  <pageSetup orientation="portrait" r:id="rId4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AE41"/>
  <sheetViews>
    <sheetView showGridLines="0" zoomScale="80" zoomScaleNormal="80" workbookViewId="0">
      <selection activeCell="L18" sqref="L18"/>
    </sheetView>
  </sheetViews>
  <sheetFormatPr defaultColWidth="0" defaultRowHeight="15" zeroHeight="1"/>
  <cols>
    <col min="1" max="1" width="2.7109375" customWidth="1"/>
    <col min="2" max="2" width="6.7109375" customWidth="1"/>
    <col min="3" max="3" width="9.140625" customWidth="1"/>
    <col min="4" max="4" width="14.85546875" customWidth="1"/>
    <col min="5" max="5" width="16.42578125" customWidth="1"/>
    <col min="6" max="6" width="9.140625" customWidth="1"/>
    <col min="7" max="7" width="12" customWidth="1"/>
    <col min="8" max="8" width="9" customWidth="1"/>
    <col min="9" max="9" width="12.42578125" customWidth="1"/>
    <col min="10" max="10" width="9.28515625" customWidth="1"/>
    <col min="11" max="12" width="9.140625" customWidth="1"/>
    <col min="13" max="13" width="14.42578125" customWidth="1"/>
    <col min="14" max="14" width="6.42578125" customWidth="1"/>
    <col min="15" max="15" width="26.42578125" customWidth="1"/>
    <col min="16" max="16" width="14.85546875" style="42" customWidth="1"/>
    <col min="17" max="31" width="0" hidden="1" customWidth="1"/>
    <col min="32" max="16384" width="9.140625" hidden="1"/>
  </cols>
  <sheetData>
    <row r="1" spans="2:16" ht="15" customHeight="1" thickBot="1">
      <c r="B1" s="994" t="s">
        <v>22</v>
      </c>
      <c r="C1" s="994"/>
      <c r="D1" s="994"/>
      <c r="E1" s="994"/>
      <c r="F1" s="994"/>
      <c r="G1" s="994"/>
      <c r="H1" s="994"/>
      <c r="I1" s="994"/>
      <c r="J1" s="994"/>
      <c r="K1" s="994"/>
      <c r="L1" s="994"/>
      <c r="M1" s="994"/>
      <c r="N1" s="994"/>
      <c r="O1" s="994"/>
      <c r="P1" s="72"/>
    </row>
    <row r="2" spans="2:16" ht="15" customHeight="1" thickBot="1">
      <c r="B2" s="998" t="s">
        <v>9</v>
      </c>
      <c r="C2" s="998"/>
      <c r="D2" s="998"/>
      <c r="E2" s="996" t="s">
        <v>221</v>
      </c>
      <c r="F2" s="996"/>
      <c r="G2" s="996"/>
      <c r="H2" s="996"/>
      <c r="I2" s="996"/>
      <c r="J2" s="996"/>
      <c r="K2" s="996"/>
      <c r="L2" s="996"/>
      <c r="M2" s="996"/>
      <c r="N2" s="996"/>
      <c r="O2" s="996"/>
      <c r="P2" s="71"/>
    </row>
    <row r="3" spans="2:16" ht="15.75" thickBot="1">
      <c r="B3" s="998"/>
      <c r="C3" s="998"/>
      <c r="D3" s="998"/>
      <c r="E3" s="996"/>
      <c r="F3" s="996"/>
      <c r="G3" s="996"/>
      <c r="H3" s="996"/>
      <c r="I3" s="996"/>
      <c r="J3" s="996"/>
      <c r="K3" s="996"/>
      <c r="L3" s="996"/>
      <c r="M3" s="996"/>
      <c r="N3" s="996"/>
      <c r="O3" s="996"/>
      <c r="P3" s="71"/>
    </row>
    <row r="4" spans="2:16" ht="15.75" thickBot="1">
      <c r="B4" s="998"/>
      <c r="C4" s="998"/>
      <c r="D4" s="998"/>
      <c r="E4" s="996"/>
      <c r="F4" s="996"/>
      <c r="G4" s="996"/>
      <c r="H4" s="996"/>
      <c r="I4" s="996"/>
      <c r="J4" s="996"/>
      <c r="K4" s="996"/>
      <c r="L4" s="996"/>
      <c r="M4" s="996"/>
      <c r="N4" s="996"/>
      <c r="O4" s="996"/>
      <c r="P4" s="71"/>
    </row>
    <row r="5" spans="2:16" ht="17.25" customHeight="1" thickBot="1">
      <c r="B5" s="998"/>
      <c r="C5" s="998"/>
      <c r="D5" s="998"/>
      <c r="E5" s="997" t="s">
        <v>222</v>
      </c>
      <c r="F5" s="997"/>
      <c r="G5" s="997"/>
      <c r="H5" s="997"/>
      <c r="I5" s="997"/>
      <c r="J5" s="997"/>
      <c r="K5" s="997"/>
      <c r="L5" s="997"/>
      <c r="M5" s="997"/>
      <c r="N5" s="997"/>
      <c r="O5" s="997"/>
      <c r="P5" s="71"/>
    </row>
    <row r="6" spans="2:16" ht="15.75" thickBot="1"/>
    <row r="7" spans="2:16" s="5" customFormat="1" ht="21.75" thickBot="1">
      <c r="B7" s="995" t="s">
        <v>223</v>
      </c>
      <c r="C7" s="995"/>
      <c r="D7" s="995"/>
      <c r="E7" s="995"/>
      <c r="F7" s="995"/>
      <c r="G7" s="995"/>
      <c r="H7" s="995"/>
      <c r="I7" s="995"/>
      <c r="J7" s="995"/>
      <c r="K7" s="995"/>
      <c r="L7" s="995"/>
      <c r="M7" s="995"/>
      <c r="N7" s="995"/>
      <c r="O7" s="995"/>
      <c r="P7" s="73"/>
    </row>
    <row r="8" spans="2:16">
      <c r="B8" s="977" t="s">
        <v>2193</v>
      </c>
      <c r="C8" s="978"/>
      <c r="D8" s="978"/>
      <c r="E8" s="978"/>
      <c r="F8" s="978"/>
      <c r="G8" s="978"/>
      <c r="H8" s="978"/>
      <c r="I8" s="978"/>
      <c r="J8" s="978"/>
      <c r="K8" s="978"/>
      <c r="L8" s="978"/>
      <c r="M8" s="978"/>
      <c r="N8" s="978"/>
      <c r="O8" s="979"/>
      <c r="P8" s="71"/>
    </row>
    <row r="9" spans="2:16">
      <c r="B9" s="980"/>
      <c r="C9" s="981"/>
      <c r="D9" s="981"/>
      <c r="E9" s="981"/>
      <c r="F9" s="981"/>
      <c r="G9" s="981"/>
      <c r="H9" s="981"/>
      <c r="I9" s="981"/>
      <c r="J9" s="981"/>
      <c r="K9" s="981"/>
      <c r="L9" s="981"/>
      <c r="M9" s="981"/>
      <c r="N9" s="981"/>
      <c r="O9" s="982"/>
      <c r="P9" s="71"/>
    </row>
    <row r="10" spans="2:16" ht="15.75" thickBot="1">
      <c r="B10" s="983"/>
      <c r="C10" s="984"/>
      <c r="D10" s="984"/>
      <c r="E10" s="984"/>
      <c r="F10" s="984"/>
      <c r="G10" s="984"/>
      <c r="H10" s="984"/>
      <c r="I10" s="984"/>
      <c r="J10" s="984"/>
      <c r="K10" s="984"/>
      <c r="L10" s="984"/>
      <c r="M10" s="984"/>
      <c r="N10" s="984"/>
      <c r="O10" s="985"/>
      <c r="P10" s="71"/>
    </row>
    <row r="11" spans="2:16">
      <c r="B11" s="541"/>
      <c r="C11" s="183"/>
      <c r="D11" s="183"/>
      <c r="E11" s="183"/>
      <c r="F11" s="183"/>
      <c r="G11" s="183"/>
      <c r="H11" s="183"/>
      <c r="I11" s="183"/>
      <c r="J11" s="183"/>
      <c r="K11" s="541"/>
      <c r="L11" s="541"/>
      <c r="M11" s="541"/>
      <c r="N11" s="541"/>
      <c r="O11" s="541"/>
      <c r="P11" s="71"/>
    </row>
    <row r="12" spans="2:16" s="45" customFormat="1" ht="42.75" hidden="1" customHeight="1" thickBot="1">
      <c r="E12" s="992" t="s">
        <v>26</v>
      </c>
      <c r="F12" s="992"/>
      <c r="G12" s="992"/>
      <c r="H12" s="992"/>
      <c r="I12" s="993" t="str">
        <f>'Contact Information '!J9</f>
        <v>Please select your answer from the dropdown</v>
      </c>
      <c r="J12" s="993"/>
      <c r="K12" s="993"/>
      <c r="L12" s="993"/>
      <c r="M12" s="993"/>
      <c r="N12" s="993"/>
      <c r="P12" s="49"/>
    </row>
    <row r="13" spans="2:16" ht="1.5" customHeight="1" thickBot="1"/>
    <row r="14" spans="2:16" s="45" customFormat="1" ht="31.5" customHeight="1" thickBot="1">
      <c r="B14" s="80">
        <v>1</v>
      </c>
      <c r="C14" s="989" t="s">
        <v>224</v>
      </c>
      <c r="D14" s="990"/>
      <c r="E14" s="990"/>
      <c r="F14" s="990"/>
      <c r="G14" s="990"/>
      <c r="H14" s="990"/>
      <c r="I14" s="990"/>
      <c r="J14" s="990"/>
      <c r="K14" s="991"/>
      <c r="L14" s="986" t="str">
        <f>IFERROR(VLOOKUP($I$12,Source!$F$3:$G$53,2,FALSE), "Please Select Your Agency/Campus on Contact Tab")</f>
        <v>Please Select Your Agency/Campus on Contact Tab</v>
      </c>
      <c r="M14" s="987"/>
      <c r="N14" s="987"/>
      <c r="O14" s="988"/>
      <c r="P14" s="83"/>
    </row>
    <row r="15" spans="2:16"/>
    <row r="16" spans="2:16" s="45" customFormat="1" ht="19.5" thickBot="1">
      <c r="B16" s="966">
        <v>2</v>
      </c>
      <c r="C16" s="973" t="s">
        <v>2195</v>
      </c>
      <c r="D16" s="974"/>
      <c r="E16" s="974"/>
      <c r="F16" s="974"/>
      <c r="G16" s="974"/>
      <c r="H16" s="974"/>
      <c r="I16" s="974"/>
      <c r="J16" s="974"/>
      <c r="K16" s="974"/>
      <c r="L16" s="969" t="s">
        <v>225</v>
      </c>
      <c r="M16" s="970"/>
      <c r="N16" s="970"/>
      <c r="O16" s="970"/>
      <c r="P16" s="184"/>
    </row>
    <row r="17" spans="2:19" s="49" customFormat="1" ht="15.75">
      <c r="B17" s="966"/>
      <c r="C17" s="971" t="str">
        <f>IF(L16="no","Please provide updated FY25 square footage here --&gt;","")</f>
        <v/>
      </c>
      <c r="D17" s="972"/>
      <c r="E17" s="972"/>
      <c r="F17" s="972"/>
      <c r="G17" s="972"/>
      <c r="H17" s="972"/>
      <c r="I17" s="972"/>
      <c r="J17" s="972"/>
      <c r="K17" s="972"/>
      <c r="L17" s="975"/>
      <c r="M17" s="975"/>
      <c r="N17" s="975"/>
      <c r="O17" s="975"/>
      <c r="P17" s="65"/>
    </row>
    <row r="18" spans="2:19" s="4" customFormat="1">
      <c r="P18" s="74"/>
    </row>
    <row r="19" spans="2:19" s="4" customFormat="1" ht="15.75">
      <c r="B19" s="967" t="s">
        <v>226</v>
      </c>
      <c r="C19" s="968"/>
      <c r="D19" s="968"/>
      <c r="E19" s="968"/>
      <c r="F19" s="968"/>
      <c r="G19" s="968"/>
      <c r="H19" s="968"/>
      <c r="I19" s="968"/>
      <c r="J19" s="968"/>
      <c r="K19" s="968"/>
      <c r="L19" s="968"/>
      <c r="M19" s="968"/>
      <c r="N19" s="968"/>
      <c r="O19" s="968"/>
      <c r="P19" s="74"/>
    </row>
    <row r="20" spans="2:19" s="45" customFormat="1" ht="17.25" customHeight="1" thickBot="1">
      <c r="B20" s="976" t="s">
        <v>227</v>
      </c>
      <c r="C20" s="976"/>
      <c r="D20" s="976"/>
      <c r="E20" s="976"/>
      <c r="F20" s="976" t="s">
        <v>228</v>
      </c>
      <c r="G20" s="976"/>
      <c r="H20" s="976"/>
      <c r="I20" s="976" t="s">
        <v>9</v>
      </c>
      <c r="J20" s="976"/>
      <c r="K20" s="976"/>
      <c r="L20" s="976" t="s">
        <v>229</v>
      </c>
      <c r="M20" s="976"/>
      <c r="N20" s="976"/>
      <c r="O20" s="514" t="s">
        <v>230</v>
      </c>
      <c r="P20" s="75"/>
      <c r="R20" s="1006" t="s">
        <v>231</v>
      </c>
      <c r="S20" s="1007"/>
    </row>
    <row r="21" spans="2:19" ht="15.75" customHeight="1" thickBot="1">
      <c r="B21" s="964"/>
      <c r="C21" s="964"/>
      <c r="D21" s="964"/>
      <c r="E21" s="965"/>
      <c r="F21" s="1003"/>
      <c r="G21" s="1004"/>
      <c r="H21" s="1004"/>
      <c r="I21" s="1003"/>
      <c r="J21" s="1004"/>
      <c r="K21" s="1005"/>
      <c r="L21" s="1003"/>
      <c r="M21" s="1004"/>
      <c r="N21" s="1005"/>
      <c r="O21" s="517"/>
      <c r="P21" s="76"/>
      <c r="Q21" s="70"/>
      <c r="R21" s="959"/>
      <c r="S21" s="959"/>
    </row>
    <row r="22" spans="2:19" ht="15.75" customHeight="1" thickBot="1">
      <c r="B22" s="958"/>
      <c r="C22" s="958"/>
      <c r="D22" s="958"/>
      <c r="E22" s="963"/>
      <c r="F22" s="192"/>
      <c r="G22" s="193"/>
      <c r="H22" s="193"/>
      <c r="I22" s="960"/>
      <c r="J22" s="961"/>
      <c r="K22" s="962"/>
      <c r="L22" s="960"/>
      <c r="M22" s="961"/>
      <c r="N22" s="962"/>
      <c r="O22" s="517"/>
      <c r="P22" s="77"/>
      <c r="Q22" s="516"/>
      <c r="R22" s="515"/>
      <c r="S22" s="516"/>
    </row>
    <row r="23" spans="2:19" ht="15.75" customHeight="1" thickBot="1">
      <c r="B23" s="958"/>
      <c r="C23" s="958"/>
      <c r="D23" s="958"/>
      <c r="E23" s="963"/>
      <c r="F23" s="192"/>
      <c r="G23" s="193"/>
      <c r="H23" s="193"/>
      <c r="I23" s="960"/>
      <c r="J23" s="961"/>
      <c r="K23" s="962"/>
      <c r="L23" s="960"/>
      <c r="M23" s="961"/>
      <c r="N23" s="962"/>
      <c r="O23" s="517"/>
      <c r="P23" s="76"/>
      <c r="Q23" s="70"/>
      <c r="R23" s="1001"/>
      <c r="S23" s="1002"/>
    </row>
    <row r="24" spans="2:19" ht="15.75" customHeight="1" thickBot="1">
      <c r="B24" s="958"/>
      <c r="C24" s="958"/>
      <c r="D24" s="958"/>
      <c r="E24" s="963"/>
      <c r="F24" s="960"/>
      <c r="G24" s="961"/>
      <c r="H24" s="961"/>
      <c r="I24" s="960"/>
      <c r="J24" s="961"/>
      <c r="K24" s="962"/>
      <c r="L24" s="960"/>
      <c r="M24" s="961"/>
      <c r="N24" s="962"/>
      <c r="O24" s="513"/>
      <c r="P24" s="76"/>
      <c r="Q24" s="70"/>
      <c r="R24" s="959"/>
      <c r="S24" s="959"/>
    </row>
    <row r="25" spans="2:19" ht="15.75" customHeight="1">
      <c r="B25" s="958"/>
      <c r="C25" s="958"/>
      <c r="D25" s="958"/>
      <c r="E25" s="958"/>
      <c r="F25" s="957"/>
      <c r="G25" s="958"/>
      <c r="H25" s="958"/>
      <c r="I25" s="957"/>
      <c r="J25" s="958"/>
      <c r="K25" s="958"/>
      <c r="L25" s="957"/>
      <c r="M25" s="958"/>
      <c r="N25" s="958"/>
      <c r="O25" s="512"/>
      <c r="P25" s="76"/>
      <c r="Q25" s="70"/>
      <c r="R25" s="959"/>
      <c r="S25" s="959"/>
    </row>
    <row r="26" spans="2:19" ht="12" customHeight="1"/>
    <row r="27" spans="2:19">
      <c r="B27" s="41"/>
      <c r="C27" s="43"/>
      <c r="D27" s="43"/>
      <c r="E27" s="43"/>
      <c r="F27" s="43"/>
      <c r="G27" s="43"/>
      <c r="H27" s="43"/>
      <c r="I27" s="43"/>
      <c r="J27" s="43"/>
      <c r="K27" s="43"/>
      <c r="L27" s="43"/>
      <c r="M27" s="43"/>
      <c r="N27" s="43"/>
      <c r="O27" s="43"/>
      <c r="P27" s="77"/>
    </row>
    <row r="28" spans="2:19" ht="15" customHeight="1" thickBot="1">
      <c r="B28" s="999" t="s">
        <v>232</v>
      </c>
      <c r="C28" s="999"/>
      <c r="D28" s="999"/>
      <c r="E28" s="999"/>
      <c r="F28" s="999"/>
      <c r="G28" s="999"/>
      <c r="H28" s="999"/>
      <c r="I28" s="999"/>
      <c r="J28" s="999"/>
      <c r="K28" s="999"/>
      <c r="L28" s="999"/>
      <c r="M28" s="999"/>
      <c r="N28" s="999"/>
      <c r="O28" s="999"/>
      <c r="P28" s="78"/>
    </row>
    <row r="29" spans="2:19">
      <c r="B29" s="1000"/>
      <c r="C29" s="1000"/>
      <c r="D29" s="1000"/>
      <c r="E29" s="1000"/>
      <c r="F29" s="1000"/>
      <c r="G29" s="1000"/>
      <c r="H29" s="1000"/>
      <c r="I29" s="1000"/>
      <c r="J29" s="1000"/>
      <c r="K29" s="1000"/>
      <c r="L29" s="1000"/>
      <c r="M29" s="1000"/>
      <c r="N29" s="1000"/>
      <c r="O29" s="1000"/>
      <c r="P29" s="79"/>
    </row>
    <row r="30" spans="2:19">
      <c r="B30" s="1000"/>
      <c r="C30" s="1000"/>
      <c r="D30" s="1000"/>
      <c r="E30" s="1000"/>
      <c r="F30" s="1000"/>
      <c r="G30" s="1000"/>
      <c r="H30" s="1000"/>
      <c r="I30" s="1000"/>
      <c r="J30" s="1000"/>
      <c r="K30" s="1000"/>
      <c r="L30" s="1000"/>
      <c r="M30" s="1000"/>
      <c r="N30" s="1000"/>
      <c r="O30" s="1000"/>
      <c r="P30" s="79"/>
    </row>
    <row r="31" spans="2:19">
      <c r="B31" s="1000"/>
      <c r="C31" s="1000"/>
      <c r="D31" s="1000"/>
      <c r="E31" s="1000"/>
      <c r="F31" s="1000"/>
      <c r="G31" s="1000"/>
      <c r="H31" s="1000"/>
      <c r="I31" s="1000"/>
      <c r="J31" s="1000"/>
      <c r="K31" s="1000"/>
      <c r="L31" s="1000"/>
      <c r="M31" s="1000"/>
      <c r="N31" s="1000"/>
      <c r="O31" s="1000"/>
      <c r="P31" s="79"/>
    </row>
    <row r="32" spans="2:19">
      <c r="B32" s="1000"/>
      <c r="C32" s="1000"/>
      <c r="D32" s="1000"/>
      <c r="E32" s="1000"/>
      <c r="F32" s="1000"/>
      <c r="G32" s="1000"/>
      <c r="H32" s="1000"/>
      <c r="I32" s="1000"/>
      <c r="J32" s="1000"/>
      <c r="K32" s="1000"/>
      <c r="L32" s="1000"/>
      <c r="M32" s="1000"/>
      <c r="N32" s="1000"/>
      <c r="O32" s="1000"/>
      <c r="P32" s="79"/>
    </row>
    <row r="33"/>
    <row r="34"/>
    <row r="35"/>
    <row r="36"/>
    <row r="37"/>
    <row r="38"/>
    <row r="39"/>
    <row r="40"/>
    <row r="41"/>
  </sheetData>
  <sheetProtection selectLockedCells="1"/>
  <mergeCells count="45">
    <mergeCell ref="B28:O28"/>
    <mergeCell ref="B29:O32"/>
    <mergeCell ref="R23:S23"/>
    <mergeCell ref="F20:H20"/>
    <mergeCell ref="F21:H21"/>
    <mergeCell ref="I25:K25"/>
    <mergeCell ref="L20:N20"/>
    <mergeCell ref="L21:N21"/>
    <mergeCell ref="L22:N22"/>
    <mergeCell ref="R20:S20"/>
    <mergeCell ref="R21:S21"/>
    <mergeCell ref="R24:S24"/>
    <mergeCell ref="F24:H24"/>
    <mergeCell ref="I20:K20"/>
    <mergeCell ref="I21:K21"/>
    <mergeCell ref="I22:K22"/>
    <mergeCell ref="B1:O1"/>
    <mergeCell ref="B7:O7"/>
    <mergeCell ref="E2:O4"/>
    <mergeCell ref="E5:O5"/>
    <mergeCell ref="B2:D5"/>
    <mergeCell ref="B8:O10"/>
    <mergeCell ref="L14:O14"/>
    <mergeCell ref="C14:K14"/>
    <mergeCell ref="E12:H12"/>
    <mergeCell ref="I12:N12"/>
    <mergeCell ref="B21:E21"/>
    <mergeCell ref="B22:E22"/>
    <mergeCell ref="B23:E23"/>
    <mergeCell ref="L23:N23"/>
    <mergeCell ref="B16:B17"/>
    <mergeCell ref="B19:O19"/>
    <mergeCell ref="I23:K23"/>
    <mergeCell ref="L16:O16"/>
    <mergeCell ref="C17:K17"/>
    <mergeCell ref="C16:K16"/>
    <mergeCell ref="L17:O17"/>
    <mergeCell ref="B20:E20"/>
    <mergeCell ref="L25:N25"/>
    <mergeCell ref="R25:S25"/>
    <mergeCell ref="B25:E25"/>
    <mergeCell ref="F25:H25"/>
    <mergeCell ref="I24:K24"/>
    <mergeCell ref="B24:E24"/>
    <mergeCell ref="L24:N24"/>
  </mergeCells>
  <conditionalFormatting sqref="L17 B19">
    <cfRule type="expression" dxfId="37" priority="2">
      <formula>$L$16="no"</formula>
    </cfRule>
  </conditionalFormatting>
  <conditionalFormatting sqref="L17">
    <cfRule type="expression" dxfId="36" priority="1">
      <formula>$L$16="no"</formula>
    </cfRule>
  </conditionalFormatting>
  <pageMargins left="0.7" right="0.7" top="0.75" bottom="0.75" header="0.3" footer="0.3"/>
  <pageSetup scale="6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Source!$I$1:$I$3</xm:f>
          </x14:formula1>
          <xm:sqref>L16:P16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I170"/>
  <sheetViews>
    <sheetView showGridLines="0" topLeftCell="A73" zoomScale="70" zoomScaleNormal="70" workbookViewId="0">
      <selection activeCell="J24" sqref="J24"/>
    </sheetView>
  </sheetViews>
  <sheetFormatPr defaultColWidth="0" defaultRowHeight="15.75" zeroHeight="1"/>
  <cols>
    <col min="1" max="1" width="2.42578125" style="6" customWidth="1"/>
    <col min="2" max="2" width="29.42578125" style="6" customWidth="1"/>
    <col min="3" max="3" width="24.28515625" style="6" customWidth="1"/>
    <col min="4" max="4" width="8.140625" style="6" customWidth="1"/>
    <col min="5" max="6" width="27.42578125" style="8" customWidth="1"/>
    <col min="7" max="7" width="31" style="8" customWidth="1"/>
    <col min="8" max="8" width="52.28515625" style="6" customWidth="1"/>
    <col min="9" max="9" width="13.7109375" style="296" customWidth="1"/>
    <col min="10" max="16384" width="31" style="6" hidden="1"/>
  </cols>
  <sheetData>
    <row r="1" spans="2:9" ht="16.5" thickBot="1">
      <c r="B1" s="1018" t="s">
        <v>22</v>
      </c>
      <c r="C1" s="1018"/>
      <c r="D1" s="1018"/>
      <c r="E1" s="1018"/>
      <c r="F1" s="1018"/>
      <c r="G1" s="1018"/>
      <c r="H1" s="1018"/>
    </row>
    <row r="2" spans="2:9" ht="15.75" customHeight="1">
      <c r="B2" s="1022" t="s">
        <v>233</v>
      </c>
      <c r="C2" s="945" t="s">
        <v>234</v>
      </c>
      <c r="D2" s="946"/>
      <c r="E2" s="946"/>
      <c r="F2" s="946"/>
      <c r="G2" s="946"/>
      <c r="H2" s="946"/>
    </row>
    <row r="3" spans="2:9">
      <c r="B3" s="1023"/>
      <c r="C3" s="948"/>
      <c r="D3" s="949"/>
      <c r="E3" s="949"/>
      <c r="F3" s="949"/>
      <c r="G3" s="949"/>
      <c r="H3" s="949"/>
    </row>
    <row r="4" spans="2:9" ht="90" customHeight="1">
      <c r="B4" s="1023"/>
      <c r="C4" s="948"/>
      <c r="D4" s="949"/>
      <c r="E4" s="949"/>
      <c r="F4" s="949"/>
      <c r="G4" s="949"/>
      <c r="H4" s="949"/>
    </row>
    <row r="5" spans="2:9">
      <c r="B5" s="1023"/>
      <c r="C5" s="1020" t="s">
        <v>235</v>
      </c>
      <c r="D5" s="1021"/>
      <c r="E5" s="1021"/>
      <c r="F5" s="1021"/>
      <c r="G5" s="1021"/>
      <c r="H5" s="1021"/>
      <c r="I5" s="297"/>
    </row>
    <row r="6" spans="2:9">
      <c r="B6" s="471"/>
      <c r="C6" s="471"/>
      <c r="D6" s="471"/>
      <c r="E6" s="472"/>
      <c r="F6" s="472"/>
      <c r="G6" s="472"/>
      <c r="H6" s="471"/>
    </row>
    <row r="7" spans="2:9" ht="21.75" thickBot="1">
      <c r="B7" s="295" t="s">
        <v>236</v>
      </c>
      <c r="C7" s="295"/>
      <c r="D7" s="295"/>
      <c r="E7" s="295"/>
      <c r="F7" s="295"/>
      <c r="G7" s="295"/>
      <c r="H7" s="295"/>
    </row>
    <row r="8" spans="2:9" ht="16.5" customHeight="1">
      <c r="B8" s="1026" t="s">
        <v>237</v>
      </c>
      <c r="C8" s="1026"/>
      <c r="D8" s="1026"/>
      <c r="E8" s="1026"/>
      <c r="F8" s="1026"/>
      <c r="G8" s="1026"/>
      <c r="H8" s="1026"/>
    </row>
    <row r="9" spans="2:9" ht="24.75" customHeight="1">
      <c r="B9" s="118" t="s">
        <v>238</v>
      </c>
      <c r="C9" s="118"/>
      <c r="D9" s="118"/>
      <c r="E9" s="118"/>
      <c r="F9" s="118"/>
      <c r="G9" s="118"/>
      <c r="H9" s="118"/>
    </row>
    <row r="10" spans="2:9" ht="24.75" customHeight="1">
      <c r="B10" s="119" t="s">
        <v>239</v>
      </c>
      <c r="C10" s="119"/>
      <c r="D10" s="119"/>
      <c r="E10" s="119"/>
      <c r="F10" s="119"/>
      <c r="G10" s="119"/>
      <c r="H10" s="119"/>
    </row>
    <row r="11" spans="2:9" ht="24.75" customHeight="1">
      <c r="B11" s="118" t="s">
        <v>240</v>
      </c>
      <c r="C11" s="118"/>
      <c r="D11" s="118"/>
      <c r="E11" s="118"/>
      <c r="F11" s="118"/>
      <c r="G11" s="118"/>
      <c r="H11" s="118"/>
    </row>
    <row r="12" spans="2:9" ht="24.75" customHeight="1">
      <c r="B12" s="119" t="s">
        <v>241</v>
      </c>
      <c r="C12" s="119"/>
      <c r="D12" s="119"/>
      <c r="E12" s="119"/>
      <c r="F12" s="119"/>
      <c r="G12" s="119"/>
      <c r="H12" s="119"/>
    </row>
    <row r="13" spans="2:9">
      <c r="B13" s="471"/>
      <c r="C13" s="471"/>
      <c r="D13" s="471"/>
      <c r="E13" s="472"/>
      <c r="F13" s="472"/>
      <c r="G13" s="472"/>
      <c r="H13" s="471"/>
    </row>
    <row r="14" spans="2:9" ht="21" hidden="1">
      <c r="B14" s="1019" t="s">
        <v>242</v>
      </c>
      <c r="C14" s="1019"/>
      <c r="D14" s="1019"/>
      <c r="E14" s="1019"/>
      <c r="F14" s="1019"/>
      <c r="G14" s="1019"/>
      <c r="H14" s="1019"/>
    </row>
    <row r="15" spans="2:9" ht="21" hidden="1">
      <c r="B15" s="1019" t="s">
        <v>243</v>
      </c>
      <c r="C15" s="1019"/>
      <c r="D15" s="1019"/>
      <c r="E15" s="1019"/>
      <c r="F15" s="1019"/>
      <c r="G15" s="1019"/>
      <c r="H15" s="1019"/>
    </row>
    <row r="16" spans="2:9" ht="27.75" customHeight="1">
      <c r="B16" s="1012" t="s">
        <v>244</v>
      </c>
      <c r="C16" s="1012" t="s">
        <v>2196</v>
      </c>
      <c r="D16" s="1012" t="s">
        <v>245</v>
      </c>
      <c r="E16" s="1010" t="s">
        <v>246</v>
      </c>
      <c r="F16" s="1010" t="s">
        <v>247</v>
      </c>
      <c r="G16" s="1012" t="s">
        <v>248</v>
      </c>
      <c r="H16" s="1012"/>
    </row>
    <row r="17" spans="2:9" ht="27.75" customHeight="1" thickBot="1">
      <c r="B17" s="1012"/>
      <c r="C17" s="1012"/>
      <c r="D17" s="1012"/>
      <c r="E17" s="1011"/>
      <c r="F17" s="1010"/>
      <c r="G17" s="1012"/>
      <c r="H17" s="1012"/>
    </row>
    <row r="18" spans="2:9" ht="25.5" customHeight="1">
      <c r="B18" s="120" t="s">
        <v>249</v>
      </c>
      <c r="C18" s="121"/>
      <c r="D18" s="122" t="s">
        <v>250</v>
      </c>
      <c r="E18" s="123"/>
      <c r="F18" s="124">
        <f>IFERROR(E18/C18,0)</f>
        <v>0</v>
      </c>
      <c r="G18" s="1024"/>
      <c r="H18" s="1024"/>
      <c r="I18" s="296">
        <v>1</v>
      </c>
    </row>
    <row r="19" spans="2:9">
      <c r="B19" s="471"/>
      <c r="C19" s="471"/>
      <c r="D19" s="471"/>
      <c r="E19" s="472"/>
      <c r="F19" s="472"/>
      <c r="G19" s="472"/>
      <c r="H19" s="471"/>
      <c r="I19" s="296">
        <v>2</v>
      </c>
    </row>
    <row r="20" spans="2:9" ht="21">
      <c r="B20" s="1019" t="s">
        <v>251</v>
      </c>
      <c r="C20" s="1019"/>
      <c r="D20" s="1019"/>
      <c r="E20" s="1019"/>
      <c r="F20" s="1019"/>
      <c r="G20" s="1019"/>
      <c r="H20" s="1019"/>
      <c r="I20" s="296">
        <v>3</v>
      </c>
    </row>
    <row r="21" spans="2:9" ht="21">
      <c r="B21" s="1019" t="s">
        <v>252</v>
      </c>
      <c r="C21" s="1019"/>
      <c r="D21" s="1019"/>
      <c r="E21" s="1019"/>
      <c r="F21" s="1019"/>
      <c r="G21" s="1019"/>
      <c r="H21" s="1019"/>
      <c r="I21" s="296">
        <v>4</v>
      </c>
    </row>
    <row r="22" spans="2:9">
      <c r="B22" s="1027" t="s">
        <v>253</v>
      </c>
      <c r="C22" s="1027"/>
      <c r="D22" s="1027"/>
      <c r="E22" s="1027"/>
      <c r="F22" s="1027"/>
      <c r="G22" s="1027"/>
      <c r="H22" s="1027"/>
      <c r="I22" s="296">
        <v>5</v>
      </c>
    </row>
    <row r="23" spans="2:9" ht="18.75" customHeight="1">
      <c r="B23" s="1012" t="s">
        <v>244</v>
      </c>
      <c r="C23" s="1010" t="s">
        <v>2197</v>
      </c>
      <c r="D23" s="1012" t="s">
        <v>245</v>
      </c>
      <c r="E23" s="1010" t="s">
        <v>254</v>
      </c>
      <c r="F23" s="1010"/>
      <c r="G23" s="1010" t="s">
        <v>248</v>
      </c>
      <c r="H23" s="1010"/>
      <c r="I23" s="296">
        <v>6</v>
      </c>
    </row>
    <row r="24" spans="2:9" ht="18.75" customHeight="1">
      <c r="B24" s="1012"/>
      <c r="C24" s="1010"/>
      <c r="D24" s="1012"/>
      <c r="E24" s="1010"/>
      <c r="F24" s="1010"/>
      <c r="G24" s="1010"/>
      <c r="H24" s="1010"/>
      <c r="I24" s="296">
        <v>7</v>
      </c>
    </row>
    <row r="25" spans="2:9" ht="18.75" customHeight="1" thickBot="1">
      <c r="B25" s="1025"/>
      <c r="C25" s="1011"/>
      <c r="D25" s="1025"/>
      <c r="E25" s="1011"/>
      <c r="F25" s="1011"/>
      <c r="G25" s="1011"/>
      <c r="H25" s="1011"/>
      <c r="I25" s="296">
        <v>8</v>
      </c>
    </row>
    <row r="26" spans="2:9" ht="24" customHeight="1">
      <c r="B26" s="1008" t="s">
        <v>255</v>
      </c>
      <c r="C26" s="1008"/>
      <c r="D26" s="1008"/>
      <c r="E26" s="1008"/>
      <c r="F26" s="1008"/>
      <c r="G26" s="1008"/>
      <c r="H26" s="1008"/>
      <c r="I26" s="296">
        <v>9</v>
      </c>
    </row>
    <row r="27" spans="2:9" ht="16.5" thickBot="1">
      <c r="B27" s="137" t="s">
        <v>256</v>
      </c>
      <c r="C27" s="138">
        <v>0</v>
      </c>
      <c r="D27" s="139" t="s">
        <v>250</v>
      </c>
      <c r="E27" s="1017" t="s">
        <v>257</v>
      </c>
      <c r="F27" s="1017"/>
      <c r="G27" s="1014"/>
      <c r="H27" s="1014"/>
      <c r="I27" s="296">
        <v>10</v>
      </c>
    </row>
    <row r="28" spans="2:9">
      <c r="B28" s="140" t="s">
        <v>258</v>
      </c>
      <c r="C28" s="141">
        <v>0</v>
      </c>
      <c r="D28" s="142" t="s">
        <v>259</v>
      </c>
      <c r="E28" s="1009"/>
      <c r="F28" s="1009"/>
      <c r="G28" s="1013"/>
      <c r="H28" s="1013"/>
      <c r="I28" s="296">
        <v>11</v>
      </c>
    </row>
    <row r="29" spans="2:9" ht="24" customHeight="1">
      <c r="B29" s="1008" t="s">
        <v>260</v>
      </c>
      <c r="C29" s="1008"/>
      <c r="D29" s="1008"/>
      <c r="E29" s="1008"/>
      <c r="F29" s="1008"/>
      <c r="G29" s="1008"/>
      <c r="H29" s="1008"/>
      <c r="I29" s="296">
        <v>12</v>
      </c>
    </row>
    <row r="30" spans="2:9" ht="16.5" thickBot="1">
      <c r="B30" s="137" t="s">
        <v>261</v>
      </c>
      <c r="C30" s="141">
        <v>0</v>
      </c>
      <c r="D30" s="139" t="s">
        <v>250</v>
      </c>
      <c r="E30" s="1015"/>
      <c r="F30" s="1015"/>
      <c r="G30" s="1014"/>
      <c r="H30" s="1014"/>
      <c r="I30" s="296">
        <v>13</v>
      </c>
    </row>
    <row r="31" spans="2:9">
      <c r="B31" s="140" t="s">
        <v>262</v>
      </c>
      <c r="C31" s="141">
        <v>0</v>
      </c>
      <c r="D31" s="142" t="s">
        <v>250</v>
      </c>
      <c r="E31" s="1009"/>
      <c r="F31" s="1009"/>
      <c r="G31" s="1013"/>
      <c r="H31" s="1013"/>
      <c r="I31" s="296">
        <v>14</v>
      </c>
    </row>
    <row r="32" spans="2:9" ht="24" customHeight="1">
      <c r="B32" s="1008" t="s">
        <v>263</v>
      </c>
      <c r="C32" s="1008"/>
      <c r="D32" s="1008"/>
      <c r="E32" s="1008"/>
      <c r="F32" s="1008"/>
      <c r="G32" s="1008"/>
      <c r="H32" s="1008"/>
      <c r="I32" s="296">
        <v>15</v>
      </c>
    </row>
    <row r="33" spans="2:9" ht="16.5" thickBot="1">
      <c r="B33" s="137" t="s">
        <v>261</v>
      </c>
      <c r="C33" s="141">
        <v>0</v>
      </c>
      <c r="D33" s="139" t="s">
        <v>250</v>
      </c>
      <c r="E33" s="1015"/>
      <c r="F33" s="1015"/>
      <c r="G33" s="1014"/>
      <c r="H33" s="1014"/>
      <c r="I33" s="296">
        <v>16</v>
      </c>
    </row>
    <row r="34" spans="2:9">
      <c r="B34" s="140" t="s">
        <v>262</v>
      </c>
      <c r="C34" s="141">
        <v>0</v>
      </c>
      <c r="D34" s="142" t="s">
        <v>250</v>
      </c>
      <c r="E34" s="1009"/>
      <c r="F34" s="1009"/>
      <c r="G34" s="1013"/>
      <c r="H34" s="1013"/>
      <c r="I34" s="296">
        <v>17</v>
      </c>
    </row>
    <row r="35" spans="2:9" ht="24" customHeight="1">
      <c r="B35" s="1008" t="s">
        <v>264</v>
      </c>
      <c r="C35" s="1008"/>
      <c r="D35" s="1008"/>
      <c r="E35" s="1008"/>
      <c r="F35" s="1008"/>
      <c r="G35" s="1008"/>
      <c r="H35" s="1008"/>
      <c r="I35" s="296">
        <v>18</v>
      </c>
    </row>
    <row r="36" spans="2:9" ht="16.5" thickBot="1">
      <c r="B36" s="137" t="s">
        <v>261</v>
      </c>
      <c r="C36" s="141">
        <v>0</v>
      </c>
      <c r="D36" s="139" t="s">
        <v>250</v>
      </c>
      <c r="E36" s="1015"/>
      <c r="F36" s="1015"/>
      <c r="G36" s="1014"/>
      <c r="H36" s="1014"/>
      <c r="I36" s="296">
        <v>19</v>
      </c>
    </row>
    <row r="37" spans="2:9">
      <c r="B37" s="140" t="s">
        <v>262</v>
      </c>
      <c r="C37" s="141">
        <v>0</v>
      </c>
      <c r="D37" s="142" t="s">
        <v>250</v>
      </c>
      <c r="E37" s="1009"/>
      <c r="F37" s="1009"/>
      <c r="G37" s="1013"/>
      <c r="H37" s="1013"/>
      <c r="I37" s="296">
        <v>20</v>
      </c>
    </row>
    <row r="38" spans="2:9" ht="24" customHeight="1">
      <c r="B38" s="1008" t="s">
        <v>265</v>
      </c>
      <c r="C38" s="1008"/>
      <c r="D38" s="1008"/>
      <c r="E38" s="1008"/>
      <c r="F38" s="1008"/>
      <c r="G38" s="1008"/>
      <c r="H38" s="1008"/>
      <c r="I38" s="296">
        <v>21</v>
      </c>
    </row>
    <row r="39" spans="2:9" ht="16.5" thickBot="1">
      <c r="B39" s="137" t="s">
        <v>261</v>
      </c>
      <c r="C39" s="141">
        <v>0</v>
      </c>
      <c r="D39" s="139" t="s">
        <v>250</v>
      </c>
      <c r="E39" s="1015"/>
      <c r="F39" s="1015"/>
      <c r="G39" s="1014"/>
      <c r="H39" s="1014"/>
      <c r="I39" s="296">
        <v>22</v>
      </c>
    </row>
    <row r="40" spans="2:9">
      <c r="B40" s="140" t="s">
        <v>262</v>
      </c>
      <c r="C40" s="141">
        <v>0</v>
      </c>
      <c r="D40" s="142" t="s">
        <v>250</v>
      </c>
      <c r="E40" s="1009"/>
      <c r="F40" s="1009"/>
      <c r="G40" s="1013"/>
      <c r="H40" s="1013"/>
      <c r="I40" s="296">
        <v>23</v>
      </c>
    </row>
    <row r="41" spans="2:9" ht="24" customHeight="1">
      <c r="B41" s="1008" t="s">
        <v>266</v>
      </c>
      <c r="C41" s="1008"/>
      <c r="D41" s="1008"/>
      <c r="E41" s="1008"/>
      <c r="F41" s="1008"/>
      <c r="G41" s="1008"/>
      <c r="H41" s="1008"/>
      <c r="I41" s="296">
        <v>24</v>
      </c>
    </row>
    <row r="42" spans="2:9" ht="16.5" thickBot="1">
      <c r="B42" s="137" t="s">
        <v>261</v>
      </c>
      <c r="C42" s="138">
        <v>0</v>
      </c>
      <c r="D42" s="139" t="s">
        <v>250</v>
      </c>
      <c r="E42" s="1017" t="s">
        <v>267</v>
      </c>
      <c r="F42" s="1017"/>
      <c r="G42" s="1014"/>
      <c r="H42" s="1014"/>
      <c r="I42" s="296">
        <v>25</v>
      </c>
    </row>
    <row r="43" spans="2:9">
      <c r="B43" s="140" t="s">
        <v>262</v>
      </c>
      <c r="C43" s="141">
        <v>0</v>
      </c>
      <c r="D43" s="142" t="s">
        <v>250</v>
      </c>
      <c r="E43" s="1009"/>
      <c r="F43" s="1009"/>
      <c r="G43" s="1013"/>
      <c r="H43" s="1013"/>
      <c r="I43" s="296">
        <v>26</v>
      </c>
    </row>
    <row r="44" spans="2:9">
      <c r="B44" s="7"/>
      <c r="C44" s="7"/>
      <c r="D44" s="7"/>
      <c r="E44" s="7"/>
      <c r="F44" s="7"/>
      <c r="G44" s="7"/>
      <c r="H44" s="7"/>
      <c r="I44" s="296">
        <v>27</v>
      </c>
    </row>
    <row r="45" spans="2:9" ht="21">
      <c r="B45" s="1019" t="s">
        <v>268</v>
      </c>
      <c r="C45" s="1019"/>
      <c r="D45" s="1019"/>
      <c r="E45" s="1019"/>
      <c r="F45" s="1019"/>
      <c r="G45" s="1019"/>
      <c r="H45" s="1019"/>
      <c r="I45" s="296">
        <v>28</v>
      </c>
    </row>
    <row r="46" spans="2:9" ht="21">
      <c r="B46" s="1019" t="s">
        <v>269</v>
      </c>
      <c r="C46" s="1019"/>
      <c r="D46" s="1019"/>
      <c r="E46" s="1019"/>
      <c r="F46" s="1019"/>
      <c r="G46" s="1019"/>
      <c r="H46" s="1019"/>
      <c r="I46" s="296">
        <v>29</v>
      </c>
    </row>
    <row r="47" spans="2:9">
      <c r="B47" s="1027" t="s">
        <v>270</v>
      </c>
      <c r="C47" s="1027"/>
      <c r="D47" s="1027" t="s">
        <v>250</v>
      </c>
      <c r="E47" s="1027">
        <v>0</v>
      </c>
      <c r="F47" s="1027"/>
      <c r="G47" s="1027"/>
      <c r="H47" s="1027"/>
      <c r="I47" s="296">
        <v>30</v>
      </c>
    </row>
    <row r="48" spans="2:9" ht="15.75" customHeight="1">
      <c r="B48" s="1012" t="s">
        <v>244</v>
      </c>
      <c r="C48" s="1010" t="s">
        <v>2197</v>
      </c>
      <c r="D48" s="1012" t="s">
        <v>245</v>
      </c>
      <c r="E48" s="1031" t="s">
        <v>271</v>
      </c>
      <c r="F48" s="1010" t="s">
        <v>272</v>
      </c>
      <c r="G48" s="1010" t="s">
        <v>254</v>
      </c>
      <c r="H48" s="1012" t="s">
        <v>248</v>
      </c>
      <c r="I48" s="296">
        <v>31</v>
      </c>
    </row>
    <row r="49" spans="2:9">
      <c r="B49" s="1012"/>
      <c r="C49" s="1012"/>
      <c r="D49" s="1012"/>
      <c r="E49" s="1031"/>
      <c r="F49" s="1010"/>
      <c r="G49" s="1010"/>
      <c r="H49" s="1012"/>
      <c r="I49" s="296">
        <v>32</v>
      </c>
    </row>
    <row r="50" spans="2:9" ht="16.5" thickBot="1">
      <c r="B50" s="1012"/>
      <c r="C50" s="1012"/>
      <c r="D50" s="1012"/>
      <c r="E50" s="1031"/>
      <c r="F50" s="1010"/>
      <c r="G50" s="1010"/>
      <c r="H50" s="1012"/>
      <c r="I50" s="296">
        <v>33</v>
      </c>
    </row>
    <row r="51" spans="2:9" ht="24" customHeight="1">
      <c r="B51" s="1016" t="s">
        <v>255</v>
      </c>
      <c r="C51" s="1016"/>
      <c r="D51" s="1016"/>
      <c r="E51" s="1016"/>
      <c r="F51" s="1016"/>
      <c r="G51" s="1016"/>
      <c r="H51" s="1016"/>
      <c r="I51" s="296">
        <v>34</v>
      </c>
    </row>
    <row r="52" spans="2:9" ht="16.5" thickBot="1">
      <c r="B52" s="134" t="s">
        <v>256</v>
      </c>
      <c r="C52" s="135">
        <v>0</v>
      </c>
      <c r="D52" s="136" t="s">
        <v>250</v>
      </c>
      <c r="E52" s="358">
        <f>IFERROR(F52/C52,)</f>
        <v>0</v>
      </c>
      <c r="F52" s="148">
        <v>0</v>
      </c>
      <c r="G52" s="149" t="s">
        <v>257</v>
      </c>
      <c r="H52" s="150"/>
      <c r="I52" s="296">
        <v>35</v>
      </c>
    </row>
    <row r="53" spans="2:9">
      <c r="B53" s="132" t="s">
        <v>258</v>
      </c>
      <c r="C53" s="131">
        <v>0</v>
      </c>
      <c r="D53" s="133" t="s">
        <v>259</v>
      </c>
      <c r="E53" s="358">
        <f>IFERROR(F53/C53,)</f>
        <v>0</v>
      </c>
      <c r="F53" s="143">
        <v>0</v>
      </c>
      <c r="G53" s="145"/>
      <c r="H53" s="145"/>
      <c r="I53" s="296">
        <v>36</v>
      </c>
    </row>
    <row r="54" spans="2:9" ht="24" customHeight="1">
      <c r="B54" s="1008" t="s">
        <v>260</v>
      </c>
      <c r="C54" s="1008"/>
      <c r="D54" s="1008"/>
      <c r="E54" s="1008"/>
      <c r="F54" s="1008"/>
      <c r="G54" s="1008"/>
      <c r="H54" s="1008"/>
      <c r="I54" s="296">
        <v>37</v>
      </c>
    </row>
    <row r="55" spans="2:9" ht="16.5" thickBot="1">
      <c r="B55" s="134" t="s">
        <v>261</v>
      </c>
      <c r="C55" s="135">
        <v>0</v>
      </c>
      <c r="D55" s="136" t="s">
        <v>250</v>
      </c>
      <c r="E55" s="358">
        <f>IFERROR(F55/C55,)</f>
        <v>0</v>
      </c>
      <c r="F55" s="143">
        <v>0</v>
      </c>
      <c r="G55" s="150"/>
      <c r="H55" s="150"/>
      <c r="I55" s="296">
        <v>38</v>
      </c>
    </row>
    <row r="56" spans="2:9">
      <c r="B56" s="132" t="s">
        <v>262</v>
      </c>
      <c r="C56" s="131">
        <v>0</v>
      </c>
      <c r="D56" s="133" t="s">
        <v>250</v>
      </c>
      <c r="E56" s="358">
        <f>IFERROR(F56/C56,)</f>
        <v>0</v>
      </c>
      <c r="F56" s="143">
        <v>0</v>
      </c>
      <c r="G56" s="146"/>
      <c r="H56" s="147"/>
      <c r="I56" s="296">
        <v>39</v>
      </c>
    </row>
    <row r="57" spans="2:9" ht="24" customHeight="1">
      <c r="B57" s="1008" t="s">
        <v>263</v>
      </c>
      <c r="C57" s="1008"/>
      <c r="D57" s="1008"/>
      <c r="E57" s="1008"/>
      <c r="F57" s="1008"/>
      <c r="G57" s="1008"/>
      <c r="H57" s="1008"/>
      <c r="I57" s="296">
        <v>40</v>
      </c>
    </row>
    <row r="58" spans="2:9" ht="16.5" thickBot="1">
      <c r="B58" s="134" t="s">
        <v>261</v>
      </c>
      <c r="C58" s="135">
        <v>0</v>
      </c>
      <c r="D58" s="136" t="s">
        <v>250</v>
      </c>
      <c r="E58" s="358">
        <f>IFERROR(F58/C58,)</f>
        <v>0</v>
      </c>
      <c r="F58" s="148">
        <v>0</v>
      </c>
      <c r="G58" s="151"/>
      <c r="H58" s="152"/>
      <c r="I58" s="296">
        <v>41</v>
      </c>
    </row>
    <row r="59" spans="2:9">
      <c r="B59" s="132" t="s">
        <v>262</v>
      </c>
      <c r="C59" s="131">
        <v>0</v>
      </c>
      <c r="D59" s="133" t="s">
        <v>250</v>
      </c>
      <c r="E59" s="358">
        <f>IFERROR(F59/C59,)</f>
        <v>0</v>
      </c>
      <c r="F59" s="143">
        <v>0</v>
      </c>
      <c r="G59" s="146"/>
      <c r="H59" s="145"/>
      <c r="I59" s="296">
        <v>42</v>
      </c>
    </row>
    <row r="60" spans="2:9" ht="24" customHeight="1">
      <c r="B60" s="1008" t="s">
        <v>264</v>
      </c>
      <c r="C60" s="1008"/>
      <c r="D60" s="1008"/>
      <c r="E60" s="1008"/>
      <c r="F60" s="1008"/>
      <c r="G60" s="1008"/>
      <c r="H60" s="1008"/>
      <c r="I60" s="296">
        <v>43</v>
      </c>
    </row>
    <row r="61" spans="2:9" ht="16.5" thickBot="1">
      <c r="B61" s="134" t="s">
        <v>261</v>
      </c>
      <c r="C61" s="135">
        <v>0</v>
      </c>
      <c r="D61" s="136" t="s">
        <v>250</v>
      </c>
      <c r="E61" s="358">
        <f>IFERROR(F61/C61,)</f>
        <v>0</v>
      </c>
      <c r="F61" s="148">
        <v>0</v>
      </c>
      <c r="G61" s="151"/>
      <c r="H61" s="150"/>
      <c r="I61" s="296">
        <v>44</v>
      </c>
    </row>
    <row r="62" spans="2:9">
      <c r="B62" s="132" t="s">
        <v>262</v>
      </c>
      <c r="C62" s="131">
        <v>0</v>
      </c>
      <c r="D62" s="133" t="s">
        <v>250</v>
      </c>
      <c r="E62" s="358">
        <f>IFERROR(F62/C62,)</f>
        <v>0</v>
      </c>
      <c r="F62" s="143">
        <v>0</v>
      </c>
      <c r="G62" s="146"/>
      <c r="H62" s="145"/>
      <c r="I62" s="296">
        <v>45</v>
      </c>
    </row>
    <row r="63" spans="2:9" ht="24" customHeight="1">
      <c r="B63" s="1008" t="s">
        <v>265</v>
      </c>
      <c r="C63" s="1008"/>
      <c r="D63" s="1008"/>
      <c r="E63" s="1008"/>
      <c r="F63" s="1008"/>
      <c r="G63" s="1008"/>
      <c r="H63" s="1008"/>
      <c r="I63" s="296">
        <v>46</v>
      </c>
    </row>
    <row r="64" spans="2:9" ht="16.5" thickBot="1">
      <c r="B64" s="134" t="s">
        <v>261</v>
      </c>
      <c r="C64" s="131">
        <v>0</v>
      </c>
      <c r="D64" s="136" t="s">
        <v>250</v>
      </c>
      <c r="E64" s="358">
        <f>IFERROR(F64/C64,)</f>
        <v>0</v>
      </c>
      <c r="F64" s="148">
        <v>0</v>
      </c>
      <c r="G64" s="151"/>
      <c r="H64" s="150"/>
      <c r="I64" s="296">
        <v>47</v>
      </c>
    </row>
    <row r="65" spans="1:9">
      <c r="A65" s="471"/>
      <c r="B65" s="132" t="s">
        <v>262</v>
      </c>
      <c r="C65" s="131">
        <v>0</v>
      </c>
      <c r="D65" s="133" t="s">
        <v>250</v>
      </c>
      <c r="E65" s="358">
        <f>IFERROR(F65/C65,)</f>
        <v>0</v>
      </c>
      <c r="F65" s="143">
        <v>0</v>
      </c>
      <c r="G65" s="146"/>
      <c r="H65" s="145"/>
      <c r="I65" s="296">
        <v>48</v>
      </c>
    </row>
    <row r="66" spans="1:9" ht="24" customHeight="1">
      <c r="A66" s="471"/>
      <c r="B66" s="1008" t="s">
        <v>266</v>
      </c>
      <c r="C66" s="1008"/>
      <c r="D66" s="1008"/>
      <c r="E66" s="1008"/>
      <c r="F66" s="1008"/>
      <c r="G66" s="1008"/>
      <c r="H66" s="1008"/>
      <c r="I66" s="296">
        <v>49</v>
      </c>
    </row>
    <row r="67" spans="1:9" ht="16.5" thickBot="1">
      <c r="A67" s="471"/>
      <c r="B67" s="134" t="s">
        <v>261</v>
      </c>
      <c r="C67" s="135">
        <v>0</v>
      </c>
      <c r="D67" s="136" t="s">
        <v>250</v>
      </c>
      <c r="E67" s="358">
        <f>IFERROR(F67/C67,)</f>
        <v>0</v>
      </c>
      <c r="F67" s="148">
        <v>0</v>
      </c>
      <c r="G67" s="149" t="s">
        <v>267</v>
      </c>
      <c r="H67" s="150"/>
      <c r="I67" s="296">
        <v>50</v>
      </c>
    </row>
    <row r="68" spans="1:9">
      <c r="A68" s="471"/>
      <c r="B68" s="132" t="s">
        <v>262</v>
      </c>
      <c r="C68" s="131">
        <v>0</v>
      </c>
      <c r="D68" s="133" t="s">
        <v>250</v>
      </c>
      <c r="E68" s="358">
        <f>IFERROR(F68/C68,)</f>
        <v>0</v>
      </c>
      <c r="F68" s="143">
        <v>0</v>
      </c>
      <c r="G68" s="144" t="s">
        <v>267</v>
      </c>
      <c r="H68" s="145"/>
      <c r="I68" s="296">
        <v>51</v>
      </c>
    </row>
    <row r="69" spans="1:9">
      <c r="A69" s="471"/>
      <c r="B69" s="471"/>
      <c r="C69" s="471"/>
      <c r="D69" s="471"/>
      <c r="E69" s="472"/>
      <c r="F69" s="472"/>
      <c r="G69" s="472"/>
      <c r="H69" s="471"/>
      <c r="I69" s="296">
        <v>52</v>
      </c>
    </row>
    <row r="70" spans="1:9" ht="18.75" customHeight="1">
      <c r="A70" s="471"/>
      <c r="B70" s="1019" t="s">
        <v>273</v>
      </c>
      <c r="C70" s="1019"/>
      <c r="D70" s="1019"/>
      <c r="E70" s="1019"/>
      <c r="F70" s="1019"/>
      <c r="G70" s="1019"/>
      <c r="H70" s="1019"/>
      <c r="I70" s="296">
        <v>53</v>
      </c>
    </row>
    <row r="71" spans="1:9" ht="21">
      <c r="A71" s="471"/>
      <c r="B71" s="1019" t="s">
        <v>274</v>
      </c>
      <c r="C71" s="1019"/>
      <c r="D71" s="1019" t="s">
        <v>250</v>
      </c>
      <c r="E71" s="1019">
        <v>0</v>
      </c>
      <c r="F71" s="1019"/>
      <c r="G71" s="1019"/>
      <c r="H71" s="1019"/>
      <c r="I71" s="296">
        <v>54</v>
      </c>
    </row>
    <row r="72" spans="1:9">
      <c r="A72" s="471"/>
      <c r="B72" s="1010" t="s">
        <v>275</v>
      </c>
      <c r="C72" s="1010" t="s">
        <v>276</v>
      </c>
      <c r="D72" s="1010"/>
      <c r="E72" s="1010" t="s">
        <v>277</v>
      </c>
      <c r="F72" s="1010" t="s">
        <v>278</v>
      </c>
      <c r="G72" s="1010" t="s">
        <v>279</v>
      </c>
      <c r="H72" s="1010" t="s">
        <v>280</v>
      </c>
      <c r="I72" s="296">
        <v>55</v>
      </c>
    </row>
    <row r="73" spans="1:9" ht="15.75" customHeight="1" thickBot="1">
      <c r="A73" s="471"/>
      <c r="B73" s="1011"/>
      <c r="C73" s="1011"/>
      <c r="D73" s="1011"/>
      <c r="E73" s="1011"/>
      <c r="F73" s="1011"/>
      <c r="G73" s="1011"/>
      <c r="H73" s="1011"/>
      <c r="I73" s="296">
        <v>56</v>
      </c>
    </row>
    <row r="74" spans="1:9" ht="20.25" customHeight="1" thickBot="1">
      <c r="A74" s="471"/>
      <c r="B74" s="341"/>
      <c r="C74" s="1032">
        <v>0</v>
      </c>
      <c r="D74" s="1033"/>
      <c r="E74" s="310">
        <v>0</v>
      </c>
      <c r="F74" s="340">
        <f>IFERROR(E74/C74,0)</f>
        <v>0</v>
      </c>
      <c r="G74" s="303" t="s">
        <v>281</v>
      </c>
      <c r="H74" s="301"/>
      <c r="I74" s="296">
        <v>57</v>
      </c>
    </row>
    <row r="75" spans="1:9" ht="0.75" customHeight="1" thickBot="1">
      <c r="A75" s="471"/>
      <c r="B75" s="1028" t="str">
        <f>IF(G74="other","Please provide 'Other' technology details here","")</f>
        <v/>
      </c>
      <c r="C75" s="1028"/>
      <c r="D75" s="1028"/>
      <c r="E75" s="1028"/>
      <c r="F75" s="1028"/>
      <c r="G75" s="1028"/>
      <c r="H75" s="1028"/>
      <c r="I75" s="296">
        <v>59</v>
      </c>
    </row>
    <row r="76" spans="1:9" ht="20.25" customHeight="1" thickBot="1">
      <c r="A76" s="471"/>
      <c r="B76" s="342"/>
      <c r="C76" s="1034">
        <v>0</v>
      </c>
      <c r="D76" s="1035"/>
      <c r="E76" s="311">
        <v>0</v>
      </c>
      <c r="F76" s="340">
        <f>IFERROR(E76/C76,0)</f>
        <v>0</v>
      </c>
      <c r="G76" s="302" t="s">
        <v>281</v>
      </c>
      <c r="H76" s="307"/>
      <c r="I76" s="296">
        <v>61</v>
      </c>
    </row>
    <row r="77" spans="1:9" ht="0.75" customHeight="1" thickBot="1">
      <c r="A77" s="471"/>
      <c r="B77" s="1028" t="str">
        <f>IF(G76="other","Please provide 'Other' technology details here","")</f>
        <v/>
      </c>
      <c r="C77" s="1028"/>
      <c r="D77" s="1028"/>
      <c r="E77" s="1028"/>
      <c r="F77" s="1028"/>
      <c r="G77" s="1028"/>
      <c r="H77" s="1028"/>
      <c r="I77" s="296">
        <v>63</v>
      </c>
    </row>
    <row r="78" spans="1:9" ht="20.25" customHeight="1" thickBot="1">
      <c r="A78" s="471"/>
      <c r="B78" s="342"/>
      <c r="C78" s="1034">
        <v>0</v>
      </c>
      <c r="D78" s="1035"/>
      <c r="E78" s="311">
        <v>0</v>
      </c>
      <c r="F78" s="340">
        <f>IFERROR(E78/C78,0)</f>
        <v>0</v>
      </c>
      <c r="G78" s="302" t="s">
        <v>281</v>
      </c>
      <c r="H78" s="307"/>
      <c r="I78" s="296">
        <v>61</v>
      </c>
    </row>
    <row r="79" spans="1:9" s="194" customFormat="1" ht="0.75" customHeight="1" thickBot="1">
      <c r="A79" s="470"/>
      <c r="B79" s="1038"/>
      <c r="C79" s="1038"/>
      <c r="D79" s="1038"/>
      <c r="E79" s="1038"/>
      <c r="F79" s="1038"/>
      <c r="G79" s="1038"/>
      <c r="H79" s="1038"/>
      <c r="I79" s="296"/>
    </row>
    <row r="80" spans="1:9" ht="20.25" customHeight="1" thickBot="1">
      <c r="A80" s="471"/>
      <c r="B80" s="342"/>
      <c r="C80" s="1034">
        <v>0</v>
      </c>
      <c r="D80" s="1035"/>
      <c r="E80" s="311">
        <v>0</v>
      </c>
      <c r="F80" s="340">
        <f>IFERROR(E80/C80,0)</f>
        <v>0</v>
      </c>
      <c r="G80" s="302" t="s">
        <v>281</v>
      </c>
      <c r="H80" s="307"/>
      <c r="I80" s="296">
        <v>65</v>
      </c>
    </row>
    <row r="81" spans="1:9" ht="12.75" customHeight="1">
      <c r="A81" s="471"/>
      <c r="B81" s="1039"/>
      <c r="C81" s="1039"/>
      <c r="D81" s="1039"/>
      <c r="E81" s="1039"/>
      <c r="F81" s="1039"/>
      <c r="G81" s="1039"/>
      <c r="H81" s="1039"/>
      <c r="I81" s="296">
        <v>68</v>
      </c>
    </row>
    <row r="82" spans="1:9" ht="21">
      <c r="A82" s="471"/>
      <c r="B82" s="518" t="s">
        <v>282</v>
      </c>
      <c r="C82" s="518"/>
      <c r="D82" s="518"/>
      <c r="E82" s="518"/>
      <c r="F82" s="518"/>
      <c r="G82" s="518"/>
      <c r="H82" s="518"/>
      <c r="I82" s="296">
        <v>69</v>
      </c>
    </row>
    <row r="83" spans="1:9" ht="21">
      <c r="A83" s="471"/>
      <c r="B83" s="518" t="s">
        <v>283</v>
      </c>
      <c r="C83" s="518"/>
      <c r="D83" s="518"/>
      <c r="E83" s="518"/>
      <c r="F83" s="518"/>
      <c r="G83" s="518"/>
      <c r="H83" s="518"/>
      <c r="I83" s="296">
        <v>70</v>
      </c>
    </row>
    <row r="84" spans="1:9">
      <c r="A84" s="471"/>
      <c r="B84" s="1037" t="s">
        <v>284</v>
      </c>
      <c r="C84" s="1037"/>
      <c r="D84" s="1037"/>
      <c r="E84" s="1037"/>
      <c r="F84" s="1037"/>
      <c r="G84" s="1037"/>
      <c r="H84" s="1037"/>
    </row>
    <row r="85" spans="1:9" ht="15" customHeight="1">
      <c r="A85" s="471"/>
      <c r="B85" s="1037" t="s">
        <v>285</v>
      </c>
      <c r="C85" s="1037"/>
      <c r="D85" s="1037"/>
      <c r="E85" s="1037"/>
      <c r="F85" s="1037"/>
      <c r="G85" s="1037"/>
      <c r="H85" s="1037"/>
    </row>
    <row r="86" spans="1:9">
      <c r="A86" s="471"/>
      <c r="B86" s="1012" t="s">
        <v>286</v>
      </c>
      <c r="C86" s="1010" t="s">
        <v>2198</v>
      </c>
      <c r="D86" s="1012" t="s">
        <v>245</v>
      </c>
      <c r="E86" s="1010" t="s">
        <v>287</v>
      </c>
      <c r="F86" s="1010" t="s">
        <v>288</v>
      </c>
      <c r="G86" s="1010"/>
      <c r="H86" s="1010"/>
      <c r="I86" s="296">
        <v>71</v>
      </c>
    </row>
    <row r="87" spans="1:9">
      <c r="A87" s="471"/>
      <c r="B87" s="1012"/>
      <c r="C87" s="1010"/>
      <c r="D87" s="1012"/>
      <c r="E87" s="1010"/>
      <c r="F87" s="1010"/>
      <c r="G87" s="1010"/>
      <c r="H87" s="1010"/>
      <c r="I87" s="296">
        <v>72</v>
      </c>
    </row>
    <row r="88" spans="1:9" ht="1.5" customHeight="1" thickBot="1">
      <c r="A88" s="471"/>
      <c r="B88" s="1012"/>
      <c r="C88" s="1010"/>
      <c r="D88" s="1012"/>
      <c r="E88" s="1010"/>
      <c r="F88" s="1011"/>
      <c r="G88" s="1011"/>
      <c r="H88" s="1011"/>
      <c r="I88" s="296">
        <v>73</v>
      </c>
    </row>
    <row r="89" spans="1:9" s="67" customFormat="1" ht="23.25" customHeight="1">
      <c r="A89" s="473"/>
      <c r="B89" s="1030" t="s">
        <v>289</v>
      </c>
      <c r="C89" s="1030"/>
      <c r="D89" s="1030"/>
      <c r="E89" s="1030"/>
      <c r="F89" s="1030"/>
      <c r="G89" s="1030"/>
      <c r="H89" s="1030"/>
      <c r="I89" s="296">
        <v>74</v>
      </c>
    </row>
    <row r="90" spans="1:9" ht="18" customHeight="1">
      <c r="A90" s="471"/>
      <c r="B90" s="157" t="s">
        <v>290</v>
      </c>
      <c r="C90" s="131">
        <v>0</v>
      </c>
      <c r="D90" s="133" t="s">
        <v>291</v>
      </c>
      <c r="E90" s="143">
        <v>0</v>
      </c>
      <c r="F90" s="1036"/>
      <c r="G90" s="1036"/>
      <c r="H90" s="1036"/>
      <c r="I90" s="296">
        <v>75</v>
      </c>
    </row>
    <row r="91" spans="1:9" ht="23.25" customHeight="1">
      <c r="A91" s="471"/>
      <c r="B91" s="1029" t="s">
        <v>292</v>
      </c>
      <c r="C91" s="1029"/>
      <c r="D91" s="1029"/>
      <c r="E91" s="1029"/>
      <c r="F91" s="1029"/>
      <c r="G91" s="1029"/>
      <c r="H91" s="1029"/>
      <c r="I91" s="7"/>
    </row>
    <row r="92" spans="1:9" ht="17.25" customHeight="1" thickBot="1">
      <c r="A92" s="471"/>
      <c r="B92" s="134" t="s">
        <v>293</v>
      </c>
      <c r="C92" s="135">
        <v>0</v>
      </c>
      <c r="D92" s="198" t="s">
        <v>294</v>
      </c>
      <c r="E92" s="148">
        <v>0</v>
      </c>
      <c r="F92" s="1043"/>
      <c r="G92" s="1043"/>
      <c r="H92" s="1043"/>
    </row>
    <row r="93" spans="1:9" ht="17.25" customHeight="1" thickBot="1">
      <c r="A93" s="471"/>
      <c r="B93" s="134" t="s">
        <v>295</v>
      </c>
      <c r="C93" s="135">
        <v>0</v>
      </c>
      <c r="D93" s="198" t="s">
        <v>294</v>
      </c>
      <c r="E93" s="148">
        <v>0</v>
      </c>
      <c r="F93" s="1044"/>
      <c r="G93" s="1044"/>
      <c r="H93" s="1044"/>
    </row>
    <row r="94" spans="1:9" ht="17.25" customHeight="1" thickBot="1">
      <c r="A94" s="471"/>
      <c r="B94" s="156" t="s">
        <v>296</v>
      </c>
      <c r="C94" s="153">
        <v>0</v>
      </c>
      <c r="D94" s="199" t="s">
        <v>294</v>
      </c>
      <c r="E94" s="154">
        <v>0</v>
      </c>
      <c r="F94" s="1044"/>
      <c r="G94" s="1044"/>
      <c r="H94" s="1044"/>
    </row>
    <row r="95" spans="1:9" ht="16.5" customHeight="1">
      <c r="A95" s="471"/>
      <c r="B95" s="132" t="s">
        <v>297</v>
      </c>
      <c r="C95" s="131">
        <v>0</v>
      </c>
      <c r="D95" s="312" t="s">
        <v>294</v>
      </c>
      <c r="E95" s="143">
        <v>0</v>
      </c>
      <c r="F95" s="1045"/>
      <c r="G95" s="1045"/>
      <c r="H95" s="1045"/>
    </row>
    <row r="96" spans="1:9" ht="21.75" customHeight="1">
      <c r="A96" s="471"/>
      <c r="B96" s="1029" t="s">
        <v>298</v>
      </c>
      <c r="C96" s="1029"/>
      <c r="D96" s="1029"/>
      <c r="E96" s="1029"/>
      <c r="F96" s="1029"/>
      <c r="G96" s="1029"/>
      <c r="H96" s="1029"/>
    </row>
    <row r="97" spans="2:9" ht="17.25" customHeight="1">
      <c r="B97" s="343"/>
      <c r="C97" s="304">
        <v>0</v>
      </c>
      <c r="D97" s="305" t="s">
        <v>294</v>
      </c>
      <c r="E97" s="306">
        <v>0</v>
      </c>
      <c r="F97" s="1041" t="s">
        <v>299</v>
      </c>
      <c r="G97" s="1042"/>
      <c r="H97" s="200"/>
    </row>
    <row r="98" spans="2:9" ht="15.75" customHeight="1">
      <c r="B98" s="1046" t="s">
        <v>275</v>
      </c>
      <c r="C98" s="1046" t="s">
        <v>2199</v>
      </c>
      <c r="D98" s="1046"/>
      <c r="E98" s="1046" t="s">
        <v>300</v>
      </c>
      <c r="F98" s="1046" t="s">
        <v>301</v>
      </c>
      <c r="G98" s="1046" t="s">
        <v>302</v>
      </c>
      <c r="H98" s="1046" t="s">
        <v>288</v>
      </c>
      <c r="I98" s="296">
        <v>71</v>
      </c>
    </row>
    <row r="99" spans="2:9" ht="16.5" thickBot="1">
      <c r="B99" s="1011"/>
      <c r="C99" s="1011"/>
      <c r="D99" s="1011"/>
      <c r="E99" s="1011"/>
      <c r="F99" s="1011"/>
      <c r="G99" s="1011"/>
      <c r="H99" s="1011"/>
      <c r="I99" s="296">
        <v>72</v>
      </c>
    </row>
    <row r="100" spans="2:9" ht="23.25" customHeight="1" thickBot="1">
      <c r="B100" s="1029" t="s">
        <v>303</v>
      </c>
      <c r="C100" s="1029"/>
      <c r="D100" s="1029"/>
      <c r="E100" s="1029"/>
      <c r="F100" s="1029"/>
      <c r="G100" s="1029"/>
      <c r="H100" s="1029"/>
    </row>
    <row r="101" spans="2:9" ht="16.5" thickBot="1">
      <c r="B101" s="313" t="s">
        <v>304</v>
      </c>
      <c r="C101" s="1040">
        <v>0</v>
      </c>
      <c r="D101" s="1040"/>
      <c r="E101" s="310">
        <v>0</v>
      </c>
      <c r="F101" s="314"/>
      <c r="G101" s="315" t="s">
        <v>305</v>
      </c>
      <c r="H101" s="519"/>
    </row>
    <row r="102" spans="2:9" ht="16.5" thickBot="1">
      <c r="B102" s="313"/>
      <c r="C102" s="1040">
        <v>0</v>
      </c>
      <c r="D102" s="1040"/>
      <c r="E102" s="310">
        <v>0</v>
      </c>
      <c r="F102" s="313"/>
      <c r="G102" s="316" t="s">
        <v>305</v>
      </c>
      <c r="H102" s="520"/>
    </row>
    <row r="103" spans="2:9" ht="16.5" thickBot="1">
      <c r="B103" s="313"/>
      <c r="C103" s="1040">
        <v>0</v>
      </c>
      <c r="D103" s="1040"/>
      <c r="E103" s="310">
        <v>0</v>
      </c>
      <c r="F103" s="313"/>
      <c r="G103" s="316" t="s">
        <v>305</v>
      </c>
      <c r="H103" s="520"/>
    </row>
    <row r="104" spans="2:9">
      <c r="B104" s="471"/>
      <c r="C104" s="471"/>
      <c r="D104" s="471"/>
      <c r="E104" s="472"/>
      <c r="F104" s="472"/>
      <c r="G104" s="472"/>
      <c r="H104" s="471"/>
    </row>
    <row r="105" spans="2:9">
      <c r="B105" s="471"/>
      <c r="C105" s="471"/>
      <c r="D105" s="471"/>
      <c r="E105" s="472"/>
      <c r="F105" s="472"/>
      <c r="G105" s="472"/>
      <c r="H105" s="471"/>
    </row>
    <row r="106" spans="2:9">
      <c r="B106" s="471"/>
      <c r="C106" s="471"/>
      <c r="D106" s="471"/>
      <c r="E106" s="472"/>
      <c r="F106" s="472"/>
      <c r="G106" s="472"/>
      <c r="H106" s="471"/>
    </row>
    <row r="107" spans="2:9">
      <c r="B107" s="471"/>
      <c r="C107" s="471"/>
      <c r="D107" s="471"/>
      <c r="E107" s="472"/>
      <c r="F107" s="472"/>
      <c r="G107" s="472"/>
      <c r="H107" s="471"/>
    </row>
    <row r="108" spans="2:9">
      <c r="B108" s="471"/>
      <c r="C108" s="471"/>
      <c r="D108" s="471"/>
      <c r="E108" s="472"/>
      <c r="F108" s="472"/>
      <c r="G108" s="472"/>
      <c r="H108" s="471"/>
    </row>
    <row r="109" spans="2:9">
      <c r="B109" s="471"/>
      <c r="C109" s="471"/>
      <c r="D109" s="471"/>
      <c r="E109" s="471"/>
      <c r="F109" s="471"/>
      <c r="G109" s="471"/>
      <c r="H109" s="471"/>
    </row>
    <row r="110" spans="2:9">
      <c r="B110" s="471"/>
      <c r="C110" s="471"/>
      <c r="D110" s="471"/>
      <c r="E110" s="471"/>
      <c r="F110" s="471"/>
      <c r="G110" s="471"/>
      <c r="H110" s="471"/>
    </row>
    <row r="111" spans="2:9">
      <c r="B111" s="471"/>
      <c r="C111" s="471"/>
      <c r="D111" s="471"/>
      <c r="E111" s="471"/>
      <c r="F111" s="471"/>
      <c r="G111" s="471"/>
      <c r="H111" s="471"/>
    </row>
    <row r="112" spans="2:9">
      <c r="B112" s="471"/>
      <c r="C112" s="471"/>
      <c r="D112" s="471"/>
      <c r="E112" s="471"/>
      <c r="F112" s="471"/>
      <c r="G112" s="471"/>
      <c r="H112" s="471"/>
    </row>
    <row r="113" spans="5:7">
      <c r="E113" s="471"/>
      <c r="F113" s="471"/>
      <c r="G113" s="471"/>
    </row>
    <row r="114" spans="5:7">
      <c r="E114" s="471"/>
      <c r="F114" s="471"/>
      <c r="G114" s="471"/>
    </row>
    <row r="115" spans="5:7">
      <c r="E115" s="471"/>
      <c r="F115" s="471"/>
      <c r="G115" s="471"/>
    </row>
    <row r="116" spans="5:7">
      <c r="E116" s="471"/>
      <c r="F116" s="471"/>
      <c r="G116" s="471"/>
    </row>
    <row r="117" spans="5:7">
      <c r="E117" s="471"/>
      <c r="F117" s="471"/>
      <c r="G117" s="471"/>
    </row>
    <row r="118" spans="5:7">
      <c r="E118" s="471"/>
      <c r="F118" s="471"/>
      <c r="G118" s="471"/>
    </row>
    <row r="119" spans="5:7">
      <c r="E119" s="471"/>
      <c r="F119" s="471"/>
      <c r="G119" s="471"/>
    </row>
    <row r="120" spans="5:7">
      <c r="E120" s="471"/>
      <c r="F120" s="471"/>
      <c r="G120" s="471"/>
    </row>
    <row r="121" spans="5:7">
      <c r="E121" s="471"/>
      <c r="F121" s="471"/>
      <c r="G121" s="471"/>
    </row>
    <row r="122" spans="5:7">
      <c r="E122" s="471"/>
      <c r="F122" s="471"/>
      <c r="G122" s="471"/>
    </row>
    <row r="123" spans="5:7">
      <c r="E123" s="471"/>
      <c r="F123" s="471"/>
      <c r="G123" s="471"/>
    </row>
    <row r="124" spans="5:7">
      <c r="E124" s="471"/>
      <c r="F124" s="471"/>
      <c r="G124" s="471"/>
    </row>
    <row r="125" spans="5:7">
      <c r="E125" s="471"/>
      <c r="F125" s="471"/>
      <c r="G125" s="471"/>
    </row>
    <row r="126" spans="5:7">
      <c r="E126" s="471"/>
      <c r="F126" s="471"/>
      <c r="G126" s="471"/>
    </row>
    <row r="127" spans="5:7">
      <c r="E127" s="471"/>
      <c r="F127" s="471"/>
      <c r="G127" s="471"/>
    </row>
    <row r="128" spans="5:7">
      <c r="E128" s="471"/>
      <c r="F128" s="471"/>
      <c r="G128" s="471"/>
    </row>
    <row r="129" spans="5:7" hidden="1">
      <c r="E129" s="471"/>
      <c r="F129" s="471"/>
      <c r="G129" s="471"/>
    </row>
    <row r="130" spans="5:7" hidden="1">
      <c r="E130" s="471"/>
      <c r="F130" s="471"/>
      <c r="G130" s="471"/>
    </row>
    <row r="131" spans="5:7">
      <c r="E131" s="471"/>
      <c r="F131" s="471"/>
      <c r="G131" s="471"/>
    </row>
    <row r="132" spans="5:7">
      <c r="E132" s="471"/>
      <c r="F132" s="471"/>
      <c r="G132" s="471"/>
    </row>
    <row r="133" spans="5:7">
      <c r="E133" s="471"/>
      <c r="F133" s="471"/>
      <c r="G133" s="471"/>
    </row>
    <row r="134" spans="5:7">
      <c r="E134" s="471"/>
      <c r="F134" s="471"/>
      <c r="G134" s="471"/>
    </row>
    <row r="135" spans="5:7">
      <c r="E135" s="471"/>
      <c r="F135" s="471"/>
      <c r="G135" s="471"/>
    </row>
    <row r="136" spans="5:7">
      <c r="E136" s="471"/>
      <c r="F136" s="471"/>
      <c r="G136" s="471"/>
    </row>
    <row r="137" spans="5:7">
      <c r="E137" s="471"/>
      <c r="F137" s="471"/>
      <c r="G137" s="471"/>
    </row>
    <row r="138" spans="5:7">
      <c r="E138" s="471"/>
      <c r="F138" s="471"/>
      <c r="G138" s="471"/>
    </row>
    <row r="139" spans="5:7">
      <c r="E139" s="471"/>
      <c r="F139" s="471"/>
      <c r="G139" s="471"/>
    </row>
    <row r="140" spans="5:7">
      <c r="E140" s="471"/>
      <c r="F140" s="471"/>
      <c r="G140" s="471"/>
    </row>
    <row r="141" spans="5:7">
      <c r="E141" s="471"/>
      <c r="F141" s="471"/>
      <c r="G141" s="471"/>
    </row>
    <row r="142" spans="5:7">
      <c r="E142" s="471"/>
      <c r="F142" s="471"/>
      <c r="G142" s="471"/>
    </row>
    <row r="143" spans="5:7">
      <c r="E143" s="471"/>
      <c r="F143" s="471"/>
      <c r="G143" s="471"/>
    </row>
    <row r="144" spans="5:7">
      <c r="E144" s="471"/>
      <c r="F144" s="471"/>
      <c r="G144" s="471"/>
    </row>
    <row r="145" spans="5:7">
      <c r="E145" s="471"/>
      <c r="F145" s="471"/>
      <c r="G145" s="471"/>
    </row>
    <row r="146" spans="5:7">
      <c r="E146" s="471"/>
      <c r="F146" s="471"/>
      <c r="G146" s="471"/>
    </row>
    <row r="147" spans="5:7">
      <c r="E147" s="471"/>
      <c r="F147" s="471"/>
      <c r="G147" s="471"/>
    </row>
    <row r="148" spans="5:7">
      <c r="E148" s="471"/>
      <c r="F148" s="471"/>
      <c r="G148" s="471"/>
    </row>
    <row r="149" spans="5:7">
      <c r="E149" s="472"/>
      <c r="F149" s="472"/>
      <c r="G149" s="472"/>
    </row>
    <row r="150" spans="5:7">
      <c r="E150" s="472"/>
      <c r="F150" s="472"/>
      <c r="G150" s="472"/>
    </row>
    <row r="151" spans="5:7">
      <c r="E151" s="472"/>
      <c r="F151" s="472"/>
      <c r="G151" s="472"/>
    </row>
    <row r="152" spans="5:7">
      <c r="E152" s="472"/>
      <c r="F152" s="472"/>
      <c r="G152" s="472"/>
    </row>
    <row r="153" spans="5:7">
      <c r="E153" s="472"/>
      <c r="F153" s="472"/>
      <c r="G153" s="472"/>
    </row>
    <row r="154" spans="5:7">
      <c r="E154" s="472"/>
      <c r="F154" s="472"/>
      <c r="G154" s="472"/>
    </row>
    <row r="155" spans="5:7">
      <c r="E155" s="472"/>
      <c r="F155" s="472"/>
      <c r="G155" s="472"/>
    </row>
    <row r="156" spans="5:7">
      <c r="E156" s="472"/>
      <c r="F156" s="472"/>
      <c r="G156" s="472"/>
    </row>
    <row r="157" spans="5:7">
      <c r="E157" s="472"/>
      <c r="F157" s="472"/>
      <c r="G157" s="472"/>
    </row>
    <row r="158" spans="5:7">
      <c r="E158" s="472"/>
      <c r="F158" s="472"/>
      <c r="G158" s="472"/>
    </row>
    <row r="159" spans="5:7">
      <c r="E159" s="472"/>
      <c r="F159" s="472"/>
      <c r="G159" s="472"/>
    </row>
    <row r="160" spans="5:7">
      <c r="E160" s="472"/>
      <c r="F160" s="472"/>
      <c r="G160" s="472"/>
    </row>
    <row r="161"/>
    <row r="162"/>
    <row r="163"/>
    <row r="164"/>
    <row r="165"/>
    <row r="166"/>
    <row r="167"/>
    <row r="168"/>
    <row r="169"/>
    <row r="170"/>
  </sheetData>
  <sheetProtection selectLockedCells="1"/>
  <mergeCells count="110">
    <mergeCell ref="B79:H79"/>
    <mergeCell ref="B81:H81"/>
    <mergeCell ref="C101:D101"/>
    <mergeCell ref="C102:D102"/>
    <mergeCell ref="C103:D103"/>
    <mergeCell ref="B96:H96"/>
    <mergeCell ref="F97:G97"/>
    <mergeCell ref="F92:H92"/>
    <mergeCell ref="F93:H93"/>
    <mergeCell ref="F94:H94"/>
    <mergeCell ref="F95:H95"/>
    <mergeCell ref="B98:B99"/>
    <mergeCell ref="E98:E99"/>
    <mergeCell ref="F98:F99"/>
    <mergeCell ref="G98:G99"/>
    <mergeCell ref="H98:H99"/>
    <mergeCell ref="C98:D99"/>
    <mergeCell ref="B100:H100"/>
    <mergeCell ref="B26:H26"/>
    <mergeCell ref="G30:H30"/>
    <mergeCell ref="B29:H29"/>
    <mergeCell ref="G39:H39"/>
    <mergeCell ref="B41:H41"/>
    <mergeCell ref="E31:F31"/>
    <mergeCell ref="E33:F33"/>
    <mergeCell ref="E43:F43"/>
    <mergeCell ref="B60:H60"/>
    <mergeCell ref="E40:F40"/>
    <mergeCell ref="B45:H45"/>
    <mergeCell ref="B46:H46"/>
    <mergeCell ref="B48:B50"/>
    <mergeCell ref="C48:C50"/>
    <mergeCell ref="H48:H50"/>
    <mergeCell ref="G48:G50"/>
    <mergeCell ref="B47:H47"/>
    <mergeCell ref="E34:F34"/>
    <mergeCell ref="E36:F36"/>
    <mergeCell ref="G31:H31"/>
    <mergeCell ref="G27:H27"/>
    <mergeCell ref="G28:H28"/>
    <mergeCell ref="G34:H34"/>
    <mergeCell ref="G36:H36"/>
    <mergeCell ref="B77:H77"/>
    <mergeCell ref="B91:H91"/>
    <mergeCell ref="B89:H89"/>
    <mergeCell ref="E86:E88"/>
    <mergeCell ref="B86:B88"/>
    <mergeCell ref="C86:C88"/>
    <mergeCell ref="D86:D88"/>
    <mergeCell ref="B75:H75"/>
    <mergeCell ref="E48:E50"/>
    <mergeCell ref="F48:F50"/>
    <mergeCell ref="E72:E73"/>
    <mergeCell ref="F72:F73"/>
    <mergeCell ref="G72:G73"/>
    <mergeCell ref="C74:D74"/>
    <mergeCell ref="C76:D76"/>
    <mergeCell ref="C78:D78"/>
    <mergeCell ref="C80:D80"/>
    <mergeCell ref="C72:D73"/>
    <mergeCell ref="F86:H88"/>
    <mergeCell ref="F90:H90"/>
    <mergeCell ref="B71:H71"/>
    <mergeCell ref="B70:H70"/>
    <mergeCell ref="B84:H84"/>
    <mergeCell ref="B85:H85"/>
    <mergeCell ref="B1:H1"/>
    <mergeCell ref="B14:H14"/>
    <mergeCell ref="B15:H15"/>
    <mergeCell ref="C2:H4"/>
    <mergeCell ref="C5:H5"/>
    <mergeCell ref="B2:B5"/>
    <mergeCell ref="E23:F25"/>
    <mergeCell ref="G18:H18"/>
    <mergeCell ref="B16:B17"/>
    <mergeCell ref="C16:C17"/>
    <mergeCell ref="D16:D17"/>
    <mergeCell ref="G16:H17"/>
    <mergeCell ref="F16:F17"/>
    <mergeCell ref="B23:B25"/>
    <mergeCell ref="C23:C25"/>
    <mergeCell ref="B8:H8"/>
    <mergeCell ref="E16:E17"/>
    <mergeCell ref="B22:H22"/>
    <mergeCell ref="D23:D25"/>
    <mergeCell ref="B20:H20"/>
    <mergeCell ref="G23:H25"/>
    <mergeCell ref="B21:H21"/>
    <mergeCell ref="E27:F27"/>
    <mergeCell ref="E28:F28"/>
    <mergeCell ref="E30:F30"/>
    <mergeCell ref="G33:H33"/>
    <mergeCell ref="B32:H32"/>
    <mergeCell ref="B35:H35"/>
    <mergeCell ref="B38:H38"/>
    <mergeCell ref="G37:H37"/>
    <mergeCell ref="B63:H63"/>
    <mergeCell ref="B66:H66"/>
    <mergeCell ref="E37:F37"/>
    <mergeCell ref="B72:B73"/>
    <mergeCell ref="D48:D50"/>
    <mergeCell ref="G40:H40"/>
    <mergeCell ref="G42:H42"/>
    <mergeCell ref="G43:H43"/>
    <mergeCell ref="H72:H73"/>
    <mergeCell ref="E39:F39"/>
    <mergeCell ref="B51:H51"/>
    <mergeCell ref="B54:H54"/>
    <mergeCell ref="B57:H57"/>
    <mergeCell ref="E42:F42"/>
  </mergeCells>
  <conditionalFormatting sqref="B75 B77">
    <cfRule type="containsText" dxfId="35" priority="10" operator="containsText" text="Please provide 'Other' technology details here">
      <formula>NOT(ISERROR(SEARCH("Please provide 'Other' technology details here",B75)))</formula>
    </cfRule>
  </conditionalFormatting>
  <pageMargins left="0.7" right="0.7" top="0.75" bottom="0.75" header="0.3" footer="0.3"/>
  <pageSetup scale="45"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Source!$A$1:$A$9</xm:f>
          </x14:formula1>
          <xm:sqref>G76 G74 G78 G80</xm:sqref>
        </x14:dataValidation>
        <x14:dataValidation type="list" allowBlank="1" showInputMessage="1" showErrorMessage="1" xr:uid="{00000000-0002-0000-0600-000001000000}">
          <x14:formula1>
            <xm:f>Source!$AM$1:$AM$4</xm:f>
          </x14:formula1>
          <xm:sqref>G101:G103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A1:I35"/>
  <sheetViews>
    <sheetView showGridLines="0" topLeftCell="A15" zoomScale="80" zoomScaleNormal="80" workbookViewId="0">
      <selection activeCell="J24" sqref="J24"/>
    </sheetView>
  </sheetViews>
  <sheetFormatPr defaultColWidth="0" defaultRowHeight="15.75" zeroHeight="1"/>
  <cols>
    <col min="1" max="1" width="2.85546875" style="6" customWidth="1"/>
    <col min="2" max="2" width="51" style="6" customWidth="1"/>
    <col min="3" max="3" width="19.28515625" style="6" bestFit="1" customWidth="1"/>
    <col min="4" max="4" width="12.28515625" style="6" customWidth="1"/>
    <col min="5" max="5" width="18.42578125" style="6" customWidth="1"/>
    <col min="6" max="6" width="13.42578125" style="6" customWidth="1"/>
    <col min="7" max="7" width="34.85546875" style="6" customWidth="1"/>
    <col min="8" max="8" width="48.42578125" style="6" customWidth="1"/>
    <col min="9" max="9" width="5" style="6" customWidth="1"/>
    <col min="10" max="16384" width="9.140625" style="6" hidden="1"/>
  </cols>
  <sheetData>
    <row r="1" spans="1:9" ht="16.5" thickBot="1">
      <c r="A1" s="471"/>
      <c r="B1" s="1018" t="s">
        <v>22</v>
      </c>
      <c r="C1" s="1018"/>
      <c r="D1" s="1018"/>
      <c r="E1" s="1018"/>
      <c r="F1" s="1018"/>
      <c r="G1" s="1018"/>
      <c r="H1" s="1018"/>
      <c r="I1" s="471"/>
    </row>
    <row r="2" spans="1:9" ht="15.75" customHeight="1">
      <c r="A2" s="471"/>
      <c r="B2" s="1049" t="s">
        <v>306</v>
      </c>
      <c r="C2" s="1050" t="s">
        <v>307</v>
      </c>
      <c r="D2" s="1051"/>
      <c r="E2" s="1051"/>
      <c r="F2" s="1051"/>
      <c r="G2" s="1051"/>
      <c r="H2" s="1051"/>
      <c r="I2" s="471"/>
    </row>
    <row r="3" spans="1:9">
      <c r="A3" s="471"/>
      <c r="B3" s="1049"/>
      <c r="C3" s="1052"/>
      <c r="D3" s="1053"/>
      <c r="E3" s="1053"/>
      <c r="F3" s="1053"/>
      <c r="G3" s="1053"/>
      <c r="H3" s="1053"/>
      <c r="I3" s="471"/>
    </row>
    <row r="4" spans="1:9">
      <c r="A4" s="471"/>
      <c r="B4" s="1049"/>
      <c r="C4" s="1052"/>
      <c r="D4" s="1053"/>
      <c r="E4" s="1053"/>
      <c r="F4" s="1053"/>
      <c r="G4" s="1053"/>
      <c r="H4" s="1053"/>
      <c r="I4" s="471"/>
    </row>
    <row r="5" spans="1:9" ht="19.5" customHeight="1" thickBot="1">
      <c r="A5" s="471"/>
      <c r="B5" s="1049"/>
      <c r="C5" s="1057" t="s">
        <v>308</v>
      </c>
      <c r="D5" s="1058"/>
      <c r="E5" s="1058"/>
      <c r="F5" s="1058"/>
      <c r="G5" s="1058"/>
      <c r="H5" s="1058"/>
      <c r="I5" s="471"/>
    </row>
    <row r="6" spans="1:9" ht="28.5" customHeight="1">
      <c r="A6" s="471"/>
      <c r="B6" s="471"/>
      <c r="C6" s="471"/>
      <c r="D6" s="471"/>
      <c r="E6" s="471"/>
      <c r="F6" s="471"/>
      <c r="G6" s="471"/>
      <c r="H6" s="471"/>
      <c r="I6" s="471"/>
    </row>
    <row r="7" spans="1:9" s="67" customFormat="1" ht="25.5" customHeight="1">
      <c r="A7" s="473"/>
      <c r="B7" s="1054" t="s">
        <v>309</v>
      </c>
      <c r="C7" s="1054"/>
      <c r="D7" s="1054"/>
      <c r="E7" s="1054"/>
      <c r="F7" s="1054"/>
      <c r="G7" s="1054"/>
      <c r="H7" s="1054"/>
      <c r="I7" s="473"/>
    </row>
    <row r="8" spans="1:9" s="5" customFormat="1" ht="18.75" customHeight="1">
      <c r="B8" s="1055" t="s">
        <v>244</v>
      </c>
      <c r="C8" s="1056" t="s">
        <v>2200</v>
      </c>
      <c r="D8" s="1055" t="s">
        <v>310</v>
      </c>
      <c r="E8" s="1056" t="s">
        <v>311</v>
      </c>
      <c r="F8" s="1056" t="s">
        <v>312</v>
      </c>
      <c r="G8" s="1056" t="s">
        <v>313</v>
      </c>
      <c r="H8" s="1055" t="s">
        <v>248</v>
      </c>
    </row>
    <row r="9" spans="1:9" s="5" customFormat="1" ht="18.75">
      <c r="B9" s="1055"/>
      <c r="C9" s="1056"/>
      <c r="D9" s="1055"/>
      <c r="E9" s="1056"/>
      <c r="F9" s="1056"/>
      <c r="G9" s="1056"/>
      <c r="H9" s="1055"/>
    </row>
    <row r="10" spans="1:9" s="5" customFormat="1" ht="19.5" thickBot="1">
      <c r="A10" s="92"/>
      <c r="B10" s="1055"/>
      <c r="C10" s="1056"/>
      <c r="D10" s="1055"/>
      <c r="E10" s="1056"/>
      <c r="F10" s="1056"/>
      <c r="G10" s="1056"/>
      <c r="H10" s="1055"/>
    </row>
    <row r="11" spans="1:9" s="67" customFormat="1" ht="19.5" customHeight="1">
      <c r="A11" s="473"/>
      <c r="B11" s="386" t="s">
        <v>314</v>
      </c>
      <c r="C11" s="125">
        <v>0</v>
      </c>
      <c r="D11" s="373" t="s">
        <v>315</v>
      </c>
      <c r="E11" s="128">
        <v>0</v>
      </c>
      <c r="F11" s="376">
        <f>IFERROR(E11/C11,0)</f>
        <v>0</v>
      </c>
      <c r="G11" s="377"/>
      <c r="H11" s="378"/>
      <c r="I11" s="93">
        <f>IFERROR((E11/C11)&lt;3,0)</f>
        <v>0</v>
      </c>
    </row>
    <row r="12" spans="1:9" s="67" customFormat="1" ht="19.5" customHeight="1">
      <c r="A12" s="473"/>
      <c r="B12" s="387" t="s">
        <v>316</v>
      </c>
      <c r="C12" s="125">
        <v>0</v>
      </c>
      <c r="D12" s="374" t="s">
        <v>315</v>
      </c>
      <c r="E12" s="126">
        <v>0</v>
      </c>
      <c r="F12" s="379">
        <f t="shared" ref="F12:F24" si="0">IFERROR(E12/C12,0)</f>
        <v>0</v>
      </c>
      <c r="G12" s="380"/>
      <c r="H12" s="380"/>
      <c r="I12" s="93">
        <f>IFERROR((E12/C12)&lt;3,0)</f>
        <v>0</v>
      </c>
    </row>
    <row r="13" spans="1:9" s="67" customFormat="1" ht="19.5" customHeight="1">
      <c r="A13" s="473"/>
      <c r="B13" s="388"/>
      <c r="C13" s="94"/>
      <c r="D13" s="474"/>
      <c r="E13" s="94"/>
      <c r="F13" s="94"/>
      <c r="G13" s="473"/>
      <c r="H13" s="473"/>
      <c r="I13" s="93"/>
    </row>
    <row r="14" spans="1:9" s="95" customFormat="1" ht="19.5" customHeight="1" thickBot="1">
      <c r="A14" s="475"/>
      <c r="B14" s="389" t="s">
        <v>317</v>
      </c>
      <c r="C14" s="127">
        <v>0</v>
      </c>
      <c r="D14" s="373" t="s">
        <v>318</v>
      </c>
      <c r="E14" s="128">
        <v>0</v>
      </c>
      <c r="F14" s="376">
        <f t="shared" si="0"/>
        <v>0</v>
      </c>
      <c r="G14" s="377"/>
      <c r="H14" s="378"/>
      <c r="I14" s="96">
        <f t="shared" ref="I14:I19" si="1">IFERROR((E14/C14)&lt;5,0)</f>
        <v>0</v>
      </c>
    </row>
    <row r="15" spans="1:9" s="97" customFormat="1" ht="19.5" customHeight="1" thickBot="1">
      <c r="A15" s="476"/>
      <c r="B15" s="390" t="s">
        <v>319</v>
      </c>
      <c r="C15" s="127">
        <v>0</v>
      </c>
      <c r="D15" s="375" t="s">
        <v>318</v>
      </c>
      <c r="E15" s="130">
        <v>0</v>
      </c>
      <c r="F15" s="381">
        <f t="shared" si="0"/>
        <v>0</v>
      </c>
      <c r="G15" s="602"/>
      <c r="H15" s="385"/>
      <c r="I15" s="98">
        <f t="shared" si="1"/>
        <v>0</v>
      </c>
    </row>
    <row r="16" spans="1:9" s="97" customFormat="1" ht="19.5" customHeight="1" thickBot="1">
      <c r="A16" s="476"/>
      <c r="B16" s="391" t="s">
        <v>320</v>
      </c>
      <c r="C16" s="129">
        <v>0</v>
      </c>
      <c r="D16" s="375" t="s">
        <v>318</v>
      </c>
      <c r="E16" s="130">
        <v>0</v>
      </c>
      <c r="F16" s="381">
        <f>IFERROR(E16/C16,0)</f>
        <v>0</v>
      </c>
      <c r="G16" s="382"/>
      <c r="H16" s="383"/>
      <c r="I16" s="98">
        <f t="shared" si="1"/>
        <v>0</v>
      </c>
    </row>
    <row r="17" spans="1:9" s="97" customFormat="1" ht="19.5" customHeight="1" thickBot="1">
      <c r="A17" s="476"/>
      <c r="B17" s="390" t="s">
        <v>321</v>
      </c>
      <c r="C17" s="129">
        <v>0</v>
      </c>
      <c r="D17" s="375" t="s">
        <v>318</v>
      </c>
      <c r="E17" s="130">
        <v>0</v>
      </c>
      <c r="F17" s="381">
        <f t="shared" si="0"/>
        <v>0</v>
      </c>
      <c r="G17" s="382"/>
      <c r="H17" s="383"/>
      <c r="I17" s="98">
        <f t="shared" si="1"/>
        <v>0</v>
      </c>
    </row>
    <row r="18" spans="1:9" s="97" customFormat="1" ht="19.5" customHeight="1" thickBot="1">
      <c r="A18" s="476"/>
      <c r="B18" s="390" t="s">
        <v>322</v>
      </c>
      <c r="C18" s="129">
        <v>0</v>
      </c>
      <c r="D18" s="375" t="s">
        <v>318</v>
      </c>
      <c r="E18" s="130">
        <v>0</v>
      </c>
      <c r="F18" s="381">
        <f t="shared" si="0"/>
        <v>0</v>
      </c>
      <c r="G18" s="382"/>
      <c r="H18" s="383"/>
      <c r="I18" s="98">
        <f t="shared" si="1"/>
        <v>0</v>
      </c>
    </row>
    <row r="19" spans="1:9" s="67" customFormat="1" ht="19.5" customHeight="1">
      <c r="A19" s="473"/>
      <c r="B19" s="392" t="s">
        <v>323</v>
      </c>
      <c r="C19" s="125">
        <v>0</v>
      </c>
      <c r="D19" s="374" t="s">
        <v>318</v>
      </c>
      <c r="E19" s="126">
        <v>0</v>
      </c>
      <c r="F19" s="379">
        <f t="shared" si="0"/>
        <v>0</v>
      </c>
      <c r="G19" s="384"/>
      <c r="H19" s="380"/>
      <c r="I19" s="93">
        <f t="shared" si="1"/>
        <v>0</v>
      </c>
    </row>
    <row r="20" spans="1:9" s="67" customFormat="1" ht="19.5" customHeight="1">
      <c r="A20" s="473"/>
      <c r="B20" s="388"/>
      <c r="C20" s="474"/>
      <c r="D20" s="474"/>
      <c r="E20" s="94"/>
      <c r="F20" s="94"/>
      <c r="G20" s="474"/>
      <c r="H20" s="474"/>
      <c r="I20" s="473"/>
    </row>
    <row r="21" spans="1:9" s="95" customFormat="1" ht="19.5" customHeight="1" thickBot="1">
      <c r="A21" s="475"/>
      <c r="B21" s="389" t="s">
        <v>324</v>
      </c>
      <c r="C21" s="127">
        <v>0</v>
      </c>
      <c r="D21" s="373" t="s">
        <v>325</v>
      </c>
      <c r="E21" s="128">
        <v>0</v>
      </c>
      <c r="F21" s="376">
        <f t="shared" si="0"/>
        <v>0</v>
      </c>
      <c r="G21" s="380"/>
      <c r="H21" s="378"/>
      <c r="I21" s="475"/>
    </row>
    <row r="22" spans="1:9" s="97" customFormat="1" ht="19.5" customHeight="1" thickBot="1">
      <c r="A22" s="476"/>
      <c r="B22" s="390" t="s">
        <v>326</v>
      </c>
      <c r="C22" s="129">
        <v>0</v>
      </c>
      <c r="D22" s="375" t="s">
        <v>327</v>
      </c>
      <c r="E22" s="130">
        <v>0</v>
      </c>
      <c r="F22" s="381">
        <f t="shared" si="0"/>
        <v>0</v>
      </c>
      <c r="G22" s="383"/>
      <c r="H22" s="383"/>
      <c r="I22" s="476"/>
    </row>
    <row r="23" spans="1:9" s="97" customFormat="1" ht="19.5" customHeight="1" thickBot="1">
      <c r="A23" s="476"/>
      <c r="B23" s="390" t="s">
        <v>328</v>
      </c>
      <c r="C23" s="129">
        <v>0</v>
      </c>
      <c r="D23" s="375" t="s">
        <v>327</v>
      </c>
      <c r="E23" s="130">
        <v>0</v>
      </c>
      <c r="F23" s="381">
        <f t="shared" si="0"/>
        <v>0</v>
      </c>
      <c r="G23" s="383"/>
      <c r="H23" s="383"/>
      <c r="I23" s="476"/>
    </row>
    <row r="24" spans="1:9" s="67" customFormat="1" ht="19.5" customHeight="1">
      <c r="A24" s="473"/>
      <c r="B24" s="393" t="s">
        <v>329</v>
      </c>
      <c r="C24" s="125">
        <v>0</v>
      </c>
      <c r="D24" s="477" t="s">
        <v>330</v>
      </c>
      <c r="E24" s="126">
        <v>0</v>
      </c>
      <c r="F24" s="379">
        <f t="shared" si="0"/>
        <v>0</v>
      </c>
      <c r="G24" s="384"/>
      <c r="H24" s="380"/>
      <c r="I24" s="473"/>
    </row>
    <row r="25" spans="1:9">
      <c r="A25" s="471"/>
      <c r="B25" s="471"/>
      <c r="C25" s="471"/>
      <c r="D25" s="471"/>
      <c r="E25" s="18"/>
      <c r="F25" s="18"/>
      <c r="G25" s="471"/>
      <c r="H25" s="471"/>
      <c r="I25" s="471"/>
    </row>
    <row r="26" spans="1:9" customFormat="1" ht="18.600000000000001" customHeight="1">
      <c r="A26" s="42"/>
      <c r="B26" s="1048" t="s">
        <v>331</v>
      </c>
      <c r="C26" s="1048"/>
      <c r="D26" s="1048"/>
      <c r="E26" s="1048"/>
      <c r="F26" s="1048"/>
      <c r="G26" s="1048"/>
      <c r="H26" s="1048"/>
      <c r="I26" s="42"/>
    </row>
    <row r="27" spans="1:9" customFormat="1" ht="18.600000000000001" customHeight="1">
      <c r="A27" s="42"/>
      <c r="B27" s="405" t="s">
        <v>332</v>
      </c>
      <c r="C27" s="1047"/>
      <c r="D27" s="1047"/>
      <c r="E27" s="1047"/>
      <c r="F27" s="1047"/>
      <c r="G27" s="1047"/>
      <c r="H27" s="1047"/>
      <c r="I27" s="42"/>
    </row>
    <row r="28" spans="1:9" customFormat="1" ht="18.600000000000001" customHeight="1">
      <c r="A28" s="42"/>
      <c r="B28" s="406" t="s">
        <v>333</v>
      </c>
      <c r="C28" s="1047"/>
      <c r="D28" s="1047"/>
      <c r="E28" s="1047"/>
      <c r="F28" s="1047"/>
      <c r="G28" s="1047"/>
      <c r="H28" s="1047"/>
      <c r="I28" s="42"/>
    </row>
    <row r="29" spans="1:9" customFormat="1" ht="15.75" customHeight="1">
      <c r="A29" s="42"/>
      <c r="B29" s="406" t="s">
        <v>334</v>
      </c>
      <c r="C29" s="1047"/>
      <c r="D29" s="1047"/>
      <c r="E29" s="1047"/>
      <c r="F29" s="1047"/>
      <c r="G29" s="1047"/>
      <c r="H29" s="1047"/>
      <c r="I29" s="42"/>
    </row>
    <row r="30" spans="1:9" customFormat="1" ht="19.5" customHeight="1">
      <c r="A30" s="42"/>
      <c r="B30" s="406" t="s">
        <v>335</v>
      </c>
      <c r="C30" s="1047"/>
      <c r="D30" s="1047"/>
      <c r="E30" s="1047"/>
      <c r="F30" s="1047"/>
      <c r="G30" s="1047"/>
      <c r="H30" s="1047"/>
      <c r="I30" s="42"/>
    </row>
    <row r="31" spans="1:9" ht="34.5" customHeight="1">
      <c r="A31" s="471"/>
      <c r="B31" s="440" t="s">
        <v>336</v>
      </c>
      <c r="C31" s="1047"/>
      <c r="D31" s="1047"/>
      <c r="E31" s="1047"/>
      <c r="F31" s="1047"/>
      <c r="G31" s="1047"/>
      <c r="H31" s="1047"/>
      <c r="I31" s="471"/>
    </row>
    <row r="32" spans="1:9">
      <c r="A32" s="471"/>
      <c r="B32" s="471"/>
      <c r="C32" s="471"/>
      <c r="D32" s="471"/>
      <c r="E32" s="18"/>
      <c r="F32" s="18"/>
      <c r="G32" s="471"/>
      <c r="H32" s="471"/>
      <c r="I32" s="471"/>
    </row>
    <row r="33" spans="2:9">
      <c r="B33" s="471"/>
      <c r="C33" s="471"/>
      <c r="D33" s="471"/>
      <c r="E33" s="471"/>
      <c r="F33" s="471"/>
      <c r="G33" s="471"/>
      <c r="H33" s="471"/>
      <c r="I33" s="471"/>
    </row>
    <row r="34" spans="2:9">
      <c r="B34" s="471"/>
      <c r="C34" s="471"/>
      <c r="D34" s="471"/>
      <c r="E34" s="471"/>
      <c r="F34" s="471"/>
      <c r="G34" s="471"/>
      <c r="H34" s="471"/>
      <c r="I34" s="471"/>
    </row>
    <row r="35" spans="2:9">
      <c r="B35" s="471"/>
      <c r="C35" s="471"/>
      <c r="D35" s="471"/>
      <c r="E35" s="471"/>
      <c r="F35" s="471"/>
      <c r="G35" s="471"/>
      <c r="H35" s="471"/>
      <c r="I35" s="471"/>
    </row>
  </sheetData>
  <sheetProtection selectLockedCells="1"/>
  <mergeCells count="18">
    <mergeCell ref="B1:H1"/>
    <mergeCell ref="B7:H7"/>
    <mergeCell ref="B8:B10"/>
    <mergeCell ref="C8:C10"/>
    <mergeCell ref="D8:D10"/>
    <mergeCell ref="E8:E10"/>
    <mergeCell ref="H8:H10"/>
    <mergeCell ref="C5:H5"/>
    <mergeCell ref="F8:F10"/>
    <mergeCell ref="G8:G10"/>
    <mergeCell ref="C29:H29"/>
    <mergeCell ref="C30:H30"/>
    <mergeCell ref="C31:H31"/>
    <mergeCell ref="B26:H26"/>
    <mergeCell ref="B2:B5"/>
    <mergeCell ref="C2:H4"/>
    <mergeCell ref="C28:H28"/>
    <mergeCell ref="C27:H27"/>
  </mergeCells>
  <conditionalFormatting sqref="F11:F12">
    <cfRule type="expression" dxfId="34" priority="16">
      <formula>$I11=FALSE</formula>
    </cfRule>
  </conditionalFormatting>
  <conditionalFormatting sqref="F14:F19">
    <cfRule type="expression" dxfId="33" priority="2">
      <formula>$I14=FALSE</formula>
    </cfRule>
  </conditionalFormatting>
  <pageMargins left="0.7" right="0.7" top="0.75" bottom="0.75" header="0.3" footer="0.3"/>
  <pageSetup scale="73"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Source!$D$1:$D$7</xm:f>
          </x14:formula1>
          <xm:sqref>D24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pageSetUpPr fitToPage="1"/>
  </sheetPr>
  <dimension ref="A1:P39"/>
  <sheetViews>
    <sheetView showGridLines="0" topLeftCell="A9" zoomScale="70" zoomScaleNormal="70" workbookViewId="0">
      <selection activeCell="G14" sqref="G14"/>
    </sheetView>
  </sheetViews>
  <sheetFormatPr defaultColWidth="0" defaultRowHeight="15" zeroHeight="1"/>
  <cols>
    <col min="1" max="1" width="1.42578125" customWidth="1"/>
    <col min="2" max="2" width="51" bestFit="1" customWidth="1"/>
    <col min="3" max="3" width="19.28515625" bestFit="1" customWidth="1"/>
    <col min="4" max="4" width="12" bestFit="1" customWidth="1"/>
    <col min="5" max="5" width="21.85546875" customWidth="1"/>
    <col min="6" max="6" width="13.7109375" customWidth="1"/>
    <col min="7" max="7" width="47.7109375" customWidth="1"/>
    <col min="8" max="8" width="51.140625" customWidth="1"/>
    <col min="9" max="9" width="4.85546875" customWidth="1"/>
    <col min="10" max="16" width="0" hidden="1" customWidth="1"/>
    <col min="17" max="16384" width="9.140625" hidden="1"/>
  </cols>
  <sheetData>
    <row r="1" spans="2:16" ht="15.75" thickBot="1">
      <c r="B1" s="1018" t="s">
        <v>22</v>
      </c>
      <c r="C1" s="1018"/>
      <c r="D1" s="1018"/>
      <c r="E1" s="1018"/>
      <c r="F1" s="1018"/>
      <c r="G1" s="1018"/>
      <c r="H1" s="1018"/>
    </row>
    <row r="2" spans="2:16" ht="15" customHeight="1">
      <c r="B2" s="1049" t="s">
        <v>337</v>
      </c>
      <c r="C2" s="945" t="s">
        <v>338</v>
      </c>
      <c r="D2" s="946"/>
      <c r="E2" s="946"/>
      <c r="F2" s="946"/>
      <c r="G2" s="946"/>
      <c r="H2" s="946"/>
      <c r="I2" s="15"/>
      <c r="J2" s="15"/>
      <c r="K2" s="15"/>
      <c r="L2" s="15"/>
      <c r="M2" s="15"/>
      <c r="N2" s="15"/>
      <c r="O2" s="15"/>
      <c r="P2" s="15"/>
    </row>
    <row r="3" spans="2:16" ht="15" customHeight="1">
      <c r="B3" s="1049"/>
      <c r="C3" s="948"/>
      <c r="D3" s="949"/>
      <c r="E3" s="949"/>
      <c r="F3" s="949"/>
      <c r="G3" s="949"/>
      <c r="H3" s="949"/>
      <c r="I3" s="15"/>
      <c r="J3" s="15"/>
      <c r="K3" s="15"/>
      <c r="L3" s="15"/>
      <c r="M3" s="15"/>
      <c r="N3" s="15"/>
      <c r="O3" s="15"/>
      <c r="P3" s="15"/>
    </row>
    <row r="4" spans="2:16" ht="15" customHeight="1" thickBot="1">
      <c r="B4" s="1049"/>
      <c r="C4" s="1060"/>
      <c r="D4" s="1061"/>
      <c r="E4" s="1061"/>
      <c r="F4" s="1061"/>
      <c r="G4" s="1061"/>
      <c r="H4" s="1061"/>
      <c r="I4" s="15"/>
      <c r="J4" s="15"/>
      <c r="K4" s="15"/>
      <c r="L4" s="15"/>
      <c r="M4" s="15"/>
      <c r="N4" s="15"/>
      <c r="O4" s="15"/>
      <c r="P4" s="15"/>
    </row>
    <row r="5" spans="2:16" ht="21" customHeight="1" thickBot="1">
      <c r="B5" s="1049"/>
      <c r="C5" s="1057" t="s">
        <v>235</v>
      </c>
      <c r="D5" s="1058"/>
      <c r="E5" s="1058"/>
      <c r="F5" s="1058"/>
      <c r="G5" s="1058"/>
      <c r="H5" s="1058"/>
      <c r="I5" s="15"/>
      <c r="J5" s="15"/>
      <c r="K5" s="15"/>
      <c r="L5" s="15"/>
      <c r="M5" s="15"/>
      <c r="N5" s="15"/>
      <c r="O5" s="15"/>
      <c r="P5" s="15"/>
    </row>
    <row r="6" spans="2:16" ht="18.75" customHeight="1"/>
    <row r="7" spans="2:16" ht="23.25" customHeight="1" thickBot="1">
      <c r="B7" s="1059" t="s">
        <v>339</v>
      </c>
      <c r="C7" s="1059"/>
      <c r="D7" s="1059"/>
      <c r="E7" s="1059"/>
      <c r="F7" s="1059"/>
      <c r="G7" s="1059"/>
      <c r="H7" s="1059"/>
    </row>
    <row r="8" spans="2:16" s="5" customFormat="1" ht="18.75">
      <c r="B8" s="1067" t="s">
        <v>340</v>
      </c>
      <c r="C8" s="1062" t="s">
        <v>2196</v>
      </c>
      <c r="D8" s="1067" t="s">
        <v>310</v>
      </c>
      <c r="E8" s="1062" t="s">
        <v>311</v>
      </c>
      <c r="F8" s="1062" t="s">
        <v>312</v>
      </c>
      <c r="G8" s="1062" t="s">
        <v>313</v>
      </c>
      <c r="H8" s="1067" t="s">
        <v>248</v>
      </c>
    </row>
    <row r="9" spans="2:16" s="5" customFormat="1" ht="15.75" customHeight="1">
      <c r="B9" s="1068"/>
      <c r="C9" s="1063"/>
      <c r="D9" s="1068"/>
      <c r="E9" s="1063"/>
      <c r="F9" s="1063"/>
      <c r="G9" s="1063"/>
      <c r="H9" s="1068"/>
    </row>
    <row r="10" spans="2:16" s="92" customFormat="1" ht="8.25" customHeight="1" thickBot="1">
      <c r="B10" s="1069"/>
      <c r="C10" s="1064"/>
      <c r="D10" s="1069"/>
      <c r="E10" s="1064"/>
      <c r="F10" s="1064"/>
      <c r="G10" s="1064"/>
      <c r="H10" s="1069"/>
    </row>
    <row r="11" spans="2:16" s="101" customFormat="1" ht="19.5" customHeight="1" thickBot="1">
      <c r="B11" s="394" t="s">
        <v>341</v>
      </c>
      <c r="C11" s="110">
        <v>0</v>
      </c>
      <c r="D11" s="199" t="s">
        <v>318</v>
      </c>
      <c r="E11" s="105">
        <v>0</v>
      </c>
      <c r="F11" s="396">
        <f t="shared" ref="F11:F20" si="0">IFERROR(E11/C11,0)</f>
        <v>0</v>
      </c>
      <c r="G11" s="106"/>
      <c r="H11" s="478"/>
      <c r="I11" s="102">
        <f>IFERROR((E11/C11)&lt;10,0)</f>
        <v>0</v>
      </c>
    </row>
    <row r="12" spans="2:16" s="101" customFormat="1" ht="19.5" customHeight="1" thickBot="1">
      <c r="B12" s="394" t="s">
        <v>342</v>
      </c>
      <c r="C12" s="110">
        <v>0</v>
      </c>
      <c r="D12" s="199" t="s">
        <v>318</v>
      </c>
      <c r="E12" s="105">
        <v>0</v>
      </c>
      <c r="F12" s="396">
        <f t="shared" si="0"/>
        <v>0</v>
      </c>
      <c r="G12" s="106"/>
      <c r="H12" s="478"/>
      <c r="I12" s="102">
        <f t="shared" ref="I12:I20" si="1">IFERROR((E12/C12)&lt;10,0)</f>
        <v>0</v>
      </c>
    </row>
    <row r="13" spans="2:16" s="101" customFormat="1" ht="19.5" customHeight="1" thickBot="1">
      <c r="B13" s="394" t="s">
        <v>2203</v>
      </c>
      <c r="C13" s="110">
        <v>0</v>
      </c>
      <c r="D13" s="199" t="s">
        <v>318</v>
      </c>
      <c r="E13" s="105">
        <v>0</v>
      </c>
      <c r="F13" s="396">
        <f t="shared" si="0"/>
        <v>0</v>
      </c>
      <c r="G13" s="106" t="s">
        <v>2206</v>
      </c>
      <c r="H13" s="821"/>
      <c r="I13" s="102"/>
    </row>
    <row r="14" spans="2:16" s="101" customFormat="1" ht="19.5" customHeight="1" thickBot="1">
      <c r="B14" s="394" t="s">
        <v>343</v>
      </c>
      <c r="C14" s="110">
        <v>0</v>
      </c>
      <c r="D14" s="199" t="s">
        <v>318</v>
      </c>
      <c r="E14" s="105">
        <v>0</v>
      </c>
      <c r="F14" s="396">
        <f t="shared" si="0"/>
        <v>0</v>
      </c>
      <c r="G14" s="112"/>
      <c r="H14" s="385"/>
      <c r="I14" s="102">
        <f t="shared" si="1"/>
        <v>0</v>
      </c>
    </row>
    <row r="15" spans="2:16" s="101" customFormat="1" ht="19.5" customHeight="1" thickBot="1">
      <c r="B15" s="394" t="s">
        <v>344</v>
      </c>
      <c r="C15" s="110">
        <v>0</v>
      </c>
      <c r="D15" s="199" t="s">
        <v>318</v>
      </c>
      <c r="E15" s="105">
        <v>0</v>
      </c>
      <c r="F15" s="396">
        <f t="shared" si="0"/>
        <v>0</v>
      </c>
      <c r="G15" s="109"/>
      <c r="H15" s="478"/>
      <c r="I15" s="102">
        <f t="shared" si="1"/>
        <v>0</v>
      </c>
    </row>
    <row r="16" spans="2:16" s="101" customFormat="1" ht="19.5" customHeight="1" thickBot="1">
      <c r="B16" s="394" t="s">
        <v>345</v>
      </c>
      <c r="C16" s="110">
        <v>0</v>
      </c>
      <c r="D16" s="199" t="s">
        <v>318</v>
      </c>
      <c r="E16" s="105">
        <v>0</v>
      </c>
      <c r="F16" s="396">
        <f t="shared" si="0"/>
        <v>0</v>
      </c>
      <c r="G16" s="109"/>
      <c r="H16" s="478"/>
      <c r="I16" s="102">
        <f t="shared" si="1"/>
        <v>0</v>
      </c>
    </row>
    <row r="17" spans="2:9" s="101" customFormat="1" ht="19.5" customHeight="1" thickBot="1">
      <c r="B17" s="394" t="s">
        <v>346</v>
      </c>
      <c r="C17" s="110" t="s">
        <v>304</v>
      </c>
      <c r="D17" s="199" t="s">
        <v>318</v>
      </c>
      <c r="E17" s="105" t="s">
        <v>304</v>
      </c>
      <c r="F17" s="396">
        <f t="shared" si="0"/>
        <v>0</v>
      </c>
      <c r="G17" s="109"/>
      <c r="H17" s="478"/>
      <c r="I17" s="102">
        <f t="shared" si="1"/>
        <v>0</v>
      </c>
    </row>
    <row r="18" spans="2:9" s="101" customFormat="1" ht="19.5" customHeight="1" thickBot="1">
      <c r="B18" s="394" t="s">
        <v>347</v>
      </c>
      <c r="C18" s="110">
        <v>0</v>
      </c>
      <c r="D18" s="199" t="s">
        <v>318</v>
      </c>
      <c r="E18" s="105">
        <v>0</v>
      </c>
      <c r="F18" s="396">
        <f t="shared" si="0"/>
        <v>0</v>
      </c>
      <c r="G18" s="106"/>
      <c r="H18" s="478"/>
      <c r="I18" s="102">
        <f t="shared" si="1"/>
        <v>0</v>
      </c>
    </row>
    <row r="19" spans="2:9" s="101" customFormat="1" ht="19.5" customHeight="1" thickBot="1">
      <c r="B19" s="394" t="s">
        <v>348</v>
      </c>
      <c r="C19" s="110">
        <v>0</v>
      </c>
      <c r="D19" s="199" t="s">
        <v>250</v>
      </c>
      <c r="E19" s="105">
        <v>0</v>
      </c>
      <c r="F19" s="396">
        <f t="shared" si="0"/>
        <v>0</v>
      </c>
      <c r="G19" s="112" t="s">
        <v>349</v>
      </c>
      <c r="H19" s="478"/>
      <c r="I19" s="102">
        <f t="shared" si="1"/>
        <v>0</v>
      </c>
    </row>
    <row r="20" spans="2:9" s="101" customFormat="1" ht="19.5" customHeight="1" thickBot="1">
      <c r="B20" s="394" t="s">
        <v>350</v>
      </c>
      <c r="C20" s="104">
        <v>0</v>
      </c>
      <c r="D20" s="395" t="s">
        <v>330</v>
      </c>
      <c r="E20" s="105">
        <v>0</v>
      </c>
      <c r="F20" s="396">
        <f t="shared" si="0"/>
        <v>0</v>
      </c>
      <c r="G20" s="479"/>
      <c r="H20" s="478"/>
      <c r="I20" s="102">
        <f t="shared" si="1"/>
        <v>0</v>
      </c>
    </row>
    <row r="21" spans="2:9" ht="16.5" customHeight="1">
      <c r="B21" s="471"/>
      <c r="C21" s="471"/>
      <c r="D21" s="471"/>
      <c r="E21" s="471"/>
      <c r="F21" s="471"/>
      <c r="G21" s="471"/>
      <c r="H21" s="471"/>
    </row>
    <row r="22" spans="2:9" s="9" customFormat="1" ht="21">
      <c r="B22" s="1054" t="s">
        <v>351</v>
      </c>
      <c r="C22" s="1054"/>
      <c r="D22" s="1054"/>
      <c r="E22" s="1054"/>
      <c r="F22" s="1054"/>
      <c r="G22" s="1054"/>
      <c r="H22" s="1054"/>
    </row>
    <row r="23" spans="2:9" ht="17.25" customHeight="1">
      <c r="B23" s="1065" t="s">
        <v>2202</v>
      </c>
      <c r="C23" s="1065"/>
      <c r="D23" s="1065"/>
      <c r="E23" s="1065"/>
      <c r="F23" s="1065"/>
      <c r="G23" s="1065"/>
      <c r="H23" s="1065"/>
    </row>
    <row r="24" spans="2:9" ht="17.25" customHeight="1" thickBot="1">
      <c r="B24" s="1066"/>
      <c r="C24" s="1066"/>
      <c r="D24" s="1066"/>
      <c r="E24" s="1066"/>
      <c r="F24" s="1066"/>
      <c r="G24" s="1066"/>
      <c r="H24" s="1066"/>
    </row>
    <row r="25" spans="2:9" s="47" customFormat="1" ht="42" customHeight="1" thickBot="1">
      <c r="B25" s="103" t="s">
        <v>352</v>
      </c>
      <c r="C25" s="111" t="s">
        <v>2196</v>
      </c>
      <c r="D25" s="103" t="s">
        <v>310</v>
      </c>
      <c r="E25" s="103" t="s">
        <v>311</v>
      </c>
      <c r="F25" s="111" t="s">
        <v>247</v>
      </c>
      <c r="G25" s="103" t="s">
        <v>353</v>
      </c>
      <c r="H25" s="103" t="s">
        <v>248</v>
      </c>
    </row>
    <row r="26" spans="2:9" ht="16.5" thickBot="1">
      <c r="B26" s="394"/>
      <c r="C26" s="104">
        <v>0</v>
      </c>
      <c r="D26" s="399"/>
      <c r="E26" s="105">
        <v>0</v>
      </c>
      <c r="F26" s="397">
        <f t="shared" ref="F26:F31" si="2">IFERROR(E26/C26,0)</f>
        <v>0</v>
      </c>
      <c r="G26" s="106"/>
      <c r="H26" s="478"/>
      <c r="I26" s="4">
        <f>IFERROR((E26/C26)&lt;10,0)</f>
        <v>0</v>
      </c>
    </row>
    <row r="27" spans="2:9" s="99" customFormat="1" ht="16.5" thickBot="1">
      <c r="B27" s="401"/>
      <c r="C27" s="107">
        <v>0</v>
      </c>
      <c r="D27" s="400"/>
      <c r="E27" s="108">
        <v>0</v>
      </c>
      <c r="F27" s="398">
        <f t="shared" si="2"/>
        <v>0</v>
      </c>
      <c r="G27" s="91"/>
      <c r="H27" s="480"/>
      <c r="I27" s="100">
        <f>IFERROR((E27/C27)&lt;10,0)</f>
        <v>0</v>
      </c>
    </row>
    <row r="28" spans="2:9" s="101" customFormat="1" ht="16.5" thickBot="1">
      <c r="B28" s="394"/>
      <c r="C28" s="104">
        <v>0</v>
      </c>
      <c r="D28" s="399"/>
      <c r="E28" s="105">
        <v>0</v>
      </c>
      <c r="F28" s="397">
        <f t="shared" si="2"/>
        <v>0</v>
      </c>
      <c r="G28" s="106"/>
      <c r="H28" s="478"/>
      <c r="I28" s="102"/>
    </row>
    <row r="29" spans="2:9" s="101" customFormat="1" ht="16.5" thickBot="1">
      <c r="B29" s="394"/>
      <c r="C29" s="104">
        <v>0</v>
      </c>
      <c r="D29" s="399"/>
      <c r="E29" s="105">
        <v>0</v>
      </c>
      <c r="F29" s="397">
        <f t="shared" si="2"/>
        <v>0</v>
      </c>
      <c r="G29" s="106"/>
      <c r="H29" s="478"/>
      <c r="I29" s="102">
        <f>IFERROR((E29/C29)&lt;10,0)</f>
        <v>0</v>
      </c>
    </row>
    <row r="30" spans="2:9" s="101" customFormat="1" ht="16.5" thickBot="1">
      <c r="B30" s="402"/>
      <c r="C30" s="104">
        <v>0</v>
      </c>
      <c r="D30" s="399"/>
      <c r="E30" s="105">
        <v>0</v>
      </c>
      <c r="F30" s="397">
        <f t="shared" si="2"/>
        <v>0</v>
      </c>
      <c r="G30" s="106"/>
      <c r="H30" s="478"/>
      <c r="I30" s="102">
        <f>IFERROR((E30/C30)&lt;10,0)</f>
        <v>0</v>
      </c>
    </row>
    <row r="31" spans="2:9" s="101" customFormat="1" ht="16.5" thickBot="1">
      <c r="B31" s="402"/>
      <c r="C31" s="104">
        <v>0</v>
      </c>
      <c r="D31" s="399"/>
      <c r="E31" s="105">
        <v>0</v>
      </c>
      <c r="F31" s="397">
        <f t="shared" si="2"/>
        <v>0</v>
      </c>
      <c r="G31" s="479"/>
      <c r="H31" s="478"/>
      <c r="I31" s="102">
        <f>IFERROR((E31/C31)&lt;10,0)</f>
        <v>0</v>
      </c>
    </row>
    <row r="32" spans="2:9">
      <c r="B32" s="201"/>
    </row>
    <row r="33" spans="1:9" ht="18.600000000000001" customHeight="1">
      <c r="A33" s="42"/>
      <c r="B33" s="1048" t="s">
        <v>354</v>
      </c>
      <c r="C33" s="1048"/>
      <c r="D33" s="1048"/>
      <c r="E33" s="1048"/>
      <c r="F33" s="1048"/>
      <c r="G33" s="1048"/>
      <c r="H33" s="1048"/>
      <c r="I33" s="42"/>
    </row>
    <row r="34" spans="1:9" ht="18.95" customHeight="1">
      <c r="A34" s="42"/>
      <c r="B34" s="405" t="s">
        <v>332</v>
      </c>
      <c r="C34" s="1047"/>
      <c r="D34" s="1047"/>
      <c r="E34" s="1047"/>
      <c r="F34" s="1047"/>
      <c r="G34" s="1047"/>
      <c r="H34" s="1047"/>
      <c r="I34" s="42"/>
    </row>
    <row r="35" spans="1:9" ht="18.95" customHeight="1">
      <c r="A35" s="42"/>
      <c r="B35" s="406" t="s">
        <v>333</v>
      </c>
      <c r="C35" s="1047"/>
      <c r="D35" s="1047"/>
      <c r="E35" s="1047"/>
      <c r="F35" s="1047"/>
      <c r="G35" s="1047"/>
      <c r="H35" s="1047"/>
      <c r="I35" s="42"/>
    </row>
    <row r="36" spans="1:9" ht="18.95" customHeight="1">
      <c r="A36" s="42"/>
      <c r="B36" s="406" t="s">
        <v>334</v>
      </c>
      <c r="C36" s="1047"/>
      <c r="D36" s="1047"/>
      <c r="E36" s="1047"/>
      <c r="F36" s="1047"/>
      <c r="G36" s="1047"/>
      <c r="H36" s="1047"/>
      <c r="I36" s="42"/>
    </row>
    <row r="37" spans="1:9" ht="18.95" customHeight="1">
      <c r="A37" s="42"/>
      <c r="B37" s="406" t="s">
        <v>335</v>
      </c>
      <c r="C37" s="1047"/>
      <c r="D37" s="1047"/>
      <c r="E37" s="1047"/>
      <c r="F37" s="1047"/>
      <c r="G37" s="1047"/>
      <c r="H37" s="1047"/>
      <c r="I37" s="42"/>
    </row>
    <row r="38" spans="1:9"/>
    <row r="39" spans="1:9"/>
  </sheetData>
  <sheetProtection selectLockedCells="1"/>
  <mergeCells count="19">
    <mergeCell ref="C34:H34"/>
    <mergeCell ref="C35:H35"/>
    <mergeCell ref="C36:H36"/>
    <mergeCell ref="C37:H37"/>
    <mergeCell ref="B33:H33"/>
    <mergeCell ref="F8:F10"/>
    <mergeCell ref="G8:G10"/>
    <mergeCell ref="B23:H24"/>
    <mergeCell ref="B22:H22"/>
    <mergeCell ref="B8:B10"/>
    <mergeCell ref="C8:C10"/>
    <mergeCell ref="D8:D10"/>
    <mergeCell ref="E8:E10"/>
    <mergeCell ref="H8:H10"/>
    <mergeCell ref="B7:H7"/>
    <mergeCell ref="B1:H1"/>
    <mergeCell ref="C2:H4"/>
    <mergeCell ref="B2:B5"/>
    <mergeCell ref="C5:H5"/>
  </mergeCells>
  <conditionalFormatting sqref="F11:F12 F14:F20">
    <cfRule type="expression" dxfId="32" priority="17">
      <formula>$I11=FALSE</formula>
    </cfRule>
  </conditionalFormatting>
  <conditionalFormatting sqref="F26:F27 F29:F31">
    <cfRule type="expression" dxfId="31" priority="1">
      <formula>$I26=FALSE</formula>
    </cfRule>
  </conditionalFormatting>
  <pageMargins left="0.7" right="0.7" top="0.75" bottom="0.75" header="0.3" footer="0.3"/>
  <pageSetup scale="69"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Source!D1:D7</xm:f>
          </x14:formula1>
          <xm:sqref>D20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59"/>
  <sheetViews>
    <sheetView zoomScale="70" zoomScaleNormal="70" workbookViewId="0">
      <selection activeCell="I7" sqref="I7"/>
    </sheetView>
  </sheetViews>
  <sheetFormatPr defaultColWidth="8.85546875" defaultRowHeight="15"/>
  <cols>
    <col min="1" max="1" width="20.42578125" bestFit="1" customWidth="1"/>
    <col min="2" max="7" width="27.42578125" customWidth="1"/>
    <col min="8" max="8" width="45.140625" customWidth="1"/>
    <col min="9" max="9" width="15.28515625" customWidth="1"/>
    <col min="10" max="10" width="14.42578125" customWidth="1"/>
  </cols>
  <sheetData>
    <row r="1" spans="1:11" ht="32.25" thickBot="1">
      <c r="A1" s="522" t="s">
        <v>396</v>
      </c>
      <c r="B1" s="522" t="s">
        <v>370</v>
      </c>
      <c r="C1" s="173" t="s">
        <v>388</v>
      </c>
      <c r="D1" s="300" t="s">
        <v>389</v>
      </c>
      <c r="E1" s="529" t="s">
        <v>390</v>
      </c>
      <c r="F1" s="529" t="s">
        <v>374</v>
      </c>
      <c r="G1" s="529" t="s">
        <v>397</v>
      </c>
      <c r="H1" s="529" t="s">
        <v>398</v>
      </c>
      <c r="I1" s="529" t="s">
        <v>399</v>
      </c>
      <c r="J1" s="529" t="s">
        <v>400</v>
      </c>
    </row>
    <row r="2" spans="1:11" s="48" customFormat="1">
      <c r="A2" s="48" t="str">
        <f>I2&amp;J2</f>
        <v>UMass Dartmouth1</v>
      </c>
      <c r="B2" s="48" t="s">
        <v>207</v>
      </c>
      <c r="C2" s="48" t="s">
        <v>401</v>
      </c>
      <c r="D2" s="48">
        <v>520</v>
      </c>
      <c r="E2" s="48" t="s">
        <v>402</v>
      </c>
      <c r="F2" s="48" t="s">
        <v>402</v>
      </c>
      <c r="G2" s="48" t="s">
        <v>402</v>
      </c>
      <c r="I2" s="48" t="s">
        <v>207</v>
      </c>
      <c r="J2" s="48">
        <v>1</v>
      </c>
      <c r="K2" s="48" t="str">
        <f>VLOOKUP(I2,Source!F:F,1,FALSE)</f>
        <v>UMass Dartmouth</v>
      </c>
    </row>
    <row r="3" spans="1:11" s="48" customFormat="1">
      <c r="A3" s="48" t="str">
        <f>I3&amp;J3</f>
        <v>UMass Dartmouth2</v>
      </c>
      <c r="B3" s="48" t="s">
        <v>207</v>
      </c>
      <c r="C3" s="48" t="s">
        <v>401</v>
      </c>
      <c r="D3" s="48">
        <v>2000</v>
      </c>
      <c r="E3" s="48" t="s">
        <v>402</v>
      </c>
      <c r="F3" s="48" t="s">
        <v>2237</v>
      </c>
      <c r="G3" s="48">
        <v>100</v>
      </c>
      <c r="I3" s="48" t="s">
        <v>207</v>
      </c>
      <c r="J3" s="48">
        <v>2</v>
      </c>
      <c r="K3" s="48" t="str">
        <f>VLOOKUP(I3,Source!F:F,1,FALSE)</f>
        <v>UMass Dartmouth</v>
      </c>
    </row>
    <row r="4" spans="1:11">
      <c r="A4" s="48" t="str">
        <f>I4&amp;J4</f>
        <v>UMass Boston1</v>
      </c>
      <c r="B4" s="48" t="s">
        <v>206</v>
      </c>
      <c r="C4" s="48" t="s">
        <v>403</v>
      </c>
      <c r="D4" s="48">
        <v>500</v>
      </c>
      <c r="E4" s="48" t="s">
        <v>402</v>
      </c>
      <c r="F4" s="48" t="s">
        <v>402</v>
      </c>
      <c r="G4" s="48" t="s">
        <v>402</v>
      </c>
      <c r="H4" s="48" t="s">
        <v>404</v>
      </c>
      <c r="I4" s="48" t="s">
        <v>206</v>
      </c>
      <c r="J4" s="48">
        <v>1</v>
      </c>
      <c r="K4" s="48" t="str">
        <f>VLOOKUP(I4,Source!F:F,1,FALSE)</f>
        <v>UMass Boston</v>
      </c>
    </row>
    <row r="5" spans="1:11">
      <c r="A5" s="48" t="str">
        <f>I5&amp;J5</f>
        <v>UMass Amherst1</v>
      </c>
      <c r="B5" s="48" t="s">
        <v>201</v>
      </c>
      <c r="C5" s="48" t="s">
        <v>403</v>
      </c>
      <c r="D5" s="48">
        <v>1000</v>
      </c>
      <c r="E5" s="48" t="s">
        <v>402</v>
      </c>
      <c r="F5" s="48" t="s">
        <v>402</v>
      </c>
      <c r="G5" s="48" t="s">
        <v>402</v>
      </c>
      <c r="I5" t="s">
        <v>201</v>
      </c>
      <c r="J5">
        <v>1</v>
      </c>
      <c r="K5" s="48" t="str">
        <f>VLOOKUP(I5,Source!F:F,1,FALSE)</f>
        <v>UMass Amherst</v>
      </c>
    </row>
    <row r="6" spans="1:11">
      <c r="A6" s="48" t="str">
        <f t="shared" ref="A6:A20" si="0">I6&amp;J6</f>
        <v>UMass Amherst2</v>
      </c>
      <c r="B6" s="48" t="s">
        <v>201</v>
      </c>
      <c r="C6" s="48" t="s">
        <v>401</v>
      </c>
      <c r="D6" s="48">
        <v>2000</v>
      </c>
      <c r="E6" s="48">
        <v>4000</v>
      </c>
      <c r="F6" s="493" t="s">
        <v>2237</v>
      </c>
      <c r="G6" s="48" t="s">
        <v>402</v>
      </c>
      <c r="H6" s="48" t="s">
        <v>406</v>
      </c>
      <c r="I6" t="s">
        <v>201</v>
      </c>
      <c r="J6">
        <v>2</v>
      </c>
      <c r="K6" t="str">
        <f>VLOOKUP(I6,Source!F:F,1,FALSE)</f>
        <v>UMass Amherst</v>
      </c>
    </row>
    <row r="7" spans="1:11">
      <c r="A7" s="48" t="str">
        <f t="shared" si="0"/>
        <v>Mass. Water Resources Authority1</v>
      </c>
      <c r="B7" s="48" t="s">
        <v>407</v>
      </c>
      <c r="C7" s="48" t="s">
        <v>401</v>
      </c>
      <c r="D7" s="48" t="s">
        <v>402</v>
      </c>
      <c r="E7" s="48" t="s">
        <v>402</v>
      </c>
      <c r="F7" s="493" t="s">
        <v>2237</v>
      </c>
      <c r="G7" s="48" t="s">
        <v>402</v>
      </c>
      <c r="H7" s="494" t="s">
        <v>408</v>
      </c>
      <c r="I7" t="s">
        <v>145</v>
      </c>
      <c r="J7">
        <v>1</v>
      </c>
      <c r="K7" t="str">
        <f>VLOOKUP(I7,Source!F:F,1,FALSE)</f>
        <v>Mass. Water Resources Authority</v>
      </c>
    </row>
    <row r="8" spans="1:11">
      <c r="A8" s="48" t="str">
        <f t="shared" si="0"/>
        <v>Mass. Water Resources Authority2</v>
      </c>
      <c r="B8" s="48" t="s">
        <v>409</v>
      </c>
      <c r="C8" s="48" t="s">
        <v>401</v>
      </c>
      <c r="D8" s="48" t="s">
        <v>402</v>
      </c>
      <c r="E8" s="48" t="s">
        <v>402</v>
      </c>
      <c r="F8" s="493" t="s">
        <v>2237</v>
      </c>
      <c r="G8" s="48" t="s">
        <v>402</v>
      </c>
      <c r="H8" s="494" t="s">
        <v>408</v>
      </c>
      <c r="I8" t="s">
        <v>145</v>
      </c>
      <c r="J8">
        <v>2</v>
      </c>
      <c r="K8" t="str">
        <f>VLOOKUP(I8,Source!F:F,1,FALSE)</f>
        <v>Mass. Water Resources Authority</v>
      </c>
    </row>
    <row r="9" spans="1:11">
      <c r="A9" s="48" t="str">
        <f t="shared" si="0"/>
        <v/>
      </c>
      <c r="K9" t="e">
        <f>VLOOKUP(I9,Source!F:F,1,FALSE)</f>
        <v>#N/A</v>
      </c>
    </row>
    <row r="10" spans="1:11">
      <c r="A10" s="48" t="str">
        <f t="shared" si="0"/>
        <v/>
      </c>
      <c r="K10" t="e">
        <f>VLOOKUP(I10,Source!F:F,1,FALSE)</f>
        <v>#N/A</v>
      </c>
    </row>
    <row r="11" spans="1:11">
      <c r="A11" s="48" t="str">
        <f t="shared" si="0"/>
        <v/>
      </c>
      <c r="K11" t="e">
        <f>VLOOKUP(I11,Source!F:F,1,FALSE)</f>
        <v>#N/A</v>
      </c>
    </row>
    <row r="12" spans="1:11">
      <c r="A12" s="48" t="str">
        <f t="shared" si="0"/>
        <v/>
      </c>
      <c r="K12" t="e">
        <f>VLOOKUP(I12,Source!F:F,1,FALSE)</f>
        <v>#N/A</v>
      </c>
    </row>
    <row r="13" spans="1:11">
      <c r="A13" s="48" t="str">
        <f t="shared" si="0"/>
        <v/>
      </c>
      <c r="K13" t="e">
        <f>VLOOKUP(I13,Source!F:F,1,FALSE)</f>
        <v>#N/A</v>
      </c>
    </row>
    <row r="14" spans="1:11">
      <c r="A14" s="48" t="str">
        <f t="shared" si="0"/>
        <v/>
      </c>
      <c r="K14" t="e">
        <f>VLOOKUP(I14,Source!F:F,1,FALSE)</f>
        <v>#N/A</v>
      </c>
    </row>
    <row r="15" spans="1:11">
      <c r="A15" s="48" t="str">
        <f t="shared" si="0"/>
        <v/>
      </c>
      <c r="K15" t="e">
        <f>VLOOKUP(I15,Source!F:F,1,FALSE)</f>
        <v>#N/A</v>
      </c>
    </row>
    <row r="16" spans="1:11">
      <c r="A16" s="48" t="str">
        <f t="shared" si="0"/>
        <v/>
      </c>
      <c r="K16" t="e">
        <f>VLOOKUP(I16,Source!F:F,1,FALSE)</f>
        <v>#N/A</v>
      </c>
    </row>
    <row r="17" spans="1:11">
      <c r="A17" s="48" t="str">
        <f t="shared" si="0"/>
        <v/>
      </c>
      <c r="K17" t="e">
        <f>VLOOKUP(I17,Source!F:F,1,FALSE)</f>
        <v>#N/A</v>
      </c>
    </row>
    <row r="18" spans="1:11">
      <c r="A18" s="48" t="str">
        <f t="shared" si="0"/>
        <v/>
      </c>
      <c r="K18" t="e">
        <f>VLOOKUP(I18,Source!F:F,1,FALSE)</f>
        <v>#N/A</v>
      </c>
    </row>
    <row r="19" spans="1:11">
      <c r="A19" s="48" t="str">
        <f t="shared" si="0"/>
        <v/>
      </c>
      <c r="K19" t="e">
        <f>VLOOKUP(I19,Source!F:F,1,FALSE)</f>
        <v>#N/A</v>
      </c>
    </row>
    <row r="20" spans="1:11">
      <c r="A20" s="48" t="str">
        <f t="shared" si="0"/>
        <v/>
      </c>
      <c r="K20" t="e">
        <f>VLOOKUP(I20,Source!F:F,1,FALSE)</f>
        <v>#N/A</v>
      </c>
    </row>
    <row r="21" spans="1:11">
      <c r="K21" t="e">
        <f>VLOOKUP(I21,Source!F:F,1,FALSE)</f>
        <v>#N/A</v>
      </c>
    </row>
    <row r="22" spans="1:11">
      <c r="K22" t="e">
        <f>VLOOKUP(I22,Source!F:F,1,FALSE)</f>
        <v>#N/A</v>
      </c>
    </row>
    <row r="23" spans="1:11">
      <c r="K23" t="e">
        <f>VLOOKUP(I23,Source!F:F,1,FALSE)</f>
        <v>#N/A</v>
      </c>
    </row>
    <row r="24" spans="1:11">
      <c r="K24" t="e">
        <f>VLOOKUP(I24,Source!F:F,1,FALSE)</f>
        <v>#N/A</v>
      </c>
    </row>
    <row r="25" spans="1:11">
      <c r="K25" t="e">
        <f>VLOOKUP(I25,Source!F:F,1,FALSE)</f>
        <v>#N/A</v>
      </c>
    </row>
    <row r="26" spans="1:11">
      <c r="K26" t="e">
        <f>VLOOKUP(I26,Source!F:F,1,FALSE)</f>
        <v>#N/A</v>
      </c>
    </row>
    <row r="27" spans="1:11">
      <c r="K27" t="e">
        <f>VLOOKUP(I27,Source!F:F,1,FALSE)</f>
        <v>#N/A</v>
      </c>
    </row>
    <row r="28" spans="1:11">
      <c r="K28" t="e">
        <f>VLOOKUP(I28,Source!F:F,1,FALSE)</f>
        <v>#N/A</v>
      </c>
    </row>
    <row r="29" spans="1:11">
      <c r="K29" t="e">
        <f>VLOOKUP(I29,Source!F:F,1,FALSE)</f>
        <v>#N/A</v>
      </c>
    </row>
    <row r="30" spans="1:11">
      <c r="K30" t="e">
        <f>VLOOKUP(I30,Source!F:F,1,FALSE)</f>
        <v>#N/A</v>
      </c>
    </row>
    <row r="31" spans="1:11">
      <c r="K31" t="e">
        <f>VLOOKUP(I31,Source!F:F,1,FALSE)</f>
        <v>#N/A</v>
      </c>
    </row>
    <row r="32" spans="1:11">
      <c r="K32" t="e">
        <f>VLOOKUP(I32,Source!F:F,1,FALSE)</f>
        <v>#N/A</v>
      </c>
    </row>
    <row r="33" spans="11:11">
      <c r="K33" t="e">
        <f>VLOOKUP(I33,Source!F:F,1,FALSE)</f>
        <v>#N/A</v>
      </c>
    </row>
    <row r="34" spans="11:11">
      <c r="K34" t="e">
        <f>VLOOKUP(I34,Source!F:F,1,FALSE)</f>
        <v>#N/A</v>
      </c>
    </row>
    <row r="35" spans="11:11">
      <c r="K35" t="e">
        <f>VLOOKUP(I35,Source!F:F,1,FALSE)</f>
        <v>#N/A</v>
      </c>
    </row>
    <row r="36" spans="11:11">
      <c r="K36" t="e">
        <f>VLOOKUP(I36,Source!F:F,1,FALSE)</f>
        <v>#N/A</v>
      </c>
    </row>
    <row r="37" spans="11:11">
      <c r="K37" t="e">
        <f>VLOOKUP(I37,Source!F:F,1,FALSE)</f>
        <v>#N/A</v>
      </c>
    </row>
    <row r="38" spans="11:11">
      <c r="K38" t="e">
        <f>VLOOKUP(I38,Source!F:F,1,FALSE)</f>
        <v>#N/A</v>
      </c>
    </row>
    <row r="39" spans="11:11">
      <c r="K39" t="e">
        <f>VLOOKUP(I39,Source!F:F,1,FALSE)</f>
        <v>#N/A</v>
      </c>
    </row>
    <row r="40" spans="11:11">
      <c r="K40" t="e">
        <f>VLOOKUP(I40,Source!F:F,1,FALSE)</f>
        <v>#N/A</v>
      </c>
    </row>
    <row r="41" spans="11:11">
      <c r="K41" t="e">
        <f>VLOOKUP(I41,Source!F:F,1,FALSE)</f>
        <v>#N/A</v>
      </c>
    </row>
    <row r="42" spans="11:11">
      <c r="K42" t="e">
        <f>VLOOKUP(I42,Source!F:F,1,FALSE)</f>
        <v>#N/A</v>
      </c>
    </row>
    <row r="43" spans="11:11">
      <c r="K43" t="e">
        <f>VLOOKUP(I43,Source!F:F,1,FALSE)</f>
        <v>#N/A</v>
      </c>
    </row>
    <row r="44" spans="11:11">
      <c r="K44" t="e">
        <f>VLOOKUP(I44,Source!F:F,1,FALSE)</f>
        <v>#N/A</v>
      </c>
    </row>
    <row r="45" spans="11:11">
      <c r="K45" t="e">
        <f>VLOOKUP(I45,Source!F:F,1,FALSE)</f>
        <v>#N/A</v>
      </c>
    </row>
    <row r="46" spans="11:11">
      <c r="K46" t="e">
        <f>VLOOKUP(I46,Source!F:F,1,FALSE)</f>
        <v>#N/A</v>
      </c>
    </row>
    <row r="47" spans="11:11">
      <c r="K47" t="e">
        <f>VLOOKUP(I47,Source!F:F,1,FALSE)</f>
        <v>#N/A</v>
      </c>
    </row>
    <row r="48" spans="11:11">
      <c r="K48" t="e">
        <f>VLOOKUP(I48,Source!F:F,1,FALSE)</f>
        <v>#N/A</v>
      </c>
    </row>
    <row r="49" spans="11:11">
      <c r="K49" t="e">
        <f>VLOOKUP(I49,Source!F:F,1,FALSE)</f>
        <v>#N/A</v>
      </c>
    </row>
    <row r="50" spans="11:11">
      <c r="K50" t="e">
        <f>VLOOKUP(I50,Source!F:F,1,FALSE)</f>
        <v>#N/A</v>
      </c>
    </row>
    <row r="51" spans="11:11">
      <c r="K51" t="e">
        <f>VLOOKUP(I51,Source!F:F,1,FALSE)</f>
        <v>#N/A</v>
      </c>
    </row>
    <row r="52" spans="11:11">
      <c r="K52" t="e">
        <f>VLOOKUP(I52,Source!F:F,1,FALSE)</f>
        <v>#N/A</v>
      </c>
    </row>
    <row r="53" spans="11:11">
      <c r="K53" t="e">
        <f>VLOOKUP(I53,Source!F:F,1,FALSE)</f>
        <v>#N/A</v>
      </c>
    </row>
    <row r="54" spans="11:11">
      <c r="K54" t="e">
        <f>VLOOKUP(I54,Source!F:F,1,FALSE)</f>
        <v>#N/A</v>
      </c>
    </row>
    <row r="55" spans="11:11">
      <c r="K55" t="e">
        <f>VLOOKUP(I55,Source!F:F,1,FALSE)</f>
        <v>#N/A</v>
      </c>
    </row>
    <row r="56" spans="11:11">
      <c r="K56" t="e">
        <f>VLOOKUP(I56,Source!F:F,1,FALSE)</f>
        <v>#N/A</v>
      </c>
    </row>
    <row r="57" spans="11:11">
      <c r="K57" t="e">
        <f>VLOOKUP(I57,Source!F:F,1,FALSE)</f>
        <v>#N/A</v>
      </c>
    </row>
    <row r="58" spans="11:11">
      <c r="K58" t="e">
        <f>VLOOKUP(I58,Source!F:F,1,FALSE)</f>
        <v>#N/A</v>
      </c>
    </row>
    <row r="59" spans="11:11">
      <c r="K59" t="e">
        <f>VLOOKUP(I59,Source!F:F,1,FALSE)</f>
        <v>#N/A</v>
      </c>
    </row>
  </sheetData>
  <phoneticPr fontId="7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9499340-b9cf-4458-9368-33036c1b4dc9">
      <Terms xmlns="http://schemas.microsoft.com/office/infopath/2007/PartnerControls"/>
    </lcf76f155ced4ddcb4097134ff3c332f>
    <TaxCatchAll xmlns="a2187807-d16b-4f26-8c23-1ecdc31f3e2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E5B1B55FDC6F46992CBD8D384DCF63" ma:contentTypeVersion="17" ma:contentTypeDescription="Create a new document." ma:contentTypeScope="" ma:versionID="461bfb68fb4a5d6d62b4f88ad4127bdb">
  <xsd:schema xmlns:xsd="http://www.w3.org/2001/XMLSchema" xmlns:xs="http://www.w3.org/2001/XMLSchema" xmlns:p="http://schemas.microsoft.com/office/2006/metadata/properties" xmlns:ns2="79499340-b9cf-4458-9368-33036c1b4dc9" xmlns:ns3="a2187807-d16b-4f26-8c23-1ecdc31f3e2b" targetNamespace="http://schemas.microsoft.com/office/2006/metadata/properties" ma:root="true" ma:fieldsID="19ada3866f22f2552a4fa585d0cdeed8" ns2:_="" ns3:_="">
    <xsd:import namespace="79499340-b9cf-4458-9368-33036c1b4dc9"/>
    <xsd:import namespace="a2187807-d16b-4f26-8c23-1ecdc31f3e2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499340-b9cf-4458-9368-33036c1b4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187807-d16b-4f26-8c23-1ecdc31f3e2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2236eada-7542-4a47-9b16-089fadf71390}" ma:internalName="TaxCatchAll" ma:showField="CatchAllData" ma:web="a2187807-d16b-4f26-8c23-1ecdc31f3e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931AEB-F73C-4B3A-9CEA-4C5D30F723D5}">
  <ds:schemaRefs>
    <ds:schemaRef ds:uri="http://schemas.openxmlformats.org/package/2006/metadata/core-properties"/>
    <ds:schemaRef ds:uri="http://purl.org/dc/dcmitype/"/>
    <ds:schemaRef ds:uri="http://purl.org/dc/elements/1.1/"/>
    <ds:schemaRef ds:uri="http://schemas.microsoft.com/office/2006/documentManagement/types"/>
    <ds:schemaRef ds:uri="http://purl.org/dc/terms/"/>
    <ds:schemaRef ds:uri="a2187807-d16b-4f26-8c23-1ecdc31f3e2b"/>
    <ds:schemaRef ds:uri="79499340-b9cf-4458-9368-33036c1b4dc9"/>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247FA76-2CB9-491C-810B-C395E6824F5E}">
  <ds:schemaRefs>
    <ds:schemaRef ds:uri="http://schemas.microsoft.com/sharepoint/v3/contenttype/forms"/>
  </ds:schemaRefs>
</ds:datastoreItem>
</file>

<file path=customXml/itemProps3.xml><?xml version="1.0" encoding="utf-8"?>
<ds:datastoreItem xmlns:ds="http://schemas.openxmlformats.org/officeDocument/2006/customXml" ds:itemID="{99042B17-9B98-4430-B02D-A582DFF04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499340-b9cf-4458-9368-33036c1b4dc9"/>
    <ds:schemaRef ds:uri="a2187807-d16b-4f26-8c23-1ecdc31f3e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vt:i4>
      </vt:variant>
    </vt:vector>
  </HeadingPairs>
  <TitlesOfParts>
    <vt:vector size="26" baseType="lpstr">
      <vt:lpstr>Intro &amp; Instructions</vt:lpstr>
      <vt:lpstr>Data Sources</vt:lpstr>
      <vt:lpstr>Contact Information </vt:lpstr>
      <vt:lpstr>Contacts Source</vt:lpstr>
      <vt:lpstr>Square Footage</vt:lpstr>
      <vt:lpstr>Electricity Consumption</vt:lpstr>
      <vt:lpstr>Building Fuel Consumption</vt:lpstr>
      <vt:lpstr>Vehicle&amp;Other Fuel Consumption</vt:lpstr>
      <vt:lpstr>Energy Storage Source</vt:lpstr>
      <vt:lpstr>Renewable &amp; Onsite Gen Sites</vt:lpstr>
      <vt:lpstr>Renewable Thermal Sites</vt:lpstr>
      <vt:lpstr>Vehicle Fleet</vt:lpstr>
      <vt:lpstr>EV Charging Stations</vt:lpstr>
      <vt:lpstr>Potential EV Stations source</vt:lpstr>
      <vt:lpstr>EV Charging Stations source</vt:lpstr>
      <vt:lpstr>Clean Power &amp; Storage</vt:lpstr>
      <vt:lpstr>EE-Decarb Projects</vt:lpstr>
      <vt:lpstr>Source Water</vt:lpstr>
      <vt:lpstr>Embodied Carbon</vt:lpstr>
      <vt:lpstr>Sustainability</vt:lpstr>
      <vt:lpstr>(OLD) Landscaping</vt:lpstr>
      <vt:lpstr>Landscaping Source</vt:lpstr>
      <vt:lpstr>BPLE Source</vt:lpstr>
      <vt:lpstr>Source</vt:lpstr>
      <vt:lpstr>AgencyCampus</vt:lpstr>
      <vt:lpstr>Names</vt:lpstr>
    </vt:vector>
  </TitlesOfParts>
  <Manager/>
  <Company>Commonwealth of Massachusetts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murrutia;Ckehne@MassMail.State.MA.US</dc:creator>
  <cp:keywords/>
  <dc:description/>
  <cp:lastModifiedBy>Vitello, Sophia (ENE)</cp:lastModifiedBy>
  <cp:revision/>
  <dcterms:created xsi:type="dcterms:W3CDTF">2013-07-16T13:39:49Z</dcterms:created>
  <dcterms:modified xsi:type="dcterms:W3CDTF">2025-11-06T22:00:28Z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0x010100CCE5B1B55FDC6F46992CBD8D384DCF63</vt:lpwstr>
  </property>
  <property fmtid="{D5CDD505-2E9C-101B-9397-08002B2CF9AE}" pid="3" name="MediaServiceImageTags">
    <vt:lpwstr/>
  </property>
</Properties>
</file>