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updateLinks="always" codeName="ThisWorkbook" defaultThemeVersion="124226"/>
  <mc:AlternateContent xmlns:mc="http://schemas.openxmlformats.org/markup-compatibility/2006">
    <mc:Choice Requires="x15">
      <x15ac:absPath xmlns:x15ac="http://schemas.microsoft.com/office/spreadsheetml/2010/11/ac" url="https://massgov.sharepoint.com/sites/ENE-Workgroup/Renewables/Rulemakings/RPS Class I/2022 Regulatory Review/Package for TUE - First Draft/"/>
    </mc:Choice>
  </mc:AlternateContent>
  <xr:revisionPtr revIDLastSave="0" documentId="8_{3D4BB011-B57F-419C-B52A-CFA802BEB077}" xr6:coauthVersionLast="47" xr6:coauthVersionMax="47" xr10:uidLastSave="{00000000-0000-0000-0000-000000000000}"/>
  <bookViews>
    <workbookView xWindow="-25380" yWindow="3420" windowWidth="21600" windowHeight="11265" tabRatio="697" xr2:uid="{00000000-000D-0000-FFFF-FFFF00000000}"/>
  </bookViews>
  <sheets>
    <sheet name="Instructions" sheetId="20" r:id="rId1"/>
    <sheet name="Certification" sheetId="42" r:id="rId2"/>
    <sheet name="Fuel Report" sheetId="40" r:id="rId3"/>
    <sheet name="Overall Efficiency - Quarter 1" sheetId="60" r:id="rId4"/>
    <sheet name="Overall Efficiency - Quarter 2" sheetId="62" r:id="rId5"/>
    <sheet name="Overall Efficiency - Quarter 3" sheetId="63" r:id="rId6"/>
    <sheet name="Overall Efficiency - Quarter 4" sheetId="64" r:id="rId7"/>
    <sheet name="Overall Efficiency - Annual" sheetId="61" r:id="rId8"/>
    <sheet name="GHG Analysis - Quarter 1" sheetId="69" r:id="rId9"/>
    <sheet name="GHG Analysis - Quarter 2" sheetId="75" r:id="rId10"/>
    <sheet name="GHG Analysis - Quarter 3" sheetId="76" r:id="rId11"/>
    <sheet name="GHG Analysis - Quarter 4" sheetId="77" r:id="rId12"/>
    <sheet name="GHG Analysis - Annual" sheetId="78" r:id="rId13"/>
    <sheet name="Parameters" sheetId="71" r:id="rId14"/>
    <sheet name="GHG Model - Forest Residues" sheetId="79" r:id="rId15"/>
    <sheet name="GHG Model - Non-Forest Residues" sheetId="72" r:id="rId16"/>
    <sheet name="GHG Model - Forest Salvage" sheetId="80" r:id="rId17"/>
    <sheet name="GHG Model - Forest Thinnings" sheetId="73" r:id="rId18"/>
    <sheet name="Carbon Deficit Analyses" sheetId="74" r:id="rId19"/>
    <sheet name="Data" sheetId="41" state="hidden" r:id="rId20"/>
  </sheets>
  <definedNames>
    <definedName name="BiomassFuels">Parameters!$B$5:$B$7</definedName>
    <definedName name="BiomassHeatValues">Parameters!$B$5:$E$7</definedName>
    <definedName name="ConventionalFuelList">Parameters!$B$12:$B$16</definedName>
    <definedName name="ElectricGeneration">Parameters!$B$20:$B$21</definedName>
    <definedName name="TypeOfFuel">Parameters!$B$5:$B$6</definedName>
  </definedNames>
  <calcPr calcId="191029"/>
  <customWorkbookViews>
    <customWorkbookView name="Dwayne Breger - Personal View" guid="{69FA38BC-F160-4CAA-BF85-C52CE8C53F2C}" mergeInterval="0" personalView="1" maximized="1" xWindow="1" yWindow="1" windowWidth="1184" windowHeight="738" tabRatio="853" activeSheetId="2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0" i="74" l="1"/>
  <c r="E129" i="74"/>
  <c r="E128" i="74"/>
  <c r="E127" i="74"/>
  <c r="E126" i="74"/>
  <c r="E125" i="74"/>
  <c r="E124" i="74"/>
  <c r="E123" i="74"/>
  <c r="E122" i="74"/>
  <c r="E121" i="74"/>
  <c r="E120" i="74"/>
  <c r="E119" i="74"/>
  <c r="E118" i="74"/>
  <c r="E117" i="74"/>
  <c r="E116" i="74"/>
  <c r="E115" i="74"/>
  <c r="E114" i="74"/>
  <c r="E113" i="74"/>
  <c r="E112" i="74"/>
  <c r="E111" i="74"/>
  <c r="E110" i="74"/>
  <c r="E109" i="74"/>
  <c r="E108" i="74"/>
  <c r="E107" i="74"/>
  <c r="E106" i="74"/>
  <c r="E105" i="74"/>
  <c r="E104" i="74"/>
  <c r="E103" i="74"/>
  <c r="E102" i="74"/>
  <c r="E101" i="74" l="1"/>
  <c r="E16" i="64" l="1"/>
  <c r="E16" i="63"/>
  <c r="E16" i="62"/>
  <c r="E16" i="60"/>
  <c r="E42" i="77" l="1"/>
  <c r="E41" i="77"/>
  <c r="E40" i="77"/>
  <c r="E42" i="76"/>
  <c r="E41" i="76"/>
  <c r="E40" i="76"/>
  <c r="E42" i="75"/>
  <c r="E41" i="75"/>
  <c r="E40" i="75"/>
  <c r="E40" i="69"/>
  <c r="E42" i="69"/>
  <c r="E41" i="69"/>
  <c r="E43" i="76" l="1"/>
  <c r="E43" i="69"/>
  <c r="E43" i="77"/>
  <c r="E43" i="75"/>
  <c r="H15" i="40"/>
  <c r="H13" i="40"/>
  <c r="H12" i="40"/>
  <c r="H11" i="40"/>
  <c r="G16" i="40"/>
  <c r="G17" i="40" s="1"/>
  <c r="F16" i="40"/>
  <c r="F17" i="40" s="1"/>
  <c r="E16" i="40"/>
  <c r="D16" i="40"/>
  <c r="D17" i="40" s="1"/>
  <c r="E17" i="40" l="1"/>
  <c r="H16" i="40"/>
  <c r="D6" i="80"/>
  <c r="D7" i="80" s="1"/>
  <c r="D6" i="79"/>
  <c r="D7" i="79"/>
  <c r="D6" i="72"/>
  <c r="M36" i="80" l="1"/>
  <c r="W34" i="80"/>
  <c r="H33" i="80"/>
  <c r="R31" i="80"/>
  <c r="C30" i="80"/>
  <c r="M28" i="80"/>
  <c r="W26" i="80"/>
  <c r="H25" i="80"/>
  <c r="R23" i="80"/>
  <c r="C22" i="80"/>
  <c r="M20" i="80"/>
  <c r="W18" i="80"/>
  <c r="H17" i="80"/>
  <c r="C17" i="80"/>
  <c r="W33" i="80"/>
  <c r="M27" i="80"/>
  <c r="W35" i="80"/>
  <c r="H34" i="80"/>
  <c r="R32" i="80"/>
  <c r="C31" i="80"/>
  <c r="M29" i="80"/>
  <c r="W27" i="80"/>
  <c r="H26" i="80"/>
  <c r="R24" i="80"/>
  <c r="C23" i="80"/>
  <c r="M21" i="80"/>
  <c r="W19" i="80"/>
  <c r="H18" i="80"/>
  <c r="H24" i="80"/>
  <c r="M19" i="80"/>
  <c r="W36" i="80"/>
  <c r="H35" i="80"/>
  <c r="R33" i="80"/>
  <c r="C32" i="80"/>
  <c r="M30" i="80"/>
  <c r="W28" i="80"/>
  <c r="H27" i="80"/>
  <c r="R25" i="80"/>
  <c r="C24" i="80"/>
  <c r="M22" i="80"/>
  <c r="W20" i="80"/>
  <c r="H19" i="80"/>
  <c r="R17" i="80"/>
  <c r="M35" i="80"/>
  <c r="H36" i="80"/>
  <c r="R34" i="80"/>
  <c r="C33" i="80"/>
  <c r="M31" i="80"/>
  <c r="W29" i="80"/>
  <c r="H28" i="80"/>
  <c r="R26" i="80"/>
  <c r="C25" i="80"/>
  <c r="M23" i="80"/>
  <c r="W21" i="80"/>
  <c r="H20" i="80"/>
  <c r="R18" i="80"/>
  <c r="C29" i="80"/>
  <c r="C21" i="80"/>
  <c r="R35" i="80"/>
  <c r="C34" i="80"/>
  <c r="M32" i="80"/>
  <c r="W30" i="80"/>
  <c r="H29" i="80"/>
  <c r="R27" i="80"/>
  <c r="C26" i="80"/>
  <c r="M24" i="80"/>
  <c r="W22" i="80"/>
  <c r="H21" i="80"/>
  <c r="R19" i="80"/>
  <c r="C18" i="80"/>
  <c r="R30" i="80"/>
  <c r="W25" i="80"/>
  <c r="R36" i="80"/>
  <c r="C35" i="80"/>
  <c r="M33" i="80"/>
  <c r="W31" i="80"/>
  <c r="H30" i="80"/>
  <c r="R28" i="80"/>
  <c r="C27" i="80"/>
  <c r="M25" i="80"/>
  <c r="W23" i="80"/>
  <c r="H22" i="80"/>
  <c r="R20" i="80"/>
  <c r="C19" i="80"/>
  <c r="M17" i="80"/>
  <c r="W17" i="80"/>
  <c r="C36" i="80"/>
  <c r="M34" i="80"/>
  <c r="W32" i="80"/>
  <c r="H31" i="80"/>
  <c r="R29" i="80"/>
  <c r="C28" i="80"/>
  <c r="M26" i="80"/>
  <c r="W24" i="80"/>
  <c r="H23" i="80"/>
  <c r="R21" i="80"/>
  <c r="C20" i="80"/>
  <c r="M18" i="80"/>
  <c r="H32" i="80"/>
  <c r="R22" i="80"/>
  <c r="M36" i="79"/>
  <c r="W34" i="79"/>
  <c r="H33" i="79"/>
  <c r="R31" i="79"/>
  <c r="C30" i="79"/>
  <c r="M28" i="79"/>
  <c r="W26" i="79"/>
  <c r="H25" i="79"/>
  <c r="R23" i="79"/>
  <c r="C22" i="79"/>
  <c r="M20" i="79"/>
  <c r="W18" i="79"/>
  <c r="H17" i="79"/>
  <c r="C17" i="79"/>
  <c r="M19" i="79"/>
  <c r="W35" i="79"/>
  <c r="H34" i="79"/>
  <c r="R32" i="79"/>
  <c r="C31" i="79"/>
  <c r="M29" i="79"/>
  <c r="W27" i="79"/>
  <c r="H26" i="79"/>
  <c r="R24" i="79"/>
  <c r="C23" i="79"/>
  <c r="M21" i="79"/>
  <c r="W19" i="79"/>
  <c r="H18" i="79"/>
  <c r="W21" i="79"/>
  <c r="R20" i="79"/>
  <c r="M17" i="79"/>
  <c r="W33" i="79"/>
  <c r="W36" i="79"/>
  <c r="H35" i="79"/>
  <c r="R33" i="79"/>
  <c r="C32" i="79"/>
  <c r="M30" i="79"/>
  <c r="W28" i="79"/>
  <c r="H27" i="79"/>
  <c r="R25" i="79"/>
  <c r="C24" i="79"/>
  <c r="M22" i="79"/>
  <c r="W20" i="79"/>
  <c r="H19" i="79"/>
  <c r="R17" i="79"/>
  <c r="R26" i="79"/>
  <c r="H20" i="79"/>
  <c r="R18" i="79"/>
  <c r="M27" i="79"/>
  <c r="C21" i="79"/>
  <c r="H36" i="79"/>
  <c r="R34" i="79"/>
  <c r="C33" i="79"/>
  <c r="M31" i="79"/>
  <c r="W29" i="79"/>
  <c r="H28" i="79"/>
  <c r="C25" i="79"/>
  <c r="M23" i="79"/>
  <c r="R35" i="79"/>
  <c r="C34" i="79"/>
  <c r="M32" i="79"/>
  <c r="W30" i="79"/>
  <c r="H29" i="79"/>
  <c r="R27" i="79"/>
  <c r="C26" i="79"/>
  <c r="M24" i="79"/>
  <c r="W22" i="79"/>
  <c r="H21" i="79"/>
  <c r="R19" i="79"/>
  <c r="C18" i="79"/>
  <c r="W23" i="79"/>
  <c r="C19" i="79"/>
  <c r="M35" i="79"/>
  <c r="W25" i="79"/>
  <c r="R22" i="79"/>
  <c r="R36" i="79"/>
  <c r="C35" i="79"/>
  <c r="M33" i="79"/>
  <c r="W31" i="79"/>
  <c r="H30" i="79"/>
  <c r="R28" i="79"/>
  <c r="C27" i="79"/>
  <c r="M25" i="79"/>
  <c r="H22" i="79"/>
  <c r="H32" i="79"/>
  <c r="W17" i="79"/>
  <c r="C36" i="79"/>
  <c r="M34" i="79"/>
  <c r="W32" i="79"/>
  <c r="H31" i="79"/>
  <c r="R29" i="79"/>
  <c r="C28" i="79"/>
  <c r="M26" i="79"/>
  <c r="W24" i="79"/>
  <c r="H23" i="79"/>
  <c r="R21" i="79"/>
  <c r="C20" i="79"/>
  <c r="M18" i="79"/>
  <c r="R30" i="79"/>
  <c r="C29" i="79"/>
  <c r="H24" i="79"/>
  <c r="O52" i="74"/>
  <c r="U50" i="74"/>
  <c r="H37" i="74"/>
  <c r="I32" i="74"/>
  <c r="J26" i="74"/>
  <c r="I26" i="74"/>
  <c r="H26" i="74"/>
  <c r="G26" i="74"/>
  <c r="F26" i="74"/>
  <c r="E26" i="74"/>
  <c r="J25" i="74"/>
  <c r="I25" i="74"/>
  <c r="H25" i="74"/>
  <c r="H30" i="74" s="1"/>
  <c r="G25" i="74"/>
  <c r="G30" i="74" s="1"/>
  <c r="F25" i="74"/>
  <c r="E25" i="74"/>
  <c r="J23" i="74"/>
  <c r="I23" i="74"/>
  <c r="H23" i="74"/>
  <c r="G23" i="74"/>
  <c r="F23" i="74"/>
  <c r="E23" i="74"/>
  <c r="J22" i="74"/>
  <c r="I22" i="74"/>
  <c r="H22" i="74"/>
  <c r="G22" i="74"/>
  <c r="F22" i="74"/>
  <c r="E22" i="74"/>
  <c r="J20" i="74"/>
  <c r="I20" i="74"/>
  <c r="H20" i="74"/>
  <c r="G20" i="74"/>
  <c r="F20" i="74"/>
  <c r="E20" i="74"/>
  <c r="J19" i="74"/>
  <c r="I19" i="74"/>
  <c r="H19" i="74"/>
  <c r="G19" i="74"/>
  <c r="F19" i="74"/>
  <c r="E19" i="74"/>
  <c r="I29" i="74" l="1"/>
  <c r="E30" i="74"/>
  <c r="J29" i="74"/>
  <c r="F30" i="74"/>
  <c r="I30" i="74"/>
  <c r="F107" i="74"/>
  <c r="F115" i="74"/>
  <c r="F123" i="74"/>
  <c r="F110" i="74"/>
  <c r="F118" i="74"/>
  <c r="F126" i="74"/>
  <c r="F105" i="74"/>
  <c r="F113" i="74"/>
  <c r="F121" i="74"/>
  <c r="F129" i="74"/>
  <c r="F106" i="74"/>
  <c r="F114" i="74"/>
  <c r="F122" i="74"/>
  <c r="F130" i="74"/>
  <c r="F101" i="74"/>
  <c r="F102" i="74"/>
  <c r="F109" i="74"/>
  <c r="F117" i="74"/>
  <c r="F125" i="74"/>
  <c r="F108" i="74"/>
  <c r="F116" i="74"/>
  <c r="F124" i="74"/>
  <c r="F103" i="74"/>
  <c r="F111" i="74"/>
  <c r="F119" i="74"/>
  <c r="F127" i="74"/>
  <c r="F104" i="74"/>
  <c r="F112" i="74"/>
  <c r="F120" i="74"/>
  <c r="F128" i="74"/>
  <c r="F29" i="74"/>
  <c r="J30" i="74"/>
  <c r="G104" i="74"/>
  <c r="G112" i="74"/>
  <c r="G120" i="74"/>
  <c r="G128" i="74"/>
  <c r="G107" i="74"/>
  <c r="G115" i="74"/>
  <c r="G123" i="74"/>
  <c r="G102" i="74"/>
  <c r="G110" i="74"/>
  <c r="G118" i="74"/>
  <c r="G126" i="74"/>
  <c r="G103" i="74"/>
  <c r="G111" i="74"/>
  <c r="G119" i="74"/>
  <c r="G127" i="74"/>
  <c r="G106" i="74"/>
  <c r="G122" i="74"/>
  <c r="G117" i="74"/>
  <c r="G125" i="74"/>
  <c r="G101" i="74"/>
  <c r="G109" i="74"/>
  <c r="G105" i="74"/>
  <c r="G113" i="74"/>
  <c r="G121" i="74"/>
  <c r="G129" i="74"/>
  <c r="G108" i="74"/>
  <c r="G116" i="74"/>
  <c r="G124" i="74"/>
  <c r="G114" i="74"/>
  <c r="G130" i="74"/>
  <c r="E73" i="74"/>
  <c r="E72" i="74"/>
  <c r="E76" i="74"/>
  <c r="E79" i="74"/>
  <c r="E71" i="74"/>
  <c r="E78" i="74"/>
  <c r="E77" i="74"/>
  <c r="E75" i="74"/>
  <c r="E70" i="74"/>
  <c r="E74" i="74"/>
  <c r="E82" i="74"/>
  <c r="E89" i="74"/>
  <c r="E81" i="74"/>
  <c r="E88" i="74"/>
  <c r="E87" i="74"/>
  <c r="E80" i="74"/>
  <c r="E86" i="74"/>
  <c r="E85" i="74"/>
  <c r="E84" i="74"/>
  <c r="E83" i="74"/>
  <c r="G56" i="74"/>
  <c r="G70" i="74"/>
  <c r="G74" i="74"/>
  <c r="G78" i="74"/>
  <c r="G93" i="74"/>
  <c r="G97" i="74"/>
  <c r="G88" i="74"/>
  <c r="G51" i="74"/>
  <c r="G59" i="74"/>
  <c r="G63" i="74"/>
  <c r="G67" i="74"/>
  <c r="G82" i="74"/>
  <c r="G86" i="74"/>
  <c r="G80" i="74"/>
  <c r="G100" i="74"/>
  <c r="G54" i="74"/>
  <c r="G71" i="74"/>
  <c r="G75" i="74"/>
  <c r="G79" i="74"/>
  <c r="G90" i="74"/>
  <c r="G94" i="74"/>
  <c r="G98" i="74"/>
  <c r="G65" i="74"/>
  <c r="G84" i="74"/>
  <c r="G89" i="74"/>
  <c r="G57" i="74"/>
  <c r="G60" i="74"/>
  <c r="G64" i="74"/>
  <c r="G68" i="74"/>
  <c r="G83" i="74"/>
  <c r="G87" i="74"/>
  <c r="G55" i="74"/>
  <c r="G61" i="74"/>
  <c r="G52" i="74"/>
  <c r="G72" i="74"/>
  <c r="G76" i="74"/>
  <c r="G91" i="74"/>
  <c r="G95" i="74"/>
  <c r="G99" i="74"/>
  <c r="G69" i="74"/>
  <c r="G58" i="74"/>
  <c r="G73" i="74"/>
  <c r="G77" i="74"/>
  <c r="G92" i="74"/>
  <c r="G96" i="74"/>
  <c r="G53" i="74"/>
  <c r="G62" i="74"/>
  <c r="G66" i="74"/>
  <c r="G81" i="74"/>
  <c r="G85" i="74"/>
  <c r="E29" i="74"/>
  <c r="G29" i="74"/>
  <c r="E99" i="74"/>
  <c r="E91" i="74"/>
  <c r="E90" i="74"/>
  <c r="E98" i="74"/>
  <c r="E97" i="74"/>
  <c r="E96" i="74"/>
  <c r="E94" i="74"/>
  <c r="E95" i="74"/>
  <c r="E93" i="74"/>
  <c r="E92" i="74"/>
  <c r="H29" i="74"/>
  <c r="E54" i="74"/>
  <c r="E53" i="74"/>
  <c r="E57" i="74"/>
  <c r="M50" i="74" s="1"/>
  <c r="E52" i="74"/>
  <c r="E55" i="74"/>
  <c r="E58" i="74"/>
  <c r="M51" i="74" s="1"/>
  <c r="E56" i="74"/>
  <c r="E51" i="74"/>
  <c r="E59" i="74"/>
  <c r="F51" i="74"/>
  <c r="F59" i="74"/>
  <c r="F63" i="74"/>
  <c r="F67" i="74"/>
  <c r="F82" i="74"/>
  <c r="F86" i="74"/>
  <c r="F58" i="74"/>
  <c r="F73" i="74"/>
  <c r="F93" i="74"/>
  <c r="F54" i="74"/>
  <c r="F71" i="74"/>
  <c r="F75" i="74"/>
  <c r="F79" i="74"/>
  <c r="F90" i="74"/>
  <c r="F94" i="74"/>
  <c r="F98" i="74"/>
  <c r="F57" i="74"/>
  <c r="F60" i="74"/>
  <c r="F64" i="74"/>
  <c r="F68" i="74"/>
  <c r="F83" i="74"/>
  <c r="F87" i="74"/>
  <c r="F52" i="74"/>
  <c r="F72" i="74"/>
  <c r="F76" i="74"/>
  <c r="F91" i="74"/>
  <c r="F95" i="74"/>
  <c r="F99" i="74"/>
  <c r="F77" i="74"/>
  <c r="F92" i="74"/>
  <c r="F55" i="74"/>
  <c r="F61" i="74"/>
  <c r="F65" i="74"/>
  <c r="F69" i="74"/>
  <c r="F80" i="74"/>
  <c r="F84" i="74"/>
  <c r="F88" i="74"/>
  <c r="F96" i="74"/>
  <c r="F97" i="74"/>
  <c r="F53" i="74"/>
  <c r="F62" i="74"/>
  <c r="F66" i="74"/>
  <c r="F81" i="74"/>
  <c r="F85" i="74"/>
  <c r="F89" i="74"/>
  <c r="F100" i="74"/>
  <c r="F56" i="74"/>
  <c r="F70" i="74"/>
  <c r="F74" i="74"/>
  <c r="F78" i="74"/>
  <c r="E64" i="74"/>
  <c r="E63" i="74"/>
  <c r="E62" i="74"/>
  <c r="E67" i="74"/>
  <c r="E69" i="74"/>
  <c r="E61" i="74"/>
  <c r="E68" i="74"/>
  <c r="E66" i="74"/>
  <c r="E60" i="74"/>
  <c r="E65" i="74"/>
  <c r="E100" i="74" l="1"/>
  <c r="M52" i="74"/>
  <c r="E30" i="78"/>
  <c r="E27" i="78"/>
  <c r="E32" i="78" s="1"/>
  <c r="E23" i="78"/>
  <c r="E25" i="78" s="1"/>
  <c r="E18" i="78"/>
  <c r="W35" i="73"/>
  <c r="W34" i="73"/>
  <c r="W33" i="73"/>
  <c r="W32" i="73"/>
  <c r="W31" i="73"/>
  <c r="W30" i="73"/>
  <c r="W29" i="73"/>
  <c r="W28" i="73"/>
  <c r="W27" i="73"/>
  <c r="W26" i="73"/>
  <c r="W25" i="73"/>
  <c r="W24" i="73"/>
  <c r="W23" i="73"/>
  <c r="W22" i="73"/>
  <c r="W21" i="73"/>
  <c r="W20" i="73"/>
  <c r="W19" i="73"/>
  <c r="W18" i="73"/>
  <c r="W17" i="73"/>
  <c r="W16" i="73"/>
  <c r="E15" i="64"/>
  <c r="E15" i="77"/>
  <c r="F16" i="60"/>
  <c r="F15" i="77" s="1"/>
  <c r="E9" i="78"/>
  <c r="E15" i="75"/>
  <c r="E15" i="62"/>
  <c r="E24" i="75"/>
  <c r="E25" i="75"/>
  <c r="E28" i="75"/>
  <c r="E29" i="75"/>
  <c r="E32" i="75"/>
  <c r="E25" i="76"/>
  <c r="E24" i="76"/>
  <c r="E29" i="76"/>
  <c r="E31" i="76" s="1"/>
  <c r="E28" i="76"/>
  <c r="E32" i="76"/>
  <c r="E15" i="76"/>
  <c r="E15" i="63"/>
  <c r="E16" i="76" s="1"/>
  <c r="E25" i="77"/>
  <c r="E24" i="77"/>
  <c r="E29" i="77"/>
  <c r="E28" i="77"/>
  <c r="E32" i="77"/>
  <c r="E15" i="60"/>
  <c r="E24" i="69"/>
  <c r="E25" i="69"/>
  <c r="E28" i="69"/>
  <c r="E29" i="69"/>
  <c r="E32" i="69"/>
  <c r="R35" i="73"/>
  <c r="R34" i="73"/>
  <c r="R33" i="73"/>
  <c r="R32" i="73"/>
  <c r="R31" i="73"/>
  <c r="R30" i="73"/>
  <c r="R29" i="73"/>
  <c r="R28" i="73"/>
  <c r="R27" i="73"/>
  <c r="R26" i="73"/>
  <c r="R25" i="73"/>
  <c r="R24" i="73"/>
  <c r="R23" i="73"/>
  <c r="R22" i="73"/>
  <c r="R21" i="73"/>
  <c r="R20" i="73"/>
  <c r="R19" i="73"/>
  <c r="R18" i="73"/>
  <c r="R17" i="73"/>
  <c r="R16" i="73"/>
  <c r="M35" i="73"/>
  <c r="M34" i="73"/>
  <c r="M33" i="73"/>
  <c r="M32" i="73"/>
  <c r="M31" i="73"/>
  <c r="M30" i="73"/>
  <c r="M29" i="73"/>
  <c r="M28" i="73"/>
  <c r="M27" i="73"/>
  <c r="M26" i="73"/>
  <c r="M25" i="73"/>
  <c r="M24" i="73"/>
  <c r="M23" i="73"/>
  <c r="M22" i="73"/>
  <c r="M21" i="73"/>
  <c r="M20" i="73"/>
  <c r="M19" i="73"/>
  <c r="M18" i="73"/>
  <c r="M17" i="73"/>
  <c r="M16" i="73"/>
  <c r="H35" i="73"/>
  <c r="H34" i="73"/>
  <c r="H33" i="73"/>
  <c r="H32" i="73"/>
  <c r="H31" i="73"/>
  <c r="H30" i="73"/>
  <c r="H29" i="73"/>
  <c r="H28" i="73"/>
  <c r="H27" i="73"/>
  <c r="H26" i="73"/>
  <c r="H25" i="73"/>
  <c r="H24" i="73"/>
  <c r="H23" i="73"/>
  <c r="H22" i="73"/>
  <c r="H21" i="73"/>
  <c r="H20" i="73"/>
  <c r="H19" i="73"/>
  <c r="H18" i="73"/>
  <c r="H17" i="73"/>
  <c r="H16" i="73"/>
  <c r="C16" i="73"/>
  <c r="C35" i="73"/>
  <c r="C34" i="73"/>
  <c r="C33" i="73"/>
  <c r="C32" i="73"/>
  <c r="C31" i="73"/>
  <c r="C30" i="73"/>
  <c r="C29" i="73"/>
  <c r="C28" i="73"/>
  <c r="C27" i="73"/>
  <c r="C26" i="73"/>
  <c r="C25" i="73"/>
  <c r="C24" i="73"/>
  <c r="C23" i="73"/>
  <c r="C22" i="73"/>
  <c r="C21" i="73"/>
  <c r="C20" i="73"/>
  <c r="C19" i="73"/>
  <c r="C18" i="73"/>
  <c r="C17" i="73"/>
  <c r="D7" i="72"/>
  <c r="R17" i="72" s="1"/>
  <c r="E14" i="77"/>
  <c r="E9" i="77"/>
  <c r="E14" i="76"/>
  <c r="E9" i="76"/>
  <c r="E14" i="75"/>
  <c r="E9" i="75"/>
  <c r="F29" i="71"/>
  <c r="H29" i="71" s="1"/>
  <c r="D14" i="71" s="1"/>
  <c r="F28" i="71"/>
  <c r="H28" i="71" s="1"/>
  <c r="D13" i="71" s="1"/>
  <c r="F27" i="71"/>
  <c r="H27" i="71" s="1"/>
  <c r="D12" i="71" s="1"/>
  <c r="F26" i="71"/>
  <c r="H26" i="71" s="1"/>
  <c r="D11" i="71" s="1"/>
  <c r="C20" i="71"/>
  <c r="D16" i="71"/>
  <c r="E9" i="69"/>
  <c r="E14" i="69"/>
  <c r="E14" i="61"/>
  <c r="E15" i="61" s="1"/>
  <c r="E28" i="61"/>
  <c r="E27" i="61"/>
  <c r="E23" i="61"/>
  <c r="E35" i="61" s="1"/>
  <c r="E21" i="61"/>
  <c r="E34" i="61" s="1"/>
  <c r="E20" i="61"/>
  <c r="E33" i="61" s="1"/>
  <c r="E33" i="64"/>
  <c r="E34" i="64"/>
  <c r="E35" i="64"/>
  <c r="E36" i="64"/>
  <c r="F15" i="64"/>
  <c r="F16" i="64"/>
  <c r="E9" i="64"/>
  <c r="E33" i="63"/>
  <c r="E34" i="63"/>
  <c r="E35" i="63"/>
  <c r="E36" i="63"/>
  <c r="F15" i="63"/>
  <c r="F16" i="63"/>
  <c r="E9" i="63"/>
  <c r="F15" i="62"/>
  <c r="E32" i="62" s="1"/>
  <c r="E33" i="62"/>
  <c r="E34" i="62"/>
  <c r="E35" i="62"/>
  <c r="E36" i="62"/>
  <c r="F16" i="62"/>
  <c r="E9" i="62"/>
  <c r="E7" i="40"/>
  <c r="H14" i="40"/>
  <c r="E16" i="61" s="1"/>
  <c r="E9" i="61"/>
  <c r="E33" i="60"/>
  <c r="E34" i="60"/>
  <c r="E35" i="60"/>
  <c r="E36" i="60"/>
  <c r="F15" i="60"/>
  <c r="E9" i="60"/>
  <c r="E31" i="75" l="1"/>
  <c r="E33" i="75" s="1"/>
  <c r="E36" i="61"/>
  <c r="E26" i="76"/>
  <c r="E26" i="75"/>
  <c r="E32" i="63"/>
  <c r="E38" i="63" s="1"/>
  <c r="E32" i="64"/>
  <c r="E38" i="64" s="1"/>
  <c r="H17" i="40"/>
  <c r="E42" i="78"/>
  <c r="E40" i="78"/>
  <c r="E41" i="78"/>
  <c r="F15" i="69"/>
  <c r="E26" i="77"/>
  <c r="C31" i="72"/>
  <c r="E38" i="62"/>
  <c r="E33" i="76"/>
  <c r="E31" i="77"/>
  <c r="E33" i="77" s="1"/>
  <c r="C27" i="72"/>
  <c r="H29" i="72"/>
  <c r="M31" i="72"/>
  <c r="E26" i="69"/>
  <c r="C19" i="72"/>
  <c r="C35" i="72"/>
  <c r="H21" i="72"/>
  <c r="C23" i="72"/>
  <c r="H25" i="72"/>
  <c r="M23" i="72"/>
  <c r="M27" i="72"/>
  <c r="E16" i="69"/>
  <c r="E19" i="75"/>
  <c r="E19" i="78"/>
  <c r="E19" i="69"/>
  <c r="E19" i="77"/>
  <c r="E19" i="76"/>
  <c r="E20" i="76" s="1"/>
  <c r="D15" i="71"/>
  <c r="W35" i="72"/>
  <c r="W31" i="72"/>
  <c r="W27" i="72"/>
  <c r="W23" i="72"/>
  <c r="W19" i="72"/>
  <c r="R34" i="72"/>
  <c r="R30" i="72"/>
  <c r="R26" i="72"/>
  <c r="R22" i="72"/>
  <c r="R18" i="72"/>
  <c r="M36" i="72"/>
  <c r="M32" i="72"/>
  <c r="M28" i="72"/>
  <c r="M24" i="72"/>
  <c r="M20" i="72"/>
  <c r="H34" i="72"/>
  <c r="H30" i="72"/>
  <c r="H26" i="72"/>
  <c r="H22" i="72"/>
  <c r="H18" i="72"/>
  <c r="C36" i="72"/>
  <c r="C32" i="72"/>
  <c r="C28" i="72"/>
  <c r="C24" i="72"/>
  <c r="C20" i="72"/>
  <c r="W34" i="72"/>
  <c r="W30" i="72"/>
  <c r="W26" i="72"/>
  <c r="W22" i="72"/>
  <c r="W18" i="72"/>
  <c r="H17" i="72"/>
  <c r="R33" i="72"/>
  <c r="R25" i="72"/>
  <c r="W33" i="72"/>
  <c r="W29" i="72"/>
  <c r="W25" i="72"/>
  <c r="W21" i="72"/>
  <c r="W17" i="72"/>
  <c r="C17" i="72"/>
  <c r="R36" i="72"/>
  <c r="R32" i="72"/>
  <c r="R28" i="72"/>
  <c r="R24" i="72"/>
  <c r="R20" i="72"/>
  <c r="M34" i="72"/>
  <c r="M30" i="72"/>
  <c r="M26" i="72"/>
  <c r="M22" i="72"/>
  <c r="M18" i="72"/>
  <c r="H36" i="72"/>
  <c r="H32" i="72"/>
  <c r="H28" i="72"/>
  <c r="H24" i="72"/>
  <c r="H20" i="72"/>
  <c r="C34" i="72"/>
  <c r="C30" i="72"/>
  <c r="C26" i="72"/>
  <c r="C22" i="72"/>
  <c r="C18" i="72"/>
  <c r="W36" i="72"/>
  <c r="W32" i="72"/>
  <c r="W28" i="72"/>
  <c r="W24" i="72"/>
  <c r="W20" i="72"/>
  <c r="R35" i="72"/>
  <c r="R31" i="72"/>
  <c r="R27" i="72"/>
  <c r="R23" i="72"/>
  <c r="R19" i="72"/>
  <c r="M33" i="72"/>
  <c r="M29" i="72"/>
  <c r="M25" i="72"/>
  <c r="M21" i="72"/>
  <c r="M17" i="72"/>
  <c r="H35" i="72"/>
  <c r="H31" i="72"/>
  <c r="H27" i="72"/>
  <c r="H23" i="72"/>
  <c r="H19" i="72"/>
  <c r="C33" i="72"/>
  <c r="C29" i="72"/>
  <c r="C25" i="72"/>
  <c r="C21" i="72"/>
  <c r="R29" i="72"/>
  <c r="H33" i="72"/>
  <c r="M19" i="72"/>
  <c r="M35" i="72"/>
  <c r="R21" i="72"/>
  <c r="E16" i="75"/>
  <c r="E20" i="75" s="1"/>
  <c r="E16" i="77"/>
  <c r="E20" i="77" s="1"/>
  <c r="E31" i="69"/>
  <c r="E33" i="69" s="1"/>
  <c r="E28" i="78"/>
  <c r="E24" i="78"/>
  <c r="E26" i="78" s="1"/>
  <c r="F15" i="61"/>
  <c r="E32" i="61" s="1"/>
  <c r="F15" i="78"/>
  <c r="E14" i="78"/>
  <c r="F15" i="75"/>
  <c r="F15" i="76"/>
  <c r="F16" i="61"/>
  <c r="E29" i="78"/>
  <c r="E15" i="78"/>
  <c r="E16" i="78"/>
  <c r="E20" i="78" s="1"/>
  <c r="E15" i="69"/>
  <c r="E32" i="60"/>
  <c r="E38" i="60" s="1"/>
  <c r="E38" i="61" l="1"/>
  <c r="E36" i="76"/>
  <c r="E37" i="76" s="1"/>
  <c r="L9" i="80" s="1"/>
  <c r="L11" i="80" s="1"/>
  <c r="E36" i="75"/>
  <c r="E37" i="75" s="1"/>
  <c r="G9" i="80" s="1"/>
  <c r="G11" i="80" s="1"/>
  <c r="I36" i="80" s="1"/>
  <c r="J36" i="80" s="1"/>
  <c r="E43" i="78"/>
  <c r="E36" i="77"/>
  <c r="E37" i="77" s="1"/>
  <c r="Q9" i="80" s="1"/>
  <c r="Q11" i="80" s="1"/>
  <c r="S34" i="80" s="1"/>
  <c r="T34" i="80" s="1"/>
  <c r="E20" i="69"/>
  <c r="E36" i="69" s="1"/>
  <c r="E37" i="69" s="1"/>
  <c r="D9" i="80" s="1"/>
  <c r="D11" i="80" s="1"/>
  <c r="E31" i="78"/>
  <c r="E33" i="78" s="1"/>
  <c r="E36" i="78" s="1"/>
  <c r="E37" i="78" s="1"/>
  <c r="V9" i="80" s="1"/>
  <c r="V11" i="80" s="1"/>
  <c r="N8" i="73" l="1"/>
  <c r="N10" i="73" s="1"/>
  <c r="N27" i="73" s="1"/>
  <c r="O27" i="73" s="1"/>
  <c r="L9" i="72"/>
  <c r="L11" i="72" s="1"/>
  <c r="N27" i="72" s="1"/>
  <c r="O27" i="72" s="1"/>
  <c r="L9" i="79"/>
  <c r="L11" i="79" s="1"/>
  <c r="N24" i="79" s="1"/>
  <c r="O24" i="79" s="1"/>
  <c r="G9" i="79"/>
  <c r="G11" i="79" s="1"/>
  <c r="I26" i="79" s="1"/>
  <c r="J26" i="79" s="1"/>
  <c r="I8" i="73"/>
  <c r="I10" i="73" s="1"/>
  <c r="I25" i="73" s="1"/>
  <c r="J25" i="73" s="1"/>
  <c r="I24" i="80"/>
  <c r="J24" i="80" s="1"/>
  <c r="I21" i="80"/>
  <c r="J21" i="80" s="1"/>
  <c r="I18" i="80"/>
  <c r="J18" i="80" s="1"/>
  <c r="I27" i="80"/>
  <c r="J27" i="80" s="1"/>
  <c r="I33" i="80"/>
  <c r="J33" i="80" s="1"/>
  <c r="I35" i="80"/>
  <c r="J35" i="80" s="1"/>
  <c r="I32" i="80"/>
  <c r="J32" i="80" s="1"/>
  <c r="I29" i="80"/>
  <c r="J29" i="80" s="1"/>
  <c r="I25" i="80"/>
  <c r="J25" i="80" s="1"/>
  <c r="I20" i="80"/>
  <c r="J20" i="80" s="1"/>
  <c r="I34" i="80"/>
  <c r="J34" i="80" s="1"/>
  <c r="I23" i="80"/>
  <c r="J23" i="80" s="1"/>
  <c r="I28" i="80"/>
  <c r="J28" i="80" s="1"/>
  <c r="I22" i="80"/>
  <c r="J22" i="80" s="1"/>
  <c r="I19" i="80"/>
  <c r="J19" i="80" s="1"/>
  <c r="I30" i="80"/>
  <c r="J30" i="80" s="1"/>
  <c r="I17" i="80"/>
  <c r="J17" i="80" s="1"/>
  <c r="I26" i="80"/>
  <c r="J26" i="80" s="1"/>
  <c r="G9" i="72"/>
  <c r="G11" i="72" s="1"/>
  <c r="I27" i="72" s="1"/>
  <c r="J27" i="72" s="1"/>
  <c r="I31" i="80"/>
  <c r="J31" i="80" s="1"/>
  <c r="S20" i="80"/>
  <c r="T20" i="80" s="1"/>
  <c r="S36" i="80"/>
  <c r="T36" i="80" s="1"/>
  <c r="Q9" i="79"/>
  <c r="Q11" i="79" s="1"/>
  <c r="S25" i="79" s="1"/>
  <c r="T25" i="79" s="1"/>
  <c r="S27" i="80"/>
  <c r="T27" i="80" s="1"/>
  <c r="S25" i="80"/>
  <c r="T25" i="80" s="1"/>
  <c r="S8" i="73"/>
  <c r="S10" i="73" s="1"/>
  <c r="S29" i="73" s="1"/>
  <c r="T29" i="73" s="1"/>
  <c r="Q9" i="72"/>
  <c r="Q11" i="72" s="1"/>
  <c r="S35" i="72" s="1"/>
  <c r="T35" i="72" s="1"/>
  <c r="S35" i="80"/>
  <c r="T35" i="80" s="1"/>
  <c r="S17" i="80"/>
  <c r="T17" i="80" s="1"/>
  <c r="S23" i="80"/>
  <c r="T23" i="80" s="1"/>
  <c r="S21" i="80"/>
  <c r="T21" i="80" s="1"/>
  <c r="S24" i="80"/>
  <c r="T24" i="80" s="1"/>
  <c r="S29" i="80"/>
  <c r="T29" i="80" s="1"/>
  <c r="S19" i="80"/>
  <c r="T19" i="80" s="1"/>
  <c r="S33" i="80"/>
  <c r="T33" i="80" s="1"/>
  <c r="S31" i="80"/>
  <c r="T31" i="80" s="1"/>
  <c r="S18" i="80"/>
  <c r="T18" i="80" s="1"/>
  <c r="S32" i="80"/>
  <c r="T32" i="80" s="1"/>
  <c r="S22" i="80"/>
  <c r="T22" i="80" s="1"/>
  <c r="S28" i="80"/>
  <c r="T28" i="80" s="1"/>
  <c r="S26" i="80"/>
  <c r="T26" i="80" s="1"/>
  <c r="S30" i="80"/>
  <c r="T30" i="80" s="1"/>
  <c r="D31" i="80"/>
  <c r="E31" i="80" s="1"/>
  <c r="D23" i="80"/>
  <c r="E23" i="80" s="1"/>
  <c r="D32" i="80"/>
  <c r="E32" i="80" s="1"/>
  <c r="D24" i="80"/>
  <c r="E24" i="80" s="1"/>
  <c r="D33" i="80"/>
  <c r="E33" i="80" s="1"/>
  <c r="D25" i="80"/>
  <c r="E25" i="80" s="1"/>
  <c r="D17" i="80"/>
  <c r="E17" i="80" s="1"/>
  <c r="D30" i="80"/>
  <c r="E30" i="80" s="1"/>
  <c r="D34" i="80"/>
  <c r="E34" i="80" s="1"/>
  <c r="D26" i="80"/>
  <c r="E26" i="80" s="1"/>
  <c r="D18" i="80"/>
  <c r="E18" i="80" s="1"/>
  <c r="D35" i="80"/>
  <c r="E35" i="80" s="1"/>
  <c r="D27" i="80"/>
  <c r="E27" i="80" s="1"/>
  <c r="D19" i="80"/>
  <c r="E19" i="80" s="1"/>
  <c r="D22" i="80"/>
  <c r="E22" i="80" s="1"/>
  <c r="D36" i="80"/>
  <c r="E36" i="80" s="1"/>
  <c r="D28" i="80"/>
  <c r="E28" i="80" s="1"/>
  <c r="D20" i="80"/>
  <c r="E20" i="80" s="1"/>
  <c r="D29" i="80"/>
  <c r="E29" i="80" s="1"/>
  <c r="D21" i="80"/>
  <c r="E21" i="80" s="1"/>
  <c r="X35" i="80"/>
  <c r="Y35" i="80" s="1"/>
  <c r="X27" i="80"/>
  <c r="Y27" i="80" s="1"/>
  <c r="X19" i="80"/>
  <c r="Y19" i="80" s="1"/>
  <c r="X36" i="80"/>
  <c r="Y36" i="80" s="1"/>
  <c r="X28" i="80"/>
  <c r="Y28" i="80" s="1"/>
  <c r="X20" i="80"/>
  <c r="Y20" i="80" s="1"/>
  <c r="X29" i="80"/>
  <c r="Y29" i="80" s="1"/>
  <c r="X21" i="80"/>
  <c r="Y21" i="80" s="1"/>
  <c r="X26" i="80"/>
  <c r="Y26" i="80" s="1"/>
  <c r="X30" i="80"/>
  <c r="Y30" i="80" s="1"/>
  <c r="X22" i="80"/>
  <c r="Y22" i="80" s="1"/>
  <c r="X31" i="80"/>
  <c r="Y31" i="80" s="1"/>
  <c r="X23" i="80"/>
  <c r="Y23" i="80" s="1"/>
  <c r="X34" i="80"/>
  <c r="Y34" i="80" s="1"/>
  <c r="X32" i="80"/>
  <c r="Y32" i="80" s="1"/>
  <c r="X24" i="80"/>
  <c r="Y24" i="80" s="1"/>
  <c r="X33" i="80"/>
  <c r="Y33" i="80" s="1"/>
  <c r="X25" i="80"/>
  <c r="Y25" i="80" s="1"/>
  <c r="X17" i="80"/>
  <c r="Y17" i="80" s="1"/>
  <c r="X18" i="80"/>
  <c r="Y18" i="80" s="1"/>
  <c r="N29" i="80"/>
  <c r="O29" i="80" s="1"/>
  <c r="N21" i="80"/>
  <c r="O21" i="80" s="1"/>
  <c r="N30" i="80"/>
  <c r="O30" i="80" s="1"/>
  <c r="N22" i="80"/>
  <c r="O22" i="80" s="1"/>
  <c r="N31" i="80"/>
  <c r="O31" i="80" s="1"/>
  <c r="N23" i="80"/>
  <c r="O23" i="80" s="1"/>
  <c r="N20" i="80"/>
  <c r="O20" i="80" s="1"/>
  <c r="N32" i="80"/>
  <c r="O32" i="80" s="1"/>
  <c r="N24" i="80"/>
  <c r="O24" i="80" s="1"/>
  <c r="N33" i="80"/>
  <c r="O33" i="80" s="1"/>
  <c r="N25" i="80"/>
  <c r="O25" i="80" s="1"/>
  <c r="N17" i="80"/>
  <c r="O17" i="80" s="1"/>
  <c r="N34" i="80"/>
  <c r="O34" i="80" s="1"/>
  <c r="N26" i="80"/>
  <c r="O26" i="80" s="1"/>
  <c r="N18" i="80"/>
  <c r="O18" i="80" s="1"/>
  <c r="N35" i="80"/>
  <c r="O35" i="80" s="1"/>
  <c r="N27" i="80"/>
  <c r="O27" i="80" s="1"/>
  <c r="N19" i="80"/>
  <c r="O19" i="80" s="1"/>
  <c r="N36" i="80"/>
  <c r="O36" i="80" s="1"/>
  <c r="N28" i="80"/>
  <c r="O28" i="80" s="1"/>
  <c r="D9" i="72"/>
  <c r="D11" i="72" s="1"/>
  <c r="D17" i="72" s="1"/>
  <c r="E17" i="72" s="1"/>
  <c r="D9" i="79"/>
  <c r="D11" i="79" s="1"/>
  <c r="I35" i="79"/>
  <c r="J35" i="79" s="1"/>
  <c r="I25" i="79"/>
  <c r="J25" i="79" s="1"/>
  <c r="V9" i="72"/>
  <c r="V11" i="72" s="1"/>
  <c r="X31" i="72" s="1"/>
  <c r="Y31" i="72" s="1"/>
  <c r="V9" i="79"/>
  <c r="V11" i="79" s="1"/>
  <c r="D8" i="73"/>
  <c r="D10" i="73" s="1"/>
  <c r="X8" i="73"/>
  <c r="X10" i="73" s="1"/>
  <c r="I18" i="79" l="1"/>
  <c r="J18" i="79" s="1"/>
  <c r="I22" i="79"/>
  <c r="J22" i="79" s="1"/>
  <c r="N28" i="79"/>
  <c r="O28" i="79" s="1"/>
  <c r="N35" i="79"/>
  <c r="O35" i="79" s="1"/>
  <c r="N34" i="79"/>
  <c r="O34" i="79" s="1"/>
  <c r="N26" i="79"/>
  <c r="O26" i="79" s="1"/>
  <c r="N36" i="79"/>
  <c r="O36" i="79" s="1"/>
  <c r="N33" i="79"/>
  <c r="O33" i="79" s="1"/>
  <c r="N32" i="73"/>
  <c r="O32" i="73" s="1"/>
  <c r="N26" i="73"/>
  <c r="O26" i="73" s="1"/>
  <c r="N34" i="73"/>
  <c r="O34" i="73" s="1"/>
  <c r="N33" i="72"/>
  <c r="O33" i="72" s="1"/>
  <c r="N18" i="72"/>
  <c r="O18" i="72" s="1"/>
  <c r="N21" i="73"/>
  <c r="O21" i="73" s="1"/>
  <c r="N30" i="73"/>
  <c r="O30" i="73" s="1"/>
  <c r="N20" i="73"/>
  <c r="O20" i="73" s="1"/>
  <c r="N21" i="72"/>
  <c r="O21" i="72" s="1"/>
  <c r="N19" i="73"/>
  <c r="O19" i="73" s="1"/>
  <c r="N20" i="72"/>
  <c r="O20" i="72" s="1"/>
  <c r="N29" i="73"/>
  <c r="O29" i="73" s="1"/>
  <c r="N28" i="73"/>
  <c r="O28" i="73" s="1"/>
  <c r="N23" i="73"/>
  <c r="O23" i="73" s="1"/>
  <c r="N25" i="73"/>
  <c r="O25" i="73" s="1"/>
  <c r="N33" i="73"/>
  <c r="O33" i="73" s="1"/>
  <c r="N22" i="73"/>
  <c r="O22" i="73" s="1"/>
  <c r="N28" i="72"/>
  <c r="O28" i="72" s="1"/>
  <c r="N25" i="79"/>
  <c r="O25" i="79" s="1"/>
  <c r="N31" i="73"/>
  <c r="O31" i="73" s="1"/>
  <c r="N24" i="73"/>
  <c r="O24" i="73" s="1"/>
  <c r="N16" i="73"/>
  <c r="O16" i="73" s="1"/>
  <c r="N17" i="73"/>
  <c r="O17" i="73" s="1"/>
  <c r="N18" i="73"/>
  <c r="O18" i="73" s="1"/>
  <c r="N32" i="72"/>
  <c r="O32" i="72" s="1"/>
  <c r="N22" i="79"/>
  <c r="O22" i="79" s="1"/>
  <c r="N35" i="73"/>
  <c r="O35" i="73" s="1"/>
  <c r="N36" i="72"/>
  <c r="O36" i="72" s="1"/>
  <c r="N30" i="72"/>
  <c r="O30" i="72" s="1"/>
  <c r="N22" i="72"/>
  <c r="O22" i="72" s="1"/>
  <c r="N27" i="79"/>
  <c r="O27" i="79" s="1"/>
  <c r="N29" i="79"/>
  <c r="O29" i="79" s="1"/>
  <c r="N35" i="72"/>
  <c r="O35" i="72" s="1"/>
  <c r="N17" i="72"/>
  <c r="O17" i="72" s="1"/>
  <c r="N24" i="72"/>
  <c r="O24" i="72" s="1"/>
  <c r="N18" i="79"/>
  <c r="O18" i="79" s="1"/>
  <c r="N32" i="79"/>
  <c r="O32" i="79" s="1"/>
  <c r="N34" i="72"/>
  <c r="O34" i="72" s="1"/>
  <c r="N23" i="72"/>
  <c r="O23" i="72" s="1"/>
  <c r="N17" i="79"/>
  <c r="O17" i="79" s="1"/>
  <c r="N20" i="79"/>
  <c r="O20" i="79" s="1"/>
  <c r="N30" i="79"/>
  <c r="O30" i="79" s="1"/>
  <c r="N26" i="72"/>
  <c r="O26" i="72" s="1"/>
  <c r="N31" i="72"/>
  <c r="O31" i="72" s="1"/>
  <c r="N19" i="72"/>
  <c r="O19" i="72" s="1"/>
  <c r="N25" i="72"/>
  <c r="O25" i="72" s="1"/>
  <c r="N19" i="79"/>
  <c r="O19" i="79" s="1"/>
  <c r="N21" i="79"/>
  <c r="O21" i="79" s="1"/>
  <c r="N23" i="79"/>
  <c r="O23" i="79" s="1"/>
  <c r="N29" i="72"/>
  <c r="O29" i="72" s="1"/>
  <c r="N31" i="79"/>
  <c r="O31" i="79" s="1"/>
  <c r="I33" i="72"/>
  <c r="J33" i="72" s="1"/>
  <c r="I21" i="72"/>
  <c r="J21" i="72" s="1"/>
  <c r="I34" i="79"/>
  <c r="J34" i="79" s="1"/>
  <c r="I27" i="73"/>
  <c r="J27" i="73" s="1"/>
  <c r="I29" i="79"/>
  <c r="J29" i="79" s="1"/>
  <c r="I32" i="73"/>
  <c r="J32" i="73" s="1"/>
  <c r="I17" i="72"/>
  <c r="J17" i="72" s="1"/>
  <c r="I17" i="79"/>
  <c r="J17" i="79" s="1"/>
  <c r="I20" i="79"/>
  <c r="J20" i="79" s="1"/>
  <c r="I16" i="73"/>
  <c r="J16" i="73" s="1"/>
  <c r="I21" i="79"/>
  <c r="J21" i="79" s="1"/>
  <c r="I34" i="72"/>
  <c r="J34" i="72" s="1"/>
  <c r="I20" i="73"/>
  <c r="J20" i="73" s="1"/>
  <c r="I30" i="72"/>
  <c r="J30" i="72" s="1"/>
  <c r="I24" i="79"/>
  <c r="J24" i="79" s="1"/>
  <c r="I28" i="79"/>
  <c r="J28" i="79" s="1"/>
  <c r="I34" i="73"/>
  <c r="J34" i="73" s="1"/>
  <c r="I23" i="79"/>
  <c r="J23" i="79" s="1"/>
  <c r="I36" i="79"/>
  <c r="J36" i="79" s="1"/>
  <c r="I18" i="73"/>
  <c r="J18" i="73" s="1"/>
  <c r="I33" i="73"/>
  <c r="J33" i="73" s="1"/>
  <c r="I31" i="79"/>
  <c r="J31" i="79" s="1"/>
  <c r="I27" i="79"/>
  <c r="J27" i="79" s="1"/>
  <c r="I30" i="73"/>
  <c r="J30" i="73" s="1"/>
  <c r="I26" i="73"/>
  <c r="J26" i="73" s="1"/>
  <c r="I21" i="73"/>
  <c r="J21" i="73" s="1"/>
  <c r="I35" i="73"/>
  <c r="J35" i="73" s="1"/>
  <c r="I19" i="73"/>
  <c r="J19" i="73" s="1"/>
  <c r="I30" i="79"/>
  <c r="J30" i="79" s="1"/>
  <c r="I19" i="79"/>
  <c r="J19" i="79" s="1"/>
  <c r="I24" i="73"/>
  <c r="J24" i="73" s="1"/>
  <c r="I31" i="73"/>
  <c r="J31" i="73" s="1"/>
  <c r="I23" i="73"/>
  <c r="J23" i="73" s="1"/>
  <c r="I17" i="73"/>
  <c r="J17" i="73" s="1"/>
  <c r="I22" i="73"/>
  <c r="J22" i="73" s="1"/>
  <c r="I35" i="72"/>
  <c r="J35" i="72" s="1"/>
  <c r="I32" i="79"/>
  <c r="J32" i="79" s="1"/>
  <c r="I33" i="79"/>
  <c r="J33" i="79" s="1"/>
  <c r="I28" i="73"/>
  <c r="J28" i="73" s="1"/>
  <c r="I29" i="73"/>
  <c r="J29" i="73" s="1"/>
  <c r="I28" i="72"/>
  <c r="J28" i="72" s="1"/>
  <c r="I29" i="72"/>
  <c r="J29" i="72" s="1"/>
  <c r="I20" i="72"/>
  <c r="J20" i="72" s="1"/>
  <c r="I25" i="72"/>
  <c r="J25" i="72" s="1"/>
  <c r="I26" i="72"/>
  <c r="J26" i="72" s="1"/>
  <c r="I18" i="72"/>
  <c r="J18" i="72" s="1"/>
  <c r="I19" i="72"/>
  <c r="J19" i="72" s="1"/>
  <c r="I32" i="72"/>
  <c r="J32" i="72" s="1"/>
  <c r="I31" i="72"/>
  <c r="J31" i="72" s="1"/>
  <c r="I22" i="72"/>
  <c r="J22" i="72" s="1"/>
  <c r="I36" i="72"/>
  <c r="J36" i="72" s="1"/>
  <c r="E46" i="75" s="1"/>
  <c r="I23" i="72"/>
  <c r="J23" i="72" s="1"/>
  <c r="I24" i="72"/>
  <c r="J24" i="72" s="1"/>
  <c r="S21" i="79"/>
  <c r="T21" i="79" s="1"/>
  <c r="S36" i="79"/>
  <c r="T36" i="79" s="1"/>
  <c r="S20" i="79"/>
  <c r="T20" i="79" s="1"/>
  <c r="S17" i="79"/>
  <c r="T17" i="79" s="1"/>
  <c r="S18" i="79"/>
  <c r="T18" i="79" s="1"/>
  <c r="S33" i="79"/>
  <c r="T33" i="79" s="1"/>
  <c r="S22" i="79"/>
  <c r="T22" i="79" s="1"/>
  <c r="S35" i="79"/>
  <c r="T35" i="79" s="1"/>
  <c r="S31" i="79"/>
  <c r="T31" i="79" s="1"/>
  <c r="S23" i="79"/>
  <c r="T23" i="79" s="1"/>
  <c r="S26" i="72"/>
  <c r="T26" i="72" s="1"/>
  <c r="S33" i="72"/>
  <c r="T33" i="72" s="1"/>
  <c r="S25" i="72"/>
  <c r="T25" i="72" s="1"/>
  <c r="S19" i="72"/>
  <c r="T19" i="72" s="1"/>
  <c r="S34" i="72"/>
  <c r="T34" i="72" s="1"/>
  <c r="S32" i="72"/>
  <c r="T32" i="72" s="1"/>
  <c r="S24" i="72"/>
  <c r="T24" i="72" s="1"/>
  <c r="S31" i="72"/>
  <c r="T31" i="72" s="1"/>
  <c r="S29" i="72"/>
  <c r="T29" i="72" s="1"/>
  <c r="S20" i="72"/>
  <c r="T20" i="72" s="1"/>
  <c r="S16" i="73"/>
  <c r="T16" i="73" s="1"/>
  <c r="S19" i="73"/>
  <c r="T19" i="73" s="1"/>
  <c r="S33" i="73"/>
  <c r="T33" i="73" s="1"/>
  <c r="S30" i="73"/>
  <c r="T30" i="73" s="1"/>
  <c r="S22" i="73"/>
  <c r="T22" i="73" s="1"/>
  <c r="S21" i="73"/>
  <c r="T21" i="73" s="1"/>
  <c r="S28" i="73"/>
  <c r="T28" i="73" s="1"/>
  <c r="S31" i="73"/>
  <c r="T31" i="73" s="1"/>
  <c r="S35" i="73"/>
  <c r="T35" i="73" s="1"/>
  <c r="S17" i="73"/>
  <c r="T17" i="73" s="1"/>
  <c r="S20" i="73"/>
  <c r="T20" i="73" s="1"/>
  <c r="S18" i="73"/>
  <c r="T18" i="73" s="1"/>
  <c r="S25" i="73"/>
  <c r="T25" i="73" s="1"/>
  <c r="S26" i="73"/>
  <c r="T26" i="73" s="1"/>
  <c r="S23" i="73"/>
  <c r="T23" i="73" s="1"/>
  <c r="S30" i="72"/>
  <c r="T30" i="72" s="1"/>
  <c r="S27" i="72"/>
  <c r="T27" i="72" s="1"/>
  <c r="S17" i="72"/>
  <c r="T17" i="72" s="1"/>
  <c r="S36" i="72"/>
  <c r="T36" i="72" s="1"/>
  <c r="S18" i="72"/>
  <c r="T18" i="72" s="1"/>
  <c r="S26" i="79"/>
  <c r="T26" i="79" s="1"/>
  <c r="S23" i="72"/>
  <c r="T23" i="72" s="1"/>
  <c r="S21" i="72"/>
  <c r="T21" i="72" s="1"/>
  <c r="S32" i="73"/>
  <c r="T32" i="73" s="1"/>
  <c r="S27" i="73"/>
  <c r="T27" i="73" s="1"/>
  <c r="S34" i="79"/>
  <c r="T34" i="79" s="1"/>
  <c r="S24" i="79"/>
  <c r="T24" i="79" s="1"/>
  <c r="S30" i="79"/>
  <c r="T30" i="79" s="1"/>
  <c r="S27" i="79"/>
  <c r="T27" i="79" s="1"/>
  <c r="S24" i="73"/>
  <c r="T24" i="73" s="1"/>
  <c r="S34" i="73"/>
  <c r="T34" i="73" s="1"/>
  <c r="S29" i="79"/>
  <c r="T29" i="79" s="1"/>
  <c r="S19" i="79"/>
  <c r="T19" i="79" s="1"/>
  <c r="S32" i="79"/>
  <c r="T32" i="79" s="1"/>
  <c r="S28" i="72"/>
  <c r="T28" i="72" s="1"/>
  <c r="S28" i="79"/>
  <c r="T28" i="79" s="1"/>
  <c r="S22" i="72"/>
  <c r="T22" i="72" s="1"/>
  <c r="D25" i="72"/>
  <c r="E25" i="72" s="1"/>
  <c r="D18" i="72"/>
  <c r="E18" i="72" s="1"/>
  <c r="D23" i="72"/>
  <c r="E23" i="72" s="1"/>
  <c r="D29" i="72"/>
  <c r="E29" i="72" s="1"/>
  <c r="D22" i="72"/>
  <c r="E22" i="72" s="1"/>
  <c r="D28" i="72"/>
  <c r="E28" i="72" s="1"/>
  <c r="D21" i="72"/>
  <c r="E21" i="72" s="1"/>
  <c r="D20" i="72"/>
  <c r="E20" i="72" s="1"/>
  <c r="D36" i="72"/>
  <c r="E36" i="72" s="1"/>
  <c r="D33" i="72"/>
  <c r="E33" i="72" s="1"/>
  <c r="D35" i="72"/>
  <c r="E35" i="72" s="1"/>
  <c r="D19" i="72"/>
  <c r="E19" i="72" s="1"/>
  <c r="D26" i="72"/>
  <c r="E26" i="72" s="1"/>
  <c r="D32" i="72"/>
  <c r="E32" i="72" s="1"/>
  <c r="D30" i="72"/>
  <c r="E30" i="72" s="1"/>
  <c r="D27" i="72"/>
  <c r="E27" i="72" s="1"/>
  <c r="X33" i="72"/>
  <c r="Y33" i="72" s="1"/>
  <c r="X22" i="72"/>
  <c r="Y22" i="72" s="1"/>
  <c r="X18" i="72"/>
  <c r="Y18" i="72" s="1"/>
  <c r="X19" i="72"/>
  <c r="Y19" i="72" s="1"/>
  <c r="X24" i="72"/>
  <c r="Y24" i="72" s="1"/>
  <c r="X26" i="72"/>
  <c r="Y26" i="72" s="1"/>
  <c r="X27" i="72"/>
  <c r="Y27" i="72" s="1"/>
  <c r="X20" i="72"/>
  <c r="Y20" i="72" s="1"/>
  <c r="X29" i="72"/>
  <c r="Y29" i="72" s="1"/>
  <c r="X23" i="72"/>
  <c r="Y23" i="72" s="1"/>
  <c r="X36" i="72"/>
  <c r="Y36" i="72" s="1"/>
  <c r="X30" i="72"/>
  <c r="Y30" i="72" s="1"/>
  <c r="X34" i="72"/>
  <c r="Y34" i="72" s="1"/>
  <c r="X35" i="72"/>
  <c r="Y35" i="72" s="1"/>
  <c r="X28" i="72"/>
  <c r="Y28" i="72" s="1"/>
  <c r="X25" i="72"/>
  <c r="Y25" i="72" s="1"/>
  <c r="X21" i="72"/>
  <c r="Y21" i="72" s="1"/>
  <c r="X32" i="72"/>
  <c r="Y32" i="72" s="1"/>
  <c r="X17" i="72"/>
  <c r="Y17" i="72" s="1"/>
  <c r="D24" i="72"/>
  <c r="E24" i="72" s="1"/>
  <c r="D34" i="72"/>
  <c r="E34" i="72" s="1"/>
  <c r="D31" i="72"/>
  <c r="E31" i="72" s="1"/>
  <c r="X35" i="79"/>
  <c r="Y35" i="79" s="1"/>
  <c r="X27" i="79"/>
  <c r="Y27" i="79" s="1"/>
  <c r="X19" i="79"/>
  <c r="Y19" i="79" s="1"/>
  <c r="X34" i="79"/>
  <c r="Y34" i="79" s="1"/>
  <c r="X36" i="79"/>
  <c r="Y36" i="79" s="1"/>
  <c r="X28" i="79"/>
  <c r="Y28" i="79" s="1"/>
  <c r="X20" i="79"/>
  <c r="Y20" i="79" s="1"/>
  <c r="X24" i="79"/>
  <c r="Y24" i="79" s="1"/>
  <c r="X26" i="79"/>
  <c r="Y26" i="79" s="1"/>
  <c r="X29" i="79"/>
  <c r="Y29" i="79" s="1"/>
  <c r="X21" i="79"/>
  <c r="Y21" i="79" s="1"/>
  <c r="X22" i="79"/>
  <c r="Y22" i="79" s="1"/>
  <c r="X30" i="79"/>
  <c r="Y30" i="79" s="1"/>
  <c r="X31" i="79"/>
  <c r="Y31" i="79" s="1"/>
  <c r="X23" i="79"/>
  <c r="Y23" i="79" s="1"/>
  <c r="X32" i="79"/>
  <c r="Y32" i="79" s="1"/>
  <c r="X33" i="79"/>
  <c r="Y33" i="79" s="1"/>
  <c r="X25" i="79"/>
  <c r="Y25" i="79" s="1"/>
  <c r="X17" i="79"/>
  <c r="Y17" i="79" s="1"/>
  <c r="X18" i="79"/>
  <c r="Y18" i="79" s="1"/>
  <c r="D31" i="79"/>
  <c r="E31" i="79" s="1"/>
  <c r="D23" i="79"/>
  <c r="E23" i="79" s="1"/>
  <c r="D32" i="79"/>
  <c r="E32" i="79" s="1"/>
  <c r="D24" i="79"/>
  <c r="E24" i="79" s="1"/>
  <c r="D26" i="79"/>
  <c r="E26" i="79" s="1"/>
  <c r="D18" i="79"/>
  <c r="E18" i="79" s="1"/>
  <c r="D33" i="79"/>
  <c r="E33" i="79" s="1"/>
  <c r="D25" i="79"/>
  <c r="E25" i="79" s="1"/>
  <c r="D17" i="79"/>
  <c r="E17" i="79" s="1"/>
  <c r="D34" i="79"/>
  <c r="E34" i="79" s="1"/>
  <c r="D35" i="79"/>
  <c r="E35" i="79" s="1"/>
  <c r="D27" i="79"/>
  <c r="E27" i="79" s="1"/>
  <c r="D19" i="79"/>
  <c r="E19" i="79" s="1"/>
  <c r="D36" i="79"/>
  <c r="E36" i="79" s="1"/>
  <c r="D28" i="79"/>
  <c r="E28" i="79" s="1"/>
  <c r="D20" i="79"/>
  <c r="E20" i="79" s="1"/>
  <c r="D29" i="79"/>
  <c r="E29" i="79" s="1"/>
  <c r="D21" i="79"/>
  <c r="E21" i="79" s="1"/>
  <c r="D30" i="79"/>
  <c r="E30" i="79" s="1"/>
  <c r="D22" i="79"/>
  <c r="E22" i="79" s="1"/>
  <c r="X17" i="73"/>
  <c r="Y17" i="73" s="1"/>
  <c r="D31" i="73"/>
  <c r="E31" i="73" s="1"/>
  <c r="D25" i="73"/>
  <c r="E25" i="73" s="1"/>
  <c r="D20" i="73"/>
  <c r="E20" i="73" s="1"/>
  <c r="D32" i="73"/>
  <c r="E32" i="73" s="1"/>
  <c r="D33" i="73"/>
  <c r="E33" i="73" s="1"/>
  <c r="D19" i="73"/>
  <c r="E19" i="73" s="1"/>
  <c r="D16" i="73"/>
  <c r="E16" i="73" s="1"/>
  <c r="D28" i="73"/>
  <c r="E28" i="73" s="1"/>
  <c r="D24" i="73"/>
  <c r="E24" i="73" s="1"/>
  <c r="D23" i="73"/>
  <c r="E23" i="73" s="1"/>
  <c r="D29" i="73"/>
  <c r="E29" i="73" s="1"/>
  <c r="D18" i="73"/>
  <c r="E18" i="73" s="1"/>
  <c r="D21" i="73"/>
  <c r="E21" i="73" s="1"/>
  <c r="D17" i="73"/>
  <c r="E17" i="73" s="1"/>
  <c r="D30" i="73"/>
  <c r="E30" i="73" s="1"/>
  <c r="D22" i="73"/>
  <c r="E22" i="73" s="1"/>
  <c r="D35" i="73"/>
  <c r="E35" i="73" s="1"/>
  <c r="D34" i="73"/>
  <c r="E34" i="73" s="1"/>
  <c r="D26" i="73"/>
  <c r="E26" i="73" s="1"/>
  <c r="D27" i="73"/>
  <c r="E27" i="73" s="1"/>
  <c r="X23" i="73"/>
  <c r="Y23" i="73" s="1"/>
  <c r="X24" i="73"/>
  <c r="Y24" i="73" s="1"/>
  <c r="X31" i="73"/>
  <c r="Y31" i="73" s="1"/>
  <c r="X22" i="73"/>
  <c r="Y22" i="73" s="1"/>
  <c r="X28" i="73"/>
  <c r="Y28" i="73" s="1"/>
  <c r="X26" i="73"/>
  <c r="Y26" i="73" s="1"/>
  <c r="X32" i="73"/>
  <c r="Y32" i="73" s="1"/>
  <c r="X18" i="73"/>
  <c r="Y18" i="73" s="1"/>
  <c r="X30" i="73"/>
  <c r="Y30" i="73" s="1"/>
  <c r="X19" i="73"/>
  <c r="Y19" i="73" s="1"/>
  <c r="X27" i="73"/>
  <c r="Y27" i="73" s="1"/>
  <c r="X35" i="73"/>
  <c r="Y35" i="73" s="1"/>
  <c r="X20" i="73"/>
  <c r="Y20" i="73" s="1"/>
  <c r="X16" i="73"/>
  <c r="Y16" i="73" s="1"/>
  <c r="X34" i="73"/>
  <c r="Y34" i="73" s="1"/>
  <c r="X21" i="73"/>
  <c r="Y21" i="73" s="1"/>
  <c r="X29" i="73"/>
  <c r="Y29" i="73" s="1"/>
  <c r="X33" i="73"/>
  <c r="Y33" i="73" s="1"/>
  <c r="X25" i="73"/>
  <c r="Y25" i="73" s="1"/>
  <c r="E46" i="76" l="1"/>
  <c r="E46" i="69"/>
  <c r="E46" i="77"/>
  <c r="E46" i="7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DOER</author>
  </authors>
  <commentList>
    <comment ref="D5" authorId="0" shapeId="0" xr:uid="{00000000-0006-0000-0D00-000001000000}">
      <text>
        <r>
          <rPr>
            <b/>
            <sz val="9"/>
            <color indexed="81"/>
            <rFont val="Tahoma"/>
            <family val="2"/>
          </rPr>
          <t>DOER:</t>
        </r>
        <r>
          <rPr>
            <sz val="9"/>
            <color indexed="81"/>
            <rFont val="Tahoma"/>
            <family val="2"/>
          </rPr>
          <t xml:space="preserve">
assumes 20% MC</t>
        </r>
      </text>
    </comment>
    <comment ref="D6" authorId="0" shapeId="0" xr:uid="{00000000-0006-0000-0D00-000002000000}">
      <text>
        <r>
          <rPr>
            <b/>
            <sz val="9"/>
            <color indexed="81"/>
            <rFont val="Tahoma"/>
            <family val="2"/>
          </rPr>
          <t>DOER:</t>
        </r>
        <r>
          <rPr>
            <sz val="9"/>
            <color indexed="81"/>
            <rFont val="Tahoma"/>
            <family val="2"/>
          </rPr>
          <t xml:space="preserve">
assumes 50% MC</t>
        </r>
      </text>
    </comment>
    <comment ref="D7" authorId="0" shapeId="0" xr:uid="{00000000-0006-0000-0D00-000003000000}">
      <text>
        <r>
          <rPr>
            <b/>
            <sz val="9"/>
            <color indexed="81"/>
            <rFont val="Tahoma"/>
            <family val="2"/>
          </rPr>
          <t>DOER:</t>
        </r>
        <r>
          <rPr>
            <sz val="9"/>
            <color indexed="81"/>
            <rFont val="Tahoma"/>
            <family val="2"/>
          </rPr>
          <t xml:space="preserve">
minimum heating value for PFI Premium Standard</t>
        </r>
      </text>
    </comment>
  </commentList>
</comments>
</file>

<file path=xl/sharedStrings.xml><?xml version="1.0" encoding="utf-8"?>
<sst xmlns="http://schemas.openxmlformats.org/spreadsheetml/2006/main" count="795" uniqueCount="210">
  <si>
    <t>Q1</t>
  </si>
  <si>
    <t>Q2</t>
  </si>
  <si>
    <t>Q3</t>
  </si>
  <si>
    <t>Q4</t>
  </si>
  <si>
    <t>Fuel Type</t>
  </si>
  <si>
    <t>Commonwealth of Massachusetts</t>
  </si>
  <si>
    <t>Executive Office of Energy and Environmental Affairs</t>
  </si>
  <si>
    <t>Department of Energy Resources (DOER)</t>
  </si>
  <si>
    <t>`</t>
  </si>
  <si>
    <t>Biomass Fuel Report- Quarterly</t>
  </si>
  <si>
    <t>Massachusetts Department of Energy Resources</t>
  </si>
  <si>
    <t>Worksheet for the Calculation of Overall Efficiency - Annual</t>
  </si>
  <si>
    <t>input</t>
  </si>
  <si>
    <t>result</t>
  </si>
  <si>
    <t>Biomass Fuel Input</t>
  </si>
  <si>
    <t>Type of Biomass Fuel input to Unit</t>
  </si>
  <si>
    <t>Wood Chips (dry)</t>
  </si>
  <si>
    <t>choose from drop-down list</t>
  </si>
  <si>
    <t>Higher Heating Value</t>
  </si>
  <si>
    <t>Energy Output</t>
  </si>
  <si>
    <t>Renewable Electricity Generated</t>
  </si>
  <si>
    <t>Delivered to ISO-NE Grid</t>
  </si>
  <si>
    <t>Useful Thermal Load</t>
  </si>
  <si>
    <t>Describe Load in Text Box</t>
  </si>
  <si>
    <t>Thermal Load Description:</t>
  </si>
  <si>
    <t>Useful Thermal Energy delivered</t>
  </si>
  <si>
    <t>Merchantable Bio-Products (if applicable)</t>
  </si>
  <si>
    <t>Bio-Product Description</t>
  </si>
  <si>
    <t>Describe Bio-Product in Text Box</t>
  </si>
  <si>
    <t>Enthalpy of Reaction of Bio-Product</t>
  </si>
  <si>
    <t>BTU/lb</t>
  </si>
  <si>
    <t>Bio-Product Description:</t>
  </si>
  <si>
    <t>Annual Production/Sales</t>
  </si>
  <si>
    <t>Calculation of Overall Efficiency</t>
  </si>
  <si>
    <t>Biomass Input Heat Content</t>
  </si>
  <si>
    <t>MWh_fuel</t>
  </si>
  <si>
    <t>RE Elect - "Behind-the-Meter"</t>
  </si>
  <si>
    <t>MWh_elec</t>
  </si>
  <si>
    <t>RE Elect - delivered to Grid</t>
  </si>
  <si>
    <t>Useful Thermal Energy</t>
  </si>
  <si>
    <t>MWh_therm</t>
  </si>
  <si>
    <t>Merchantable Bio-Products</t>
  </si>
  <si>
    <t>MWh_chem</t>
  </si>
  <si>
    <t>OVERALL EFFICIENCY</t>
  </si>
  <si>
    <t>Parametric Data</t>
  </si>
  <si>
    <t>Biomass Heating Values</t>
  </si>
  <si>
    <t>Input Units</t>
  </si>
  <si>
    <t>Higher Heating Value (HHV)</t>
  </si>
  <si>
    <t>dry tons</t>
  </si>
  <si>
    <t>Wood Chips (green)</t>
  </si>
  <si>
    <t>green tons</t>
  </si>
  <si>
    <t>Wood Pellets</t>
  </si>
  <si>
    <t>Fuel Carbon Intensities</t>
  </si>
  <si>
    <t>Assumed Boiler Efficiency</t>
  </si>
  <si>
    <t>Lifecycle Carbon Intensity, lbs CO2 per MMBTU_input</t>
  </si>
  <si>
    <t>Biomass</t>
  </si>
  <si>
    <t>n/a</t>
  </si>
  <si>
    <t>Source:  Manomet Exhibit 6.6 (adjusted in Table below)</t>
  </si>
  <si>
    <t>Fuel Oil #2</t>
  </si>
  <si>
    <t>Fuel Oil #6</t>
  </si>
  <si>
    <t>Natural Gas</t>
  </si>
  <si>
    <t>Natural Gas, new</t>
  </si>
  <si>
    <t>Propane</t>
  </si>
  <si>
    <t>Source: (EIA data, adjusted for indirect emissions as average between Manomet oil and gas)</t>
  </si>
  <si>
    <t>Electric Generation List</t>
  </si>
  <si>
    <t>Lifecycle Carbon Intensity, lbs CO2/MWh</t>
  </si>
  <si>
    <t>Natural Gas - Combined Cycle</t>
  </si>
  <si>
    <t>Source:  Manomet Exhibit 6.6 (based on 136 kgC/MWh coverted to lbsCO2/MWh)</t>
  </si>
  <si>
    <t>Other</t>
  </si>
  <si>
    <t>contact DOER</t>
  </si>
  <si>
    <t>Parametric Data on Lifecycle (total) Carbon Emissions derived from Manomet Study, Exhibit 6.6 (first data column below)</t>
  </si>
  <si>
    <t>Fuel Source</t>
  </si>
  <si>
    <t>Carbon Emissions per Output Energy</t>
  </si>
  <si>
    <t>Assumed Efficiency</t>
  </si>
  <si>
    <t>Calculated Emissions per Input Energy</t>
  </si>
  <si>
    <t>CO2 Emission Parameter</t>
  </si>
  <si>
    <t>kgC/MWh</t>
  </si>
  <si>
    <t>lbCO2/MMBTU</t>
  </si>
  <si>
    <t>Oil #2</t>
  </si>
  <si>
    <t>kgC/MMBTU</t>
  </si>
  <si>
    <t>Oil #6</t>
  </si>
  <si>
    <t>Forest and Non-Forest Carbon Deficit Function Parameters</t>
  </si>
  <si>
    <r>
      <t>see Worksheet</t>
    </r>
    <r>
      <rPr>
        <i/>
        <sz val="10"/>
        <rFont val="Arial"/>
        <family val="2"/>
      </rPr>
      <t xml:space="preserve"> Carbon Deficit Analyses</t>
    </r>
    <r>
      <rPr>
        <sz val="10"/>
        <rFont val="Arial"/>
        <family val="2"/>
      </rPr>
      <t xml:space="preserve"> for derivation of carbon accounting functions for Eligible Biomass from Residues and Thinnings</t>
    </r>
  </si>
  <si>
    <t>Decay Rate Half Life, years</t>
  </si>
  <si>
    <r>
      <t xml:space="preserve">Biomass from </t>
    </r>
    <r>
      <rPr>
        <b/>
        <u/>
        <sz val="10"/>
        <rFont val="Arial"/>
        <family val="2"/>
      </rPr>
      <t>Thinnings</t>
    </r>
  </si>
  <si>
    <t>Trendline</t>
  </si>
  <si>
    <t>Coefficient</t>
  </si>
  <si>
    <t>Exponent</t>
  </si>
  <si>
    <t>Worksheet for the Calculation of Overall Efficiency - Quarter 1</t>
  </si>
  <si>
    <t>Worksheet for the Calculation of Overall Efficiency - Quarter 2</t>
  </si>
  <si>
    <t>Worksheet for the Calculation of Overall Efficiency - Quarter 3</t>
  </si>
  <si>
    <t>Worksheet for the Calculation of Overall Efficiency - Quarter 4</t>
  </si>
  <si>
    <t xml:space="preserve">Generation Unit Name: </t>
  </si>
  <si>
    <t xml:space="preserve">Generation Unit RPS ID Number:  </t>
  </si>
  <si>
    <t xml:space="preserve">Generation Unit Location (Town, State): </t>
  </si>
  <si>
    <t xml:space="preserve">Quarter: </t>
  </si>
  <si>
    <t xml:space="preserve">Year: </t>
  </si>
  <si>
    <t xml:space="preserve">Generation Unit Name:   </t>
  </si>
  <si>
    <t>Quarterly Operation</t>
  </si>
  <si>
    <t>MWh</t>
  </si>
  <si>
    <t>million BTUs</t>
  </si>
  <si>
    <t>lbs</t>
  </si>
  <si>
    <t>Used "Behind-the-Meter"</t>
  </si>
  <si>
    <t>Annual Operation</t>
  </si>
  <si>
    <t>Ineligible Biomass</t>
  </si>
  <si>
    <t>Eligible Biomass (%)</t>
  </si>
  <si>
    <t>Quarter 1</t>
  </si>
  <si>
    <t>Quarter 2</t>
  </si>
  <si>
    <t>Quarter 3</t>
  </si>
  <si>
    <t>Quarter 4</t>
  </si>
  <si>
    <t>Annual</t>
  </si>
  <si>
    <t>Worksheet Biomass Fuel Delivered</t>
  </si>
  <si>
    <r>
      <rPr>
        <b/>
        <sz val="10"/>
        <color rgb="FF000000"/>
        <rFont val="Arial"/>
        <family val="2"/>
      </rPr>
      <t xml:space="preserve">Tons </t>
    </r>
    <r>
      <rPr>
        <b/>
        <u/>
        <sz val="10"/>
        <color rgb="FF000000"/>
        <rFont val="Arial"/>
        <family val="2"/>
      </rPr>
      <t>Delivered</t>
    </r>
    <r>
      <rPr>
        <b/>
        <sz val="10"/>
        <color rgb="FF000000"/>
        <rFont val="Arial"/>
        <family val="2"/>
      </rPr>
      <t xml:space="preserve"> to Unit</t>
    </r>
  </si>
  <si>
    <t>Eligible Fuel Used for this Quarter</t>
  </si>
  <si>
    <t>Eligible Fuel Used for this year</t>
  </si>
  <si>
    <t>Biomass Energy - Debt-Dividend GHG Analysis</t>
  </si>
  <si>
    <t>Non-Forest Residues</t>
  </si>
  <si>
    <t>Parameters</t>
  </si>
  <si>
    <t>Half Life</t>
  </si>
  <si>
    <t>years</t>
  </si>
  <si>
    <t>Decay Rate</t>
  </si>
  <si>
    <t>Carbon Debt</t>
  </si>
  <si>
    <t>Fossil Emissions</t>
  </si>
  <si>
    <t>(normalized)</t>
  </si>
  <si>
    <t>Biomass Emissions</t>
  </si>
  <si>
    <t>(calculated)</t>
  </si>
  <si>
    <t>Single Year Operation</t>
  </si>
  <si>
    <t>Year</t>
  </si>
  <si>
    <t>Decay Function</t>
  </si>
  <si>
    <t>Residue Decay</t>
  </si>
  <si>
    <t>Net Biomass</t>
  </si>
  <si>
    <t>Forest Thinnings</t>
  </si>
  <si>
    <t>Deficit Function</t>
  </si>
  <si>
    <t>Biomass Recovery</t>
  </si>
  <si>
    <t>Forest Derived Biomass Deficit Analysis - Thinnings and Residues Only Curves from Manomet Report</t>
  </si>
  <si>
    <t>Total Stand Carbon</t>
  </si>
  <si>
    <t>(from Manomet Exhibit 6-12; Scenarios 1 and 2 only)</t>
  </si>
  <si>
    <t>Year after Harvest</t>
  </si>
  <si>
    <t>Raw Data</t>
  </si>
  <si>
    <t>Original</t>
  </si>
  <si>
    <t>BAU 32% - BA60</t>
  </si>
  <si>
    <t>BAU 32% - Bio40%</t>
  </si>
  <si>
    <t>Thinnings only</t>
  </si>
  <si>
    <t>Tops and Limbs Only</t>
  </si>
  <si>
    <t>Converted to Carbon Deficit</t>
  </si>
  <si>
    <t>Averaging</t>
  </si>
  <si>
    <t>Thinnings Only</t>
  </si>
  <si>
    <t>Residues Only</t>
  </si>
  <si>
    <t>Thinnings Trendline</t>
  </si>
  <si>
    <t>Non-Forest Derived Eligible Biomass Deficit Analysis - Residue (Alternative Fate) Decay Rate</t>
  </si>
  <si>
    <t>Biomass from Non-Forest Residues - Alternative Fate Decay Rate</t>
  </si>
  <si>
    <t xml:space="preserve"> Half Life, years</t>
  </si>
  <si>
    <t>DOER provides a standard Decay Rate that represents the half-life decay of the biomass material had it not been utilized as eligible biomass fuel.  This half-life is representative of small diameter woody material decay on the forest floor or other land applications.</t>
  </si>
  <si>
    <t>Sample References on Forest Residue Decay Rates</t>
  </si>
  <si>
    <t>Sharma, Wang, and Altizer, Modeling forest biomass in atmospheric carbon reduction in West Virginia; Proceedings of the 33rd Annual Meeting of the Council on Forest Engineering: Fueling the Future, 2010.</t>
  </si>
  <si>
    <t>Domke, et al., Assessment of Carbon Flows Associated with Forest Management and Biomass Procurement for the Laskin Biomass Facility, University of Minnesota, 2008.</t>
  </si>
  <si>
    <t>Mattson, et al., Decomposition of woody debris in a regenerating, clear-cut forest in the Southern Appalachians, Canadian Journal of Forest Research, 1987.</t>
  </si>
  <si>
    <t>Morris, Biomass Energy Production in California:  The Case for a Biomass Policy Initiative, NREL, 2000.</t>
  </si>
  <si>
    <t>Summary/Consolidation of Carbon Deficit Functions - Residues and Thinnings</t>
  </si>
  <si>
    <t>Biomass Carbon Deficit Functions (Summary)</t>
  </si>
  <si>
    <t>Forest Residues</t>
  </si>
  <si>
    <t>Life Cycle Greenhouse Gas Analysis</t>
  </si>
  <si>
    <t>Biomass Lifecycle Stack Emissions from Generation Unit</t>
  </si>
  <si>
    <t>Fuel Input</t>
  </si>
  <si>
    <t>MMBTU_input annually</t>
  </si>
  <si>
    <t>Bio-Product Credit</t>
  </si>
  <si>
    <t>If Merchantable Bio-Products, provide under separate cover, a documentation of the embedded proportion and permanence of the input biomass fuel carbon in the Bio-Product.</t>
  </si>
  <si>
    <t>% input carbon permanently embedded</t>
  </si>
  <si>
    <t>CO2 Emissions</t>
  </si>
  <si>
    <t>lbs CO2/MMBTU_input</t>
  </si>
  <si>
    <t>tons CO2 annually</t>
  </si>
  <si>
    <t>Conventional Lifecycle Stack Emissions Displaced</t>
  </si>
  <si>
    <t>Electric Generation</t>
  </si>
  <si>
    <t>MWh annually</t>
  </si>
  <si>
    <t>lbs CO2/MWh</t>
  </si>
  <si>
    <t>Thermal Boiler</t>
  </si>
  <si>
    <t>chose from drop-down list</t>
  </si>
  <si>
    <t>MMBTU_out</t>
  </si>
  <si>
    <t>Boiler Efficiency (justificaiton if not Standard Assumption):</t>
  </si>
  <si>
    <t>Boiler Efficiency (standard assumption)</t>
  </si>
  <si>
    <t>Boiler Efficiency (optional user input)</t>
  </si>
  <si>
    <t>MMBTU_in</t>
  </si>
  <si>
    <t>lbs CO2/MMBTU</t>
  </si>
  <si>
    <t>Carbon Debt/Dividend Analysis</t>
  </si>
  <si>
    <t>carbon debt, %</t>
  </si>
  <si>
    <t xml:space="preserve">Biomass Supply Information </t>
  </si>
  <si>
    <t>% of supply</t>
  </si>
  <si>
    <t>Forest Derived Thinnings</t>
  </si>
  <si>
    <t>Net CO2 Emission Reductions</t>
  </si>
  <si>
    <t>Worksheet for the Calculation of Lifecycle GHG Analysis - Quarter 1</t>
  </si>
  <si>
    <t>Worksheet for the Calculation of Lifecycle GHG Analysis - Quarter 2</t>
  </si>
  <si>
    <t>Worksheet for the Calculation of Lifecycle GHG Analysis - Quarter 3</t>
  </si>
  <si>
    <t>Worksheet for the Calculation of Lifecycle GHG Analysis - Quarter 4</t>
  </si>
  <si>
    <t>Worksheet for the Calculation of Lifecycle GHG Analysis - Annual</t>
  </si>
  <si>
    <t>(B) Eligible Thinnings</t>
  </si>
  <si>
    <t>(C) Total Biomass</t>
  </si>
  <si>
    <t>Forest Residues &amp; Salvage</t>
  </si>
  <si>
    <t xml:space="preserve"> Years</t>
  </si>
  <si>
    <t>N/A</t>
  </si>
  <si>
    <t>Non Forest Residues</t>
  </si>
  <si>
    <t>Forest Salvage</t>
  </si>
  <si>
    <t xml:space="preserve"> Forest Derived Residues</t>
  </si>
  <si>
    <t>Non-Forest Derived Residues</t>
  </si>
  <si>
    <t>% reduction in Year 20</t>
  </si>
  <si>
    <t>Applicant must demonstrate at least a 50% reduction by Yr 20</t>
  </si>
  <si>
    <t>(A1) Eligible Forest Residues</t>
  </si>
  <si>
    <t>(A2) Eligible Non-Forest Residues</t>
  </si>
  <si>
    <t>(A3) Eligible Forest Salvage</t>
  </si>
  <si>
    <t>Renewable Energy Portfolio Standard - 225 CMR 14.00 &amp; 225 CMR 15.00</t>
  </si>
  <si>
    <r>
      <t xml:space="preserve">Eligible Biomass Fuel can come from Forest or Non-Forest </t>
    </r>
    <r>
      <rPr>
        <u/>
        <sz val="8"/>
        <rFont val="Arial"/>
        <family val="2"/>
      </rPr>
      <t>Residues</t>
    </r>
    <r>
      <rPr>
        <sz val="8"/>
        <rFont val="Arial"/>
        <family val="2"/>
      </rPr>
      <t xml:space="preserve"> and Forest </t>
    </r>
    <r>
      <rPr>
        <u/>
        <sz val="8"/>
        <rFont val="Arial"/>
        <family val="2"/>
      </rPr>
      <t>Thinnings</t>
    </r>
    <r>
      <rPr>
        <sz val="8"/>
        <rFont val="Arial"/>
        <family val="2"/>
      </rPr>
      <t>, each of which has substantially different carbon deficit functions.  DOER provides these representative temporal functions for which the carbon impacts of Residues and Thinnings are evaluated.  DOER bases these functions on the averaging of results presented in the Manomet study on the Total (Forest) Stand Carbon and on other literature for the decay of non-forest residues (see Tab "Carbon Deficit Analys" in this workbook). DOER recognizes that carbon sequestration recovery  and residue decay rates will depend on specific forest conditions, harvest activity, residue sources, but puts forward these representative functions to enable reasonable and practicable implementation of the GHG Analysis required in 225 CMR 14.00 and 225 CMR 15.00 regulations.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</si>
</sst>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000"/>
    <numFmt numFmtId="167" formatCode="0.000"/>
    <numFmt numFmtId="168" formatCode="0.000000000000000"/>
    <numFmt numFmtId="169" formatCode="0.00000000000000"/>
  </numFmts>
  <fonts count="34" x14ac:knownFonts="1">
    <font>
      <sz val="11"/>
      <color theme="1"/>
      <name val="Calibri"/>
      <family val="2"/>
      <scheme val="minor"/>
    </font>
    <font>
      <b/>
      <sz val="11"/>
      <color rgb="FFFF0000"/>
      <name val="Calibri"/>
      <family val="2"/>
      <scheme val="minor"/>
    </font>
    <font>
      <b/>
      <sz val="11"/>
      <color rgb="FF000000"/>
      <name val="Calibri"/>
      <family val="2"/>
    </font>
    <font>
      <sz val="10"/>
      <name val="Arial"/>
      <family val="2"/>
    </font>
    <font>
      <sz val="9"/>
      <color indexed="81"/>
      <name val="Tahoma"/>
      <family val="2"/>
    </font>
    <font>
      <b/>
      <sz val="9"/>
      <color indexed="81"/>
      <name val="Tahoma"/>
      <family val="2"/>
    </font>
    <font>
      <sz val="11"/>
      <color theme="1"/>
      <name val="Calibri"/>
      <family val="2"/>
      <scheme val="minor"/>
    </font>
    <font>
      <sz val="10"/>
      <name val="Arial"/>
      <family val="2"/>
    </font>
    <font>
      <b/>
      <sz val="10"/>
      <name val="Arial"/>
      <family val="2"/>
    </font>
    <font>
      <sz val="8"/>
      <name val="Arial"/>
      <family val="2"/>
    </font>
    <font>
      <i/>
      <sz val="10"/>
      <name val="Arial"/>
      <family val="2"/>
    </font>
    <font>
      <b/>
      <u/>
      <sz val="10"/>
      <name val="Arial"/>
      <family val="2"/>
    </font>
    <font>
      <u/>
      <sz val="8"/>
      <name val="Arial"/>
      <family val="2"/>
    </font>
    <font>
      <sz val="11"/>
      <color rgb="FF000000"/>
      <name val="Calibri"/>
      <family val="2"/>
      <scheme val="minor"/>
    </font>
    <font>
      <u/>
      <sz val="11"/>
      <color rgb="FF000000"/>
      <name val="Calibri"/>
      <family val="2"/>
      <scheme val="minor"/>
    </font>
    <font>
      <i/>
      <sz val="8"/>
      <name val="Arial"/>
      <family val="2"/>
    </font>
    <font>
      <b/>
      <sz val="10"/>
      <color rgb="FF000000"/>
      <name val="Arial"/>
      <family val="2"/>
    </font>
    <font>
      <b/>
      <u/>
      <sz val="10"/>
      <color rgb="FF000000"/>
      <name val="Arial"/>
      <family val="2"/>
    </font>
    <font>
      <sz val="10"/>
      <color rgb="FF000000"/>
      <name val="Arial"/>
      <family val="2"/>
    </font>
    <font>
      <sz val="10"/>
      <color theme="1"/>
      <name val="Arial"/>
      <family val="2"/>
    </font>
    <font>
      <b/>
      <sz val="11"/>
      <color theme="3"/>
      <name val="Calibri"/>
      <family val="2"/>
      <scheme val="minor"/>
    </font>
    <font>
      <sz val="11"/>
      <color rgb="FFFF0000"/>
      <name val="Calibri"/>
      <family val="2"/>
      <scheme val="minor"/>
    </font>
    <font>
      <b/>
      <sz val="11"/>
      <color theme="1"/>
      <name val="Calibri"/>
      <family val="2"/>
      <scheme val="minor"/>
    </font>
    <font>
      <sz val="10"/>
      <color indexed="10"/>
      <name val="Arial"/>
      <family val="2"/>
    </font>
    <font>
      <b/>
      <sz val="14"/>
      <color theme="1"/>
      <name val="Calibri"/>
      <family val="2"/>
      <scheme val="minor"/>
    </font>
    <font>
      <b/>
      <sz val="9"/>
      <name val="Arial"/>
      <family val="2"/>
    </font>
    <font>
      <b/>
      <sz val="11"/>
      <color theme="5"/>
      <name val="Calibri"/>
      <family val="2"/>
      <scheme val="minor"/>
    </font>
    <font>
      <b/>
      <sz val="11"/>
      <color rgb="FFC00000"/>
      <name val="Calibri"/>
      <family val="2"/>
      <scheme val="minor"/>
    </font>
    <font>
      <b/>
      <u/>
      <sz val="11"/>
      <color theme="1"/>
      <name val="Calibri"/>
      <family val="2"/>
      <scheme val="minor"/>
    </font>
    <font>
      <i/>
      <sz val="8"/>
      <color theme="0"/>
      <name val="Arial"/>
      <family val="2"/>
    </font>
    <font>
      <b/>
      <sz val="16"/>
      <color theme="1"/>
      <name val="Calibri"/>
      <family val="2"/>
      <scheme val="minor"/>
    </font>
    <font>
      <sz val="11"/>
      <name val="Arial"/>
      <family val="2"/>
    </font>
    <font>
      <u/>
      <sz val="1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rgb="FFFFFF99"/>
        <bgColor indexed="64"/>
      </patternFill>
    </fill>
    <fill>
      <patternFill patternType="solid">
        <fgColor rgb="FFFF99CC"/>
        <bgColor indexed="64"/>
      </patternFill>
    </fill>
    <fill>
      <patternFill patternType="solid">
        <fgColor theme="9" tint="0.399975585192419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s>
  <cellStyleXfs count="11">
    <xf numFmtId="0" fontId="0" fillId="0" borderId="0"/>
    <xf numFmtId="0" fontId="7" fillId="0" borderId="0"/>
    <xf numFmtId="0" fontId="6" fillId="0" borderId="0"/>
    <xf numFmtId="9" fontId="6" fillId="0" borderId="0" applyFont="0" applyFill="0" applyBorder="0" applyAlignment="0" applyProtection="0"/>
    <xf numFmtId="0" fontId="3" fillId="0" borderId="0"/>
    <xf numFmtId="9" fontId="3" fillId="0" borderId="0" applyFont="0" applyFill="0" applyBorder="0" applyAlignment="0" applyProtection="0"/>
    <xf numFmtId="0" fontId="6" fillId="0" borderId="0"/>
    <xf numFmtId="0" fontId="6" fillId="0" borderId="0"/>
    <xf numFmtId="0" fontId="3" fillId="0" borderId="0"/>
    <xf numFmtId="0" fontId="6" fillId="0" borderId="0"/>
    <xf numFmtId="0" fontId="6" fillId="0" borderId="0"/>
  </cellStyleXfs>
  <cellXfs count="379">
    <xf numFmtId="0" fontId="0" fillId="0" borderId="0" xfId="0"/>
    <xf numFmtId="0" fontId="0" fillId="2" borderId="0" xfId="0" applyFill="1"/>
    <xf numFmtId="0" fontId="19" fillId="2" borderId="0" xfId="0" applyFont="1" applyFill="1"/>
    <xf numFmtId="0" fontId="3" fillId="2" borderId="0" xfId="1" applyFont="1" applyFill="1"/>
    <xf numFmtId="0" fontId="1" fillId="2" borderId="0" xfId="0" applyFont="1" applyFill="1" applyProtection="1"/>
    <xf numFmtId="9" fontId="0" fillId="2" borderId="0" xfId="0" applyNumberFormat="1" applyFill="1" applyProtection="1"/>
    <xf numFmtId="0" fontId="0" fillId="2" borderId="0" xfId="0" applyFill="1" applyProtection="1"/>
    <xf numFmtId="0" fontId="3" fillId="2" borderId="0" xfId="0" applyFont="1" applyFill="1" applyAlignment="1" applyProtection="1">
      <alignment wrapText="1"/>
    </xf>
    <xf numFmtId="0" fontId="13" fillId="2" borderId="22" xfId="0" applyFont="1" applyFill="1" applyBorder="1" applyProtection="1"/>
    <xf numFmtId="0" fontId="13" fillId="2" borderId="25" xfId="0" applyFont="1" applyFill="1" applyBorder="1" applyProtection="1"/>
    <xf numFmtId="0" fontId="14" fillId="2" borderId="0" xfId="0" applyFont="1" applyFill="1" applyProtection="1"/>
    <xf numFmtId="0" fontId="13" fillId="2" borderId="26" xfId="0" applyFont="1" applyFill="1" applyBorder="1" applyProtection="1"/>
    <xf numFmtId="0" fontId="0" fillId="4" borderId="24" xfId="0" applyFill="1" applyBorder="1" applyProtection="1">
      <protection locked="0"/>
    </xf>
    <xf numFmtId="0" fontId="0" fillId="4" borderId="15" xfId="0" applyFill="1" applyBorder="1" applyProtection="1">
      <protection locked="0"/>
    </xf>
    <xf numFmtId="0" fontId="0" fillId="4" borderId="16" xfId="0" applyFill="1" applyBorder="1" applyProtection="1">
      <protection locked="0"/>
    </xf>
    <xf numFmtId="0" fontId="3" fillId="2" borderId="35" xfId="0" applyFont="1" applyFill="1" applyBorder="1" applyAlignment="1">
      <alignment horizontal="center" vertical="center" wrapText="1"/>
    </xf>
    <xf numFmtId="0" fontId="7" fillId="2" borderId="0" xfId="1" applyFill="1" applyProtection="1"/>
    <xf numFmtId="0" fontId="8" fillId="2" borderId="0" xfId="1" applyFont="1" applyFill="1" applyBorder="1" applyAlignment="1" applyProtection="1"/>
    <xf numFmtId="0" fontId="7" fillId="4" borderId="1" xfId="1" applyFill="1" applyBorder="1" applyProtection="1"/>
    <xf numFmtId="0" fontId="7" fillId="5" borderId="13" xfId="1" applyFill="1" applyBorder="1" applyProtection="1"/>
    <xf numFmtId="0" fontId="7" fillId="2" borderId="14" xfId="1" applyFill="1" applyBorder="1" applyProtection="1"/>
    <xf numFmtId="0" fontId="8" fillId="2" borderId="0" xfId="1" applyFont="1" applyFill="1" applyProtection="1"/>
    <xf numFmtId="0" fontId="8" fillId="2" borderId="3" xfId="1" applyFont="1" applyFill="1" applyBorder="1" applyProtection="1"/>
    <xf numFmtId="0" fontId="7" fillId="2" borderId="4" xfId="1" applyFill="1" applyBorder="1" applyProtection="1"/>
    <xf numFmtId="0" fontId="7" fillId="2" borderId="5" xfId="1" applyFill="1" applyBorder="1" applyProtection="1"/>
    <xf numFmtId="0" fontId="7" fillId="2" borderId="0" xfId="1" applyFill="1" applyBorder="1" applyProtection="1"/>
    <xf numFmtId="0" fontId="7" fillId="2" borderId="6" xfId="1" applyFill="1" applyBorder="1" applyProtection="1"/>
    <xf numFmtId="0" fontId="7" fillId="2" borderId="1" xfId="1" applyFill="1" applyBorder="1" applyProtection="1"/>
    <xf numFmtId="0" fontId="3" fillId="2" borderId="15" xfId="1" applyFont="1" applyFill="1" applyBorder="1" applyProtection="1"/>
    <xf numFmtId="0" fontId="7" fillId="2" borderId="1" xfId="1" applyFill="1" applyBorder="1" applyAlignment="1" applyProtection="1">
      <alignment horizontal="center"/>
    </xf>
    <xf numFmtId="0" fontId="7" fillId="2" borderId="15" xfId="1" applyFill="1" applyBorder="1" applyAlignment="1" applyProtection="1">
      <alignment horizontal="center"/>
    </xf>
    <xf numFmtId="0" fontId="7" fillId="2" borderId="8" xfId="1" applyFill="1" applyBorder="1" applyProtection="1"/>
    <xf numFmtId="0" fontId="3" fillId="2" borderId="17" xfId="1" applyFont="1" applyFill="1" applyBorder="1" applyProtection="1"/>
    <xf numFmtId="0" fontId="7" fillId="2" borderId="17" xfId="1" applyFill="1" applyBorder="1" applyAlignment="1" applyProtection="1">
      <alignment horizontal="center"/>
    </xf>
    <xf numFmtId="0" fontId="7" fillId="2" borderId="16" xfId="1" applyFill="1" applyBorder="1" applyAlignment="1" applyProtection="1">
      <alignment horizontal="center"/>
    </xf>
    <xf numFmtId="0" fontId="7" fillId="2" borderId="0" xfId="1" applyFill="1" applyBorder="1" applyAlignment="1" applyProtection="1">
      <alignment horizontal="center"/>
    </xf>
    <xf numFmtId="0" fontId="7" fillId="2" borderId="7" xfId="1" applyFill="1" applyBorder="1" applyProtection="1"/>
    <xf numFmtId="0" fontId="3" fillId="2" borderId="1" xfId="1" applyFont="1" applyFill="1" applyBorder="1" applyAlignment="1" applyProtection="1">
      <alignment horizontal="right"/>
    </xf>
    <xf numFmtId="0" fontId="7" fillId="2" borderId="1" xfId="1" applyFill="1" applyBorder="1" applyAlignment="1" applyProtection="1">
      <alignment horizontal="right"/>
    </xf>
    <xf numFmtId="0" fontId="9" fillId="2" borderId="1" xfId="1" applyFont="1" applyFill="1" applyBorder="1" applyAlignment="1" applyProtection="1">
      <alignment horizontal="center"/>
    </xf>
    <xf numFmtId="0" fontId="7" fillId="2" borderId="15" xfId="1" applyFill="1" applyBorder="1" applyProtection="1"/>
    <xf numFmtId="0" fontId="7" fillId="2" borderId="17" xfId="1" applyFill="1" applyBorder="1" applyProtection="1"/>
    <xf numFmtId="0" fontId="3" fillId="2" borderId="16" xfId="1" applyFont="1" applyFill="1" applyBorder="1" applyProtection="1"/>
    <xf numFmtId="1" fontId="7" fillId="2" borderId="1" xfId="1" applyNumberFormat="1" applyFill="1" applyBorder="1" applyAlignment="1" applyProtection="1">
      <alignment horizontal="center"/>
    </xf>
    <xf numFmtId="1" fontId="7" fillId="2" borderId="17" xfId="1" applyNumberFormat="1" applyFill="1" applyBorder="1" applyAlignment="1" applyProtection="1">
      <alignment horizontal="center"/>
    </xf>
    <xf numFmtId="0" fontId="7" fillId="2" borderId="16" xfId="1" applyFill="1" applyBorder="1" applyProtection="1"/>
    <xf numFmtId="0" fontId="8" fillId="2" borderId="11" xfId="1" applyFont="1" applyFill="1" applyBorder="1" applyProtection="1"/>
    <xf numFmtId="0" fontId="15" fillId="2" borderId="18" xfId="1" applyFont="1" applyFill="1" applyBorder="1" applyAlignment="1" applyProtection="1">
      <alignment horizontal="center" vertical="center" wrapText="1"/>
    </xf>
    <xf numFmtId="164" fontId="8" fillId="5" borderId="18" xfId="1" applyNumberFormat="1" applyFont="1" applyFill="1" applyBorder="1" applyAlignment="1" applyProtection="1">
      <alignment horizontal="center"/>
    </xf>
    <xf numFmtId="0" fontId="7" fillId="2" borderId="12" xfId="1" applyFill="1" applyBorder="1" applyProtection="1"/>
    <xf numFmtId="0" fontId="7" fillId="4" borderId="1" xfId="1" applyFill="1" applyBorder="1" applyAlignment="1" applyProtection="1">
      <alignment horizontal="center"/>
      <protection locked="0"/>
    </xf>
    <xf numFmtId="1" fontId="7" fillId="4" borderId="1" xfId="1" applyNumberFormat="1" applyFill="1" applyBorder="1" applyAlignment="1" applyProtection="1">
      <alignment horizontal="center"/>
      <protection locked="0"/>
    </xf>
    <xf numFmtId="0" fontId="7" fillId="4" borderId="17" xfId="1" applyFill="1" applyBorder="1" applyAlignment="1" applyProtection="1">
      <alignment horizontal="center"/>
      <protection locked="0"/>
    </xf>
    <xf numFmtId="0" fontId="7" fillId="5" borderId="1" xfId="1" applyFill="1" applyBorder="1" applyProtection="1"/>
    <xf numFmtId="0" fontId="3" fillId="2" borderId="7" xfId="1" applyFont="1" applyFill="1" applyBorder="1" applyProtection="1"/>
    <xf numFmtId="0" fontId="9" fillId="2" borderId="0" xfId="1" applyFont="1" applyFill="1" applyBorder="1" applyAlignment="1" applyProtection="1">
      <alignment horizontal="center"/>
    </xf>
    <xf numFmtId="1" fontId="7" fillId="2" borderId="44" xfId="1" applyNumberFormat="1" applyFill="1" applyBorder="1" applyAlignment="1" applyProtection="1">
      <alignment horizontal="center"/>
    </xf>
    <xf numFmtId="0" fontId="8" fillId="0" borderId="0" xfId="8" applyFont="1" applyProtection="1"/>
    <xf numFmtId="0" fontId="3" fillId="0" borderId="0" xfId="8" applyProtection="1"/>
    <xf numFmtId="0" fontId="3" fillId="0" borderId="0" xfId="8" applyFill="1" applyProtection="1"/>
    <xf numFmtId="0" fontId="3" fillId="0" borderId="0" xfId="8" applyAlignment="1" applyProtection="1">
      <alignment horizontal="right"/>
    </xf>
    <xf numFmtId="165" fontId="23" fillId="6" borderId="1" xfId="8" applyNumberFormat="1" applyFont="1" applyFill="1" applyBorder="1" applyProtection="1"/>
    <xf numFmtId="0" fontId="23" fillId="0" borderId="0" xfId="8" applyFont="1" applyProtection="1"/>
    <xf numFmtId="166" fontId="3" fillId="0" borderId="0" xfId="8" applyNumberFormat="1" applyFont="1" applyProtection="1"/>
    <xf numFmtId="9" fontId="23" fillId="6" borderId="1" xfId="8" applyNumberFormat="1" applyFont="1" applyFill="1" applyBorder="1" applyProtection="1"/>
    <xf numFmtId="0" fontId="3" fillId="0" borderId="0" xfId="8" applyFont="1" applyAlignment="1" applyProtection="1">
      <alignment horizontal="right"/>
    </xf>
    <xf numFmtId="0" fontId="3" fillId="0" borderId="0" xfId="8" applyFont="1" applyProtection="1"/>
    <xf numFmtId="2" fontId="3" fillId="0" borderId="0" xfId="8" applyNumberFormat="1" applyProtection="1"/>
    <xf numFmtId="0" fontId="3" fillId="0" borderId="0" xfId="8" applyFont="1" applyAlignment="1" applyProtection="1">
      <alignment horizontal="center" vertical="center" wrapText="1"/>
    </xf>
    <xf numFmtId="0" fontId="3" fillId="0" borderId="0" xfId="8" applyAlignment="1" applyProtection="1">
      <alignment horizontal="center" vertical="center" wrapText="1"/>
    </xf>
    <xf numFmtId="166" fontId="3" fillId="0" borderId="0" xfId="8" applyNumberFormat="1" applyProtection="1"/>
    <xf numFmtId="166" fontId="3" fillId="0" borderId="0" xfId="8" applyNumberFormat="1" applyFill="1" applyProtection="1"/>
    <xf numFmtId="167" fontId="3" fillId="0" borderId="0" xfId="8" applyNumberFormat="1" applyProtection="1"/>
    <xf numFmtId="0" fontId="3" fillId="2" borderId="0" xfId="8" applyFill="1" applyProtection="1"/>
    <xf numFmtId="0" fontId="8" fillId="2" borderId="0" xfId="8" applyFont="1" applyFill="1" applyBorder="1" applyAlignment="1" applyProtection="1"/>
    <xf numFmtId="0" fontId="3" fillId="4" borderId="1" xfId="8" applyFill="1" applyBorder="1" applyProtection="1"/>
    <xf numFmtId="0" fontId="3" fillId="5" borderId="1" xfId="8" applyFill="1" applyBorder="1" applyProtection="1"/>
    <xf numFmtId="0" fontId="3" fillId="2" borderId="0" xfId="8" applyFill="1" applyBorder="1" applyProtection="1"/>
    <xf numFmtId="0" fontId="8" fillId="2" borderId="0" xfId="8" applyFont="1" applyFill="1" applyProtection="1"/>
    <xf numFmtId="0" fontId="3" fillId="2" borderId="0" xfId="8" applyFont="1" applyFill="1" applyBorder="1" applyProtection="1"/>
    <xf numFmtId="0" fontId="8" fillId="2" borderId="3" xfId="8" applyFont="1" applyFill="1" applyBorder="1" applyProtection="1"/>
    <xf numFmtId="0" fontId="3" fillId="2" borderId="4" xfId="8" applyFill="1" applyBorder="1" applyProtection="1"/>
    <xf numFmtId="0" fontId="3" fillId="2" borderId="5" xfId="8" applyFill="1" applyBorder="1" applyProtection="1"/>
    <xf numFmtId="0" fontId="3" fillId="2" borderId="6" xfId="8" applyFill="1" applyBorder="1" applyProtection="1"/>
    <xf numFmtId="0" fontId="3" fillId="2" borderId="1" xfId="8" applyFill="1" applyBorder="1" applyAlignment="1" applyProtection="1">
      <alignment horizontal="center"/>
    </xf>
    <xf numFmtId="0" fontId="3" fillId="2" borderId="15" xfId="8" applyFill="1" applyBorder="1" applyProtection="1"/>
    <xf numFmtId="0" fontId="3" fillId="2" borderId="1" xfId="8" applyFill="1" applyBorder="1" applyAlignment="1" applyProtection="1">
      <alignment horizontal="right"/>
    </xf>
    <xf numFmtId="9" fontId="0" fillId="4" borderId="1" xfId="5" applyFont="1" applyFill="1" applyBorder="1" applyProtection="1">
      <protection locked="0"/>
    </xf>
    <xf numFmtId="0" fontId="3" fillId="2" borderId="15" xfId="8" applyFont="1" applyFill="1" applyBorder="1" applyProtection="1"/>
    <xf numFmtId="165" fontId="3" fillId="2" borderId="1" xfId="8" applyNumberFormat="1" applyFill="1" applyBorder="1" applyProtection="1"/>
    <xf numFmtId="0" fontId="3" fillId="2" borderId="8" xfId="8" applyFill="1" applyBorder="1" applyProtection="1"/>
    <xf numFmtId="1" fontId="3" fillId="2" borderId="17" xfId="8" applyNumberFormat="1" applyFill="1" applyBorder="1" applyAlignment="1" applyProtection="1">
      <alignment horizontal="right" vertical="center"/>
    </xf>
    <xf numFmtId="0" fontId="3" fillId="2" borderId="16" xfId="8" applyFill="1" applyBorder="1" applyProtection="1"/>
    <xf numFmtId="0" fontId="3" fillId="4" borderId="1" xfId="8" applyFont="1" applyFill="1" applyBorder="1" applyAlignment="1" applyProtection="1">
      <alignment horizontal="center"/>
      <protection locked="0"/>
    </xf>
    <xf numFmtId="1" fontId="3" fillId="2" borderId="1" xfId="8" applyNumberFormat="1" applyFill="1" applyBorder="1" applyAlignment="1" applyProtection="1">
      <alignment horizontal="center" vertical="center"/>
    </xf>
    <xf numFmtId="0" fontId="3" fillId="4" borderId="1" xfId="8" applyFill="1" applyBorder="1" applyAlignment="1" applyProtection="1">
      <alignment horizontal="center" vertical="center"/>
      <protection locked="0"/>
    </xf>
    <xf numFmtId="0" fontId="3" fillId="2" borderId="15" xfId="8" applyFont="1" applyFill="1" applyBorder="1" applyAlignment="1" applyProtection="1">
      <alignment vertical="center" wrapText="1"/>
    </xf>
    <xf numFmtId="9" fontId="3" fillId="2" borderId="1" xfId="8" applyNumberFormat="1" applyFill="1" applyBorder="1" applyAlignment="1" applyProtection="1">
      <alignment horizontal="center" vertical="center"/>
    </xf>
    <xf numFmtId="165" fontId="3" fillId="2" borderId="1" xfId="8" applyNumberFormat="1" applyFill="1" applyBorder="1" applyAlignment="1" applyProtection="1">
      <alignment horizontal="center" vertical="center"/>
    </xf>
    <xf numFmtId="1" fontId="3" fillId="2" borderId="17" xfId="8" applyNumberFormat="1" applyFill="1" applyBorder="1" applyAlignment="1" applyProtection="1">
      <alignment horizontal="center" vertical="center"/>
    </xf>
    <xf numFmtId="164" fontId="3" fillId="2" borderId="1" xfId="8" applyNumberFormat="1" applyFill="1" applyBorder="1" applyAlignment="1" applyProtection="1">
      <alignment horizontal="center" vertical="center"/>
    </xf>
    <xf numFmtId="0" fontId="3" fillId="2" borderId="0" xfId="8" applyFill="1" applyBorder="1" applyAlignment="1" applyProtection="1">
      <alignment horizontal="center" vertical="center"/>
    </xf>
    <xf numFmtId="164" fontId="3" fillId="2" borderId="0" xfId="8" applyNumberFormat="1" applyFill="1" applyBorder="1" applyAlignment="1" applyProtection="1">
      <alignment horizontal="center" vertical="center"/>
    </xf>
    <xf numFmtId="0" fontId="3" fillId="2" borderId="7" xfId="8" applyFill="1" applyBorder="1" applyProtection="1"/>
    <xf numFmtId="0" fontId="8" fillId="2" borderId="0" xfId="8" applyFont="1" applyFill="1" applyBorder="1" applyAlignment="1" applyProtection="1">
      <alignment horizontal="center" vertical="center"/>
    </xf>
    <xf numFmtId="164" fontId="3" fillId="2" borderId="0" xfId="8" applyNumberFormat="1" applyFill="1" applyBorder="1" applyProtection="1"/>
    <xf numFmtId="0" fontId="3" fillId="2" borderId="0" xfId="8" applyFill="1" applyBorder="1" applyAlignment="1" applyProtection="1">
      <alignment vertical="top" wrapText="1"/>
    </xf>
    <xf numFmtId="0" fontId="3" fillId="2" borderId="0" xfId="8" applyFont="1" applyFill="1" applyBorder="1" applyAlignment="1" applyProtection="1">
      <alignment horizontal="right" vertical="center"/>
    </xf>
    <xf numFmtId="9" fontId="0" fillId="2" borderId="0" xfId="5" applyFont="1" applyFill="1" applyBorder="1" applyProtection="1"/>
    <xf numFmtId="0" fontId="3" fillId="2" borderId="7" xfId="8" applyFont="1" applyFill="1" applyBorder="1" applyProtection="1"/>
    <xf numFmtId="0" fontId="8" fillId="2" borderId="0" xfId="8" applyFont="1" applyFill="1" applyBorder="1" applyAlignment="1" applyProtection="1">
      <alignment vertical="center"/>
    </xf>
    <xf numFmtId="0" fontId="29" fillId="2" borderId="40" xfId="8" applyFont="1" applyFill="1" applyBorder="1" applyAlignment="1" applyProtection="1">
      <alignment horizontal="center" vertical="center" wrapText="1"/>
    </xf>
    <xf numFmtId="0" fontId="3" fillId="2" borderId="17" xfId="8" applyFont="1" applyFill="1" applyBorder="1" applyAlignment="1" applyProtection="1">
      <alignment vertical="center" wrapText="1"/>
    </xf>
    <xf numFmtId="164" fontId="3" fillId="5" borderId="17" xfId="8" applyNumberFormat="1" applyFill="1" applyBorder="1" applyAlignment="1" applyProtection="1">
      <alignment horizontal="center" vertical="center"/>
    </xf>
    <xf numFmtId="0" fontId="3" fillId="2" borderId="16" xfId="8" applyFont="1" applyFill="1" applyBorder="1" applyProtection="1"/>
    <xf numFmtId="0" fontId="8" fillId="0" borderId="19" xfId="8" applyFont="1" applyBorder="1" applyAlignment="1" applyProtection="1">
      <alignment horizontal="center" vertical="center"/>
    </xf>
    <xf numFmtId="0" fontId="3" fillId="0" borderId="20" xfId="8" applyBorder="1" applyAlignment="1" applyProtection="1">
      <alignment horizontal="center"/>
    </xf>
    <xf numFmtId="0" fontId="3" fillId="0" borderId="25" xfId="8" applyFont="1" applyBorder="1" applyProtection="1"/>
    <xf numFmtId="0" fontId="3" fillId="0" borderId="1" xfId="8" applyBorder="1" applyProtection="1"/>
    <xf numFmtId="0" fontId="3" fillId="3" borderId="1" xfId="8" applyFill="1" applyBorder="1" applyProtection="1"/>
    <xf numFmtId="0" fontId="3" fillId="0" borderId="15" xfId="8" applyBorder="1" applyProtection="1"/>
    <xf numFmtId="0" fontId="3" fillId="0" borderId="26" xfId="8" applyBorder="1" applyProtection="1"/>
    <xf numFmtId="0" fontId="3" fillId="0" borderId="17" xfId="8" applyBorder="1" applyProtection="1"/>
    <xf numFmtId="0" fontId="3" fillId="3" borderId="17" xfId="8" applyFill="1" applyBorder="1" applyProtection="1"/>
    <xf numFmtId="0" fontId="3" fillId="0" borderId="16" xfId="8" applyBorder="1" applyProtection="1"/>
    <xf numFmtId="0" fontId="8" fillId="0" borderId="27" xfId="8" applyFont="1" applyBorder="1" applyAlignment="1" applyProtection="1">
      <alignment horizontal="center" vertical="center" wrapText="1"/>
    </xf>
    <xf numFmtId="0" fontId="3" fillId="0" borderId="28" xfId="8" applyFont="1" applyBorder="1" applyAlignment="1" applyProtection="1">
      <alignment horizontal="center" vertical="center" wrapText="1"/>
    </xf>
    <xf numFmtId="0" fontId="3" fillId="0" borderId="29" xfId="8" applyFont="1" applyBorder="1" applyAlignment="1" applyProtection="1">
      <alignment horizontal="center" vertical="center" wrapText="1"/>
    </xf>
    <xf numFmtId="0" fontId="3" fillId="0" borderId="30" xfId="8" applyBorder="1" applyProtection="1"/>
    <xf numFmtId="2" fontId="3" fillId="3" borderId="2" xfId="8" applyNumberFormat="1" applyFill="1" applyBorder="1" applyAlignment="1" applyProtection="1">
      <alignment horizontal="right"/>
    </xf>
    <xf numFmtId="165" fontId="3" fillId="3" borderId="31" xfId="8" applyNumberFormat="1" applyFill="1" applyBorder="1" applyProtection="1"/>
    <xf numFmtId="0" fontId="3" fillId="0" borderId="0" xfId="8" applyFont="1" applyAlignment="1" applyProtection="1">
      <alignment horizontal="left"/>
    </xf>
    <xf numFmtId="0" fontId="3" fillId="0" borderId="25" xfId="8" applyBorder="1" applyProtection="1"/>
    <xf numFmtId="2" fontId="3" fillId="3" borderId="1" xfId="8" applyNumberFormat="1" applyFill="1" applyBorder="1" applyProtection="1"/>
    <xf numFmtId="165" fontId="3" fillId="3" borderId="15" xfId="8" applyNumberFormat="1" applyFill="1" applyBorder="1" applyProtection="1"/>
    <xf numFmtId="2" fontId="3" fillId="3" borderId="17" xfId="8" applyNumberFormat="1" applyFill="1" applyBorder="1" applyProtection="1"/>
    <xf numFmtId="165" fontId="3" fillId="3" borderId="16" xfId="8" applyNumberFormat="1" applyFill="1" applyBorder="1" applyProtection="1"/>
    <xf numFmtId="1" fontId="3" fillId="0" borderId="0" xfId="8" applyNumberFormat="1" applyFont="1" applyAlignment="1" applyProtection="1">
      <alignment horizontal="left"/>
    </xf>
    <xf numFmtId="0" fontId="3" fillId="0" borderId="29" xfId="8" applyBorder="1" applyAlignment="1" applyProtection="1">
      <alignment horizontal="center" vertical="center" wrapText="1"/>
    </xf>
    <xf numFmtId="1" fontId="3" fillId="3" borderId="31" xfId="8" applyNumberFormat="1" applyFill="1" applyBorder="1" applyProtection="1"/>
    <xf numFmtId="0" fontId="3" fillId="3" borderId="16" xfId="8" applyFill="1" applyBorder="1" applyAlignment="1" applyProtection="1">
      <alignment horizontal="right"/>
    </xf>
    <xf numFmtId="0" fontId="3" fillId="0" borderId="0" xfId="8" applyBorder="1" applyProtection="1"/>
    <xf numFmtId="0" fontId="3" fillId="0" borderId="0" xfId="8" applyFill="1" applyBorder="1" applyAlignment="1" applyProtection="1">
      <alignment horizontal="right"/>
    </xf>
    <xf numFmtId="0" fontId="3" fillId="0" borderId="27" xfId="8" applyBorder="1" applyAlignment="1" applyProtection="1">
      <alignment wrapText="1"/>
    </xf>
    <xf numFmtId="0" fontId="3" fillId="0" borderId="28" xfId="8" applyBorder="1" applyAlignment="1" applyProtection="1">
      <alignment wrapText="1"/>
    </xf>
    <xf numFmtId="0" fontId="3" fillId="0" borderId="32" xfId="8" applyBorder="1" applyProtection="1"/>
    <xf numFmtId="0" fontId="3" fillId="0" borderId="33" xfId="8" applyBorder="1" applyProtection="1"/>
    <xf numFmtId="0" fontId="3" fillId="0" borderId="2" xfId="8" applyBorder="1" applyAlignment="1" applyProtection="1">
      <alignment horizontal="center"/>
    </xf>
    <xf numFmtId="165" fontId="3" fillId="0" borderId="34" xfId="8" applyNumberFormat="1" applyBorder="1" applyProtection="1"/>
    <xf numFmtId="0" fontId="3" fillId="0" borderId="35" xfId="8" applyBorder="1" applyProtection="1"/>
    <xf numFmtId="0" fontId="3" fillId="0" borderId="34" xfId="8" applyBorder="1" applyProtection="1"/>
    <xf numFmtId="0" fontId="3" fillId="0" borderId="36" xfId="8" applyBorder="1" applyProtection="1"/>
    <xf numFmtId="0" fontId="3" fillId="0" borderId="1" xfId="8" applyBorder="1" applyAlignment="1" applyProtection="1">
      <alignment horizontal="center"/>
    </xf>
    <xf numFmtId="0" fontId="3" fillId="0" borderId="37" xfId="8" applyBorder="1" applyProtection="1"/>
    <xf numFmtId="0" fontId="3" fillId="0" borderId="38" xfId="8" applyBorder="1" applyProtection="1"/>
    <xf numFmtId="0" fontId="3" fillId="0" borderId="17" xfId="8" applyBorder="1" applyAlignment="1" applyProtection="1">
      <alignment horizontal="center"/>
    </xf>
    <xf numFmtId="165" fontId="3" fillId="0" borderId="37" xfId="8" applyNumberFormat="1" applyBorder="1" applyProtection="1"/>
    <xf numFmtId="0" fontId="3" fillId="0" borderId="39" xfId="8" applyBorder="1" applyProtection="1"/>
    <xf numFmtId="0" fontId="9" fillId="0" borderId="0" xfId="8" applyFont="1" applyBorder="1" applyAlignment="1" applyProtection="1">
      <alignment vertical="top" wrapText="1"/>
    </xf>
    <xf numFmtId="0" fontId="3" fillId="0" borderId="0" xfId="8" applyFill="1" applyBorder="1" applyProtection="1"/>
    <xf numFmtId="0" fontId="12" fillId="0" borderId="0" xfId="8" applyFont="1" applyAlignment="1" applyProtection="1">
      <alignment horizontal="left" indent="1"/>
    </xf>
    <xf numFmtId="0" fontId="3" fillId="0" borderId="1" xfId="8" applyFont="1" applyBorder="1" applyAlignment="1" applyProtection="1">
      <alignment horizontal="center" vertical="center" wrapText="1"/>
    </xf>
    <xf numFmtId="0" fontId="3" fillId="0" borderId="15" xfId="8" applyFont="1" applyBorder="1" applyAlignment="1" applyProtection="1">
      <alignment horizontal="center" vertical="center" wrapText="1"/>
    </xf>
    <xf numFmtId="0" fontId="3" fillId="3" borderId="16" xfId="8" applyFill="1" applyBorder="1" applyProtection="1"/>
    <xf numFmtId="0" fontId="9" fillId="0" borderId="0" xfId="8" applyFont="1" applyAlignment="1" applyProtection="1">
      <alignment horizontal="left" indent="1"/>
    </xf>
    <xf numFmtId="1" fontId="3" fillId="2" borderId="1" xfId="8" applyNumberFormat="1" applyFill="1" applyBorder="1" applyAlignment="1" applyProtection="1">
      <alignment horizontal="center"/>
    </xf>
    <xf numFmtId="9" fontId="0" fillId="0" borderId="1" xfId="5" applyFont="1" applyFill="1" applyBorder="1" applyProtection="1"/>
    <xf numFmtId="9" fontId="0" fillId="0" borderId="1" xfId="5" applyFont="1" applyFill="1" applyBorder="1" applyAlignment="1" applyProtection="1">
      <alignment horizontal="center" vertical="center"/>
    </xf>
    <xf numFmtId="0" fontId="3" fillId="0" borderId="0" xfId="8" applyNumberFormat="1" applyFill="1" applyProtection="1"/>
    <xf numFmtId="168" fontId="3" fillId="0" borderId="0" xfId="8" applyNumberFormat="1" applyFill="1" applyProtection="1"/>
    <xf numFmtId="0" fontId="3" fillId="0" borderId="0" xfId="8" applyNumberFormat="1" applyProtection="1"/>
    <xf numFmtId="169" fontId="3" fillId="0" borderId="0" xfId="8" applyNumberFormat="1" applyProtection="1"/>
    <xf numFmtId="0" fontId="3" fillId="0" borderId="1" xfId="8" applyFont="1" applyFill="1" applyBorder="1" applyAlignment="1" applyProtection="1">
      <alignment horizontal="center"/>
    </xf>
    <xf numFmtId="0" fontId="3" fillId="0" borderId="1" xfId="8" applyFill="1" applyBorder="1" applyAlignment="1" applyProtection="1">
      <alignment horizontal="center" vertical="center"/>
    </xf>
    <xf numFmtId="0" fontId="18" fillId="2" borderId="46" xfId="0" applyFont="1" applyFill="1" applyBorder="1" applyAlignment="1">
      <alignment vertical="center" wrapText="1"/>
    </xf>
    <xf numFmtId="0" fontId="16" fillId="2" borderId="13" xfId="0" applyFont="1" applyFill="1" applyBorder="1" applyAlignment="1">
      <alignment horizontal="center" vertical="center" wrapText="1"/>
    </xf>
    <xf numFmtId="0" fontId="6" fillId="0" borderId="0" xfId="10"/>
    <xf numFmtId="0" fontId="21" fillId="0" borderId="0" xfId="10" applyFont="1"/>
    <xf numFmtId="0" fontId="30" fillId="0" borderId="0" xfId="10" applyFont="1"/>
    <xf numFmtId="0" fontId="24" fillId="0" borderId="0" xfId="10" applyFont="1"/>
    <xf numFmtId="0" fontId="22" fillId="0" borderId="0" xfId="10" applyFont="1"/>
    <xf numFmtId="0" fontId="6" fillId="0" borderId="0" xfId="10" applyAlignment="1">
      <alignment horizontal="right"/>
    </xf>
    <xf numFmtId="0" fontId="28" fillId="0" borderId="0" xfId="10" applyFont="1"/>
    <xf numFmtId="0" fontId="26" fillId="0" borderId="0" xfId="10" applyFont="1"/>
    <xf numFmtId="0" fontId="27" fillId="0" borderId="0" xfId="10" applyFont="1"/>
    <xf numFmtId="0" fontId="20" fillId="0" borderId="0" xfId="10" applyFont="1"/>
    <xf numFmtId="0" fontId="22" fillId="0" borderId="34" xfId="10" applyFont="1" applyBorder="1"/>
    <xf numFmtId="166" fontId="22" fillId="0" borderId="45" xfId="10" applyNumberFormat="1" applyFont="1" applyBorder="1" applyAlignment="1">
      <alignment horizontal="right"/>
    </xf>
    <xf numFmtId="166" fontId="22" fillId="0" borderId="36" xfId="10" applyNumberFormat="1" applyFont="1" applyBorder="1"/>
    <xf numFmtId="0" fontId="22" fillId="0" borderId="45" xfId="10" applyFont="1" applyBorder="1"/>
    <xf numFmtId="0" fontId="22" fillId="0" borderId="45" xfId="10" applyFont="1" applyBorder="1" applyAlignment="1">
      <alignment horizontal="right"/>
    </xf>
    <xf numFmtId="167" fontId="22" fillId="0" borderId="36" xfId="10" applyNumberFormat="1" applyFont="1" applyBorder="1"/>
    <xf numFmtId="0" fontId="3" fillId="0" borderId="0" xfId="4" applyAlignment="1">
      <alignment horizontal="right"/>
    </xf>
    <xf numFmtId="166" fontId="3" fillId="0" borderId="0" xfId="4" applyNumberFormat="1"/>
    <xf numFmtId="0" fontId="9" fillId="0" borderId="0" xfId="4" applyFont="1" applyAlignment="1">
      <alignment vertical="top" wrapText="1"/>
    </xf>
    <xf numFmtId="0" fontId="32" fillId="0" borderId="0" xfId="4" applyFont="1" applyAlignment="1">
      <alignment horizontal="left" indent="1"/>
    </xf>
    <xf numFmtId="0" fontId="3" fillId="0" borderId="0" xfId="4"/>
    <xf numFmtId="0" fontId="3" fillId="0" borderId="0" xfId="4" applyAlignment="1">
      <alignment horizontal="left" indent="1"/>
    </xf>
    <xf numFmtId="0" fontId="25" fillId="0" borderId="22" xfId="4" applyFont="1" applyBorder="1" applyAlignment="1">
      <alignment horizontal="center" vertical="center" wrapText="1"/>
    </xf>
    <xf numFmtId="0" fontId="31" fillId="0" borderId="24" xfId="4" applyFont="1" applyBorder="1" applyAlignment="1">
      <alignment horizontal="center" vertical="center" wrapText="1"/>
    </xf>
    <xf numFmtId="0" fontId="31" fillId="0" borderId="0" xfId="4" applyFont="1" applyAlignment="1">
      <alignment vertical="center" wrapText="1"/>
    </xf>
    <xf numFmtId="0" fontId="3" fillId="0" borderId="47" xfId="4" applyBorder="1" applyAlignment="1">
      <alignment horizontal="right"/>
    </xf>
    <xf numFmtId="0" fontId="3" fillId="0" borderId="0" xfId="4" applyAlignment="1">
      <alignment vertical="center" wrapText="1"/>
    </xf>
    <xf numFmtId="166" fontId="33" fillId="0" borderId="0" xfId="4" applyNumberFormat="1" applyFont="1"/>
    <xf numFmtId="166" fontId="33" fillId="2" borderId="29" xfId="4" applyNumberFormat="1" applyFont="1" applyFill="1" applyBorder="1" applyAlignment="1">
      <alignment horizontal="center" vertical="center"/>
    </xf>
    <xf numFmtId="0" fontId="8" fillId="0" borderId="0" xfId="4" applyFont="1" applyAlignment="1">
      <alignment vertical="center" wrapText="1"/>
    </xf>
    <xf numFmtId="167" fontId="6" fillId="0" borderId="0" xfId="10" applyNumberFormat="1"/>
    <xf numFmtId="167" fontId="22" fillId="0" borderId="0" xfId="10" applyNumberFormat="1" applyFont="1"/>
    <xf numFmtId="0" fontId="25" fillId="0" borderId="0" xfId="0" applyFont="1" applyAlignment="1">
      <alignment vertical="center" wrapText="1"/>
    </xf>
    <xf numFmtId="0" fontId="8" fillId="0" borderId="19" xfId="0" applyFont="1" applyBorder="1" applyAlignment="1">
      <alignment vertical="center" wrapText="1"/>
    </xf>
    <xf numFmtId="0" fontId="0" fillId="3" borderId="41" xfId="0" applyFill="1" applyBorder="1"/>
    <xf numFmtId="0" fontId="9" fillId="0" borderId="0" xfId="0" applyFont="1" applyAlignment="1">
      <alignment vertical="top" wrapText="1"/>
    </xf>
    <xf numFmtId="0" fontId="8" fillId="0" borderId="27" xfId="0" applyFont="1" applyBorder="1" applyAlignment="1">
      <alignment vertical="center" wrapText="1"/>
    </xf>
    <xf numFmtId="165" fontId="0" fillId="3" borderId="41" xfId="0" applyNumberFormat="1" applyFill="1" applyBorder="1"/>
    <xf numFmtId="0" fontId="0" fillId="0" borderId="29" xfId="0" applyBorder="1" applyAlignment="1">
      <alignment horizontal="center" vertical="center" wrapText="1"/>
    </xf>
    <xf numFmtId="0" fontId="3" fillId="2" borderId="1" xfId="0" applyFont="1" applyFill="1" applyBorder="1" applyAlignment="1">
      <alignment horizontal="right" vertical="center"/>
    </xf>
    <xf numFmtId="0" fontId="19" fillId="2" borderId="56" xfId="0" applyFont="1" applyFill="1" applyBorder="1"/>
    <xf numFmtId="0" fontId="3" fillId="2" borderId="15" xfId="0" applyFont="1" applyFill="1" applyBorder="1" applyAlignment="1">
      <alignment horizontal="center" vertical="center" wrapText="1"/>
    </xf>
    <xf numFmtId="9" fontId="19" fillId="2" borderId="17" xfId="3" applyFont="1" applyFill="1" applyBorder="1" applyAlignment="1">
      <alignment horizontal="center" vertical="center"/>
    </xf>
    <xf numFmtId="9" fontId="19" fillId="2" borderId="16" xfId="3" applyFont="1" applyFill="1" applyBorder="1" applyAlignment="1">
      <alignment horizontal="center" vertical="center"/>
    </xf>
    <xf numFmtId="0" fontId="3" fillId="2" borderId="2" xfId="0" applyFont="1" applyFill="1" applyBorder="1" applyAlignment="1">
      <alignment horizontal="center" vertical="center" wrapText="1"/>
    </xf>
    <xf numFmtId="167" fontId="19" fillId="0" borderId="1" xfId="0" applyNumberFormat="1" applyFont="1" applyBorder="1"/>
    <xf numFmtId="0" fontId="3" fillId="0" borderId="22" xfId="4" applyFont="1" applyBorder="1"/>
    <xf numFmtId="167" fontId="3" fillId="0" borderId="23" xfId="4" applyNumberFormat="1" applyFont="1" applyBorder="1"/>
    <xf numFmtId="166" fontId="3" fillId="0" borderId="24" xfId="4" applyNumberFormat="1" applyFont="1" applyBorder="1"/>
    <xf numFmtId="0" fontId="3" fillId="0" borderId="25" xfId="4" applyFont="1" applyBorder="1"/>
    <xf numFmtId="167" fontId="3" fillId="0" borderId="1" xfId="4" applyNumberFormat="1" applyFont="1" applyBorder="1"/>
    <xf numFmtId="166" fontId="3" fillId="0" borderId="15" xfId="4" applyNumberFormat="1" applyFont="1" applyBorder="1"/>
    <xf numFmtId="0" fontId="19" fillId="0" borderId="25" xfId="0" applyFont="1" applyBorder="1"/>
    <xf numFmtId="166" fontId="19" fillId="0" borderId="15" xfId="0" applyNumberFormat="1" applyFont="1" applyBorder="1"/>
    <xf numFmtId="0" fontId="19" fillId="0" borderId="26" xfId="0" applyFont="1" applyBorder="1"/>
    <xf numFmtId="167" fontId="19" fillId="0" borderId="17" xfId="0" applyNumberFormat="1" applyFont="1" applyBorder="1"/>
    <xf numFmtId="166" fontId="19" fillId="0" borderId="16" xfId="0" applyNumberFormat="1" applyFont="1" applyBorder="1"/>
    <xf numFmtId="167" fontId="3" fillId="0" borderId="17" xfId="4" applyNumberFormat="1" applyFont="1" applyBorder="1"/>
    <xf numFmtId="0" fontId="18" fillId="4"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59" xfId="0" applyFont="1" applyFill="1" applyBorder="1" applyAlignment="1">
      <alignment horizontal="center" vertical="center" wrapText="1"/>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0" fillId="2" borderId="8" xfId="0" applyFill="1" applyBorder="1" applyAlignment="1" applyProtection="1">
      <alignment horizontal="center"/>
    </xf>
    <xf numFmtId="0" fontId="0" fillId="2" borderId="10" xfId="0" applyFill="1" applyBorder="1" applyAlignment="1" applyProtection="1">
      <alignment horizontal="center"/>
    </xf>
    <xf numFmtId="0" fontId="0" fillId="2" borderId="3" xfId="0" applyFill="1" applyBorder="1" applyAlignment="1" applyProtection="1">
      <alignment horizontal="center"/>
    </xf>
    <xf numFmtId="0" fontId="0" fillId="2" borderId="5" xfId="0" applyFill="1" applyBorder="1" applyAlignment="1" applyProtection="1">
      <alignment horizontal="center"/>
    </xf>
    <xf numFmtId="0" fontId="16" fillId="2" borderId="22"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7" fillId="2" borderId="57"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8" fillId="2" borderId="0" xfId="1" applyFont="1" applyFill="1" applyAlignment="1" applyProtection="1">
      <alignment horizontal="right"/>
    </xf>
    <xf numFmtId="0" fontId="8" fillId="2" borderId="7" xfId="1" applyFont="1" applyFill="1" applyBorder="1" applyAlignment="1" applyProtection="1">
      <alignment horizontal="right"/>
    </xf>
    <xf numFmtId="0" fontId="8" fillId="2" borderId="3" xfId="1" applyFont="1" applyFill="1" applyBorder="1" applyAlignment="1">
      <alignment horizontal="center"/>
    </xf>
    <xf numFmtId="0" fontId="8" fillId="2" borderId="4" xfId="1" applyFont="1" applyFill="1" applyBorder="1" applyAlignment="1">
      <alignment horizontal="center"/>
    </xf>
    <xf numFmtId="0" fontId="8" fillId="2" borderId="5" xfId="1" applyFont="1" applyFill="1" applyBorder="1" applyAlignment="1">
      <alignment horizontal="center"/>
    </xf>
    <xf numFmtId="0" fontId="8" fillId="2" borderId="6" xfId="1" applyFont="1" applyFill="1" applyBorder="1" applyAlignment="1">
      <alignment horizontal="center"/>
    </xf>
    <xf numFmtId="0" fontId="8" fillId="2" borderId="0" xfId="1" applyFont="1" applyFill="1" applyBorder="1" applyAlignment="1">
      <alignment horizontal="center"/>
    </xf>
    <xf numFmtId="0" fontId="8" fillId="2" borderId="7" xfId="1" applyFont="1" applyFill="1" applyBorder="1" applyAlignment="1">
      <alignment horizontal="center"/>
    </xf>
    <xf numFmtId="0" fontId="3" fillId="2" borderId="6" xfId="1" applyFont="1" applyFill="1" applyBorder="1" applyAlignment="1">
      <alignment horizontal="center"/>
    </xf>
    <xf numFmtId="0" fontId="3" fillId="2" borderId="0" xfId="1" applyFont="1" applyFill="1" applyBorder="1" applyAlignment="1">
      <alignment horizontal="center"/>
    </xf>
    <xf numFmtId="0" fontId="3" fillId="2" borderId="7" xfId="1" applyFont="1" applyFill="1" applyBorder="1" applyAlignment="1">
      <alignment horizontal="center"/>
    </xf>
    <xf numFmtId="0" fontId="8" fillId="2" borderId="8" xfId="1" applyFont="1" applyFill="1" applyBorder="1" applyAlignment="1">
      <alignment horizontal="center"/>
    </xf>
    <xf numFmtId="0" fontId="8" fillId="2" borderId="9" xfId="1" applyFont="1" applyFill="1" applyBorder="1" applyAlignment="1">
      <alignment horizontal="center"/>
    </xf>
    <xf numFmtId="0" fontId="8" fillId="2" borderId="10" xfId="1" applyFont="1" applyFill="1" applyBorder="1" applyAlignment="1">
      <alignment horizontal="center"/>
    </xf>
    <xf numFmtId="0" fontId="3" fillId="2" borderId="11" xfId="1" applyFont="1" applyFill="1" applyBorder="1" applyAlignment="1" applyProtection="1">
      <alignment horizontal="center"/>
    </xf>
    <xf numFmtId="0" fontId="3" fillId="2" borderId="43" xfId="1" applyFont="1" applyFill="1" applyBorder="1" applyAlignment="1" applyProtection="1">
      <alignment horizontal="center"/>
    </xf>
    <xf numFmtId="0" fontId="3" fillId="2" borderId="12" xfId="1" applyFont="1" applyFill="1" applyBorder="1" applyAlignment="1" applyProtection="1">
      <alignment horizontal="center"/>
    </xf>
    <xf numFmtId="0" fontId="9" fillId="4" borderId="3" xfId="1" applyFont="1" applyFill="1" applyBorder="1" applyAlignment="1" applyProtection="1">
      <alignment vertical="top" wrapText="1"/>
      <protection locked="0"/>
    </xf>
    <xf numFmtId="0" fontId="7" fillId="4" borderId="4" xfId="1" applyFill="1" applyBorder="1" applyAlignment="1" applyProtection="1">
      <alignment vertical="top" wrapText="1"/>
      <protection locked="0"/>
    </xf>
    <xf numFmtId="0" fontId="7" fillId="4" borderId="5" xfId="1" applyFill="1" applyBorder="1" applyAlignment="1" applyProtection="1">
      <alignment vertical="top" wrapText="1"/>
      <protection locked="0"/>
    </xf>
    <xf numFmtId="0" fontId="7" fillId="4" borderId="6" xfId="1" applyFill="1" applyBorder="1" applyAlignment="1" applyProtection="1">
      <alignment vertical="top" wrapText="1"/>
      <protection locked="0"/>
    </xf>
    <xf numFmtId="0" fontId="7" fillId="4" borderId="0" xfId="1" applyFill="1" applyBorder="1" applyAlignment="1" applyProtection="1">
      <alignment vertical="top" wrapText="1"/>
      <protection locked="0"/>
    </xf>
    <xf numFmtId="0" fontId="7" fillId="4" borderId="7" xfId="1" applyFill="1" applyBorder="1" applyAlignment="1" applyProtection="1">
      <alignment vertical="top" wrapText="1"/>
      <protection locked="0"/>
    </xf>
    <xf numFmtId="0" fontId="7" fillId="4" borderId="8" xfId="1" applyFill="1" applyBorder="1" applyAlignment="1" applyProtection="1">
      <alignment vertical="top" wrapText="1"/>
      <protection locked="0"/>
    </xf>
    <xf numFmtId="0" fontId="7" fillId="4" borderId="9" xfId="1" applyFill="1" applyBorder="1" applyAlignment="1" applyProtection="1">
      <alignment vertical="top" wrapText="1"/>
      <protection locked="0"/>
    </xf>
    <xf numFmtId="0" fontId="7" fillId="4" borderId="10" xfId="1" applyFill="1" applyBorder="1" applyAlignment="1" applyProtection="1">
      <alignment vertical="top" wrapText="1"/>
      <protection locked="0"/>
    </xf>
    <xf numFmtId="0" fontId="8" fillId="2" borderId="3" xfId="1" applyFont="1" applyFill="1" applyBorder="1" applyAlignment="1" applyProtection="1">
      <alignment horizontal="center"/>
    </xf>
    <xf numFmtId="0" fontId="8" fillId="2" borderId="4" xfId="1" applyFont="1" applyFill="1" applyBorder="1" applyAlignment="1" applyProtection="1">
      <alignment horizontal="center"/>
    </xf>
    <xf numFmtId="0" fontId="8" fillId="2" borderId="5" xfId="1" applyFont="1" applyFill="1" applyBorder="1" applyAlignment="1" applyProtection="1">
      <alignment horizontal="center"/>
    </xf>
    <xf numFmtId="0" fontId="8" fillId="2" borderId="6" xfId="1" applyFont="1" applyFill="1" applyBorder="1" applyAlignment="1" applyProtection="1">
      <alignment horizontal="center"/>
    </xf>
    <xf numFmtId="0" fontId="8" fillId="2" borderId="0" xfId="1" applyFont="1" applyFill="1" applyBorder="1" applyAlignment="1" applyProtection="1">
      <alignment horizontal="center"/>
    </xf>
    <xf numFmtId="0" fontId="8" fillId="2" borderId="7" xfId="1" applyFont="1" applyFill="1" applyBorder="1" applyAlignment="1" applyProtection="1">
      <alignment horizontal="center"/>
    </xf>
    <xf numFmtId="0" fontId="8" fillId="2" borderId="8" xfId="1" applyFont="1" applyFill="1" applyBorder="1" applyAlignment="1" applyProtection="1">
      <alignment horizontal="center"/>
    </xf>
    <xf numFmtId="0" fontId="8" fillId="2" borderId="9" xfId="1" applyFont="1" applyFill="1" applyBorder="1" applyAlignment="1" applyProtection="1">
      <alignment horizontal="center"/>
    </xf>
    <xf numFmtId="0" fontId="8" fillId="2" borderId="10" xfId="1" applyFont="1" applyFill="1" applyBorder="1" applyAlignment="1" applyProtection="1">
      <alignment horizontal="center"/>
    </xf>
    <xf numFmtId="0" fontId="7" fillId="2" borderId="12" xfId="1" applyFill="1" applyBorder="1" applyAlignment="1" applyProtection="1">
      <alignment horizontal="center"/>
    </xf>
    <xf numFmtId="0" fontId="9" fillId="2" borderId="0" xfId="1" applyFont="1" applyFill="1" applyBorder="1" applyAlignment="1" applyProtection="1">
      <alignment vertical="top" wrapText="1"/>
    </xf>
    <xf numFmtId="0" fontId="7" fillId="2" borderId="0" xfId="1" applyFill="1" applyBorder="1" applyAlignment="1" applyProtection="1">
      <alignment vertical="top" wrapText="1"/>
    </xf>
    <xf numFmtId="0" fontId="8" fillId="2" borderId="3" xfId="8" applyFont="1" applyFill="1" applyBorder="1" applyAlignment="1" applyProtection="1">
      <alignment horizontal="center"/>
    </xf>
    <xf numFmtId="0" fontId="8" fillId="2" borderId="4" xfId="8" applyFont="1" applyFill="1" applyBorder="1" applyAlignment="1" applyProtection="1">
      <alignment horizontal="center"/>
    </xf>
    <xf numFmtId="0" fontId="8" fillId="2" borderId="5" xfId="8" applyFont="1" applyFill="1" applyBorder="1" applyAlignment="1" applyProtection="1">
      <alignment horizontal="center"/>
    </xf>
    <xf numFmtId="0" fontId="8" fillId="2" borderId="6" xfId="8" applyFont="1" applyFill="1" applyBorder="1" applyAlignment="1" applyProtection="1">
      <alignment horizontal="center"/>
    </xf>
    <xf numFmtId="0" fontId="8" fillId="2" borderId="0" xfId="8" applyFont="1" applyFill="1" applyBorder="1" applyAlignment="1" applyProtection="1">
      <alignment horizontal="center"/>
    </xf>
    <xf numFmtId="0" fontId="8" fillId="2" borderId="7" xfId="8" applyFont="1" applyFill="1" applyBorder="1" applyAlignment="1" applyProtection="1">
      <alignment horizontal="center"/>
    </xf>
    <xf numFmtId="0" fontId="8" fillId="2" borderId="8" xfId="8" applyFont="1" applyFill="1" applyBorder="1" applyAlignment="1" applyProtection="1">
      <alignment horizontal="center"/>
    </xf>
    <xf numFmtId="0" fontId="8" fillId="2" borderId="9" xfId="8" applyFont="1" applyFill="1" applyBorder="1" applyAlignment="1" applyProtection="1">
      <alignment horizontal="center"/>
    </xf>
    <xf numFmtId="0" fontId="8" fillId="2" borderId="10" xfId="8" applyFont="1" applyFill="1" applyBorder="1" applyAlignment="1" applyProtection="1">
      <alignment horizontal="center"/>
    </xf>
    <xf numFmtId="0" fontId="8" fillId="2" borderId="0" xfId="8" applyFont="1" applyFill="1" applyAlignment="1" applyProtection="1">
      <alignment horizontal="right"/>
    </xf>
    <xf numFmtId="0" fontId="8" fillId="2" borderId="7" xfId="8" applyFont="1" applyFill="1" applyBorder="1" applyAlignment="1" applyProtection="1">
      <alignment horizontal="right"/>
    </xf>
    <xf numFmtId="0" fontId="3" fillId="2" borderId="11" xfId="8" applyFill="1" applyBorder="1" applyAlignment="1" applyProtection="1">
      <alignment horizontal="center"/>
    </xf>
    <xf numFmtId="0" fontId="3" fillId="2" borderId="12" xfId="8" applyFill="1" applyBorder="1" applyAlignment="1" applyProtection="1">
      <alignment horizontal="center"/>
    </xf>
    <xf numFmtId="0" fontId="9" fillId="4" borderId="3" xfId="8" applyFont="1" applyFill="1" applyBorder="1" applyAlignment="1" applyProtection="1">
      <alignment vertical="top" wrapText="1"/>
      <protection locked="0"/>
    </xf>
    <xf numFmtId="0" fontId="3" fillId="4" borderId="4" xfId="8" applyFill="1" applyBorder="1" applyAlignment="1" applyProtection="1">
      <alignment vertical="top" wrapText="1"/>
      <protection locked="0"/>
    </xf>
    <xf numFmtId="0" fontId="3" fillId="4" borderId="5" xfId="8" applyFill="1" applyBorder="1" applyAlignment="1" applyProtection="1">
      <alignment vertical="top" wrapText="1"/>
      <protection locked="0"/>
    </xf>
    <xf numFmtId="0" fontId="3" fillId="4" borderId="6" xfId="8" applyFill="1" applyBorder="1" applyAlignment="1" applyProtection="1">
      <alignment vertical="top" wrapText="1"/>
      <protection locked="0"/>
    </xf>
    <xf numFmtId="0" fontId="3" fillId="4" borderId="0" xfId="8" applyFill="1" applyBorder="1" applyAlignment="1" applyProtection="1">
      <alignment vertical="top" wrapText="1"/>
      <protection locked="0"/>
    </xf>
    <xf numFmtId="0" fontId="3" fillId="4" borderId="7" xfId="8" applyFill="1" applyBorder="1" applyAlignment="1" applyProtection="1">
      <alignment vertical="top" wrapText="1"/>
      <protection locked="0"/>
    </xf>
    <xf numFmtId="0" fontId="3" fillId="4" borderId="8" xfId="8" applyFill="1" applyBorder="1" applyAlignment="1" applyProtection="1">
      <alignment vertical="top" wrapText="1"/>
      <protection locked="0"/>
    </xf>
    <xf numFmtId="0" fontId="3" fillId="4" borderId="9" xfId="8" applyFill="1" applyBorder="1" applyAlignment="1" applyProtection="1">
      <alignment vertical="top" wrapText="1"/>
      <protection locked="0"/>
    </xf>
    <xf numFmtId="0" fontId="3" fillId="4" borderId="10" xfId="8" applyFill="1" applyBorder="1" applyAlignment="1" applyProtection="1">
      <alignment vertical="top" wrapText="1"/>
      <protection locked="0"/>
    </xf>
    <xf numFmtId="0" fontId="3" fillId="2" borderId="1" xfId="8" applyFill="1" applyBorder="1" applyAlignment="1" applyProtection="1">
      <alignment horizontal="center" vertical="center"/>
    </xf>
    <xf numFmtId="0" fontId="9" fillId="2" borderId="0" xfId="8" applyFont="1" applyFill="1" applyBorder="1" applyAlignment="1" applyProtection="1">
      <alignment horizontal="left" vertical="top" wrapText="1"/>
    </xf>
    <xf numFmtId="0" fontId="3" fillId="2" borderId="1" xfId="8" applyFill="1" applyBorder="1" applyAlignment="1" applyProtection="1">
      <alignment vertical="center" wrapText="1"/>
    </xf>
    <xf numFmtId="0" fontId="3" fillId="2" borderId="15" xfId="8" applyFill="1" applyBorder="1" applyAlignment="1" applyProtection="1">
      <alignment vertical="center" wrapText="1"/>
    </xf>
    <xf numFmtId="0" fontId="3" fillId="2" borderId="17" xfId="8" applyFill="1" applyBorder="1" applyAlignment="1" applyProtection="1">
      <alignment horizontal="center" vertical="center"/>
    </xf>
    <xf numFmtId="0" fontId="9" fillId="0" borderId="3" xfId="8" applyFont="1" applyFill="1" applyBorder="1" applyAlignment="1" applyProtection="1">
      <alignment vertical="top" wrapText="1"/>
    </xf>
    <xf numFmtId="0" fontId="3" fillId="0" borderId="4" xfId="8" applyFill="1" applyBorder="1" applyAlignment="1" applyProtection="1">
      <alignment vertical="top" wrapText="1"/>
    </xf>
    <xf numFmtId="0" fontId="3" fillId="0" borderId="5" xfId="8" applyFill="1" applyBorder="1" applyAlignment="1" applyProtection="1">
      <alignment vertical="top" wrapText="1"/>
    </xf>
    <xf numFmtId="0" fontId="3" fillId="0" borderId="6" xfId="8" applyFill="1" applyBorder="1" applyAlignment="1" applyProtection="1">
      <alignment vertical="top" wrapText="1"/>
    </xf>
    <xf numFmtId="0" fontId="3" fillId="0" borderId="0" xfId="8" applyFill="1" applyBorder="1" applyAlignment="1" applyProtection="1">
      <alignment vertical="top" wrapText="1"/>
    </xf>
    <xf numFmtId="0" fontId="3" fillId="0" borderId="7" xfId="8" applyFill="1" applyBorder="1" applyAlignment="1" applyProtection="1">
      <alignment vertical="top" wrapText="1"/>
    </xf>
    <xf numFmtId="0" fontId="3" fillId="0" borderId="8" xfId="8" applyFill="1" applyBorder="1" applyAlignment="1" applyProtection="1">
      <alignment vertical="top" wrapText="1"/>
    </xf>
    <xf numFmtId="0" fontId="3" fillId="0" borderId="9" xfId="8" applyFill="1" applyBorder="1" applyAlignment="1" applyProtection="1">
      <alignment vertical="top" wrapText="1"/>
    </xf>
    <xf numFmtId="0" fontId="3" fillId="0" borderId="10" xfId="8" applyFill="1" applyBorder="1" applyAlignment="1" applyProtection="1">
      <alignment vertical="top" wrapText="1"/>
    </xf>
    <xf numFmtId="0" fontId="3" fillId="0" borderId="28" xfId="8" applyBorder="1" applyAlignment="1" applyProtection="1">
      <alignment horizontal="center" wrapText="1"/>
    </xf>
    <xf numFmtId="0" fontId="3" fillId="0" borderId="29" xfId="8" applyBorder="1" applyAlignment="1" applyProtection="1">
      <alignment horizontal="center" wrapText="1"/>
    </xf>
    <xf numFmtId="0" fontId="9" fillId="0" borderId="0" xfId="8" applyFont="1" applyBorder="1" applyAlignment="1" applyProtection="1">
      <alignment horizontal="left" vertical="center" wrapText="1" indent="1"/>
    </xf>
    <xf numFmtId="0" fontId="8" fillId="0" borderId="19" xfId="8" applyFont="1" applyBorder="1" applyAlignment="1" applyProtection="1">
      <alignment horizontal="center" vertical="center" wrapText="1"/>
    </xf>
    <xf numFmtId="0" fontId="8" fillId="0" borderId="42" xfId="8" applyFont="1" applyBorder="1" applyAlignment="1" applyProtection="1">
      <alignment horizontal="center" vertical="center" wrapText="1"/>
    </xf>
    <xf numFmtId="0" fontId="8" fillId="0" borderId="40" xfId="8" applyFont="1" applyBorder="1" applyAlignment="1" applyProtection="1">
      <alignment horizontal="center" vertical="center" wrapText="1"/>
    </xf>
    <xf numFmtId="0" fontId="3" fillId="0" borderId="23" xfId="8" applyFont="1" applyBorder="1" applyAlignment="1" applyProtection="1">
      <alignment horizontal="center" vertical="center" wrapText="1"/>
    </xf>
    <xf numFmtId="0" fontId="3" fillId="0" borderId="24" xfId="8" applyFont="1" applyBorder="1" applyAlignment="1" applyProtection="1">
      <alignment horizontal="center" vertical="center" wrapText="1"/>
    </xf>
    <xf numFmtId="0" fontId="3" fillId="0" borderId="21" xfId="8" applyBorder="1" applyAlignment="1" applyProtection="1">
      <alignment horizontal="center" vertical="center" wrapText="1"/>
    </xf>
    <xf numFmtId="0" fontId="3" fillId="0" borderId="5" xfId="8" applyBorder="1" applyAlignment="1" applyProtection="1">
      <alignment horizontal="center" vertical="center" wrapText="1"/>
    </xf>
    <xf numFmtId="0" fontId="3" fillId="0" borderId="6" xfId="4" applyBorder="1" applyAlignment="1">
      <alignment horizontal="left" vertical="center" wrapText="1" indent="1"/>
    </xf>
    <xf numFmtId="0" fontId="3" fillId="0" borderId="0" xfId="4" applyAlignment="1">
      <alignment horizontal="left" vertical="center" wrapText="1" indent="1"/>
    </xf>
    <xf numFmtId="0" fontId="22" fillId="0" borderId="34" xfId="10" applyFont="1" applyBorder="1" applyAlignment="1">
      <alignment horizontal="right"/>
    </xf>
    <xf numFmtId="0" fontId="22" fillId="0" borderId="45" xfId="10" applyFont="1" applyBorder="1" applyAlignment="1">
      <alignment horizontal="right"/>
    </xf>
    <xf numFmtId="0" fontId="22" fillId="0" borderId="36" xfId="10" applyFont="1" applyBorder="1" applyAlignment="1">
      <alignment horizontal="right"/>
    </xf>
    <xf numFmtId="0" fontId="33" fillId="0" borderId="3" xfId="4" applyFont="1" applyBorder="1" applyAlignment="1">
      <alignment horizontal="center" vertical="center" wrapText="1"/>
    </xf>
    <xf numFmtId="0" fontId="33" fillId="0" borderId="5" xfId="4" applyFont="1" applyBorder="1" applyAlignment="1">
      <alignment horizontal="center" vertical="center" wrapText="1"/>
    </xf>
    <xf numFmtId="0" fontId="33" fillId="0" borderId="8" xfId="4" applyFont="1" applyBorder="1" applyAlignment="1">
      <alignment horizontal="center" vertical="center" wrapText="1"/>
    </xf>
    <xf numFmtId="0" fontId="33" fillId="0" borderId="10" xfId="4" applyFont="1" applyBorder="1" applyAlignment="1">
      <alignment horizontal="center" vertical="center" wrapText="1"/>
    </xf>
    <xf numFmtId="0" fontId="31" fillId="0" borderId="11" xfId="4" applyFont="1" applyBorder="1" applyAlignment="1">
      <alignment horizontal="center" vertical="center" wrapText="1"/>
    </xf>
    <xf numFmtId="0" fontId="31" fillId="0" borderId="12" xfId="4" applyFont="1" applyBorder="1" applyAlignment="1">
      <alignment horizontal="center" vertical="center" wrapText="1"/>
    </xf>
    <xf numFmtId="0" fontId="33" fillId="2" borderId="11" xfId="4" applyFont="1" applyFill="1" applyBorder="1" applyAlignment="1">
      <alignment horizontal="center"/>
    </xf>
    <xf numFmtId="0" fontId="33" fillId="2" borderId="12" xfId="4" applyFont="1" applyFill="1" applyBorder="1" applyAlignment="1">
      <alignment horizontal="center"/>
    </xf>
    <xf numFmtId="166" fontId="33" fillId="2" borderId="11" xfId="4" applyNumberFormat="1" applyFont="1" applyFill="1" applyBorder="1" applyAlignment="1">
      <alignment horizontal="center"/>
    </xf>
    <xf numFmtId="166" fontId="33" fillId="2" borderId="12" xfId="4" applyNumberFormat="1" applyFont="1" applyFill="1" applyBorder="1" applyAlignment="1">
      <alignment horizontal="center"/>
    </xf>
    <xf numFmtId="0" fontId="3" fillId="0" borderId="48" xfId="4" applyBorder="1" applyAlignment="1">
      <alignment horizontal="center" vertical="center" wrapText="1"/>
    </xf>
    <xf numFmtId="0" fontId="3" fillId="0" borderId="50" xfId="4" applyBorder="1" applyAlignment="1">
      <alignment horizontal="center" vertical="center" wrapText="1"/>
    </xf>
    <xf numFmtId="0" fontId="3" fillId="0" borderId="49" xfId="4" applyBorder="1" applyAlignment="1">
      <alignment horizontal="center" vertical="center" wrapText="1"/>
    </xf>
    <xf numFmtId="0" fontId="3" fillId="0" borderId="51" xfId="4" applyBorder="1" applyAlignment="1">
      <alignment horizontal="center" vertical="center" wrapText="1"/>
    </xf>
    <xf numFmtId="0" fontId="31" fillId="0" borderId="22" xfId="4" applyFont="1" applyBorder="1" applyAlignment="1">
      <alignment horizontal="center" vertical="center" wrapText="1"/>
    </xf>
    <xf numFmtId="0" fontId="31" fillId="0" borderId="23" xfId="4" applyFont="1" applyBorder="1" applyAlignment="1">
      <alignment horizontal="center" vertical="center" wrapText="1"/>
    </xf>
    <xf numFmtId="1" fontId="31" fillId="0" borderId="47" xfId="4" applyNumberFormat="1" applyFont="1" applyBorder="1" applyAlignment="1">
      <alignment horizontal="center" vertical="center" wrapText="1"/>
    </xf>
    <xf numFmtId="1" fontId="31" fillId="0" borderId="13" xfId="4" applyNumberFormat="1" applyFont="1" applyBorder="1" applyAlignment="1">
      <alignment horizontal="center" vertical="center" wrapText="1"/>
    </xf>
    <xf numFmtId="167" fontId="31" fillId="0" borderId="13" xfId="4" applyNumberFormat="1" applyFont="1" applyBorder="1" applyAlignment="1">
      <alignment horizontal="center" vertical="center" wrapText="1"/>
    </xf>
    <xf numFmtId="166" fontId="33" fillId="0" borderId="27" xfId="4" applyNumberFormat="1" applyFont="1" applyBorder="1" applyAlignment="1">
      <alignment horizontal="center"/>
    </xf>
    <xf numFmtId="166" fontId="33" fillId="0" borderId="29" xfId="4" applyNumberFormat="1" applyFont="1" applyBorder="1" applyAlignment="1">
      <alignment horizontal="center"/>
    </xf>
    <xf numFmtId="165" fontId="33" fillId="0" borderId="55" xfId="4" applyNumberFormat="1" applyFont="1" applyBorder="1" applyAlignment="1">
      <alignment horizontal="center" vertical="center" wrapText="1"/>
    </xf>
    <xf numFmtId="165" fontId="33" fillId="0" borderId="28" xfId="4" applyNumberFormat="1" applyFont="1" applyBorder="1" applyAlignment="1">
      <alignment horizontal="center" vertical="center" wrapText="1"/>
    </xf>
    <xf numFmtId="167" fontId="31" fillId="0" borderId="28" xfId="4" applyNumberFormat="1" applyFont="1" applyBorder="1" applyAlignment="1">
      <alignment horizontal="center" vertical="center" wrapText="1"/>
    </xf>
    <xf numFmtId="0" fontId="8" fillId="0" borderId="11" xfId="4" applyFont="1" applyBorder="1" applyAlignment="1">
      <alignment horizontal="center" vertical="center" wrapText="1"/>
    </xf>
    <xf numFmtId="0" fontId="8" fillId="0" borderId="43" xfId="4" applyFont="1" applyBorder="1" applyAlignment="1">
      <alignment horizontal="center" vertical="center" wrapText="1"/>
    </xf>
    <xf numFmtId="0" fontId="8" fillId="0" borderId="4" xfId="4" applyFont="1" applyBorder="1" applyAlignment="1">
      <alignment horizontal="center" vertical="center" wrapText="1"/>
    </xf>
    <xf numFmtId="0" fontId="8" fillId="0" borderId="5" xfId="4" applyFont="1" applyBorder="1" applyAlignment="1">
      <alignment horizontal="center" vertical="center" wrapText="1"/>
    </xf>
    <xf numFmtId="0" fontId="3" fillId="0" borderId="0" xfId="4" applyAlignment="1">
      <alignment horizontal="center" vertical="center" wrapText="1"/>
    </xf>
    <xf numFmtId="0" fontId="31" fillId="0" borderId="24" xfId="4" applyFont="1" applyBorder="1" applyAlignment="1">
      <alignment horizontal="center" vertical="center" wrapText="1"/>
    </xf>
    <xf numFmtId="0" fontId="6" fillId="0" borderId="52" xfId="10" applyBorder="1" applyAlignment="1">
      <alignment horizontal="center" vertical="center"/>
    </xf>
    <xf numFmtId="0" fontId="6" fillId="0" borderId="51" xfId="10" applyBorder="1" applyAlignment="1">
      <alignment horizontal="center" vertical="center"/>
    </xf>
    <xf numFmtId="0" fontId="33" fillId="0" borderId="26" xfId="4" applyFont="1" applyBorder="1" applyAlignment="1">
      <alignment horizontal="center"/>
    </xf>
    <xf numFmtId="0" fontId="33" fillId="0" borderId="17" xfId="4" applyFont="1" applyBorder="1" applyAlignment="1">
      <alignment horizontal="center"/>
    </xf>
    <xf numFmtId="166" fontId="33" fillId="2" borderId="17" xfId="4" applyNumberFormat="1" applyFont="1" applyFill="1" applyBorder="1" applyAlignment="1">
      <alignment horizontal="center"/>
    </xf>
    <xf numFmtId="166" fontId="33" fillId="2" borderId="16" xfId="4" applyNumberFormat="1" applyFont="1" applyFill="1" applyBorder="1" applyAlignment="1">
      <alignment horizontal="center"/>
    </xf>
    <xf numFmtId="1" fontId="31" fillId="0" borderId="6" xfId="4" applyNumberFormat="1" applyFont="1" applyBorder="1" applyAlignment="1">
      <alignment horizontal="center" vertical="center" wrapText="1"/>
    </xf>
    <xf numFmtId="1" fontId="31" fillId="0" borderId="53" xfId="4" applyNumberFormat="1" applyFont="1" applyBorder="1" applyAlignment="1">
      <alignment horizontal="center" vertical="center" wrapText="1"/>
    </xf>
    <xf numFmtId="167" fontId="31" fillId="0" borderId="54" xfId="4" applyNumberFormat="1" applyFont="1" applyBorder="1" applyAlignment="1">
      <alignment horizontal="center" vertical="center" wrapText="1"/>
    </xf>
    <xf numFmtId="167" fontId="31" fillId="0" borderId="53" xfId="4" applyNumberFormat="1" applyFont="1" applyBorder="1" applyAlignment="1">
      <alignment horizontal="center" vertical="center" wrapText="1"/>
    </xf>
  </cellXfs>
  <cellStyles count="11">
    <cellStyle name="Normal" xfId="0" builtinId="0"/>
    <cellStyle name="Normal 2" xfId="1" xr:uid="{00000000-0005-0000-0000-000001000000}"/>
    <cellStyle name="Normal 2 2" xfId="8" xr:uid="{00000000-0005-0000-0000-000002000000}"/>
    <cellStyle name="Normal 2 3" xfId="6" xr:uid="{00000000-0005-0000-0000-000003000000}"/>
    <cellStyle name="Normal 3" xfId="2" xr:uid="{00000000-0005-0000-0000-000004000000}"/>
    <cellStyle name="Normal 3 2" xfId="9" xr:uid="{00000000-0005-0000-0000-000005000000}"/>
    <cellStyle name="Normal 3 3" xfId="10" xr:uid="{3D92C921-03E6-48F2-A069-CD64144004FE}"/>
    <cellStyle name="Normal 4" xfId="7" xr:uid="{00000000-0005-0000-0000-000006000000}"/>
    <cellStyle name="Normal 5" xfId="4" xr:uid="{00000000-0005-0000-0000-000007000000}"/>
    <cellStyle name="Percent" xfId="3" builtinId="5"/>
    <cellStyle name="Percent 2" xfId="5" xr:uid="{00000000-0005-0000-0000-000009000000}"/>
  </cellStyles>
  <dxfs count="67">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s>
  <tableStyles count="0" defaultTableStyle="TableStyleMedium9" defaultPivotStyle="PivotStyleLight16"/>
  <colors>
    <mruColors>
      <color rgb="FFFF3300"/>
      <color rgb="FFFF99CC"/>
      <color rgb="FF3366FF"/>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Forest</a:t>
            </a:r>
            <a:r>
              <a:rPr lang="en-US" baseline="0"/>
              <a:t> </a:t>
            </a:r>
            <a:r>
              <a:rPr lang="en-US"/>
              <a:t>Carbon Deficit Functions</a:t>
            </a:r>
          </a:p>
          <a:p>
            <a:pPr>
              <a:defRPr/>
            </a:pPr>
            <a:r>
              <a:rPr lang="en-US" i="1"/>
              <a:t>Thinnings</a:t>
            </a:r>
            <a:r>
              <a:rPr lang="en-US" i="1" baseline="0"/>
              <a:t> and Residues</a:t>
            </a:r>
            <a:endParaRPr lang="en-US" i="1"/>
          </a:p>
        </c:rich>
      </c:tx>
      <c:layout>
        <c:manualLayout>
          <c:xMode val="edge"/>
          <c:yMode val="edge"/>
          <c:x val="0.32714618819008834"/>
          <c:y val="5.5411647320150484E-2"/>
        </c:manualLayout>
      </c:layout>
      <c:overlay val="0"/>
    </c:title>
    <c:autoTitleDeleted val="0"/>
    <c:plotArea>
      <c:layout>
        <c:manualLayout>
          <c:layoutTarget val="inner"/>
          <c:xMode val="edge"/>
          <c:yMode val="edge"/>
          <c:x val="0.1055857392825906"/>
          <c:y val="5.1298768155777226E-2"/>
          <c:w val="0.83695401007993864"/>
          <c:h val="0.79862463040854392"/>
        </c:manualLayout>
      </c:layout>
      <c:scatterChart>
        <c:scatterStyle val="smoothMarker"/>
        <c:varyColors val="0"/>
        <c:ser>
          <c:idx val="0"/>
          <c:order val="0"/>
          <c:tx>
            <c:v>Thinnings Only</c:v>
          </c:tx>
          <c:spPr>
            <a:ln w="38100">
              <a:solidFill>
                <a:schemeClr val="accent2"/>
              </a:solidFill>
            </a:ln>
          </c:spPr>
          <c:marker>
            <c:symbol val="circle"/>
            <c:size val="9"/>
            <c:spPr>
              <a:solidFill>
                <a:schemeClr val="accent2"/>
              </a:solidFill>
              <a:ln>
                <a:solidFill>
                  <a:schemeClr val="accent2"/>
                </a:solidFill>
              </a:ln>
            </c:spPr>
          </c:marker>
          <c:trendline>
            <c:name>Trendline - Thinnings Only</c:name>
            <c:spPr>
              <a:ln w="28575" cmpd="sng">
                <a:prstDash val="dash"/>
              </a:ln>
            </c:spPr>
            <c:trendlineType val="exp"/>
            <c:dispRSqr val="0"/>
            <c:dispEq val="1"/>
            <c:trendlineLbl>
              <c:layout>
                <c:manualLayout>
                  <c:x val="0.13595151029404387"/>
                  <c:y val="-0.16570536414077774"/>
                </c:manualLayout>
              </c:layout>
              <c:tx>
                <c:rich>
                  <a:bodyPr/>
                  <a:lstStyle/>
                  <a:p>
                    <a:pPr>
                      <a:defRPr sz="1400" b="1"/>
                    </a:pPr>
                    <a:r>
                      <a:rPr lang="en-US" baseline="0"/>
                      <a:t>Thinnings Trendline Equation</a:t>
                    </a:r>
                  </a:p>
                  <a:p>
                    <a:pPr>
                      <a:defRPr sz="1400" b="1"/>
                    </a:pPr>
                    <a:r>
                      <a:rPr lang="en-US" baseline="0"/>
                      <a:t>y = 1.1239e</a:t>
                    </a:r>
                    <a:r>
                      <a:rPr lang="en-US" baseline="30000"/>
                      <a:t>-0.012x</a:t>
                    </a:r>
                    <a:endParaRPr lang="en-US"/>
                  </a:p>
                </c:rich>
              </c:tx>
              <c:numFmt formatCode="General" sourceLinked="0"/>
              <c:spPr>
                <a:solidFill>
                  <a:schemeClr val="bg1"/>
                </a:solidFill>
                <a:ln>
                  <a:solidFill>
                    <a:sysClr val="windowText" lastClr="000000">
                      <a:shade val="95000"/>
                      <a:satMod val="105000"/>
                    </a:sysClr>
                  </a:solidFill>
                </a:ln>
              </c:spPr>
            </c:trendlineLbl>
          </c:trendline>
          <c:xVal>
            <c:numLit>
              <c:formatCode>General</c:formatCode>
              <c:ptCount val="10"/>
              <c:pt idx="0">
                <c:v>0</c:v>
              </c:pt>
              <c:pt idx="1">
                <c:v>10</c:v>
              </c:pt>
              <c:pt idx="2">
                <c:v>20</c:v>
              </c:pt>
              <c:pt idx="3">
                <c:v>30</c:v>
              </c:pt>
              <c:pt idx="4">
                <c:v>40</c:v>
              </c:pt>
              <c:pt idx="5">
                <c:v>50</c:v>
              </c:pt>
              <c:pt idx="6">
                <c:v>60</c:v>
              </c:pt>
              <c:pt idx="7">
                <c:v>70</c:v>
              </c:pt>
              <c:pt idx="8">
                <c:v>80</c:v>
              </c:pt>
              <c:pt idx="9">
                <c:v>90</c:v>
              </c:pt>
            </c:numLit>
          </c:xVal>
          <c:yVal>
            <c:numLit>
              <c:formatCode>General</c:formatCode>
              <c:ptCount val="10"/>
              <c:pt idx="0">
                <c:v>1</c:v>
              </c:pt>
              <c:pt idx="1">
                <c:v>1.105</c:v>
              </c:pt>
              <c:pt idx="2">
                <c:v>0.96500000000000008</c:v>
              </c:pt>
              <c:pt idx="3">
                <c:v>0.7649999999999999</c:v>
              </c:pt>
              <c:pt idx="4">
                <c:v>0.65500000000000003</c:v>
              </c:pt>
              <c:pt idx="5">
                <c:v>0.61499999999999999</c:v>
              </c:pt>
            </c:numLit>
          </c:yVal>
          <c:smooth val="1"/>
          <c:extLst>
            <c:ext xmlns:c16="http://schemas.microsoft.com/office/drawing/2014/chart" uri="{C3380CC4-5D6E-409C-BE32-E72D297353CC}">
              <c16:uniqueId val="{00000001-AA0A-4493-9A6C-1A3B2ADEE666}"/>
            </c:ext>
          </c:extLst>
        </c:ser>
        <c:ser>
          <c:idx val="1"/>
          <c:order val="1"/>
          <c:tx>
            <c:v>Residues Only</c:v>
          </c:tx>
          <c:spPr>
            <a:ln>
              <a:solidFill>
                <a:schemeClr val="tx2"/>
              </a:solidFill>
            </a:ln>
          </c:spPr>
          <c:marker>
            <c:spPr>
              <a:solidFill>
                <a:schemeClr val="tx2"/>
              </a:solidFill>
              <a:ln>
                <a:solidFill>
                  <a:srgbClr val="1F497D"/>
                </a:solidFill>
              </a:ln>
            </c:spPr>
          </c:marker>
          <c:trendline>
            <c:trendlineType val="power"/>
            <c:dispRSqr val="0"/>
            <c:dispEq val="0"/>
          </c:trendline>
          <c:trendline>
            <c:trendlineType val="log"/>
            <c:dispRSqr val="0"/>
            <c:dispEq val="0"/>
          </c:trendline>
          <c:trendline>
            <c:trendlineType val="power"/>
            <c:dispRSqr val="0"/>
            <c:dispEq val="0"/>
          </c:trendline>
          <c:trendline>
            <c:trendlineType val="log"/>
            <c:dispRSqr val="0"/>
            <c:dispEq val="0"/>
          </c:trendline>
          <c:trendline>
            <c:trendlineType val="log"/>
            <c:dispRSqr val="0"/>
            <c:dispEq val="0"/>
          </c:trendline>
          <c:trendline>
            <c:trendlineType val="log"/>
            <c:dispRSqr val="0"/>
            <c:dispEq val="1"/>
            <c:trendlineLbl>
              <c:numFmt formatCode="General" sourceLinked="0"/>
            </c:trendlineLbl>
          </c:trendline>
          <c:trendline>
            <c:trendlineType val="power"/>
            <c:dispRSqr val="0"/>
            <c:dispEq val="1"/>
            <c:trendlineLbl>
              <c:numFmt formatCode="General" sourceLinked="0"/>
            </c:trendlineLbl>
          </c:trendline>
          <c:xVal>
            <c:numLit>
              <c:formatCode>General</c:formatCode>
              <c:ptCount val="10"/>
              <c:pt idx="0">
                <c:v>0</c:v>
              </c:pt>
              <c:pt idx="1">
                <c:v>10</c:v>
              </c:pt>
              <c:pt idx="2">
                <c:v>20</c:v>
              </c:pt>
              <c:pt idx="3">
                <c:v>30</c:v>
              </c:pt>
              <c:pt idx="4">
                <c:v>40</c:v>
              </c:pt>
              <c:pt idx="5">
                <c:v>50</c:v>
              </c:pt>
              <c:pt idx="6">
                <c:v>60</c:v>
              </c:pt>
              <c:pt idx="7">
                <c:v>70</c:v>
              </c:pt>
              <c:pt idx="8">
                <c:v>80</c:v>
              </c:pt>
              <c:pt idx="9">
                <c:v>90</c:v>
              </c:pt>
            </c:numLit>
          </c:xVal>
          <c:yVal>
            <c:numLit>
              <c:formatCode>General</c:formatCode>
              <c:ptCount val="10"/>
              <c:pt idx="0">
                <c:v>1</c:v>
              </c:pt>
              <c:pt idx="1">
                <c:v>0.31999999999999995</c:v>
              </c:pt>
              <c:pt idx="2">
                <c:v>0.13</c:v>
              </c:pt>
              <c:pt idx="3">
                <c:v>6.9999999999999951E-2</c:v>
              </c:pt>
              <c:pt idx="4">
                <c:v>4.0000000000000036E-2</c:v>
              </c:pt>
              <c:pt idx="5">
                <c:v>3.0000000000000027E-2</c:v>
              </c:pt>
            </c:numLit>
          </c:yVal>
          <c:smooth val="1"/>
          <c:extLst>
            <c:ext xmlns:c16="http://schemas.microsoft.com/office/drawing/2014/chart" uri="{C3380CC4-5D6E-409C-BE32-E72D297353CC}">
              <c16:uniqueId val="{00000009-AA0A-4493-9A6C-1A3B2ADEE666}"/>
            </c:ext>
          </c:extLst>
        </c:ser>
        <c:dLbls>
          <c:showLegendKey val="0"/>
          <c:showVal val="0"/>
          <c:showCatName val="0"/>
          <c:showSerName val="0"/>
          <c:showPercent val="0"/>
          <c:showBubbleSize val="0"/>
        </c:dLbls>
        <c:axId val="83292160"/>
        <c:axId val="83294080"/>
      </c:scatterChart>
      <c:valAx>
        <c:axId val="83292160"/>
        <c:scaling>
          <c:orientation val="minMax"/>
          <c:max val="100"/>
          <c:min val="0"/>
        </c:scaling>
        <c:delete val="0"/>
        <c:axPos val="b"/>
        <c:title>
          <c:tx>
            <c:rich>
              <a:bodyPr/>
              <a:lstStyle/>
              <a:p>
                <a:pPr>
                  <a:defRPr sz="1200"/>
                </a:pPr>
                <a:r>
                  <a:rPr lang="en-US" sz="1200"/>
                  <a:t>Year after Harvest</a:t>
                </a:r>
              </a:p>
            </c:rich>
          </c:tx>
          <c:overlay val="0"/>
        </c:title>
        <c:numFmt formatCode="General" sourceLinked="1"/>
        <c:majorTickMark val="out"/>
        <c:minorTickMark val="none"/>
        <c:tickLblPos val="nextTo"/>
        <c:crossAx val="83294080"/>
        <c:crosses val="autoZero"/>
        <c:crossBetween val="midCat"/>
        <c:majorUnit val="10"/>
      </c:valAx>
      <c:valAx>
        <c:axId val="83294080"/>
        <c:scaling>
          <c:orientation val="minMax"/>
        </c:scaling>
        <c:delete val="0"/>
        <c:axPos val="l"/>
        <c:majorGridlines/>
        <c:title>
          <c:tx>
            <c:rich>
              <a:bodyPr rot="-5400000" vert="horz"/>
              <a:lstStyle/>
              <a:p>
                <a:pPr>
                  <a:defRPr sz="1200"/>
                </a:pPr>
                <a:r>
                  <a:rPr lang="en-US" sz="1200"/>
                  <a:t>Carbon Deficit</a:t>
                </a:r>
              </a:p>
            </c:rich>
          </c:tx>
          <c:overlay val="0"/>
        </c:title>
        <c:numFmt formatCode="General" sourceLinked="1"/>
        <c:majorTickMark val="out"/>
        <c:minorTickMark val="none"/>
        <c:tickLblPos val="nextTo"/>
        <c:crossAx val="83292160"/>
        <c:crosses val="autoZero"/>
        <c:crossBetween val="midCat"/>
      </c:valAx>
    </c:plotArea>
    <c:legend>
      <c:legendPos val="r"/>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0.57050188009107172"/>
          <c:y val="0.65577320582547982"/>
          <c:w val="0.31804741998503688"/>
          <c:h val="0.15961148410600387"/>
        </c:manualLayout>
      </c:layout>
      <c:overlay val="0"/>
      <c:spPr>
        <a:solidFill>
          <a:schemeClr val="bg1"/>
        </a:solidFill>
        <a:ln>
          <a:solidFill>
            <a:schemeClr val="tx1"/>
          </a:solidFill>
        </a:ln>
      </c:spPr>
      <c:txPr>
        <a:bodyPr/>
        <a:lstStyle/>
        <a:p>
          <a:pPr>
            <a:defRPr sz="1000"/>
          </a:pPr>
          <a:endParaRPr lang="en-US"/>
        </a:p>
      </c:txPr>
    </c:legend>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Carbon Deficit Functions</a:t>
            </a:r>
            <a:r>
              <a:rPr lang="en-US" sz="1200" baseline="0"/>
              <a:t> </a:t>
            </a:r>
            <a:r>
              <a:rPr lang="en-US" sz="1200"/>
              <a:t>for Biomass</a:t>
            </a:r>
            <a:r>
              <a:rPr lang="en-US" sz="1200" baseline="0"/>
              <a:t> Harvests</a:t>
            </a:r>
          </a:p>
          <a:p>
            <a:pPr>
              <a:defRPr sz="1200"/>
            </a:pPr>
            <a:r>
              <a:rPr lang="en-US" sz="1000" baseline="0"/>
              <a:t>(normalized per unit of carbon removed)</a:t>
            </a:r>
            <a:endParaRPr lang="en-US" sz="1000"/>
          </a:p>
        </c:rich>
      </c:tx>
      <c:layout>
        <c:manualLayout>
          <c:xMode val="edge"/>
          <c:yMode val="edge"/>
          <c:x val="0.16553399064003341"/>
          <c:y val="4.4129364090566517E-2"/>
        </c:manualLayout>
      </c:layout>
      <c:overlay val="1"/>
      <c:spPr>
        <a:solidFill>
          <a:sysClr val="window" lastClr="FFFFFF"/>
        </a:solidFill>
        <a:ln>
          <a:noFill/>
        </a:ln>
      </c:spPr>
    </c:title>
    <c:autoTitleDeleted val="0"/>
    <c:plotArea>
      <c:layout>
        <c:manualLayout>
          <c:layoutTarget val="inner"/>
          <c:xMode val="edge"/>
          <c:yMode val="edge"/>
          <c:x val="0.16195866028006586"/>
          <c:y val="0.19538241854162824"/>
          <c:w val="0.78383770778652651"/>
          <c:h val="0.63728092322448804"/>
        </c:manualLayout>
      </c:layout>
      <c:scatterChart>
        <c:scatterStyle val="lineMarker"/>
        <c:varyColors val="0"/>
        <c:ser>
          <c:idx val="1"/>
          <c:order val="0"/>
          <c:tx>
            <c:v>Forest Thinnings</c:v>
          </c:tx>
          <c:marker>
            <c:symbol val="none"/>
          </c:marker>
          <c:xVal>
            <c:numLit>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Lit>
          </c:xVal>
          <c:yVal>
            <c:numLit>
              <c:formatCode>General</c:formatCode>
              <c:ptCount val="80"/>
              <c:pt idx="0">
                <c:v>1.1104937980855236</c:v>
              </c:pt>
              <c:pt idx="1">
                <c:v>1.0972475091969141</c:v>
              </c:pt>
              <c:pt idx="2">
                <c:v>1.084159225845682</c:v>
              </c:pt>
              <c:pt idx="3">
                <c:v>1.0712270632964074</c:v>
              </c:pt>
              <c:pt idx="4">
                <c:v>1.0584491592953371</c:v>
              </c:pt>
              <c:pt idx="5">
                <c:v>1.045823673802214</c:v>
              </c:pt>
              <c:pt idx="6">
                <c:v>1.0333487887253106</c:v>
              </c:pt>
              <c:pt idx="7">
                <c:v>1.0210227076596188</c:v>
              </c:pt>
              <c:pt idx="8">
                <c:v>1.0088436556281657</c:v>
              </c:pt>
              <c:pt idx="9">
                <c:v>0.99680987882641325</c:v>
              </c:pt>
              <c:pt idx="10">
                <c:v>0.98491964436970747</c:v>
              </c:pt>
              <c:pt idx="11">
                <c:v>0.97317124004374045</c:v>
              </c:pt>
              <c:pt idx="12">
                <c:v>0.96156297405798752</c:v>
              </c:pt>
              <c:pt idx="13">
                <c:v>0.95009317480208788</c:v>
              </c:pt>
              <c:pt idx="14">
                <c:v>0.9387601906051285</c:v>
              </c:pt>
              <c:pt idx="15">
                <c:v>0.92756238949780168</c:v>
              </c:pt>
              <c:pt idx="16">
                <c:v>0.91649815897739817</c:v>
              </c:pt>
              <c:pt idx="17">
                <c:v>0.9055659057756037</c:v>
              </c:pt>
              <c:pt idx="18">
                <c:v>0.89476405562906636</c:v>
              </c:pt>
              <c:pt idx="19">
                <c:v>0.88409105305269942</c:v>
              </c:pt>
              <c:pt idx="20">
                <c:v>0.87354536111568848</c:v>
              </c:pt>
              <c:pt idx="21">
                <c:v>0.86312546122017197</c:v>
              </c:pt>
              <c:pt idx="22">
                <c:v>0.85282985288255908</c:v>
              </c:pt>
              <c:pt idx="23">
                <c:v>0.84265705351745845</c:v>
              </c:pt>
              <c:pt idx="24">
                <c:v>0.83260559822418267</c:v>
              </c:pt>
              <c:pt idx="25">
                <c:v>0.82267403957580054</c:v>
              </c:pt>
              <c:pt idx="26">
                <c:v>0.8128609474107048</c:v>
              </c:pt>
              <c:pt idx="27">
                <c:v>0.80316490862666667</c:v>
              </c:pt>
              <c:pt idx="28">
                <c:v>0.79358452697734649</c:v>
              </c:pt>
              <c:pt idx="29">
                <c:v>0.78411842287123168</c:v>
              </c:pt>
              <c:pt idx="30">
                <c:v>0.77476523317297352</c:v>
              </c:pt>
              <c:pt idx="31">
                <c:v>0.76552361100709287</c:v>
              </c:pt>
              <c:pt idx="32">
                <c:v>0.75639222556402852</c:v>
              </c:pt>
              <c:pt idx="33">
                <c:v>0.74736976190849747</c:v>
              </c:pt>
              <c:pt idx="34">
                <c:v>0.73845492079014219</c:v>
              </c:pt>
              <c:pt idx="35">
                <c:v>0.72964641845643718</c:v>
              </c:pt>
              <c:pt idx="36">
                <c:v>0.72094298646782473</c:v>
              </c:pt>
              <c:pt idx="37">
                <c:v>0.71234337151505911</c:v>
              </c:pt>
              <c:pt idx="38">
                <c:v>0.70384633523872708</c:v>
              </c:pt>
              <c:pt idx="39">
                <c:v>0.69545065405092166</c:v>
              </c:pt>
              <c:pt idx="40">
                <c:v>0.68715511895904413</c:v>
              </c:pt>
              <c:pt idx="41">
                <c:v>0.67895853539170625</c:v>
              </c:pt>
              <c:pt idx="42">
                <c:v>0.67085972302671093</c:v>
              </c:pt>
              <c:pt idx="43">
                <c:v>0.66285751562108253</c:v>
              </c:pt>
              <c:pt idx="44">
                <c:v>0.65495076084312687</c:v>
              </c:pt>
              <c:pt idx="45">
                <c:v>0.64713832010649297</c:v>
              </c:pt>
              <c:pt idx="46">
                <c:v>0.63941906840621487</c:v>
              </c:pt>
              <c:pt idx="47">
                <c:v>0.63179189415670867</c:v>
              </c:pt>
              <c:pt idx="48">
                <c:v>0.62425569903170264</c:v>
              </c:pt>
              <c:pt idx="49">
                <c:v>0.61680939780607624</c:v>
              </c:pt>
              <c:pt idx="50">
                <c:v>0.60945191819958566</c:v>
              </c:pt>
              <c:pt idx="51">
                <c:v>0.60218220072245376</c:v>
              </c:pt>
              <c:pt idx="52">
                <c:v>0.5949991985228017</c:v>
              </c:pt>
              <c:pt idx="53">
                <c:v>0.58790187723590059</c:v>
              </c:pt>
              <c:pt idx="54">
                <c:v>0.5808892148352206</c:v>
              </c:pt>
              <c:pt idx="55">
                <c:v>0.5739602014852585</c:v>
              </c:pt>
              <c:pt idx="56">
                <c:v>0.56711383939611815</c:v>
              </c:pt>
              <c:pt idx="57">
                <c:v>0.56034914267982816</c:v>
              </c:pt>
              <c:pt idx="58">
                <c:v>0.55366513720837218</c:v>
              </c:pt>
              <c:pt idx="59">
                <c:v>0.54706086047341207</c:v>
              </c:pt>
              <c:pt idx="60">
                <c:v>0.54053536144768588</c:v>
              </c:pt>
              <c:pt idx="61">
                <c:v>0.53408770044805776</c:v>
              </c:pt>
              <c:pt idx="62">
                <c:v>0.52771694900020205</c:v>
              </c:pt>
              <c:pt idx="63">
                <c:v>0.52142218970490173</c:v>
              </c:pt>
              <c:pt idx="64">
                <c:v>0.5152025161059407</c:v>
              </c:pt>
              <c:pt idx="65">
                <c:v>0.50905703255957313</c:v>
              </c:pt>
              <c:pt idx="66">
                <c:v>0.50298485410554905</c:v>
              </c:pt>
              <c:pt idx="67">
                <c:v>0.49698510633967802</c:v>
              </c:pt>
              <c:pt idx="68">
                <c:v>0.49105692528791434</c:v>
              </c:pt>
              <c:pt idx="69">
                <c:v>0.48519945728194264</c:v>
              </c:pt>
              <c:pt idx="70">
                <c:v>0.47941185883624815</c:v>
              </c:pt>
              <c:pt idx="71">
                <c:v>0.47369329652665376</c:v>
              </c:pt>
              <c:pt idx="72">
                <c:v>0.46804294687030512</c:v>
              </c:pt>
              <c:pt idx="73">
                <c:v>0.46245999620708794</c:v>
              </c:pt>
              <c:pt idx="74">
                <c:v>0.45694364058245929</c:v>
              </c:pt>
              <c:pt idx="75">
                <c:v>0.45149308563167689</c:v>
              </c:pt>
              <c:pt idx="76">
                <c:v>0.44610754646540923</c:v>
              </c:pt>
              <c:pt idx="77">
                <c:v>0.4407862475567102</c:v>
              </c:pt>
              <c:pt idx="78">
                <c:v>0.43552842262934155</c:v>
              </c:pt>
              <c:pt idx="79">
                <c:v>0.4303333145474284</c:v>
              </c:pt>
            </c:numLit>
          </c:yVal>
          <c:smooth val="0"/>
          <c:extLst>
            <c:ext xmlns:c16="http://schemas.microsoft.com/office/drawing/2014/chart" uri="{C3380CC4-5D6E-409C-BE32-E72D297353CC}">
              <c16:uniqueId val="{00000000-32AA-4A87-BC6F-E738678F053E}"/>
            </c:ext>
          </c:extLst>
        </c:ser>
        <c:ser>
          <c:idx val="0"/>
          <c:order val="1"/>
          <c:tx>
            <c:v>Forest Residues &amp; Salvage</c:v>
          </c:tx>
          <c:marker>
            <c:symbol val="none"/>
          </c:marker>
          <c:xVal>
            <c:numLit>
              <c:formatCode>General</c:formatCode>
              <c:ptCount val="36"/>
              <c:pt idx="0">
                <c:v>1</c:v>
              </c:pt>
              <c:pt idx="1">
                <c:v>10</c:v>
              </c:pt>
              <c:pt idx="2">
                <c:v>20</c:v>
              </c:pt>
              <c:pt idx="3">
                <c:v>30</c:v>
              </c:pt>
              <c:pt idx="4">
                <c:v>40</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numLit>
          </c:xVal>
          <c:yVal>
            <c:numLit>
              <c:formatCode>General</c:formatCode>
              <c:ptCount val="36"/>
              <c:pt idx="0">
                <c:v>0.93199999999999994</c:v>
              </c:pt>
              <c:pt idx="1">
                <c:v>0.31999999999999995</c:v>
              </c:pt>
              <c:pt idx="2">
                <c:v>0.13</c:v>
              </c:pt>
              <c:pt idx="3">
                <c:v>6.9999999999999951E-2</c:v>
              </c:pt>
              <c:pt idx="4">
                <c:v>4.0000000000000036E-2</c:v>
              </c:pt>
              <c:pt idx="5">
                <c:v>3.0000000000000027E-2</c:v>
              </c:pt>
              <c:pt idx="6">
                <c:v>2.9000000000000026E-2</c:v>
              </c:pt>
              <c:pt idx="7">
                <c:v>2.8000000000000025E-2</c:v>
              </c:pt>
              <c:pt idx="8">
                <c:v>2.7000000000000024E-2</c:v>
              </c:pt>
              <c:pt idx="9">
                <c:v>2.6000000000000023E-2</c:v>
              </c:pt>
              <c:pt idx="10">
                <c:v>2.5000000000000022E-2</c:v>
              </c:pt>
              <c:pt idx="11">
                <c:v>2.4000000000000021E-2</c:v>
              </c:pt>
              <c:pt idx="12">
                <c:v>2.300000000000002E-2</c:v>
              </c:pt>
              <c:pt idx="13">
                <c:v>2.200000000000002E-2</c:v>
              </c:pt>
              <c:pt idx="14">
                <c:v>2.1000000000000019E-2</c:v>
              </c:pt>
              <c:pt idx="15">
                <c:v>2.0000000000000018E-2</c:v>
              </c:pt>
              <c:pt idx="16">
                <c:v>1.9000000000000017E-2</c:v>
              </c:pt>
              <c:pt idx="17">
                <c:v>1.8000000000000016E-2</c:v>
              </c:pt>
              <c:pt idx="18">
                <c:v>1.7000000000000015E-2</c:v>
              </c:pt>
              <c:pt idx="19">
                <c:v>1.6000000000000014E-2</c:v>
              </c:pt>
              <c:pt idx="20">
                <c:v>1.5000000000000013E-2</c:v>
              </c:pt>
              <c:pt idx="21">
                <c:v>1.4000000000000012E-2</c:v>
              </c:pt>
              <c:pt idx="22">
                <c:v>1.3000000000000012E-2</c:v>
              </c:pt>
              <c:pt idx="23">
                <c:v>1.2000000000000011E-2</c:v>
              </c:pt>
              <c:pt idx="24">
                <c:v>1.100000000000001E-2</c:v>
              </c:pt>
              <c:pt idx="25">
                <c:v>1.0000000000000009E-2</c:v>
              </c:pt>
              <c:pt idx="26">
                <c:v>9.000000000000008E-3</c:v>
              </c:pt>
              <c:pt idx="27">
                <c:v>8.0000000000000071E-3</c:v>
              </c:pt>
              <c:pt idx="28">
                <c:v>7.0000000000000062E-3</c:v>
              </c:pt>
              <c:pt idx="29">
                <c:v>6.0000000000000053E-3</c:v>
              </c:pt>
              <c:pt idx="30">
                <c:v>5.0000000000000044E-3</c:v>
              </c:pt>
              <c:pt idx="31">
                <c:v>4.0000000000000036E-3</c:v>
              </c:pt>
              <c:pt idx="32">
                <c:v>3.0000000000000027E-3</c:v>
              </c:pt>
              <c:pt idx="33">
                <c:v>2.0000000000000018E-3</c:v>
              </c:pt>
              <c:pt idx="34">
                <c:v>1.0000000000000009E-3</c:v>
              </c:pt>
              <c:pt idx="35">
                <c:v>0</c:v>
              </c:pt>
            </c:numLit>
          </c:yVal>
          <c:smooth val="1"/>
          <c:extLst>
            <c:ext xmlns:c16="http://schemas.microsoft.com/office/drawing/2014/chart" uri="{C3380CC4-5D6E-409C-BE32-E72D297353CC}">
              <c16:uniqueId val="{00000001-32AA-4A87-BC6F-E738678F053E}"/>
            </c:ext>
          </c:extLst>
        </c:ser>
        <c:ser>
          <c:idx val="2"/>
          <c:order val="2"/>
          <c:tx>
            <c:v>Non-Forest Residues</c:v>
          </c:tx>
          <c:marker>
            <c:symbol val="none"/>
          </c:marker>
          <c:xVal>
            <c:numLit>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Lit>
          </c:xVal>
          <c:yVal>
            <c:numLit>
              <c:formatCode>General</c:formatCode>
              <c:ptCount val="80"/>
              <c:pt idx="0">
                <c:v>0.93303299153680741</c:v>
              </c:pt>
              <c:pt idx="1">
                <c:v>0.81225239635623558</c:v>
              </c:pt>
              <c:pt idx="2">
                <c:v>0.70710678118654757</c:v>
              </c:pt>
              <c:pt idx="3">
                <c:v>0.61557220667245816</c:v>
              </c:pt>
              <c:pt idx="4">
                <c:v>0.53588673126814657</c:v>
              </c:pt>
              <c:pt idx="5">
                <c:v>0.46651649576840371</c:v>
              </c:pt>
              <c:pt idx="6">
                <c:v>0.40612619817811779</c:v>
              </c:pt>
              <c:pt idx="7">
                <c:v>0.35355339059327379</c:v>
              </c:pt>
              <c:pt idx="8">
                <c:v>0.30778610333622908</c:v>
              </c:pt>
              <c:pt idx="9">
                <c:v>0.26794336563407328</c:v>
              </c:pt>
              <c:pt idx="10">
                <c:v>0.23325824788420185</c:v>
              </c:pt>
              <c:pt idx="11">
                <c:v>0.2030630990890589</c:v>
              </c:pt>
              <c:pt idx="12">
                <c:v>0.17677669529663692</c:v>
              </c:pt>
              <c:pt idx="13">
                <c:v>0.15389305166811457</c:v>
              </c:pt>
              <c:pt idx="14">
                <c:v>0.13397168281703667</c:v>
              </c:pt>
              <c:pt idx="15">
                <c:v>0.11662912394210094</c:v>
              </c:pt>
              <c:pt idx="16">
                <c:v>0.10153154954452946</c:v>
              </c:pt>
              <c:pt idx="17">
                <c:v>8.8388347648318447E-2</c:v>
              </c:pt>
              <c:pt idx="18">
                <c:v>7.6946525834057283E-2</c:v>
              </c:pt>
              <c:pt idx="19">
                <c:v>6.6985841408518335E-2</c:v>
              </c:pt>
              <c:pt idx="20">
                <c:v>5.831456197105047E-2</c:v>
              </c:pt>
              <c:pt idx="21">
                <c:v>5.0765774772264724E-2</c:v>
              </c:pt>
              <c:pt idx="22">
                <c:v>4.4194173824159223E-2</c:v>
              </c:pt>
              <c:pt idx="23">
                <c:v>3.8473262917028635E-2</c:v>
              </c:pt>
              <c:pt idx="24">
                <c:v>3.3492920704259174E-2</c:v>
              </c:pt>
              <c:pt idx="25">
                <c:v>2.9157280985525245E-2</c:v>
              </c:pt>
              <c:pt idx="26">
                <c:v>2.5382887386132372E-2</c:v>
              </c:pt>
              <c:pt idx="27">
                <c:v>2.2097086912079619E-2</c:v>
              </c:pt>
              <c:pt idx="28">
                <c:v>1.9236631458514324E-2</c:v>
              </c:pt>
              <c:pt idx="29">
                <c:v>1.6746460352129587E-2</c:v>
              </c:pt>
              <c:pt idx="30">
                <c:v>1.4578640492762621E-2</c:v>
              </c:pt>
              <c:pt idx="31">
                <c:v>1.2691443693066184E-2</c:v>
              </c:pt>
              <c:pt idx="32">
                <c:v>1.1048543456039809E-2</c:v>
              </c:pt>
              <c:pt idx="33">
                <c:v>9.6183157292571621E-3</c:v>
              </c:pt>
              <c:pt idx="34">
                <c:v>8.3732301760647936E-3</c:v>
              </c:pt>
              <c:pt idx="35">
                <c:v>7.2893202463813096E-3</c:v>
              </c:pt>
              <c:pt idx="36">
                <c:v>6.3457218465330914E-3</c:v>
              </c:pt>
              <c:pt idx="37">
                <c:v>5.5242717280199038E-3</c:v>
              </c:pt>
              <c:pt idx="38">
                <c:v>4.8091578646285802E-3</c:v>
              </c:pt>
              <c:pt idx="39">
                <c:v>4.1866150880323959E-3</c:v>
              </c:pt>
              <c:pt idx="40">
                <c:v>3.6446601231906548E-3</c:v>
              </c:pt>
              <c:pt idx="41">
                <c:v>3.1728609232665457E-3</c:v>
              </c:pt>
              <c:pt idx="42">
                <c:v>2.7621358640099515E-3</c:v>
              </c:pt>
              <c:pt idx="43">
                <c:v>2.4045789323142901E-3</c:v>
              </c:pt>
              <c:pt idx="44">
                <c:v>2.093307544016198E-3</c:v>
              </c:pt>
              <c:pt idx="45">
                <c:v>1.8223300615953272E-3</c:v>
              </c:pt>
              <c:pt idx="46">
                <c:v>1.5864304616332726E-3</c:v>
              </c:pt>
              <c:pt idx="47">
                <c:v>1.3810679320049757E-3</c:v>
              </c:pt>
              <c:pt idx="48">
                <c:v>1.2022894661571459E-3</c:v>
              </c:pt>
              <c:pt idx="49">
                <c:v>1.0466537720080998E-3</c:v>
              </c:pt>
              <c:pt idx="50">
                <c:v>9.1116503079766435E-4</c:v>
              </c:pt>
              <c:pt idx="51">
                <c:v>7.9321523081663696E-4</c:v>
              </c:pt>
              <c:pt idx="52">
                <c:v>6.9053396600248841E-4</c:v>
              </c:pt>
              <c:pt idx="53">
                <c:v>6.0114473307857296E-4</c:v>
              </c:pt>
              <c:pt idx="54">
                <c:v>5.2332688600404981E-4</c:v>
              </c:pt>
              <c:pt idx="55">
                <c:v>4.5558251539883212E-4</c:v>
              </c:pt>
              <c:pt idx="56">
                <c:v>3.9660761540831843E-4</c:v>
              </c:pt>
              <c:pt idx="57">
                <c:v>3.4526698300124415E-4</c:v>
              </c:pt>
              <c:pt idx="58">
                <c:v>3.0057236653928615E-4</c:v>
              </c:pt>
              <c:pt idx="59">
                <c:v>2.6166344300202464E-4</c:v>
              </c:pt>
              <c:pt idx="60">
                <c:v>2.2779125769941584E-4</c:v>
              </c:pt>
              <c:pt idx="61">
                <c:v>1.9830380770415902E-4</c:v>
              </c:pt>
              <c:pt idx="62">
                <c:v>1.7263349150062191E-4</c:v>
              </c:pt>
              <c:pt idx="63">
                <c:v>1.5028618326964308E-4</c:v>
              </c:pt>
              <c:pt idx="64">
                <c:v>1.3083172150101256E-4</c:v>
              </c:pt>
              <c:pt idx="65">
                <c:v>1.1389562884970811E-4</c:v>
              </c:pt>
              <c:pt idx="66">
                <c:v>9.9151903852079675E-5</c:v>
              </c:pt>
              <c:pt idx="67">
                <c:v>8.6316745750311105E-5</c:v>
              </c:pt>
              <c:pt idx="68">
                <c:v>7.5143091634821661E-5</c:v>
              </c:pt>
              <c:pt idx="69">
                <c:v>6.5415860750506267E-5</c:v>
              </c:pt>
              <c:pt idx="70">
                <c:v>5.6947814424854049E-5</c:v>
              </c:pt>
              <c:pt idx="71">
                <c:v>4.9575951926039837E-5</c:v>
              </c:pt>
              <c:pt idx="72">
                <c:v>4.3158372875155546E-5</c:v>
              </c:pt>
              <c:pt idx="73">
                <c:v>3.7571545817410824E-5</c:v>
              </c:pt>
              <c:pt idx="74">
                <c:v>3.2707930375253134E-5</c:v>
              </c:pt>
              <c:pt idx="75">
                <c:v>2.8473907212427021E-5</c:v>
              </c:pt>
              <c:pt idx="76">
                <c:v>2.4787975963019915E-5</c:v>
              </c:pt>
              <c:pt idx="77">
                <c:v>2.1579186437577773E-5</c:v>
              </c:pt>
              <c:pt idx="78">
                <c:v>1.8785772908705412E-5</c:v>
              </c:pt>
              <c:pt idx="79">
                <c:v>1.6353965187626563E-5</c:v>
              </c:pt>
            </c:numLit>
          </c:yVal>
          <c:smooth val="0"/>
          <c:extLst>
            <c:ext xmlns:c16="http://schemas.microsoft.com/office/drawing/2014/chart" uri="{C3380CC4-5D6E-409C-BE32-E72D297353CC}">
              <c16:uniqueId val="{00000002-32AA-4A87-BC6F-E738678F053E}"/>
            </c:ext>
          </c:extLst>
        </c:ser>
        <c:dLbls>
          <c:showLegendKey val="0"/>
          <c:showVal val="0"/>
          <c:showCatName val="0"/>
          <c:showSerName val="0"/>
          <c:showPercent val="0"/>
          <c:showBubbleSize val="0"/>
        </c:dLbls>
        <c:axId val="83082624"/>
        <c:axId val="83097088"/>
      </c:scatterChart>
      <c:valAx>
        <c:axId val="83082624"/>
        <c:scaling>
          <c:orientation val="minMax"/>
        </c:scaling>
        <c:delete val="0"/>
        <c:axPos val="b"/>
        <c:title>
          <c:tx>
            <c:rich>
              <a:bodyPr/>
              <a:lstStyle/>
              <a:p>
                <a:pPr>
                  <a:defRPr/>
                </a:pPr>
                <a:r>
                  <a:rPr lang="en-US"/>
                  <a:t>Year after</a:t>
                </a:r>
                <a:r>
                  <a:rPr lang="en-US" baseline="0"/>
                  <a:t> Harvest</a:t>
                </a:r>
                <a:endParaRPr lang="en-US"/>
              </a:p>
            </c:rich>
          </c:tx>
          <c:layout>
            <c:manualLayout>
              <c:xMode val="edge"/>
              <c:yMode val="edge"/>
              <c:x val="0.42938648293963927"/>
              <c:y val="0.90182852143482062"/>
            </c:manualLayout>
          </c:layout>
          <c:overlay val="0"/>
        </c:title>
        <c:numFmt formatCode="General" sourceLinked="1"/>
        <c:majorTickMark val="none"/>
        <c:minorTickMark val="none"/>
        <c:tickLblPos val="nextTo"/>
        <c:crossAx val="83097088"/>
        <c:crosses val="autoZero"/>
        <c:crossBetween val="midCat"/>
      </c:valAx>
      <c:valAx>
        <c:axId val="83097088"/>
        <c:scaling>
          <c:orientation val="minMax"/>
          <c:max val="1.2"/>
          <c:min val="0"/>
        </c:scaling>
        <c:delete val="0"/>
        <c:axPos val="l"/>
        <c:majorGridlines/>
        <c:title>
          <c:tx>
            <c:rich>
              <a:bodyPr/>
              <a:lstStyle/>
              <a:p>
                <a:pPr>
                  <a:defRPr/>
                </a:pPr>
                <a:r>
                  <a:rPr lang="en-US"/>
                  <a:t>Net Forest Carbon Deficit</a:t>
                </a:r>
              </a:p>
            </c:rich>
          </c:tx>
          <c:overlay val="0"/>
        </c:title>
        <c:numFmt formatCode="0.0" sourceLinked="0"/>
        <c:majorTickMark val="none"/>
        <c:minorTickMark val="none"/>
        <c:tickLblPos val="nextTo"/>
        <c:spPr>
          <a:ln w="6350"/>
        </c:spPr>
        <c:crossAx val="83082624"/>
        <c:crosses val="autoZero"/>
        <c:crossBetween val="midCat"/>
        <c:majorUnit val="0.2"/>
      </c:valAx>
    </c:plotArea>
    <c:legend>
      <c:legendPos val="l"/>
      <c:layout>
        <c:manualLayout>
          <c:xMode val="edge"/>
          <c:yMode val="edge"/>
          <c:x val="0.55988073671854865"/>
          <c:y val="0.21306608218229073"/>
          <c:w val="0.36628355245737654"/>
          <c:h val="0.23703262034067257"/>
        </c:manualLayout>
      </c:layout>
      <c:overlay val="1"/>
      <c:spPr>
        <a:solidFill>
          <a:schemeClr val="bg1"/>
        </a:solidFill>
        <a:ln>
          <a:solidFill>
            <a:schemeClr val="tx1"/>
          </a:solidFill>
        </a:ln>
      </c:spPr>
      <c:txPr>
        <a:bodyPr/>
        <a:lstStyle/>
        <a:p>
          <a:pPr>
            <a:defRPr sz="1200"/>
          </a:pPr>
          <a:endParaRPr lang="en-US"/>
        </a:p>
      </c:txPr>
    </c:legend>
    <c:plotVisOnly val="1"/>
    <c:dispBlanksAs val="gap"/>
    <c:showDLblsOverMax val="0"/>
  </c:chart>
  <c:printSettings>
    <c:headerFooter/>
    <c:pageMargins b="0.750000000000005" l="0.70000000000000062" r="0.70000000000000062" t="0.750000000000005" header="0.30000000000000032" footer="0.30000000000000032"/>
    <c:pageSetup/>
  </c:printSettings>
</c:chartSpac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171450</xdr:rowOff>
    </xdr:from>
    <xdr:to>
      <xdr:col>14</xdr:col>
      <xdr:colOff>0</xdr:colOff>
      <xdr:row>35</xdr:row>
      <xdr:rowOff>142875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90500" y="171450"/>
          <a:ext cx="7696200" cy="6638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a:t>
          </a:r>
        </a:p>
        <a:p>
          <a:pPr algn="ctr"/>
          <a:r>
            <a:rPr lang="en-US" sz="1100" b="1"/>
            <a:t>Commonwealth of Massachusetts</a:t>
          </a:r>
        </a:p>
        <a:p>
          <a:pPr algn="ctr"/>
          <a:r>
            <a:rPr lang="en-US" sz="1100" b="1"/>
            <a:t>Executive Office of Energy and Environmental Affairs</a:t>
          </a:r>
          <a:endParaRPr lang="en-US"/>
        </a:p>
        <a:p>
          <a:pPr algn="ctr"/>
          <a:r>
            <a:rPr lang="en-US" sz="1100" b="1"/>
            <a:t>DEPARTMENT</a:t>
          </a:r>
          <a:r>
            <a:rPr lang="en-US" sz="1100" b="1" baseline="0"/>
            <a:t> OF ENERGY RESOURCES (DOER)</a:t>
          </a:r>
          <a:endParaRPr lang="en-US"/>
        </a:p>
        <a:p>
          <a:pPr algn="ctr"/>
          <a:r>
            <a:rPr lang="en-US" sz="1100" b="1"/>
            <a:t>Renewable Energy Portfolio Standard - 225 CMR 14.00 &amp; 225 CMR 15.00</a:t>
          </a:r>
          <a:endParaRPr lang="en-US"/>
        </a:p>
        <a:p>
          <a:pPr algn="ctr"/>
          <a:r>
            <a:rPr lang="en-US" sz="1100" b="1"/>
            <a:t> </a:t>
          </a:r>
          <a:endParaRPr lang="en-US"/>
        </a:p>
        <a:p>
          <a:pPr algn="ctr"/>
          <a:r>
            <a:rPr lang="en-US" sz="1100" b="1"/>
            <a:t>Guideline</a:t>
          </a:r>
          <a:r>
            <a:rPr lang="en-US" sz="1100" b="1" baseline="0"/>
            <a:t> on Biomass Fuel Report</a:t>
          </a:r>
          <a:endParaRPr lang="en-US"/>
        </a:p>
        <a:p>
          <a:pPr algn="ct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b="1" cap="small">
              <a:solidFill>
                <a:schemeClr val="dk1"/>
              </a:solidFill>
              <a:latin typeface="+mn-lt"/>
              <a:ea typeface="+mn-ea"/>
              <a:cs typeface="+mn-cs"/>
            </a:rPr>
            <a:t>overview and instructions</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r>
            <a:rPr lang="en-US" sz="1100">
              <a:solidFill>
                <a:schemeClr val="dk1"/>
              </a:solidFill>
              <a:effectLst/>
              <a:latin typeface="+mn-lt"/>
              <a:ea typeface="+mn-ea"/>
              <a:cs typeface="+mn-cs"/>
            </a:rPr>
            <a:t>Generation Units that are utilizing Eligible Biomass Woody Fuel</a:t>
          </a:r>
          <a:r>
            <a:rPr lang="en-US" sz="1100" baseline="0">
              <a:solidFill>
                <a:schemeClr val="dk1"/>
              </a:solidFill>
              <a:effectLst/>
              <a:latin typeface="+mn-lt"/>
              <a:ea typeface="+mn-ea"/>
              <a:cs typeface="+mn-cs"/>
            </a:rPr>
            <a:t> o</a:t>
          </a:r>
          <a:r>
            <a:rPr lang="en-US" sz="1100">
              <a:solidFill>
                <a:schemeClr val="dk1"/>
              </a:solidFill>
              <a:effectLst/>
              <a:latin typeface="+mn-lt"/>
              <a:ea typeface="+mn-ea"/>
              <a:cs typeface="+mn-cs"/>
            </a:rPr>
            <a:t>r Manufactured Biomass Fuel must complete, sign, and submit to the Department of Energy Resources (DOER)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this Biomass Fuel Report</a:t>
          </a:r>
          <a:r>
            <a:rPr lang="en-US" sz="1100" baseline="0">
              <a:solidFill>
                <a:schemeClr val="dk1"/>
              </a:solidFill>
              <a:effectLst/>
              <a:latin typeface="+mn-lt"/>
              <a:ea typeface="+mn-ea"/>
              <a:cs typeface="+mn-cs"/>
            </a:rPr>
            <a:t> on a quarterly basis.  The Biomass Fuel Report is due</a:t>
          </a:r>
          <a:r>
            <a:rPr lang="en-US" sz="1100">
              <a:solidFill>
                <a:schemeClr val="dk1"/>
              </a:solidFill>
              <a:effectLst/>
              <a:latin typeface="+mn-lt"/>
              <a:ea typeface="+mn-ea"/>
              <a:cs typeface="+mn-cs"/>
            </a:rPr>
            <a:t> no later than thirty (30) days after the end of each</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quarter. Each Report specifies the fuel supply and energy</a:t>
          </a:r>
          <a:r>
            <a:rPr lang="en-US" sz="1100" baseline="0">
              <a:solidFill>
                <a:schemeClr val="dk1"/>
              </a:solidFill>
              <a:effectLst/>
              <a:latin typeface="+mn-lt"/>
              <a:ea typeface="+mn-ea"/>
              <a:cs typeface="+mn-cs"/>
            </a:rPr>
            <a:t> generation</a:t>
          </a:r>
          <a:r>
            <a:rPr lang="en-US" sz="1100">
              <a:solidFill>
                <a:schemeClr val="dk1"/>
              </a:solidFill>
              <a:effectLst/>
              <a:latin typeface="+mn-lt"/>
              <a:ea typeface="+mn-ea"/>
              <a:cs typeface="+mn-cs"/>
            </a:rPr>
            <a:t> for the operation of the Generation Unit during a calendar quarter. To be consistent with the Massachusetts Biomass Registry, the Report is to be based on fuel </a:t>
          </a:r>
          <a:r>
            <a:rPr lang="en-US" sz="1100" i="1">
              <a:solidFill>
                <a:schemeClr val="dk1"/>
              </a:solidFill>
              <a:effectLst/>
              <a:latin typeface="+mn-lt"/>
              <a:ea typeface="+mn-ea"/>
              <a:cs typeface="+mn-cs"/>
            </a:rPr>
            <a:t>delivered</a:t>
          </a:r>
          <a:r>
            <a:rPr lang="en-US" sz="1100">
              <a:solidFill>
                <a:schemeClr val="dk1"/>
              </a:solidFill>
              <a:effectLst/>
              <a:latin typeface="+mn-lt"/>
              <a:ea typeface="+mn-ea"/>
              <a:cs typeface="+mn-cs"/>
            </a:rPr>
            <a:t> to the Unit during the calendar quarter.  Each quarter,</a:t>
          </a:r>
          <a:r>
            <a:rPr lang="en-US" sz="1100" baseline="0">
              <a:solidFill>
                <a:schemeClr val="dk1"/>
              </a:solidFill>
              <a:effectLst/>
              <a:latin typeface="+mn-lt"/>
              <a:ea typeface="+mn-ea"/>
              <a:cs typeface="+mn-cs"/>
            </a:rPr>
            <a:t> DOER will verify that there is enough biomass certificates in the Massachusetts Biomass Registry for each type of Eligible Biomass Woody Fuel and will retire the necessary certificates in the Registry.</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Generation Unit reporting to the NEPOOL Generation Information System (NEPOOL GIS) shall continue unchanged.  Upon receipt and review of the Biomass Fuel Report, the Department will report to the NEPOOL GIS the percentage of the wood-fueled electrical energy output of the Generation Unit that is qualified as Massachusetts RPS Class I Renewable Generation during the quarter.  The NEPOOL GIS will multiply the MWh of metered/reported generation attributable to wood by this percentage to mint the appropriate quantity of Massachusetts Class I Renewable Energy Certificates (RECs) for the quarter.</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As a result of this procedure, the MWh of Class I RECs each quarter would be calculated thus: </a:t>
          </a:r>
          <a:endParaRPr lang="en-US">
            <a:effectLst/>
          </a:endParaRPr>
        </a:p>
        <a:p>
          <a:r>
            <a:rPr lang="en-US" sz="1100">
              <a:solidFill>
                <a:schemeClr val="dk1"/>
              </a:solidFill>
              <a:effectLst/>
              <a:latin typeface="+mn-lt"/>
              <a:ea typeface="+mn-ea"/>
              <a:cs typeface="+mn-cs"/>
            </a:rPr>
            <a:t>MWh of reported biomass/wood-attributed generation * [A1 + A2 + A3</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B] / C, where</a:t>
          </a:r>
          <a:endParaRPr lang="en-US">
            <a:effectLst/>
          </a:endParaRPr>
        </a:p>
        <a:p>
          <a:r>
            <a:rPr lang="en-US" sz="1100">
              <a:solidFill>
                <a:schemeClr val="dk1"/>
              </a:solidFill>
              <a:effectLst/>
              <a:latin typeface="+mn-lt"/>
              <a:ea typeface="+mn-ea"/>
              <a:cs typeface="+mn-cs"/>
            </a:rPr>
            <a:t>A1 = Total tons of biomass delivered to the Generation Unit that were Eligible Forest Derived Residues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A2</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Total tons of biomass delivered to the Generation Unit that were Eligible Non-Forest Derived Residues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A3 = Total tons of biomass delivered to the Generation Unit that were Eligible Forest Salvage</a:t>
          </a:r>
          <a:endParaRPr lang="en-US">
            <a:effectLst/>
          </a:endParaRPr>
        </a:p>
        <a:p>
          <a:r>
            <a:rPr lang="en-US" sz="1100">
              <a:solidFill>
                <a:schemeClr val="dk1"/>
              </a:solidFill>
              <a:effectLst/>
              <a:latin typeface="+mn-lt"/>
              <a:ea typeface="+mn-ea"/>
              <a:cs typeface="+mn-cs"/>
            </a:rPr>
            <a:t>B = Total tons of biomass delivered to the Generation Unit that were Eligible Thinnings</a:t>
          </a:r>
          <a:endParaRPr lang="en-US">
            <a:effectLst/>
          </a:endParaRPr>
        </a:p>
        <a:p>
          <a:r>
            <a:rPr lang="en-US" sz="1100">
              <a:solidFill>
                <a:schemeClr val="dk1"/>
              </a:solidFill>
              <a:effectLst/>
              <a:latin typeface="+mn-lt"/>
              <a:ea typeface="+mn-ea"/>
              <a:cs typeface="+mn-cs"/>
            </a:rPr>
            <a:t>C = Total tons of biomass delivered to the Generation Unit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Biomass Fuel Report must be signed by either (a) the Authorized Representative of the Owner or Operator of the Generation Unit (the person who signed the original Statement of Qualification Application or his/her successor in office) or (b) a person to whom responsibility for fuel reporting has been delegated by the Authorized Representative.  If delegated, then the Report must be accompanied by a statement of delegation signed by the Authorized Representative.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completed, signed Biomass Fuel Report must be sent electronically to </a:t>
          </a:r>
          <a:r>
            <a:rPr lang="en-US" sz="1100" u="sng">
              <a:solidFill>
                <a:schemeClr val="dk1"/>
              </a:solidFill>
              <a:effectLst/>
              <a:latin typeface="+mn-lt"/>
              <a:ea typeface="+mn-ea"/>
              <a:cs typeface="+mn-cs"/>
              <a:hlinkClick xmlns:r="http://schemas.openxmlformats.org/officeDocument/2006/relationships" r:id=""/>
            </a:rPr>
            <a:t>DOER.RPS@mass.gov</a:t>
          </a:r>
          <a:r>
            <a:rPr lang="en-US" sz="1100">
              <a:solidFill>
                <a:schemeClr val="dk1"/>
              </a:solidFill>
              <a:effectLst/>
              <a:latin typeface="+mn-lt"/>
              <a:ea typeface="+mn-ea"/>
              <a:cs typeface="+mn-cs"/>
            </a:rPr>
            <a:t>.  Include in the Subject line:  </a:t>
          </a:r>
          <a:r>
            <a:rPr lang="en-US" sz="1100" u="sng">
              <a:solidFill>
                <a:schemeClr val="dk1"/>
              </a:solidFill>
              <a:effectLst/>
              <a:latin typeface="+mn-lt"/>
              <a:ea typeface="+mn-ea"/>
              <a:cs typeface="+mn-cs"/>
            </a:rPr>
            <a:t>RPS Quarterly Biomass Fuel Report - [</a:t>
          </a:r>
          <a:r>
            <a:rPr lang="en-US" sz="1100" i="1" u="sng">
              <a:solidFill>
                <a:schemeClr val="dk1"/>
              </a:solidFill>
              <a:effectLst/>
              <a:latin typeface="+mn-lt"/>
              <a:ea typeface="+mn-ea"/>
              <a:cs typeface="+mn-cs"/>
            </a:rPr>
            <a:t>Generation Unit Name</a:t>
          </a:r>
          <a:r>
            <a:rPr lang="en-US" sz="1100" u="sng">
              <a:solidFill>
                <a:schemeClr val="dk1"/>
              </a:solidFill>
              <a:effectLst/>
              <a:latin typeface="+mn-lt"/>
              <a:ea typeface="+mn-ea"/>
              <a:cs typeface="+mn-cs"/>
            </a:rPr>
            <a:t>]</a:t>
          </a:r>
          <a:r>
            <a:rPr lang="en-US" sz="1100">
              <a:solidFill>
                <a:schemeClr val="dk1"/>
              </a:solidFill>
              <a:effectLst/>
              <a:latin typeface="+mn-lt"/>
              <a:ea typeface="+mn-ea"/>
              <a:cs typeface="+mn-cs"/>
            </a:rPr>
            <a:t>.</a:t>
          </a:r>
          <a:endParaRPr lang="en-US" sz="1100">
            <a:solidFill>
              <a:schemeClr val="dk1"/>
            </a:solidFill>
            <a:latin typeface="+mn-lt"/>
            <a:ea typeface="+mn-ea"/>
            <a:cs typeface="+mn-cs"/>
          </a:endParaRPr>
        </a:p>
        <a:p>
          <a:pPr lvl="1"/>
          <a:r>
            <a:rPr lang="en-US" sz="1100">
              <a:solidFill>
                <a:schemeClr val="dk1"/>
              </a:solidFill>
              <a:latin typeface="+mn-lt"/>
              <a:ea typeface="+mn-ea"/>
              <a:cs typeface="+mn-cs"/>
            </a:rPr>
            <a:t> </a:t>
          </a:r>
        </a:p>
        <a:p>
          <a:endParaRPr lang="en-US" sz="1100"/>
        </a:p>
        <a:p>
          <a:endParaRPr lang="en-US" sz="1100"/>
        </a:p>
        <a:p>
          <a:endParaRPr lang="en-US" sz="1100"/>
        </a:p>
        <a:p>
          <a:endParaRPr lang="en-US" sz="1100"/>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11204</xdr:colOff>
      <xdr:row>19</xdr:row>
      <xdr:rowOff>44823</xdr:rowOff>
    </xdr:from>
    <xdr:to>
      <xdr:col>2</xdr:col>
      <xdr:colOff>3686734</xdr:colOff>
      <xdr:row>33</xdr:row>
      <xdr:rowOff>56029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45675" y="4056529"/>
          <a:ext cx="7395883" cy="267820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small">
              <a:solidFill>
                <a:schemeClr val="dk1"/>
              </a:solidFill>
              <a:effectLst/>
              <a:latin typeface="+mn-lt"/>
              <a:ea typeface="+mn-ea"/>
              <a:cs typeface="+mn-cs"/>
            </a:rPr>
            <a:t>Certification</a:t>
          </a:r>
        </a:p>
        <a:p>
          <a:r>
            <a:rPr lang="en-US" sz="1100" b="0" i="1" cap="small">
              <a:solidFill>
                <a:schemeClr val="dk1"/>
              </a:solidFill>
              <a:effectLst/>
              <a:latin typeface="+mn-lt"/>
              <a:ea typeface="+mn-ea"/>
              <a:cs typeface="+mn-cs"/>
            </a:rPr>
            <a:t>To be</a:t>
          </a:r>
          <a:r>
            <a:rPr lang="en-US" sz="1100" b="0" i="1" cap="small" baseline="0">
              <a:solidFill>
                <a:schemeClr val="dk1"/>
              </a:solidFill>
              <a:effectLst/>
              <a:latin typeface="+mn-lt"/>
              <a:ea typeface="+mn-ea"/>
              <a:cs typeface="+mn-cs"/>
            </a:rPr>
            <a:t> completed for each quarter a Biomass Fuel Report is submitted to the Department </a:t>
          </a:r>
          <a:endParaRPr lang="en-US" b="0" i="1">
            <a:effectLst/>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 certify that I have, or have been granted, authority to submit this application on behalf of the biofuel</a:t>
          </a:r>
          <a:r>
            <a:rPr lang="en-US" sz="1100" baseline="0">
              <a:solidFill>
                <a:schemeClr val="dk1"/>
              </a:solidFill>
              <a:effectLst/>
              <a:latin typeface="+mn-lt"/>
              <a:ea typeface="+mn-ea"/>
              <a:cs typeface="+mn-cs"/>
            </a:rPr>
            <a:t> supplier above</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Furthermore, I hereby certify, under pains and penalties of perjury that I have personally examined and am familiar with the information submitted herein, and based upon my inquiry of those individuals immediately responsible for obtaining information; I believe the information is true, accurate, and complete. I am aware that there are significant penalties, both civil and criminal, for submitting false information, including possible fines. My certification below certifies all information submitted in this application, including all required attachments. </a:t>
          </a:r>
        </a:p>
        <a:p>
          <a:r>
            <a:rPr lang="en-US" sz="1100">
              <a:solidFill>
                <a:schemeClr val="dk1"/>
              </a:solidFill>
              <a:effectLst/>
              <a:latin typeface="+mn-lt"/>
              <a:ea typeface="+mn-ea"/>
              <a:cs typeface="+mn-cs"/>
            </a:rPr>
            <a:t> </a:t>
          </a:r>
        </a:p>
        <a:p>
          <a:endParaRPr lang="en-US"/>
        </a:p>
        <a:p>
          <a:r>
            <a:rPr lang="en-US"/>
            <a:t> </a:t>
          </a:r>
          <a:r>
            <a:rPr lang="en-US" sz="1100">
              <a:solidFill>
                <a:schemeClr val="dk1"/>
              </a:solidFill>
              <a:effectLst/>
              <a:latin typeface="+mn-lt"/>
              <a:ea typeface="+mn-ea"/>
              <a:cs typeface="+mn-cs"/>
            </a:rPr>
            <a:t>Signature: </a:t>
          </a:r>
          <a:r>
            <a:rPr lang="en-US" sz="1100" u="sng">
              <a:solidFill>
                <a:schemeClr val="dk1"/>
              </a:solidFill>
              <a:effectLst/>
              <a:latin typeface="+mn-lt"/>
              <a:ea typeface="+mn-ea"/>
              <a:cs typeface="+mn-cs"/>
            </a:rPr>
            <a:t>				</a:t>
          </a:r>
          <a:r>
            <a:rPr lang="en-US" sz="1100" u="none">
              <a:solidFill>
                <a:schemeClr val="dk1"/>
              </a:solidFill>
              <a:effectLst/>
              <a:latin typeface="+mn-lt"/>
              <a:ea typeface="+mn-ea"/>
              <a:cs typeface="+mn-cs"/>
            </a:rPr>
            <a:t>	</a:t>
          </a:r>
          <a:r>
            <a:rPr lang="en-US" sz="1100">
              <a:solidFill>
                <a:schemeClr val="dk1"/>
              </a:solidFill>
              <a:effectLst/>
              <a:latin typeface="+mn-lt"/>
              <a:ea typeface="+mn-ea"/>
              <a:cs typeface="+mn-cs"/>
            </a:rPr>
            <a:t>Date:</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480331</xdr:colOff>
      <xdr:row>3</xdr:row>
      <xdr:rowOff>40823</xdr:rowOff>
    </xdr:from>
    <xdr:to>
      <xdr:col>21</xdr:col>
      <xdr:colOff>276412</xdr:colOff>
      <xdr:row>26</xdr:row>
      <xdr:rowOff>164650</xdr:rowOff>
    </xdr:to>
    <xdr:graphicFrame macro="">
      <xdr:nvGraphicFramePr>
        <xdr:cNvPr id="4" name="Chart 3">
          <a:extLst>
            <a:ext uri="{FF2B5EF4-FFF2-40B4-BE49-F238E27FC236}">
              <a16:creationId xmlns:a16="http://schemas.microsoft.com/office/drawing/2014/main" id="{D07B3851-99DC-47E2-B374-0E975A6DAE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620060</xdr:colOff>
      <xdr:row>53</xdr:row>
      <xdr:rowOff>14941</xdr:rowOff>
    </xdr:from>
    <xdr:to>
      <xdr:col>19</xdr:col>
      <xdr:colOff>211312</xdr:colOff>
      <xdr:row>79</xdr:row>
      <xdr:rowOff>4537</xdr:rowOff>
    </xdr:to>
    <xdr:graphicFrame macro="">
      <xdr:nvGraphicFramePr>
        <xdr:cNvPr id="5" name="Chart 4">
          <a:extLst>
            <a:ext uri="{FF2B5EF4-FFF2-40B4-BE49-F238E27FC236}">
              <a16:creationId xmlns:a16="http://schemas.microsoft.com/office/drawing/2014/main" id="{7AB70AD8-1346-4408-AF95-262CFB79DD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sheetPr>
  <dimension ref="A1"/>
  <sheetViews>
    <sheetView tabSelected="1" workbookViewId="0"/>
  </sheetViews>
  <sheetFormatPr defaultColWidth="8.81640625" defaultRowHeight="14.5" x14ac:dyDescent="0.35"/>
  <cols>
    <col min="1" max="1" width="3.1796875" style="1" customWidth="1"/>
    <col min="2" max="16384" width="8.81640625" style="1"/>
  </cols>
  <sheetData/>
  <sheetProtection algorithmName="SHA-512" hashValue="2PXLptALrWh81QvlbL5PJZ2v4PhcAYFJ/l/qqujyFmP9sANU8waFUezc1HTA0q0geu5w8N6Zb/GlUh/lI4wQ+w==" saltValue="m24a2q4/wkvpNcF7HAv7Vg==" spinCount="100000" sheet="1" selectLockedCells="1" selectUnlockedCells="1"/>
  <customSheetViews>
    <customSheetView guid="{69FA38BC-F160-4CAA-BF85-C52CE8C53F2C}" showGridLines="0" showRowCol="0" topLeftCell="A79">
      <selection activeCell="P10" sqref="P10"/>
      <pageMargins left="0.7" right="0.7" top="0.75" bottom="0.75" header="0.3" footer="0.3"/>
      <pageSetup scale="70" orientation="portrait" verticalDpi="0" r:id="rId1"/>
    </customSheetView>
  </customSheetViews>
  <pageMargins left="0.7" right="0.7" top="0.75" bottom="0.75" header="0.3" footer="0.3"/>
  <pageSetup scale="7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99"/>
    <pageSetUpPr fitToPage="1"/>
  </sheetPr>
  <dimension ref="B1:O46"/>
  <sheetViews>
    <sheetView workbookViewId="0"/>
  </sheetViews>
  <sheetFormatPr defaultColWidth="9.1796875" defaultRowHeight="12.5" x14ac:dyDescent="0.25"/>
  <cols>
    <col min="1" max="1" width="2.54296875" style="73" customWidth="1"/>
    <col min="2" max="2" width="5.453125" style="73" customWidth="1"/>
    <col min="3" max="3" width="10.81640625" style="73" customWidth="1"/>
    <col min="4" max="4" width="27.1796875" style="73" customWidth="1"/>
    <col min="5" max="5" width="28" style="73" customWidth="1"/>
    <col min="6" max="6" width="38.26953125" style="73" customWidth="1"/>
    <col min="7" max="7" width="2.54296875" style="73" customWidth="1"/>
    <col min="8" max="8" width="12" style="73" bestFit="1" customWidth="1"/>
    <col min="9" max="10" width="9.1796875" style="73"/>
    <col min="11" max="11" width="9.81640625" style="73" customWidth="1"/>
    <col min="12" max="16384" width="9.1796875" style="73"/>
  </cols>
  <sheetData>
    <row r="1" spans="2:8" ht="13" thickBot="1" x14ac:dyDescent="0.3"/>
    <row r="2" spans="2:8" ht="13" x14ac:dyDescent="0.3">
      <c r="C2" s="288" t="s">
        <v>10</v>
      </c>
      <c r="D2" s="289"/>
      <c r="E2" s="289"/>
      <c r="F2" s="290"/>
      <c r="G2" s="74"/>
    </row>
    <row r="3" spans="2:8" ht="13" x14ac:dyDescent="0.3">
      <c r="C3" s="279" t="s">
        <v>208</v>
      </c>
      <c r="D3" s="280"/>
      <c r="E3" s="280"/>
      <c r="F3" s="281"/>
      <c r="G3" s="74"/>
    </row>
    <row r="4" spans="2:8" ht="13" x14ac:dyDescent="0.3">
      <c r="C4" s="291"/>
      <c r="D4" s="292"/>
      <c r="E4" s="292"/>
      <c r="F4" s="293"/>
      <c r="G4" s="74"/>
    </row>
    <row r="5" spans="2:8" ht="13.5" thickBot="1" x14ac:dyDescent="0.35">
      <c r="C5" s="294" t="s">
        <v>190</v>
      </c>
      <c r="D5" s="295"/>
      <c r="E5" s="295"/>
      <c r="F5" s="296"/>
      <c r="G5" s="74"/>
    </row>
    <row r="7" spans="2:8" x14ac:dyDescent="0.25">
      <c r="H7" s="75" t="s">
        <v>12</v>
      </c>
    </row>
    <row r="8" spans="2:8" ht="13" thickBot="1" x14ac:dyDescent="0.3">
      <c r="H8" s="76" t="s">
        <v>13</v>
      </c>
    </row>
    <row r="9" spans="2:8" ht="13.5" thickBot="1" x14ac:dyDescent="0.35">
      <c r="B9" s="297" t="s">
        <v>97</v>
      </c>
      <c r="C9" s="297"/>
      <c r="D9" s="298"/>
      <c r="E9" s="299">
        <f>Certification!C12</f>
        <v>0</v>
      </c>
      <c r="F9" s="300"/>
      <c r="H9" s="77"/>
    </row>
    <row r="10" spans="2:8" x14ac:dyDescent="0.25">
      <c r="H10" s="77"/>
    </row>
    <row r="11" spans="2:8" ht="13" x14ac:dyDescent="0.3">
      <c r="C11" s="78" t="s">
        <v>161</v>
      </c>
      <c r="H11" s="79"/>
    </row>
    <row r="12" spans="2:8" ht="13" thickBot="1" x14ac:dyDescent="0.3">
      <c r="H12" s="77"/>
    </row>
    <row r="13" spans="2:8" ht="13" x14ac:dyDescent="0.3">
      <c r="C13" s="80" t="s">
        <v>162</v>
      </c>
      <c r="D13" s="81"/>
      <c r="E13" s="81"/>
      <c r="F13" s="82"/>
    </row>
    <row r="14" spans="2:8" x14ac:dyDescent="0.25">
      <c r="C14" s="83"/>
      <c r="D14" s="310" t="s">
        <v>163</v>
      </c>
      <c r="E14" s="84">
        <f>'Overall Efficiency - Quarter 2'!E14</f>
        <v>0</v>
      </c>
      <c r="F14" s="85" t="s">
        <v>15</v>
      </c>
    </row>
    <row r="15" spans="2:8" x14ac:dyDescent="0.25">
      <c r="C15" s="83"/>
      <c r="D15" s="310"/>
      <c r="E15" s="86" t="str">
        <f>'Overall Efficiency - Quarter 2'!E16</f>
        <v>-</v>
      </c>
      <c r="F15" s="85" t="str">
        <f>'Overall Efficiency - Quarter 1'!F16</f>
        <v>-</v>
      </c>
    </row>
    <row r="16" spans="2:8" x14ac:dyDescent="0.25">
      <c r="C16" s="83"/>
      <c r="D16" s="310"/>
      <c r="E16" s="86" t="str">
        <f>IFERROR('Overall Efficiency - Quarter 2'!E15/1000000*'Overall Efficiency - Quarter 2'!E16*2000,"-")</f>
        <v>-</v>
      </c>
      <c r="F16" s="85" t="s">
        <v>164</v>
      </c>
    </row>
    <row r="17" spans="3:11" ht="39" customHeight="1" x14ac:dyDescent="0.25">
      <c r="C17" s="83"/>
      <c r="D17" s="310" t="s">
        <v>165</v>
      </c>
      <c r="E17" s="312" t="s">
        <v>166</v>
      </c>
      <c r="F17" s="313"/>
    </row>
    <row r="18" spans="3:11" ht="14.5" x14ac:dyDescent="0.35">
      <c r="C18" s="83"/>
      <c r="D18" s="310"/>
      <c r="E18" s="87"/>
      <c r="F18" s="88" t="s">
        <v>167</v>
      </c>
    </row>
    <row r="19" spans="3:11" x14ac:dyDescent="0.25">
      <c r="C19" s="83"/>
      <c r="D19" s="310" t="s">
        <v>168</v>
      </c>
      <c r="E19" s="89">
        <f>Parameters!D11</f>
        <v>216.39947175000003</v>
      </c>
      <c r="F19" s="85" t="s">
        <v>169</v>
      </c>
    </row>
    <row r="20" spans="3:11" ht="13" thickBot="1" x14ac:dyDescent="0.3">
      <c r="C20" s="90"/>
      <c r="D20" s="314"/>
      <c r="E20" s="91">
        <f>IFERROR((E19*(1-E18))/2000*E16,0)</f>
        <v>0</v>
      </c>
      <c r="F20" s="92" t="s">
        <v>170</v>
      </c>
    </row>
    <row r="21" spans="3:11" ht="13" thickBot="1" x14ac:dyDescent="0.3"/>
    <row r="22" spans="3:11" ht="13" x14ac:dyDescent="0.3">
      <c r="C22" s="80" t="s">
        <v>171</v>
      </c>
      <c r="D22" s="81"/>
      <c r="E22" s="81"/>
      <c r="F22" s="82"/>
    </row>
    <row r="23" spans="3:11" x14ac:dyDescent="0.25">
      <c r="C23" s="83"/>
      <c r="D23" s="310" t="s">
        <v>172</v>
      </c>
      <c r="E23" s="93"/>
      <c r="F23" s="88" t="s">
        <v>17</v>
      </c>
    </row>
    <row r="24" spans="3:11" x14ac:dyDescent="0.25">
      <c r="C24" s="83"/>
      <c r="D24" s="310"/>
      <c r="E24" s="165">
        <f>'Overall Efficiency - Quarter 2'!E20/(1-0.06)+'Overall Efficiency - Quarter 2'!E21</f>
        <v>0</v>
      </c>
      <c r="F24" s="85" t="s">
        <v>173</v>
      </c>
    </row>
    <row r="25" spans="3:11" x14ac:dyDescent="0.25">
      <c r="C25" s="83"/>
      <c r="D25" s="310"/>
      <c r="E25" s="94" t="str">
        <f>IFERROR(VLOOKUP(E23,Parameters!B20:C21,2),"-")</f>
        <v>-</v>
      </c>
      <c r="F25" s="85" t="s">
        <v>174</v>
      </c>
    </row>
    <row r="26" spans="3:11" x14ac:dyDescent="0.25">
      <c r="C26" s="83"/>
      <c r="D26" s="310"/>
      <c r="E26" s="94" t="str">
        <f>IFERROR((E25/2000)*E24,"-")</f>
        <v>-</v>
      </c>
      <c r="F26" s="85" t="s">
        <v>170</v>
      </c>
    </row>
    <row r="27" spans="3:11" ht="25.5" customHeight="1" thickBot="1" x14ac:dyDescent="0.3">
      <c r="C27" s="83"/>
      <c r="D27" s="310" t="s">
        <v>175</v>
      </c>
      <c r="E27" s="95"/>
      <c r="F27" s="96" t="s">
        <v>176</v>
      </c>
    </row>
    <row r="28" spans="3:11" x14ac:dyDescent="0.25">
      <c r="C28" s="83"/>
      <c r="D28" s="310"/>
      <c r="E28" s="84">
        <f>'Overall Efficiency - Quarter 2'!E23</f>
        <v>0</v>
      </c>
      <c r="F28" s="85" t="s">
        <v>177</v>
      </c>
      <c r="H28" s="301" t="s">
        <v>178</v>
      </c>
      <c r="I28" s="302"/>
      <c r="J28" s="302"/>
      <c r="K28" s="303"/>
    </row>
    <row r="29" spans="3:11" x14ac:dyDescent="0.25">
      <c r="C29" s="83"/>
      <c r="D29" s="310"/>
      <c r="E29" s="97" t="str">
        <f>IFERROR(VLOOKUP(E27,Parameters!B12:D16,2),"-")</f>
        <v>-</v>
      </c>
      <c r="F29" s="88" t="s">
        <v>179</v>
      </c>
      <c r="H29" s="304"/>
      <c r="I29" s="305"/>
      <c r="J29" s="305"/>
      <c r="K29" s="306"/>
    </row>
    <row r="30" spans="3:11" ht="14.5" x14ac:dyDescent="0.35">
      <c r="C30" s="83"/>
      <c r="D30" s="310"/>
      <c r="E30" s="87"/>
      <c r="F30" s="88" t="s">
        <v>180</v>
      </c>
      <c r="H30" s="304"/>
      <c r="I30" s="305"/>
      <c r="J30" s="305"/>
      <c r="K30" s="306"/>
    </row>
    <row r="31" spans="3:11" ht="13" thickBot="1" x14ac:dyDescent="0.3">
      <c r="C31" s="83"/>
      <c r="D31" s="310"/>
      <c r="E31" s="94" t="str">
        <f>IFERROR(IF(OR(E30="",E30=0),E28/E29,E28/E30),"-")</f>
        <v>-</v>
      </c>
      <c r="F31" s="85" t="s">
        <v>181</v>
      </c>
      <c r="H31" s="307"/>
      <c r="I31" s="308"/>
      <c r="J31" s="308"/>
      <c r="K31" s="309"/>
    </row>
    <row r="32" spans="3:11" x14ac:dyDescent="0.25">
      <c r="C32" s="83"/>
      <c r="D32" s="310"/>
      <c r="E32" s="98" t="str">
        <f>IFERROR(VLOOKUP(E27,Parameters!B12:D16,3),"-")</f>
        <v>-</v>
      </c>
      <c r="F32" s="85" t="s">
        <v>182</v>
      </c>
    </row>
    <row r="33" spans="3:15" ht="13" thickBot="1" x14ac:dyDescent="0.3">
      <c r="C33" s="90"/>
      <c r="D33" s="314"/>
      <c r="E33" s="99" t="str">
        <f>IFERROR(E31*(E32/2000),"-")</f>
        <v>-</v>
      </c>
      <c r="F33" s="92" t="s">
        <v>170</v>
      </c>
    </row>
    <row r="34" spans="3:15" ht="13" thickBot="1" x14ac:dyDescent="0.3"/>
    <row r="35" spans="3:15" ht="13" x14ac:dyDescent="0.3">
      <c r="C35" s="80" t="s">
        <v>183</v>
      </c>
      <c r="D35" s="81"/>
      <c r="E35" s="81"/>
      <c r="F35" s="82"/>
    </row>
    <row r="36" spans="3:15" x14ac:dyDescent="0.25">
      <c r="C36" s="83"/>
      <c r="D36" s="310" t="s">
        <v>121</v>
      </c>
      <c r="E36" s="94" t="str">
        <f>IFERROR(E20-E26-E33,"-")</f>
        <v>-</v>
      </c>
      <c r="F36" s="85" t="s">
        <v>170</v>
      </c>
      <c r="L36" s="77"/>
      <c r="M36" s="77"/>
      <c r="N36" s="77"/>
      <c r="O36" s="77"/>
    </row>
    <row r="37" spans="3:15" x14ac:dyDescent="0.25">
      <c r="C37" s="83"/>
      <c r="D37" s="310"/>
      <c r="E37" s="100" t="str">
        <f>IFERROR(E36/E20,"-")</f>
        <v>-</v>
      </c>
      <c r="F37" s="85" t="s">
        <v>184</v>
      </c>
      <c r="K37" s="77"/>
      <c r="L37" s="77"/>
      <c r="M37" s="77"/>
      <c r="N37" s="77"/>
      <c r="O37" s="77"/>
    </row>
    <row r="38" spans="3:15" x14ac:dyDescent="0.25">
      <c r="C38" s="83"/>
      <c r="D38" s="101"/>
      <c r="E38" s="102"/>
      <c r="F38" s="103"/>
      <c r="K38" s="77"/>
      <c r="L38" s="77"/>
      <c r="M38" s="77"/>
      <c r="N38" s="77"/>
      <c r="O38" s="77"/>
    </row>
    <row r="39" spans="3:15" ht="13" x14ac:dyDescent="0.25">
      <c r="C39" s="83"/>
      <c r="D39" s="104" t="s">
        <v>185</v>
      </c>
      <c r="E39" s="105"/>
      <c r="F39" s="103"/>
      <c r="H39" s="77"/>
      <c r="I39" s="77"/>
      <c r="J39" s="77"/>
      <c r="K39" s="77"/>
      <c r="L39" s="77"/>
      <c r="M39" s="77"/>
      <c r="N39" s="77"/>
      <c r="O39" s="77"/>
    </row>
    <row r="40" spans="3:15" ht="12.65" customHeight="1" x14ac:dyDescent="0.25">
      <c r="C40" s="83"/>
      <c r="D40" s="215" t="s">
        <v>201</v>
      </c>
      <c r="E40" s="167" t="str">
        <f>IFERROR('Fuel Report'!E11/('Fuel Report'!$E$11+'Fuel Report'!$E$12+'Fuel Report'!$E$13+'Fuel Report'!$E$14),"-")</f>
        <v>-</v>
      </c>
      <c r="F40" s="88" t="s">
        <v>186</v>
      </c>
      <c r="H40" s="311"/>
      <c r="I40" s="311"/>
      <c r="J40" s="311"/>
      <c r="K40" s="311"/>
      <c r="L40" s="106"/>
      <c r="M40" s="106"/>
      <c r="N40" s="106"/>
      <c r="O40" s="106"/>
    </row>
    <row r="41" spans="3:15" ht="12.65" customHeight="1" x14ac:dyDescent="0.25">
      <c r="C41" s="83"/>
      <c r="D41" s="215" t="s">
        <v>202</v>
      </c>
      <c r="E41" s="167" t="str">
        <f>IFERROR('Fuel Report'!E12/('Fuel Report'!$E$11+'Fuel Report'!$E$12+'Fuel Report'!$E$13+'Fuel Report'!$E$14),"-")</f>
        <v>-</v>
      </c>
      <c r="F41" s="88" t="s">
        <v>186</v>
      </c>
      <c r="H41" s="311"/>
      <c r="I41" s="311"/>
      <c r="J41" s="311"/>
      <c r="K41" s="311"/>
      <c r="L41" s="106"/>
      <c r="M41" s="106"/>
      <c r="N41" s="106"/>
      <c r="O41" s="106"/>
    </row>
    <row r="42" spans="3:15" ht="12.65" customHeight="1" x14ac:dyDescent="0.25">
      <c r="C42" s="83"/>
      <c r="D42" s="215" t="s">
        <v>200</v>
      </c>
      <c r="E42" s="167" t="str">
        <f>IFERROR('Fuel Report'!E13/('Fuel Report'!$E$11+'Fuel Report'!$E$12+'Fuel Report'!$E$13+'Fuel Report'!$E$14),"-")</f>
        <v>-</v>
      </c>
      <c r="F42" s="88" t="s">
        <v>186</v>
      </c>
      <c r="H42" s="311"/>
      <c r="I42" s="311"/>
      <c r="J42" s="311"/>
      <c r="K42" s="311"/>
      <c r="L42" s="106"/>
      <c r="M42" s="106"/>
      <c r="N42" s="106"/>
      <c r="O42" s="106"/>
    </row>
    <row r="43" spans="3:15" ht="14.5" x14ac:dyDescent="0.25">
      <c r="C43" s="83"/>
      <c r="D43" s="215" t="s">
        <v>187</v>
      </c>
      <c r="E43" s="167" t="str">
        <f>IFERROR(1-E40-E41-E42,"-")</f>
        <v>-</v>
      </c>
      <c r="F43" s="88" t="s">
        <v>186</v>
      </c>
      <c r="H43" s="311"/>
      <c r="I43" s="311"/>
      <c r="J43" s="311"/>
      <c r="K43" s="311"/>
      <c r="L43" s="106"/>
      <c r="M43" s="106"/>
      <c r="N43" s="106"/>
      <c r="O43" s="106"/>
    </row>
    <row r="44" spans="3:15" ht="14.5" x14ac:dyDescent="0.35">
      <c r="C44" s="83"/>
      <c r="D44" s="107"/>
      <c r="E44" s="108"/>
      <c r="F44" s="109"/>
      <c r="H44" s="311"/>
      <c r="I44" s="311"/>
      <c r="J44" s="311"/>
      <c r="K44" s="311"/>
      <c r="L44" s="106"/>
      <c r="M44" s="106"/>
      <c r="N44" s="106"/>
      <c r="O44" s="106"/>
    </row>
    <row r="45" spans="3:15" ht="13" x14ac:dyDescent="0.25">
      <c r="C45" s="83"/>
      <c r="D45" s="110" t="s">
        <v>188</v>
      </c>
      <c r="E45" s="77"/>
      <c r="F45" s="103"/>
      <c r="H45" s="311"/>
      <c r="I45" s="311"/>
      <c r="J45" s="311"/>
      <c r="K45" s="311"/>
      <c r="L45" s="106"/>
      <c r="M45" s="106"/>
      <c r="N45" s="106"/>
      <c r="O45" s="106"/>
    </row>
    <row r="46" spans="3:15" ht="27.75" customHeight="1" thickBot="1" x14ac:dyDescent="0.3">
      <c r="C46" s="111"/>
      <c r="D46" s="112" t="s">
        <v>204</v>
      </c>
      <c r="E46" s="113" t="str">
        <f>IFERROR(1+('GHG Model - Forest Residues'!J36*E40)+('GHG Model - Non-Forest Residues'!J36*E41)+('GHG Model - Forest Salvage'!J36*E42)+('GHG Model - Forest Thinnings'!J35*$E$43),"-")</f>
        <v>-</v>
      </c>
      <c r="F46" s="114" t="s">
        <v>203</v>
      </c>
      <c r="L46" s="106"/>
      <c r="M46" s="106"/>
      <c r="N46" s="106"/>
      <c r="O46" s="106"/>
    </row>
  </sheetData>
  <sheetProtection algorithmName="SHA-512" hashValue="+BbkkHv90Iq84g8O5FvtO3tzFpAvEVjm86zw9AcNEwG5wTYFCZJm4sUHZqTGonwWz2ZEHCipZdSZtfOk7tcTOg==" saltValue="xkLlCwPPkrKzWOfi1ys0Kw==" spinCount="100000" sheet="1" objects="1" scenarios="1"/>
  <protectedRanges>
    <protectedRange sqref="E18 E23 E27 E30 H28 H40:H42" name="Range1"/>
    <protectedRange sqref="E40:E42" name="Range1_1"/>
  </protectedRanges>
  <mergeCells count="15">
    <mergeCell ref="H28:K31"/>
    <mergeCell ref="D36:D37"/>
    <mergeCell ref="H40:K45"/>
    <mergeCell ref="D14:D16"/>
    <mergeCell ref="D17:D18"/>
    <mergeCell ref="E17:F17"/>
    <mergeCell ref="D19:D20"/>
    <mergeCell ref="D23:D26"/>
    <mergeCell ref="D27:D33"/>
    <mergeCell ref="C2:F2"/>
    <mergeCell ref="C3:F3"/>
    <mergeCell ref="C4:F4"/>
    <mergeCell ref="C5:F5"/>
    <mergeCell ref="B9:D9"/>
    <mergeCell ref="E9:F9"/>
  </mergeCells>
  <conditionalFormatting sqref="E9:F9">
    <cfRule type="cellIs" dxfId="35" priority="8" operator="equal">
      <formula>0</formula>
    </cfRule>
  </conditionalFormatting>
  <conditionalFormatting sqref="E15">
    <cfRule type="cellIs" dxfId="34" priority="6" operator="equal">
      <formula>0</formula>
    </cfRule>
  </conditionalFormatting>
  <conditionalFormatting sqref="E14">
    <cfRule type="cellIs" dxfId="33" priority="7" operator="equal">
      <formula>0</formula>
    </cfRule>
  </conditionalFormatting>
  <conditionalFormatting sqref="E26">
    <cfRule type="cellIs" dxfId="32" priority="5" operator="equal">
      <formula>0</formula>
    </cfRule>
  </conditionalFormatting>
  <conditionalFormatting sqref="E20">
    <cfRule type="cellIs" dxfId="31" priority="4" operator="equal">
      <formula>0</formula>
    </cfRule>
  </conditionalFormatting>
  <conditionalFormatting sqref="E16">
    <cfRule type="cellIs" dxfId="30" priority="3" operator="equal">
      <formula>0</formula>
    </cfRule>
  </conditionalFormatting>
  <conditionalFormatting sqref="E24">
    <cfRule type="cellIs" dxfId="29" priority="2" operator="equal">
      <formula>0</formula>
    </cfRule>
  </conditionalFormatting>
  <conditionalFormatting sqref="E28">
    <cfRule type="cellIs" dxfId="28" priority="1" operator="equal">
      <formula>0</formula>
    </cfRule>
  </conditionalFormatting>
  <dataValidations count="3">
    <dataValidation type="list" allowBlank="1" showInputMessage="1" showErrorMessage="1" sqref="E27" xr:uid="{00000000-0002-0000-0900-000000000000}">
      <formula1>ConventionalFuelList</formula1>
    </dataValidation>
    <dataValidation type="list" allowBlank="1" showInputMessage="1" showErrorMessage="1" sqref="E23" xr:uid="{00000000-0002-0000-0900-000001000000}">
      <formula1>ElectricGeneration</formula1>
    </dataValidation>
    <dataValidation type="decimal" allowBlank="1" showInputMessage="1" showErrorMessage="1" sqref="E18 E30" xr:uid="{00000000-0002-0000-0900-000002000000}">
      <formula1>0</formula1>
      <formula2>0.999</formula2>
    </dataValidation>
  </dataValidations>
  <printOptions horizontalCentered="1"/>
  <pageMargins left="0.32" right="0.33" top="1" bottom="1" header="0.5" footer="0.5"/>
  <pageSetup scale="53"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99"/>
    <pageSetUpPr fitToPage="1"/>
  </sheetPr>
  <dimension ref="B1:O46"/>
  <sheetViews>
    <sheetView workbookViewId="0"/>
  </sheetViews>
  <sheetFormatPr defaultColWidth="9.1796875" defaultRowHeight="12.5" x14ac:dyDescent="0.25"/>
  <cols>
    <col min="1" max="1" width="2.54296875" style="73" customWidth="1"/>
    <col min="2" max="2" width="5.453125" style="73" customWidth="1"/>
    <col min="3" max="3" width="10.81640625" style="73" customWidth="1"/>
    <col min="4" max="4" width="27.1796875" style="73" customWidth="1"/>
    <col min="5" max="5" width="28" style="73" customWidth="1"/>
    <col min="6" max="6" width="38.26953125" style="73" customWidth="1"/>
    <col min="7" max="7" width="2.54296875" style="73" customWidth="1"/>
    <col min="8" max="8" width="12" style="73" bestFit="1" customWidth="1"/>
    <col min="9" max="10" width="9.1796875" style="73"/>
    <col min="11" max="11" width="9.81640625" style="73" customWidth="1"/>
    <col min="12" max="16384" width="9.1796875" style="73"/>
  </cols>
  <sheetData>
    <row r="1" spans="2:8" ht="13" thickBot="1" x14ac:dyDescent="0.3"/>
    <row r="2" spans="2:8" ht="13" x14ac:dyDescent="0.3">
      <c r="C2" s="288" t="s">
        <v>10</v>
      </c>
      <c r="D2" s="289"/>
      <c r="E2" s="289"/>
      <c r="F2" s="290"/>
      <c r="G2" s="74"/>
    </row>
    <row r="3" spans="2:8" ht="13" x14ac:dyDescent="0.3">
      <c r="C3" s="279" t="s">
        <v>208</v>
      </c>
      <c r="D3" s="280"/>
      <c r="E3" s="280"/>
      <c r="F3" s="281"/>
      <c r="G3" s="74"/>
    </row>
    <row r="4" spans="2:8" ht="13" x14ac:dyDescent="0.3">
      <c r="C4" s="291"/>
      <c r="D4" s="292"/>
      <c r="E4" s="292"/>
      <c r="F4" s="293"/>
      <c r="G4" s="74"/>
    </row>
    <row r="5" spans="2:8" ht="13.5" thickBot="1" x14ac:dyDescent="0.35">
      <c r="C5" s="294" t="s">
        <v>191</v>
      </c>
      <c r="D5" s="295"/>
      <c r="E5" s="295"/>
      <c r="F5" s="296"/>
      <c r="G5" s="74"/>
    </row>
    <row r="7" spans="2:8" x14ac:dyDescent="0.25">
      <c r="H7" s="75" t="s">
        <v>12</v>
      </c>
    </row>
    <row r="8" spans="2:8" ht="13" thickBot="1" x14ac:dyDescent="0.3">
      <c r="H8" s="76" t="s">
        <v>13</v>
      </c>
    </row>
    <row r="9" spans="2:8" ht="13.5" thickBot="1" x14ac:dyDescent="0.35">
      <c r="B9" s="297" t="s">
        <v>97</v>
      </c>
      <c r="C9" s="297"/>
      <c r="D9" s="298"/>
      <c r="E9" s="299">
        <f>Certification!C12</f>
        <v>0</v>
      </c>
      <c r="F9" s="300"/>
      <c r="H9" s="77"/>
    </row>
    <row r="10" spans="2:8" x14ac:dyDescent="0.25">
      <c r="H10" s="77"/>
    </row>
    <row r="11" spans="2:8" ht="13" x14ac:dyDescent="0.3">
      <c r="C11" s="78" t="s">
        <v>161</v>
      </c>
      <c r="H11" s="79"/>
    </row>
    <row r="12" spans="2:8" ht="13" thickBot="1" x14ac:dyDescent="0.3">
      <c r="H12" s="77"/>
    </row>
    <row r="13" spans="2:8" ht="13" x14ac:dyDescent="0.3">
      <c r="C13" s="80" t="s">
        <v>162</v>
      </c>
      <c r="D13" s="81"/>
      <c r="E13" s="81"/>
      <c r="F13" s="82"/>
    </row>
    <row r="14" spans="2:8" x14ac:dyDescent="0.25">
      <c r="C14" s="83"/>
      <c r="D14" s="310" t="s">
        <v>163</v>
      </c>
      <c r="E14" s="84">
        <f>'Overall Efficiency - Quarter 3'!E14</f>
        <v>0</v>
      </c>
      <c r="F14" s="85" t="s">
        <v>15</v>
      </c>
    </row>
    <row r="15" spans="2:8" x14ac:dyDescent="0.25">
      <c r="C15" s="83"/>
      <c r="D15" s="310"/>
      <c r="E15" s="86" t="str">
        <f>'Overall Efficiency - Quarter 3'!E16</f>
        <v>-</v>
      </c>
      <c r="F15" s="85" t="str">
        <f>'Overall Efficiency - Quarter 1'!F16</f>
        <v>-</v>
      </c>
    </row>
    <row r="16" spans="2:8" x14ac:dyDescent="0.25">
      <c r="C16" s="83"/>
      <c r="D16" s="310"/>
      <c r="E16" s="86" t="str">
        <f>IFERROR('Overall Efficiency - Quarter 3'!E15/1000000*'Overall Efficiency - Quarter 3'!E16*2000,"-")</f>
        <v>-</v>
      </c>
      <c r="F16" s="85" t="s">
        <v>164</v>
      </c>
    </row>
    <row r="17" spans="3:11" ht="39" customHeight="1" x14ac:dyDescent="0.25">
      <c r="C17" s="83"/>
      <c r="D17" s="310" t="s">
        <v>165</v>
      </c>
      <c r="E17" s="312" t="s">
        <v>166</v>
      </c>
      <c r="F17" s="313"/>
    </row>
    <row r="18" spans="3:11" ht="14.5" x14ac:dyDescent="0.35">
      <c r="C18" s="83"/>
      <c r="D18" s="310"/>
      <c r="E18" s="87"/>
      <c r="F18" s="88" t="s">
        <v>167</v>
      </c>
    </row>
    <row r="19" spans="3:11" x14ac:dyDescent="0.25">
      <c r="C19" s="83"/>
      <c r="D19" s="310" t="s">
        <v>168</v>
      </c>
      <c r="E19" s="89">
        <f>Parameters!D11</f>
        <v>216.39947175000003</v>
      </c>
      <c r="F19" s="85" t="s">
        <v>169</v>
      </c>
    </row>
    <row r="20" spans="3:11" ht="13" thickBot="1" x14ac:dyDescent="0.3">
      <c r="C20" s="90"/>
      <c r="D20" s="314"/>
      <c r="E20" s="91">
        <f>IFERROR((E19*(1-E18))/2000*E16,0)</f>
        <v>0</v>
      </c>
      <c r="F20" s="92" t="s">
        <v>170</v>
      </c>
    </row>
    <row r="21" spans="3:11" ht="13" thickBot="1" x14ac:dyDescent="0.3"/>
    <row r="22" spans="3:11" ht="13" x14ac:dyDescent="0.3">
      <c r="C22" s="80" t="s">
        <v>171</v>
      </c>
      <c r="D22" s="81"/>
      <c r="E22" s="81"/>
      <c r="F22" s="82"/>
    </row>
    <row r="23" spans="3:11" x14ac:dyDescent="0.25">
      <c r="C23" s="83"/>
      <c r="D23" s="310" t="s">
        <v>172</v>
      </c>
      <c r="E23" s="93"/>
      <c r="F23" s="88" t="s">
        <v>17</v>
      </c>
    </row>
    <row r="24" spans="3:11" x14ac:dyDescent="0.25">
      <c r="C24" s="83"/>
      <c r="D24" s="310"/>
      <c r="E24" s="165">
        <f>'Overall Efficiency - Quarter 3'!E20/(1-0.06)+'Overall Efficiency - Quarter 3'!E21</f>
        <v>0</v>
      </c>
      <c r="F24" s="85" t="s">
        <v>173</v>
      </c>
    </row>
    <row r="25" spans="3:11" x14ac:dyDescent="0.25">
      <c r="C25" s="83"/>
      <c r="D25" s="310"/>
      <c r="E25" s="94" t="str">
        <f>IFERROR(VLOOKUP(E23,Parameters!B20:C21,2),"-")</f>
        <v>-</v>
      </c>
      <c r="F25" s="85" t="s">
        <v>174</v>
      </c>
    </row>
    <row r="26" spans="3:11" x14ac:dyDescent="0.25">
      <c r="C26" s="83"/>
      <c r="D26" s="310"/>
      <c r="E26" s="94" t="str">
        <f>IFERROR((E25/2000)*E24,"-")</f>
        <v>-</v>
      </c>
      <c r="F26" s="85" t="s">
        <v>170</v>
      </c>
    </row>
    <row r="27" spans="3:11" ht="25.5" customHeight="1" thickBot="1" x14ac:dyDescent="0.3">
      <c r="C27" s="83"/>
      <c r="D27" s="310" t="s">
        <v>175</v>
      </c>
      <c r="E27" s="95"/>
      <c r="F27" s="96" t="s">
        <v>176</v>
      </c>
    </row>
    <row r="28" spans="3:11" x14ac:dyDescent="0.25">
      <c r="C28" s="83"/>
      <c r="D28" s="310"/>
      <c r="E28" s="84">
        <f>'Overall Efficiency - Quarter 3'!E23</f>
        <v>0</v>
      </c>
      <c r="F28" s="85" t="s">
        <v>177</v>
      </c>
      <c r="H28" s="301" t="s">
        <v>178</v>
      </c>
      <c r="I28" s="302"/>
      <c r="J28" s="302"/>
      <c r="K28" s="303"/>
    </row>
    <row r="29" spans="3:11" x14ac:dyDescent="0.25">
      <c r="C29" s="83"/>
      <c r="D29" s="310"/>
      <c r="E29" s="97" t="str">
        <f>IFERROR(VLOOKUP(E27,Parameters!B12:D16,2),"-")</f>
        <v>-</v>
      </c>
      <c r="F29" s="88" t="s">
        <v>179</v>
      </c>
      <c r="H29" s="304"/>
      <c r="I29" s="305"/>
      <c r="J29" s="305"/>
      <c r="K29" s="306"/>
    </row>
    <row r="30" spans="3:11" ht="14.5" x14ac:dyDescent="0.35">
      <c r="C30" s="83"/>
      <c r="D30" s="310"/>
      <c r="E30" s="87"/>
      <c r="F30" s="88" t="s">
        <v>180</v>
      </c>
      <c r="H30" s="304"/>
      <c r="I30" s="305"/>
      <c r="J30" s="305"/>
      <c r="K30" s="306"/>
    </row>
    <row r="31" spans="3:11" ht="13" thickBot="1" x14ac:dyDescent="0.3">
      <c r="C31" s="83"/>
      <c r="D31" s="310"/>
      <c r="E31" s="94" t="str">
        <f>IFERROR(IF(OR(E30="",E30=0),E28/E29,E28/E30),"-")</f>
        <v>-</v>
      </c>
      <c r="F31" s="85" t="s">
        <v>181</v>
      </c>
      <c r="H31" s="307"/>
      <c r="I31" s="308"/>
      <c r="J31" s="308"/>
      <c r="K31" s="309"/>
    </row>
    <row r="32" spans="3:11" x14ac:dyDescent="0.25">
      <c r="C32" s="83"/>
      <c r="D32" s="310"/>
      <c r="E32" s="98" t="str">
        <f>IFERROR(VLOOKUP(E27,Parameters!B12:D16,3),"-")</f>
        <v>-</v>
      </c>
      <c r="F32" s="85" t="s">
        <v>182</v>
      </c>
    </row>
    <row r="33" spans="3:15" ht="13" thickBot="1" x14ac:dyDescent="0.3">
      <c r="C33" s="90"/>
      <c r="D33" s="314"/>
      <c r="E33" s="99" t="str">
        <f>IFERROR(E31*(E32/2000),"-")</f>
        <v>-</v>
      </c>
      <c r="F33" s="92" t="s">
        <v>170</v>
      </c>
    </row>
    <row r="34" spans="3:15" ht="13" thickBot="1" x14ac:dyDescent="0.3"/>
    <row r="35" spans="3:15" ht="13" x14ac:dyDescent="0.3">
      <c r="C35" s="80" t="s">
        <v>183</v>
      </c>
      <c r="D35" s="81"/>
      <c r="E35" s="81"/>
      <c r="F35" s="82"/>
    </row>
    <row r="36" spans="3:15" x14ac:dyDescent="0.25">
      <c r="C36" s="83"/>
      <c r="D36" s="310" t="s">
        <v>121</v>
      </c>
      <c r="E36" s="94" t="str">
        <f>IFERROR(E20-E26-E33,"-")</f>
        <v>-</v>
      </c>
      <c r="F36" s="85" t="s">
        <v>170</v>
      </c>
      <c r="L36" s="77"/>
      <c r="M36" s="77"/>
      <c r="N36" s="77"/>
      <c r="O36" s="77"/>
    </row>
    <row r="37" spans="3:15" x14ac:dyDescent="0.25">
      <c r="C37" s="83"/>
      <c r="D37" s="310"/>
      <c r="E37" s="100" t="str">
        <f>IFERROR(E36/E20,"-")</f>
        <v>-</v>
      </c>
      <c r="F37" s="85" t="s">
        <v>184</v>
      </c>
      <c r="K37" s="77"/>
      <c r="L37" s="77"/>
      <c r="M37" s="77"/>
      <c r="N37" s="77"/>
      <c r="O37" s="77"/>
    </row>
    <row r="38" spans="3:15" x14ac:dyDescent="0.25">
      <c r="C38" s="83"/>
      <c r="D38" s="101"/>
      <c r="E38" s="102"/>
      <c r="F38" s="103"/>
      <c r="K38" s="77"/>
      <c r="L38" s="77"/>
      <c r="M38" s="77"/>
      <c r="N38" s="77"/>
      <c r="O38" s="77"/>
    </row>
    <row r="39" spans="3:15" ht="13" x14ac:dyDescent="0.25">
      <c r="C39" s="83"/>
      <c r="D39" s="104" t="s">
        <v>185</v>
      </c>
      <c r="E39" s="105"/>
      <c r="F39" s="103"/>
      <c r="H39" s="77"/>
      <c r="I39" s="77"/>
      <c r="J39" s="77"/>
      <c r="K39" s="77"/>
      <c r="L39" s="77"/>
      <c r="M39" s="77"/>
      <c r="N39" s="77"/>
      <c r="O39" s="77"/>
    </row>
    <row r="40" spans="3:15" ht="12.75" customHeight="1" x14ac:dyDescent="0.25">
      <c r="C40" s="83"/>
      <c r="D40" s="215" t="s">
        <v>201</v>
      </c>
      <c r="E40" s="167" t="str">
        <f>IFERROR('Fuel Report'!F11/('Fuel Report'!$F$11+'Fuel Report'!$F$12+'Fuel Report'!$F$13+'Fuel Report'!$F$14),"-")</f>
        <v>-</v>
      </c>
      <c r="F40" s="88" t="s">
        <v>186</v>
      </c>
      <c r="H40" s="311"/>
      <c r="I40" s="311"/>
      <c r="J40" s="311"/>
      <c r="K40" s="311"/>
      <c r="L40" s="106"/>
      <c r="M40" s="106"/>
      <c r="N40" s="106"/>
      <c r="O40" s="106"/>
    </row>
    <row r="41" spans="3:15" ht="12.75" customHeight="1" x14ac:dyDescent="0.25">
      <c r="C41" s="83"/>
      <c r="D41" s="215" t="s">
        <v>202</v>
      </c>
      <c r="E41" s="167" t="str">
        <f>IFERROR('Fuel Report'!F12/('Fuel Report'!$F$11+'Fuel Report'!$F$12+'Fuel Report'!$F$13+'Fuel Report'!$F$14),"-")</f>
        <v>-</v>
      </c>
      <c r="F41" s="88" t="s">
        <v>186</v>
      </c>
      <c r="H41" s="311"/>
      <c r="I41" s="311"/>
      <c r="J41" s="311"/>
      <c r="K41" s="311"/>
      <c r="L41" s="106"/>
      <c r="M41" s="106"/>
      <c r="N41" s="106"/>
      <c r="O41" s="106"/>
    </row>
    <row r="42" spans="3:15" ht="12.75" customHeight="1" x14ac:dyDescent="0.25">
      <c r="C42" s="83"/>
      <c r="D42" s="215" t="s">
        <v>200</v>
      </c>
      <c r="E42" s="167" t="str">
        <f>IFERROR('Fuel Report'!F13/('Fuel Report'!$F$11+'Fuel Report'!$F$12+'Fuel Report'!$F$13+'Fuel Report'!$F$14),"-")</f>
        <v>-</v>
      </c>
      <c r="F42" s="88" t="s">
        <v>186</v>
      </c>
      <c r="H42" s="311"/>
      <c r="I42" s="311"/>
      <c r="J42" s="311"/>
      <c r="K42" s="311"/>
      <c r="L42" s="106"/>
      <c r="M42" s="106"/>
      <c r="N42" s="106"/>
      <c r="O42" s="106"/>
    </row>
    <row r="43" spans="3:15" ht="14.5" x14ac:dyDescent="0.25">
      <c r="C43" s="83"/>
      <c r="D43" s="215" t="s">
        <v>187</v>
      </c>
      <c r="E43" s="167" t="str">
        <f>IFERROR(1-E40-E41-E42,"-")</f>
        <v>-</v>
      </c>
      <c r="F43" s="88" t="s">
        <v>186</v>
      </c>
      <c r="H43" s="311"/>
      <c r="I43" s="311"/>
      <c r="J43" s="311"/>
      <c r="K43" s="311"/>
      <c r="L43" s="106"/>
      <c r="M43" s="106"/>
      <c r="N43" s="106"/>
      <c r="O43" s="106"/>
    </row>
    <row r="44" spans="3:15" ht="14.5" x14ac:dyDescent="0.35">
      <c r="C44" s="83"/>
      <c r="D44" s="107"/>
      <c r="E44" s="108"/>
      <c r="F44" s="109"/>
      <c r="H44" s="311"/>
      <c r="I44" s="311"/>
      <c r="J44" s="311"/>
      <c r="K44" s="311"/>
      <c r="L44" s="106"/>
      <c r="M44" s="106"/>
      <c r="N44" s="106"/>
      <c r="O44" s="106"/>
    </row>
    <row r="45" spans="3:15" ht="13" x14ac:dyDescent="0.25">
      <c r="C45" s="83"/>
      <c r="D45" s="110" t="s">
        <v>188</v>
      </c>
      <c r="E45" s="77"/>
      <c r="F45" s="103"/>
      <c r="H45" s="311"/>
      <c r="I45" s="311"/>
      <c r="J45" s="311"/>
      <c r="K45" s="311"/>
      <c r="L45" s="106"/>
      <c r="M45" s="106"/>
      <c r="N45" s="106"/>
      <c r="O45" s="106"/>
    </row>
    <row r="46" spans="3:15" ht="27.75" customHeight="1" thickBot="1" x14ac:dyDescent="0.3">
      <c r="C46" s="111"/>
      <c r="D46" s="112" t="s">
        <v>204</v>
      </c>
      <c r="E46" s="113" t="str">
        <f>IFERROR(1+('GHG Model - Forest Residues'!O36*E40)+('GHG Model - Non-Forest Residues'!O36*E41)+('GHG Model - Forest Salvage'!O36*E42)+('GHG Model - Forest Thinnings'!O35*$E$43),"-")</f>
        <v>-</v>
      </c>
      <c r="F46" s="114" t="s">
        <v>203</v>
      </c>
      <c r="L46" s="106"/>
      <c r="M46" s="106"/>
      <c r="N46" s="106"/>
      <c r="O46" s="106"/>
    </row>
  </sheetData>
  <sheetProtection algorithmName="SHA-512" hashValue="xAKGbMC53IuczPEp6Pt8Fkt+oplm0cwGetX6lxpq+7pnIPkDjzFffUBR2dVPhmNHWb6QcILKVIERtAltvPashQ==" saltValue="ydUTNLS3Go+eCkX+6/dx9g==" spinCount="100000" sheet="1" objects="1" scenarios="1"/>
  <protectedRanges>
    <protectedRange sqref="E18 E23 E27 E30 H28 H40:H42" name="Range1"/>
    <protectedRange sqref="E40:E42" name="Range1_1"/>
  </protectedRanges>
  <mergeCells count="15">
    <mergeCell ref="H28:K31"/>
    <mergeCell ref="D36:D37"/>
    <mergeCell ref="H40:K45"/>
    <mergeCell ref="D14:D16"/>
    <mergeCell ref="D17:D18"/>
    <mergeCell ref="E17:F17"/>
    <mergeCell ref="D19:D20"/>
    <mergeCell ref="D23:D26"/>
    <mergeCell ref="D27:D33"/>
    <mergeCell ref="C2:F2"/>
    <mergeCell ref="C3:F3"/>
    <mergeCell ref="C4:F4"/>
    <mergeCell ref="C5:F5"/>
    <mergeCell ref="B9:D9"/>
    <mergeCell ref="E9:F9"/>
  </mergeCells>
  <conditionalFormatting sqref="E9:F9">
    <cfRule type="cellIs" dxfId="27" priority="8" operator="equal">
      <formula>0</formula>
    </cfRule>
  </conditionalFormatting>
  <conditionalFormatting sqref="E15">
    <cfRule type="cellIs" dxfId="26" priority="6" operator="equal">
      <formula>0</formula>
    </cfRule>
  </conditionalFormatting>
  <conditionalFormatting sqref="E14">
    <cfRule type="cellIs" dxfId="25" priority="7" operator="equal">
      <formula>0</formula>
    </cfRule>
  </conditionalFormatting>
  <conditionalFormatting sqref="E26">
    <cfRule type="cellIs" dxfId="24" priority="5" operator="equal">
      <formula>0</formula>
    </cfRule>
  </conditionalFormatting>
  <conditionalFormatting sqref="E20">
    <cfRule type="cellIs" dxfId="23" priority="4" operator="equal">
      <formula>0</formula>
    </cfRule>
  </conditionalFormatting>
  <conditionalFormatting sqref="E16">
    <cfRule type="cellIs" dxfId="22" priority="3" operator="equal">
      <formula>0</formula>
    </cfRule>
  </conditionalFormatting>
  <conditionalFormatting sqref="E24">
    <cfRule type="cellIs" dxfId="21" priority="2" operator="equal">
      <formula>0</formula>
    </cfRule>
  </conditionalFormatting>
  <conditionalFormatting sqref="E28">
    <cfRule type="cellIs" dxfId="20" priority="1" operator="equal">
      <formula>0</formula>
    </cfRule>
  </conditionalFormatting>
  <dataValidations count="3">
    <dataValidation type="decimal" allowBlank="1" showInputMessage="1" showErrorMessage="1" sqref="E18 E30" xr:uid="{00000000-0002-0000-0A00-000000000000}">
      <formula1>0</formula1>
      <formula2>0.999</formula2>
    </dataValidation>
    <dataValidation type="list" allowBlank="1" showInputMessage="1" showErrorMessage="1" sqref="E23" xr:uid="{00000000-0002-0000-0A00-000001000000}">
      <formula1>ElectricGeneration</formula1>
    </dataValidation>
    <dataValidation type="list" allowBlank="1" showInputMessage="1" showErrorMessage="1" sqref="E27" xr:uid="{00000000-0002-0000-0A00-000002000000}">
      <formula1>ConventionalFuelList</formula1>
    </dataValidation>
  </dataValidations>
  <printOptions horizontalCentered="1"/>
  <pageMargins left="0.32" right="0.33" top="1" bottom="1" header="0.5" footer="0.5"/>
  <pageSetup scale="53"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99"/>
    <pageSetUpPr fitToPage="1"/>
  </sheetPr>
  <dimension ref="B1:O46"/>
  <sheetViews>
    <sheetView workbookViewId="0"/>
  </sheetViews>
  <sheetFormatPr defaultColWidth="9.1796875" defaultRowHeight="12.5" x14ac:dyDescent="0.25"/>
  <cols>
    <col min="1" max="1" width="2.54296875" style="73" customWidth="1"/>
    <col min="2" max="2" width="5.453125" style="73" customWidth="1"/>
    <col min="3" max="3" width="10.81640625" style="73" customWidth="1"/>
    <col min="4" max="4" width="27.1796875" style="73" customWidth="1"/>
    <col min="5" max="5" width="28" style="73" customWidth="1"/>
    <col min="6" max="6" width="38.26953125" style="73" customWidth="1"/>
    <col min="7" max="7" width="2.54296875" style="73" customWidth="1"/>
    <col min="8" max="8" width="12" style="73" bestFit="1" customWidth="1"/>
    <col min="9" max="10" width="9.1796875" style="73"/>
    <col min="11" max="11" width="9.81640625" style="73" customWidth="1"/>
    <col min="12" max="16384" width="9.1796875" style="73"/>
  </cols>
  <sheetData>
    <row r="1" spans="2:8" ht="13" thickBot="1" x14ac:dyDescent="0.3"/>
    <row r="2" spans="2:8" ht="13" x14ac:dyDescent="0.3">
      <c r="C2" s="288" t="s">
        <v>10</v>
      </c>
      <c r="D2" s="289"/>
      <c r="E2" s="289"/>
      <c r="F2" s="290"/>
      <c r="G2" s="74"/>
    </row>
    <row r="3" spans="2:8" ht="13" x14ac:dyDescent="0.3">
      <c r="C3" s="279" t="s">
        <v>208</v>
      </c>
      <c r="D3" s="280"/>
      <c r="E3" s="280"/>
      <c r="F3" s="281"/>
      <c r="G3" s="74"/>
    </row>
    <row r="4" spans="2:8" ht="13" x14ac:dyDescent="0.3">
      <c r="C4" s="291"/>
      <c r="D4" s="292"/>
      <c r="E4" s="292"/>
      <c r="F4" s="293"/>
      <c r="G4" s="74"/>
    </row>
    <row r="5" spans="2:8" ht="13.5" thickBot="1" x14ac:dyDescent="0.35">
      <c r="C5" s="294" t="s">
        <v>192</v>
      </c>
      <c r="D5" s="295"/>
      <c r="E5" s="295"/>
      <c r="F5" s="296"/>
      <c r="G5" s="74"/>
    </row>
    <row r="7" spans="2:8" x14ac:dyDescent="0.25">
      <c r="H7" s="75" t="s">
        <v>12</v>
      </c>
    </row>
    <row r="8" spans="2:8" ht="13" thickBot="1" x14ac:dyDescent="0.3">
      <c r="H8" s="76" t="s">
        <v>13</v>
      </c>
    </row>
    <row r="9" spans="2:8" ht="13.5" thickBot="1" x14ac:dyDescent="0.35">
      <c r="B9" s="297" t="s">
        <v>97</v>
      </c>
      <c r="C9" s="297"/>
      <c r="D9" s="298"/>
      <c r="E9" s="299">
        <f>Certification!C12</f>
        <v>0</v>
      </c>
      <c r="F9" s="300"/>
      <c r="H9" s="77"/>
    </row>
    <row r="10" spans="2:8" x14ac:dyDescent="0.25">
      <c r="H10" s="77"/>
    </row>
    <row r="11" spans="2:8" ht="13" x14ac:dyDescent="0.3">
      <c r="C11" s="78" t="s">
        <v>161</v>
      </c>
      <c r="H11" s="79"/>
    </row>
    <row r="12" spans="2:8" ht="13" thickBot="1" x14ac:dyDescent="0.3">
      <c r="H12" s="77"/>
    </row>
    <row r="13" spans="2:8" ht="13" x14ac:dyDescent="0.3">
      <c r="C13" s="80" t="s">
        <v>162</v>
      </c>
      <c r="D13" s="81"/>
      <c r="E13" s="81"/>
      <c r="F13" s="82"/>
    </row>
    <row r="14" spans="2:8" x14ac:dyDescent="0.25">
      <c r="C14" s="83"/>
      <c r="D14" s="310" t="s">
        <v>163</v>
      </c>
      <c r="E14" s="84">
        <f>'Overall Efficiency - Quarter 4'!E14</f>
        <v>0</v>
      </c>
      <c r="F14" s="85" t="s">
        <v>15</v>
      </c>
    </row>
    <row r="15" spans="2:8" x14ac:dyDescent="0.25">
      <c r="C15" s="83"/>
      <c r="D15" s="310"/>
      <c r="E15" s="86" t="str">
        <f>'Overall Efficiency - Quarter 4'!E16</f>
        <v>-</v>
      </c>
      <c r="F15" s="85" t="str">
        <f>'Overall Efficiency - Quarter 1'!F16</f>
        <v>-</v>
      </c>
    </row>
    <row r="16" spans="2:8" x14ac:dyDescent="0.25">
      <c r="C16" s="83"/>
      <c r="D16" s="310"/>
      <c r="E16" s="86" t="str">
        <f>IFERROR('Overall Efficiency - Quarter 4'!E15/1000000*'Overall Efficiency - Quarter 4'!E16*2000,"-")</f>
        <v>-</v>
      </c>
      <c r="F16" s="85" t="s">
        <v>164</v>
      </c>
    </row>
    <row r="17" spans="3:11" ht="39" customHeight="1" x14ac:dyDescent="0.25">
      <c r="C17" s="83"/>
      <c r="D17" s="310" t="s">
        <v>165</v>
      </c>
      <c r="E17" s="312" t="s">
        <v>166</v>
      </c>
      <c r="F17" s="313"/>
    </row>
    <row r="18" spans="3:11" ht="14.5" x14ac:dyDescent="0.35">
      <c r="C18" s="83"/>
      <c r="D18" s="310"/>
      <c r="E18" s="87"/>
      <c r="F18" s="88" t="s">
        <v>167</v>
      </c>
    </row>
    <row r="19" spans="3:11" x14ac:dyDescent="0.25">
      <c r="C19" s="83"/>
      <c r="D19" s="310" t="s">
        <v>168</v>
      </c>
      <c r="E19" s="89">
        <f>Parameters!D11</f>
        <v>216.39947175000003</v>
      </c>
      <c r="F19" s="85" t="s">
        <v>169</v>
      </c>
    </row>
    <row r="20" spans="3:11" ht="13" thickBot="1" x14ac:dyDescent="0.3">
      <c r="C20" s="90"/>
      <c r="D20" s="314"/>
      <c r="E20" s="91">
        <f>IFERROR((E19*(1-E18))/2000*E16,0)</f>
        <v>0</v>
      </c>
      <c r="F20" s="92" t="s">
        <v>170</v>
      </c>
    </row>
    <row r="21" spans="3:11" ht="13" thickBot="1" x14ac:dyDescent="0.3"/>
    <row r="22" spans="3:11" ht="13" x14ac:dyDescent="0.3">
      <c r="C22" s="80" t="s">
        <v>171</v>
      </c>
      <c r="D22" s="81"/>
      <c r="E22" s="81"/>
      <c r="F22" s="82"/>
    </row>
    <row r="23" spans="3:11" x14ac:dyDescent="0.25">
      <c r="C23" s="83"/>
      <c r="D23" s="310" t="s">
        <v>172</v>
      </c>
      <c r="E23" s="93"/>
      <c r="F23" s="88" t="s">
        <v>17</v>
      </c>
    </row>
    <row r="24" spans="3:11" x14ac:dyDescent="0.25">
      <c r="C24" s="83"/>
      <c r="D24" s="310"/>
      <c r="E24" s="165">
        <f>'Overall Efficiency - Quarter 4'!E20/(1-0.06)+'Overall Efficiency - Quarter 4'!E21</f>
        <v>0</v>
      </c>
      <c r="F24" s="85" t="s">
        <v>173</v>
      </c>
    </row>
    <row r="25" spans="3:11" x14ac:dyDescent="0.25">
      <c r="C25" s="83"/>
      <c r="D25" s="310"/>
      <c r="E25" s="94" t="str">
        <f>IFERROR(VLOOKUP(E23,Parameters!B20:C21,2),"-")</f>
        <v>-</v>
      </c>
      <c r="F25" s="85" t="s">
        <v>174</v>
      </c>
    </row>
    <row r="26" spans="3:11" x14ac:dyDescent="0.25">
      <c r="C26" s="83"/>
      <c r="D26" s="310"/>
      <c r="E26" s="94" t="str">
        <f>IFERROR((E25/2000)*E24,"-")</f>
        <v>-</v>
      </c>
      <c r="F26" s="85" t="s">
        <v>170</v>
      </c>
    </row>
    <row r="27" spans="3:11" ht="25.5" customHeight="1" thickBot="1" x14ac:dyDescent="0.3">
      <c r="C27" s="83"/>
      <c r="D27" s="310" t="s">
        <v>175</v>
      </c>
      <c r="E27" s="95"/>
      <c r="F27" s="96" t="s">
        <v>176</v>
      </c>
    </row>
    <row r="28" spans="3:11" x14ac:dyDescent="0.25">
      <c r="C28" s="83"/>
      <c r="D28" s="310"/>
      <c r="E28" s="84">
        <f>'Overall Efficiency - Quarter 4'!E23</f>
        <v>0</v>
      </c>
      <c r="F28" s="85" t="s">
        <v>177</v>
      </c>
      <c r="H28" s="301" t="s">
        <v>178</v>
      </c>
      <c r="I28" s="302"/>
      <c r="J28" s="302"/>
      <c r="K28" s="303"/>
    </row>
    <row r="29" spans="3:11" x14ac:dyDescent="0.25">
      <c r="C29" s="83"/>
      <c r="D29" s="310"/>
      <c r="E29" s="97" t="str">
        <f>IFERROR(VLOOKUP(E27,Parameters!B12:D16,2),"-")</f>
        <v>-</v>
      </c>
      <c r="F29" s="88" t="s">
        <v>179</v>
      </c>
      <c r="H29" s="304"/>
      <c r="I29" s="305"/>
      <c r="J29" s="305"/>
      <c r="K29" s="306"/>
    </row>
    <row r="30" spans="3:11" ht="14.5" x14ac:dyDescent="0.35">
      <c r="C30" s="83"/>
      <c r="D30" s="310"/>
      <c r="E30" s="87"/>
      <c r="F30" s="88" t="s">
        <v>180</v>
      </c>
      <c r="H30" s="304"/>
      <c r="I30" s="305"/>
      <c r="J30" s="305"/>
      <c r="K30" s="306"/>
    </row>
    <row r="31" spans="3:11" ht="13" thickBot="1" x14ac:dyDescent="0.3">
      <c r="C31" s="83"/>
      <c r="D31" s="310"/>
      <c r="E31" s="94" t="str">
        <f>IFERROR(IF(OR(E30="",E30=0),E28/E29,E28/E30),"-")</f>
        <v>-</v>
      </c>
      <c r="F31" s="85" t="s">
        <v>181</v>
      </c>
      <c r="H31" s="307"/>
      <c r="I31" s="308"/>
      <c r="J31" s="308"/>
      <c r="K31" s="309"/>
    </row>
    <row r="32" spans="3:11" x14ac:dyDescent="0.25">
      <c r="C32" s="83"/>
      <c r="D32" s="310"/>
      <c r="E32" s="98" t="str">
        <f>IFERROR(VLOOKUP(E27,Parameters!B12:D16,3),"-")</f>
        <v>-</v>
      </c>
      <c r="F32" s="85" t="s">
        <v>182</v>
      </c>
    </row>
    <row r="33" spans="3:15" ht="13" thickBot="1" x14ac:dyDescent="0.3">
      <c r="C33" s="90"/>
      <c r="D33" s="314"/>
      <c r="E33" s="99" t="str">
        <f>IFERROR(E31*(E32/2000),"-")</f>
        <v>-</v>
      </c>
      <c r="F33" s="92" t="s">
        <v>170</v>
      </c>
    </row>
    <row r="34" spans="3:15" ht="13" thickBot="1" x14ac:dyDescent="0.3"/>
    <row r="35" spans="3:15" ht="13" x14ac:dyDescent="0.3">
      <c r="C35" s="80" t="s">
        <v>183</v>
      </c>
      <c r="D35" s="81"/>
      <c r="E35" s="81"/>
      <c r="F35" s="82"/>
    </row>
    <row r="36" spans="3:15" x14ac:dyDescent="0.25">
      <c r="C36" s="83"/>
      <c r="D36" s="310" t="s">
        <v>121</v>
      </c>
      <c r="E36" s="94" t="str">
        <f>IFERROR(E20-E26-E33,"-")</f>
        <v>-</v>
      </c>
      <c r="F36" s="85" t="s">
        <v>170</v>
      </c>
      <c r="L36" s="77"/>
      <c r="M36" s="77"/>
      <c r="N36" s="77"/>
      <c r="O36" s="77"/>
    </row>
    <row r="37" spans="3:15" x14ac:dyDescent="0.25">
      <c r="C37" s="83"/>
      <c r="D37" s="310"/>
      <c r="E37" s="100" t="str">
        <f>IFERROR(E36/E20,"-")</f>
        <v>-</v>
      </c>
      <c r="F37" s="85" t="s">
        <v>184</v>
      </c>
      <c r="K37" s="77"/>
      <c r="L37" s="77"/>
      <c r="M37" s="77"/>
      <c r="N37" s="77"/>
      <c r="O37" s="77"/>
    </row>
    <row r="38" spans="3:15" x14ac:dyDescent="0.25">
      <c r="C38" s="83"/>
      <c r="D38" s="101"/>
      <c r="E38" s="102"/>
      <c r="F38" s="103"/>
      <c r="K38" s="77"/>
      <c r="L38" s="77"/>
      <c r="M38" s="77"/>
      <c r="N38" s="77"/>
      <c r="O38" s="77"/>
    </row>
    <row r="39" spans="3:15" ht="13" x14ac:dyDescent="0.25">
      <c r="C39" s="83"/>
      <c r="D39" s="104" t="s">
        <v>185</v>
      </c>
      <c r="E39" s="105"/>
      <c r="F39" s="103"/>
      <c r="H39" s="77"/>
      <c r="I39" s="77"/>
      <c r="J39" s="77"/>
      <c r="K39" s="77"/>
      <c r="L39" s="77"/>
      <c r="M39" s="77"/>
      <c r="N39" s="77"/>
      <c r="O39" s="77"/>
    </row>
    <row r="40" spans="3:15" ht="12.75" customHeight="1" x14ac:dyDescent="0.25">
      <c r="C40" s="83"/>
      <c r="D40" s="215" t="s">
        <v>201</v>
      </c>
      <c r="E40" s="167" t="str">
        <f>IFERROR('Fuel Report'!G11/('Fuel Report'!$G$11+'Fuel Report'!$G$12+'Fuel Report'!$G$13+'Fuel Report'!$G$14),"-")</f>
        <v>-</v>
      </c>
      <c r="F40" s="88" t="s">
        <v>186</v>
      </c>
      <c r="H40" s="311"/>
      <c r="I40" s="311"/>
      <c r="J40" s="311"/>
      <c r="K40" s="311"/>
      <c r="L40" s="106"/>
      <c r="M40" s="106"/>
      <c r="N40" s="106"/>
      <c r="O40" s="106"/>
    </row>
    <row r="41" spans="3:15" ht="12.75" customHeight="1" x14ac:dyDescent="0.25">
      <c r="C41" s="83"/>
      <c r="D41" s="215" t="s">
        <v>202</v>
      </c>
      <c r="E41" s="167" t="str">
        <f>IFERROR('Fuel Report'!G12/('Fuel Report'!$G$11+'Fuel Report'!$G$12+'Fuel Report'!$G$13+'Fuel Report'!$G$14),"-")</f>
        <v>-</v>
      </c>
      <c r="F41" s="88" t="s">
        <v>186</v>
      </c>
      <c r="H41" s="311"/>
      <c r="I41" s="311"/>
      <c r="J41" s="311"/>
      <c r="K41" s="311"/>
      <c r="L41" s="106"/>
      <c r="M41" s="106"/>
      <c r="N41" s="106"/>
      <c r="O41" s="106"/>
    </row>
    <row r="42" spans="3:15" ht="12.75" customHeight="1" x14ac:dyDescent="0.25">
      <c r="C42" s="83"/>
      <c r="D42" s="215" t="s">
        <v>200</v>
      </c>
      <c r="E42" s="167" t="str">
        <f>IFERROR('Fuel Report'!G13/('Fuel Report'!$G$11+'Fuel Report'!$G$12+'Fuel Report'!$G$13+'Fuel Report'!$G$14),"-")</f>
        <v>-</v>
      </c>
      <c r="F42" s="88" t="s">
        <v>186</v>
      </c>
      <c r="H42" s="311"/>
      <c r="I42" s="311"/>
      <c r="J42" s="311"/>
      <c r="K42" s="311"/>
      <c r="L42" s="106"/>
      <c r="M42" s="106"/>
      <c r="N42" s="106"/>
      <c r="O42" s="106"/>
    </row>
    <row r="43" spans="3:15" ht="14.5" x14ac:dyDescent="0.25">
      <c r="C43" s="83"/>
      <c r="D43" s="215" t="s">
        <v>187</v>
      </c>
      <c r="E43" s="167" t="str">
        <f>IFERROR(1-E40-E41-E42,"-")</f>
        <v>-</v>
      </c>
      <c r="F43" s="88" t="s">
        <v>186</v>
      </c>
      <c r="H43" s="311"/>
      <c r="I43" s="311"/>
      <c r="J43" s="311"/>
      <c r="K43" s="311"/>
      <c r="L43" s="106"/>
      <c r="M43" s="106"/>
      <c r="N43" s="106"/>
      <c r="O43" s="106"/>
    </row>
    <row r="44" spans="3:15" ht="14.5" x14ac:dyDescent="0.35">
      <c r="C44" s="83"/>
      <c r="D44" s="107"/>
      <c r="E44" s="108"/>
      <c r="F44" s="109"/>
      <c r="H44" s="311"/>
      <c r="I44" s="311"/>
      <c r="J44" s="311"/>
      <c r="K44" s="311"/>
      <c r="L44" s="106"/>
      <c r="M44" s="106"/>
      <c r="N44" s="106"/>
      <c r="O44" s="106"/>
    </row>
    <row r="45" spans="3:15" ht="13" x14ac:dyDescent="0.25">
      <c r="C45" s="83"/>
      <c r="D45" s="110" t="s">
        <v>188</v>
      </c>
      <c r="E45" s="77"/>
      <c r="F45" s="103"/>
      <c r="H45" s="311"/>
      <c r="I45" s="311"/>
      <c r="J45" s="311"/>
      <c r="K45" s="311"/>
      <c r="L45" s="106"/>
      <c r="M45" s="106"/>
      <c r="N45" s="106"/>
      <c r="O45" s="106"/>
    </row>
    <row r="46" spans="3:15" ht="27.75" customHeight="1" thickBot="1" x14ac:dyDescent="0.3">
      <c r="C46" s="111"/>
      <c r="D46" s="112" t="s">
        <v>204</v>
      </c>
      <c r="E46" s="113" t="str">
        <f>IFERROR(1+('GHG Model - Forest Residues'!T36*E40)+('GHG Model - Non-Forest Residues'!T36*E41)+('GHG Model - Forest Salvage'!T36*E42)+('GHG Model - Forest Thinnings'!T35*$E$43),"-")</f>
        <v>-</v>
      </c>
      <c r="F46" s="114" t="s">
        <v>203</v>
      </c>
      <c r="L46" s="106"/>
      <c r="M46" s="106"/>
      <c r="N46" s="106"/>
      <c r="O46" s="106"/>
    </row>
  </sheetData>
  <sheetProtection algorithmName="SHA-512" hashValue="Um8gzOIOYJ+1P/S/0e6Db9H588ZxmTGtPndRLm17UZ78WXdLNDuX6WiZCmSsd4jLPas0R7CkpmCVRcRquIHHZQ==" saltValue="K7QviODLU5Bo/huOERJB0w==" spinCount="100000" sheet="1" objects="1" scenarios="1"/>
  <protectedRanges>
    <protectedRange sqref="E18 E23 E27 E30 H28 H40:H42" name="Range1"/>
    <protectedRange sqref="E40:E42" name="Range1_1"/>
  </protectedRanges>
  <mergeCells count="15">
    <mergeCell ref="H28:K31"/>
    <mergeCell ref="D36:D37"/>
    <mergeCell ref="H40:K45"/>
    <mergeCell ref="D14:D16"/>
    <mergeCell ref="D17:D18"/>
    <mergeCell ref="E17:F17"/>
    <mergeCell ref="D19:D20"/>
    <mergeCell ref="D23:D26"/>
    <mergeCell ref="D27:D33"/>
    <mergeCell ref="C2:F2"/>
    <mergeCell ref="C3:F3"/>
    <mergeCell ref="C4:F4"/>
    <mergeCell ref="C5:F5"/>
    <mergeCell ref="B9:D9"/>
    <mergeCell ref="E9:F9"/>
  </mergeCells>
  <conditionalFormatting sqref="E9:F9">
    <cfRule type="cellIs" dxfId="19" priority="8" operator="equal">
      <formula>0</formula>
    </cfRule>
  </conditionalFormatting>
  <conditionalFormatting sqref="E15">
    <cfRule type="cellIs" dxfId="18" priority="6" operator="equal">
      <formula>0</formula>
    </cfRule>
  </conditionalFormatting>
  <conditionalFormatting sqref="E14">
    <cfRule type="cellIs" dxfId="17" priority="7" operator="equal">
      <formula>0</formula>
    </cfRule>
  </conditionalFormatting>
  <conditionalFormatting sqref="E26">
    <cfRule type="cellIs" dxfId="16" priority="5" operator="equal">
      <formula>0</formula>
    </cfRule>
  </conditionalFormatting>
  <conditionalFormatting sqref="E20">
    <cfRule type="cellIs" dxfId="15" priority="4" operator="equal">
      <formula>0</formula>
    </cfRule>
  </conditionalFormatting>
  <conditionalFormatting sqref="E16">
    <cfRule type="cellIs" dxfId="14" priority="3" operator="equal">
      <formula>0</formula>
    </cfRule>
  </conditionalFormatting>
  <conditionalFormatting sqref="E24">
    <cfRule type="cellIs" dxfId="13" priority="2" operator="equal">
      <formula>0</formula>
    </cfRule>
  </conditionalFormatting>
  <conditionalFormatting sqref="E28">
    <cfRule type="cellIs" dxfId="12" priority="1" operator="equal">
      <formula>0</formula>
    </cfRule>
  </conditionalFormatting>
  <dataValidations count="3">
    <dataValidation type="list" allowBlank="1" showInputMessage="1" showErrorMessage="1" sqref="E27" xr:uid="{00000000-0002-0000-0B00-000000000000}">
      <formula1>ConventionalFuelList</formula1>
    </dataValidation>
    <dataValidation type="list" allowBlank="1" showInputMessage="1" showErrorMessage="1" sqref="E23" xr:uid="{00000000-0002-0000-0B00-000001000000}">
      <formula1>ElectricGeneration</formula1>
    </dataValidation>
    <dataValidation type="decimal" allowBlank="1" showInputMessage="1" showErrorMessage="1" sqref="E18 E30" xr:uid="{00000000-0002-0000-0B00-000002000000}">
      <formula1>0</formula1>
      <formula2>0.999</formula2>
    </dataValidation>
  </dataValidations>
  <printOptions horizontalCentered="1"/>
  <pageMargins left="0.32" right="0.33" top="1" bottom="1" header="0.5" footer="0.5"/>
  <pageSetup scale="53"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3" tint="0.39997558519241921"/>
    <pageSetUpPr fitToPage="1"/>
  </sheetPr>
  <dimension ref="B1:O46"/>
  <sheetViews>
    <sheetView workbookViewId="0"/>
  </sheetViews>
  <sheetFormatPr defaultColWidth="9.1796875" defaultRowHeight="12.5" x14ac:dyDescent="0.25"/>
  <cols>
    <col min="1" max="1" width="2.54296875" style="73" customWidth="1"/>
    <col min="2" max="2" width="5.453125" style="73" customWidth="1"/>
    <col min="3" max="3" width="10.81640625" style="73" customWidth="1"/>
    <col min="4" max="4" width="27.1796875" style="73" customWidth="1"/>
    <col min="5" max="5" width="28" style="73" customWidth="1"/>
    <col min="6" max="6" width="38.26953125" style="73" customWidth="1"/>
    <col min="7" max="7" width="2.54296875" style="73" customWidth="1"/>
    <col min="8" max="8" width="12" style="73" bestFit="1" customWidth="1"/>
    <col min="9" max="10" width="9.1796875" style="73"/>
    <col min="11" max="11" width="9.81640625" style="73" customWidth="1"/>
    <col min="12" max="16384" width="9.1796875" style="73"/>
  </cols>
  <sheetData>
    <row r="1" spans="2:8" ht="13" thickBot="1" x14ac:dyDescent="0.3"/>
    <row r="2" spans="2:8" ht="13" x14ac:dyDescent="0.3">
      <c r="C2" s="288" t="s">
        <v>10</v>
      </c>
      <c r="D2" s="289"/>
      <c r="E2" s="289"/>
      <c r="F2" s="290"/>
      <c r="G2" s="74"/>
    </row>
    <row r="3" spans="2:8" ht="13" x14ac:dyDescent="0.3">
      <c r="C3" s="279" t="s">
        <v>208</v>
      </c>
      <c r="D3" s="280"/>
      <c r="E3" s="280"/>
      <c r="F3" s="281"/>
      <c r="G3" s="74"/>
    </row>
    <row r="4" spans="2:8" ht="13" x14ac:dyDescent="0.3">
      <c r="C4" s="291"/>
      <c r="D4" s="292"/>
      <c r="E4" s="292"/>
      <c r="F4" s="293"/>
      <c r="G4" s="74"/>
    </row>
    <row r="5" spans="2:8" ht="13.5" thickBot="1" x14ac:dyDescent="0.35">
      <c r="C5" s="294" t="s">
        <v>193</v>
      </c>
      <c r="D5" s="295"/>
      <c r="E5" s="295"/>
      <c r="F5" s="296"/>
      <c r="G5" s="74"/>
    </row>
    <row r="7" spans="2:8" x14ac:dyDescent="0.25">
      <c r="H7" s="159"/>
    </row>
    <row r="8" spans="2:8" ht="13" thickBot="1" x14ac:dyDescent="0.3">
      <c r="H8" s="76" t="s">
        <v>13</v>
      </c>
    </row>
    <row r="9" spans="2:8" ht="13.5" thickBot="1" x14ac:dyDescent="0.35">
      <c r="B9" s="297" t="s">
        <v>97</v>
      </c>
      <c r="C9" s="297"/>
      <c r="D9" s="298"/>
      <c r="E9" s="299">
        <f>Certification!C12</f>
        <v>0</v>
      </c>
      <c r="F9" s="300"/>
      <c r="H9" s="77"/>
    </row>
    <row r="10" spans="2:8" x14ac:dyDescent="0.25">
      <c r="H10" s="77"/>
    </row>
    <row r="11" spans="2:8" ht="13" x14ac:dyDescent="0.3">
      <c r="C11" s="78" t="s">
        <v>161</v>
      </c>
      <c r="H11" s="79"/>
    </row>
    <row r="12" spans="2:8" ht="13" thickBot="1" x14ac:dyDescent="0.3">
      <c r="H12" s="77"/>
    </row>
    <row r="13" spans="2:8" ht="13" x14ac:dyDescent="0.3">
      <c r="C13" s="80" t="s">
        <v>162</v>
      </c>
      <c r="D13" s="81"/>
      <c r="E13" s="81"/>
      <c r="F13" s="82"/>
    </row>
    <row r="14" spans="2:8" x14ac:dyDescent="0.25">
      <c r="C14" s="83"/>
      <c r="D14" s="310" t="s">
        <v>163</v>
      </c>
      <c r="E14" s="84">
        <f>'Overall Efficiency - Annual'!E14</f>
        <v>0</v>
      </c>
      <c r="F14" s="85" t="s">
        <v>15</v>
      </c>
    </row>
    <row r="15" spans="2:8" x14ac:dyDescent="0.25">
      <c r="C15" s="83"/>
      <c r="D15" s="310"/>
      <c r="E15" s="86" t="str">
        <f>'Overall Efficiency - Annual'!E16</f>
        <v>-</v>
      </c>
      <c r="F15" s="85" t="str">
        <f>'Overall Efficiency - Quarter 1'!F16</f>
        <v>-</v>
      </c>
    </row>
    <row r="16" spans="2:8" x14ac:dyDescent="0.25">
      <c r="C16" s="83"/>
      <c r="D16" s="310"/>
      <c r="E16" s="86" t="str">
        <f>IFERROR('Overall Efficiency - Annual'!E15/1000000*'Overall Efficiency - Annual'!E16*2000,"-")</f>
        <v>-</v>
      </c>
      <c r="F16" s="85" t="s">
        <v>164</v>
      </c>
    </row>
    <row r="17" spans="3:11" ht="39" customHeight="1" x14ac:dyDescent="0.25">
      <c r="C17" s="83"/>
      <c r="D17" s="310" t="s">
        <v>165</v>
      </c>
      <c r="E17" s="312" t="s">
        <v>166</v>
      </c>
      <c r="F17" s="313"/>
    </row>
    <row r="18" spans="3:11" ht="14.5" x14ac:dyDescent="0.35">
      <c r="C18" s="83"/>
      <c r="D18" s="310"/>
      <c r="E18" s="166">
        <f>AVERAGE('GHG Analysis - Quarter 1'!E18+'GHG Analysis - Quarter 2'!E18+'GHG Analysis - Quarter 3'!E18+'GHG Analysis - Quarter 4'!E18)</f>
        <v>0</v>
      </c>
      <c r="F18" s="88" t="s">
        <v>167</v>
      </c>
    </row>
    <row r="19" spans="3:11" x14ac:dyDescent="0.25">
      <c r="C19" s="83"/>
      <c r="D19" s="310" t="s">
        <v>168</v>
      </c>
      <c r="E19" s="89">
        <f>Parameters!D11</f>
        <v>216.39947175000003</v>
      </c>
      <c r="F19" s="85" t="s">
        <v>169</v>
      </c>
    </row>
    <row r="20" spans="3:11" ht="13" thickBot="1" x14ac:dyDescent="0.3">
      <c r="C20" s="90"/>
      <c r="D20" s="314"/>
      <c r="E20" s="91">
        <f>IFERROR((E19*(1-E18))/2000*E16,0)</f>
        <v>0</v>
      </c>
      <c r="F20" s="92" t="s">
        <v>170</v>
      </c>
    </row>
    <row r="21" spans="3:11" ht="13" thickBot="1" x14ac:dyDescent="0.3"/>
    <row r="22" spans="3:11" ht="13" x14ac:dyDescent="0.3">
      <c r="C22" s="80" t="s">
        <v>171</v>
      </c>
      <c r="D22" s="81"/>
      <c r="E22" s="81"/>
      <c r="F22" s="82"/>
    </row>
    <row r="23" spans="3:11" x14ac:dyDescent="0.25">
      <c r="C23" s="83"/>
      <c r="D23" s="310" t="s">
        <v>172</v>
      </c>
      <c r="E23" s="172">
        <f>'GHG Analysis - Quarter 1'!E23</f>
        <v>0</v>
      </c>
      <c r="F23" s="88" t="s">
        <v>17</v>
      </c>
    </row>
    <row r="24" spans="3:11" x14ac:dyDescent="0.25">
      <c r="C24" s="83"/>
      <c r="D24" s="310"/>
      <c r="E24" s="165">
        <f>'Overall Efficiency - Annual'!E20/(1-0.06)+'Overall Efficiency - Annual'!E21</f>
        <v>0</v>
      </c>
      <c r="F24" s="85" t="s">
        <v>173</v>
      </c>
    </row>
    <row r="25" spans="3:11" x14ac:dyDescent="0.25">
      <c r="C25" s="83"/>
      <c r="D25" s="310"/>
      <c r="E25" s="94" t="str">
        <f>IFERROR(VLOOKUP(E23,Parameters!B20:C21,2),"-")</f>
        <v>-</v>
      </c>
      <c r="F25" s="85" t="s">
        <v>174</v>
      </c>
    </row>
    <row r="26" spans="3:11" x14ac:dyDescent="0.25">
      <c r="C26" s="83"/>
      <c r="D26" s="310"/>
      <c r="E26" s="94" t="str">
        <f>IFERROR((E25/2000)*E24,"-")</f>
        <v>-</v>
      </c>
      <c r="F26" s="85" t="s">
        <v>170</v>
      </c>
    </row>
    <row r="27" spans="3:11" ht="25.5" customHeight="1" thickBot="1" x14ac:dyDescent="0.3">
      <c r="C27" s="83"/>
      <c r="D27" s="310" t="s">
        <v>175</v>
      </c>
      <c r="E27" s="173">
        <f>'GHG Analysis - Quarter 1'!E27</f>
        <v>0</v>
      </c>
      <c r="F27" s="96" t="s">
        <v>176</v>
      </c>
    </row>
    <row r="28" spans="3:11" x14ac:dyDescent="0.25">
      <c r="C28" s="83"/>
      <c r="D28" s="310"/>
      <c r="E28" s="165">
        <f>'Overall Efficiency - Annual'!E23</f>
        <v>0</v>
      </c>
      <c r="F28" s="85" t="s">
        <v>177</v>
      </c>
      <c r="H28" s="315" t="s">
        <v>178</v>
      </c>
      <c r="I28" s="316"/>
      <c r="J28" s="316"/>
      <c r="K28" s="317"/>
    </row>
    <row r="29" spans="3:11" x14ac:dyDescent="0.25">
      <c r="C29" s="83"/>
      <c r="D29" s="310"/>
      <c r="E29" s="97" t="str">
        <f>IFERROR(VLOOKUP(E27,Parameters!B12:D16,2),"-")</f>
        <v>-</v>
      </c>
      <c r="F29" s="88" t="s">
        <v>179</v>
      </c>
      <c r="H29" s="318"/>
      <c r="I29" s="319"/>
      <c r="J29" s="319"/>
      <c r="K29" s="320"/>
    </row>
    <row r="30" spans="3:11" ht="14.5" x14ac:dyDescent="0.35">
      <c r="C30" s="83"/>
      <c r="D30" s="310"/>
      <c r="E30" s="166">
        <f>'GHG Analysis - Quarter 1'!E30</f>
        <v>0</v>
      </c>
      <c r="F30" s="88" t="s">
        <v>180</v>
      </c>
      <c r="H30" s="318"/>
      <c r="I30" s="319"/>
      <c r="J30" s="319"/>
      <c r="K30" s="320"/>
    </row>
    <row r="31" spans="3:11" ht="13" thickBot="1" x14ac:dyDescent="0.3">
      <c r="C31" s="83"/>
      <c r="D31" s="310"/>
      <c r="E31" s="94" t="str">
        <f>IFERROR(IF(OR(E30="",E30=0),E28/E29,E28/E30),"-")</f>
        <v>-</v>
      </c>
      <c r="F31" s="85" t="s">
        <v>181</v>
      </c>
      <c r="H31" s="321"/>
      <c r="I31" s="322"/>
      <c r="J31" s="322"/>
      <c r="K31" s="323"/>
    </row>
    <row r="32" spans="3:11" x14ac:dyDescent="0.25">
      <c r="C32" s="83"/>
      <c r="D32" s="310"/>
      <c r="E32" s="98" t="str">
        <f>IFERROR(VLOOKUP(E27,Parameters!B12:D16,3),"-")</f>
        <v>-</v>
      </c>
      <c r="F32" s="85" t="s">
        <v>182</v>
      </c>
    </row>
    <row r="33" spans="3:15" ht="13" thickBot="1" x14ac:dyDescent="0.3">
      <c r="C33" s="90"/>
      <c r="D33" s="314"/>
      <c r="E33" s="99" t="str">
        <f>IFERROR(E31*(E32/2000),"-")</f>
        <v>-</v>
      </c>
      <c r="F33" s="92" t="s">
        <v>170</v>
      </c>
    </row>
    <row r="34" spans="3:15" ht="13" thickBot="1" x14ac:dyDescent="0.3"/>
    <row r="35" spans="3:15" ht="13" x14ac:dyDescent="0.3">
      <c r="C35" s="80" t="s">
        <v>183</v>
      </c>
      <c r="D35" s="81"/>
      <c r="E35" s="81"/>
      <c r="F35" s="82"/>
    </row>
    <row r="36" spans="3:15" x14ac:dyDescent="0.25">
      <c r="C36" s="83"/>
      <c r="D36" s="310" t="s">
        <v>121</v>
      </c>
      <c r="E36" s="94" t="str">
        <f>IFERROR(E20-E26-E33,"-")</f>
        <v>-</v>
      </c>
      <c r="F36" s="85" t="s">
        <v>170</v>
      </c>
      <c r="L36" s="77"/>
      <c r="M36" s="77"/>
      <c r="N36" s="77"/>
      <c r="O36" s="77"/>
    </row>
    <row r="37" spans="3:15" x14ac:dyDescent="0.25">
      <c r="C37" s="83"/>
      <c r="D37" s="310"/>
      <c r="E37" s="100" t="str">
        <f>IFERROR(E36/E20,"-")</f>
        <v>-</v>
      </c>
      <c r="F37" s="85" t="s">
        <v>184</v>
      </c>
      <c r="K37" s="77"/>
      <c r="L37" s="77"/>
      <c r="M37" s="77"/>
      <c r="N37" s="77"/>
      <c r="O37" s="77"/>
    </row>
    <row r="38" spans="3:15" x14ac:dyDescent="0.25">
      <c r="C38" s="83"/>
      <c r="D38" s="101"/>
      <c r="E38" s="102"/>
      <c r="F38" s="103"/>
      <c r="K38" s="77"/>
      <c r="L38" s="77"/>
      <c r="M38" s="77"/>
      <c r="N38" s="77"/>
      <c r="O38" s="77"/>
    </row>
    <row r="39" spans="3:15" ht="13" x14ac:dyDescent="0.25">
      <c r="C39" s="83"/>
      <c r="D39" s="104" t="s">
        <v>185</v>
      </c>
      <c r="E39" s="105"/>
      <c r="F39" s="103"/>
      <c r="H39" s="77"/>
      <c r="I39" s="77"/>
      <c r="J39" s="77"/>
      <c r="K39" s="77"/>
      <c r="L39" s="77"/>
      <c r="M39" s="77"/>
      <c r="N39" s="77"/>
      <c r="O39" s="77"/>
    </row>
    <row r="40" spans="3:15" ht="12.75" customHeight="1" x14ac:dyDescent="0.25">
      <c r="C40" s="83"/>
      <c r="D40" s="215" t="s">
        <v>201</v>
      </c>
      <c r="E40" s="167" t="str">
        <f>IFERROR('Fuel Report'!H11/('Fuel Report'!$H$11+'Fuel Report'!$H$12+'Fuel Report'!$H$13+'Fuel Report'!$H$14),"-")</f>
        <v>-</v>
      </c>
      <c r="F40" s="88" t="s">
        <v>186</v>
      </c>
      <c r="H40" s="311"/>
      <c r="I40" s="311"/>
      <c r="J40" s="311"/>
      <c r="K40" s="311"/>
      <c r="L40" s="106"/>
      <c r="M40" s="106"/>
      <c r="N40" s="106"/>
      <c r="O40" s="106"/>
    </row>
    <row r="41" spans="3:15" ht="12.75" customHeight="1" x14ac:dyDescent="0.25">
      <c r="C41" s="83"/>
      <c r="D41" s="215" t="s">
        <v>202</v>
      </c>
      <c r="E41" s="167" t="str">
        <f>IFERROR('Fuel Report'!H12/('Fuel Report'!$H$11+'Fuel Report'!$H$12+'Fuel Report'!$H$13+'Fuel Report'!$H$14),"-")</f>
        <v>-</v>
      </c>
      <c r="F41" s="88" t="s">
        <v>186</v>
      </c>
      <c r="H41" s="311"/>
      <c r="I41" s="311"/>
      <c r="J41" s="311"/>
      <c r="K41" s="311"/>
      <c r="L41" s="106"/>
      <c r="M41" s="106"/>
      <c r="N41" s="106"/>
      <c r="O41" s="106"/>
    </row>
    <row r="42" spans="3:15" ht="12.75" customHeight="1" x14ac:dyDescent="0.25">
      <c r="C42" s="83"/>
      <c r="D42" s="215" t="s">
        <v>200</v>
      </c>
      <c r="E42" s="167" t="str">
        <f>IFERROR('Fuel Report'!H13/('Fuel Report'!$H$11+'Fuel Report'!$H$12+'Fuel Report'!$H$13+'Fuel Report'!$H$14),"-")</f>
        <v>-</v>
      </c>
      <c r="F42" s="88" t="s">
        <v>186</v>
      </c>
      <c r="H42" s="311"/>
      <c r="I42" s="311"/>
      <c r="J42" s="311"/>
      <c r="K42" s="311"/>
      <c r="L42" s="106"/>
      <c r="M42" s="106"/>
      <c r="N42" s="106"/>
      <c r="O42" s="106"/>
    </row>
    <row r="43" spans="3:15" ht="14.5" x14ac:dyDescent="0.25">
      <c r="C43" s="83"/>
      <c r="D43" s="215" t="s">
        <v>187</v>
      </c>
      <c r="E43" s="167" t="str">
        <f>IFERROR(1-E40-E41-E42,"-")</f>
        <v>-</v>
      </c>
      <c r="F43" s="88" t="s">
        <v>186</v>
      </c>
      <c r="H43" s="311"/>
      <c r="I43" s="311"/>
      <c r="J43" s="311"/>
      <c r="K43" s="311"/>
      <c r="L43" s="106"/>
      <c r="M43" s="106"/>
      <c r="N43" s="106"/>
      <c r="O43" s="106"/>
    </row>
    <row r="44" spans="3:15" ht="14.5" x14ac:dyDescent="0.35">
      <c r="C44" s="83"/>
      <c r="D44" s="107"/>
      <c r="E44" s="108"/>
      <c r="F44" s="109"/>
      <c r="H44" s="311"/>
      <c r="I44" s="311"/>
      <c r="J44" s="311"/>
      <c r="K44" s="311"/>
      <c r="L44" s="106"/>
      <c r="M44" s="106"/>
      <c r="N44" s="106"/>
      <c r="O44" s="106"/>
    </row>
    <row r="45" spans="3:15" ht="13" x14ac:dyDescent="0.25">
      <c r="C45" s="83"/>
      <c r="D45" s="110" t="s">
        <v>188</v>
      </c>
      <c r="E45" s="77"/>
      <c r="F45" s="103"/>
      <c r="H45" s="311"/>
      <c r="I45" s="311"/>
      <c r="J45" s="311"/>
      <c r="K45" s="311"/>
      <c r="L45" s="106"/>
      <c r="M45" s="106"/>
      <c r="N45" s="106"/>
      <c r="O45" s="106"/>
    </row>
    <row r="46" spans="3:15" ht="27.75" customHeight="1" thickBot="1" x14ac:dyDescent="0.3">
      <c r="C46" s="111"/>
      <c r="D46" s="112" t="s">
        <v>204</v>
      </c>
      <c r="E46" s="113" t="str">
        <f>IFERROR(1+('GHG Model - Forest Residues'!Y36*E40)+('GHG Model - Non-Forest Residues'!Y36*E41)+('GHG Model - Forest Salvage'!Y36*E42)+('GHG Model - Forest Thinnings'!Y35*$E$43),"-")</f>
        <v>-</v>
      </c>
      <c r="F46" s="114" t="s">
        <v>203</v>
      </c>
      <c r="L46" s="106"/>
      <c r="M46" s="106"/>
      <c r="N46" s="106"/>
      <c r="O46" s="106"/>
    </row>
  </sheetData>
  <sheetProtection algorithmName="SHA-512" hashValue="eQ7SLAUK3iExKe7jDC2N+Hb7VxevYDG1kzkQsmLv/Sxe+b86d1i+krAvFWBjPjBRA1pR31gUkT9CUoGcG4+ipg==" saltValue="TJ18LKjEYXv0sZIqCXGI7g==" spinCount="100000" sheet="1" objects="1" scenarios="1"/>
  <protectedRanges>
    <protectedRange sqref="E18 E23 E27 E30 H28 H40:H42" name="Range1"/>
    <protectedRange sqref="E40:E42" name="Range1_1"/>
  </protectedRanges>
  <mergeCells count="15">
    <mergeCell ref="H28:K31"/>
    <mergeCell ref="D36:D37"/>
    <mergeCell ref="H40:K45"/>
    <mergeCell ref="D14:D16"/>
    <mergeCell ref="D17:D18"/>
    <mergeCell ref="E17:F17"/>
    <mergeCell ref="D19:D20"/>
    <mergeCell ref="D23:D26"/>
    <mergeCell ref="D27:D33"/>
    <mergeCell ref="C2:F2"/>
    <mergeCell ref="C3:F3"/>
    <mergeCell ref="C4:F4"/>
    <mergeCell ref="C5:F5"/>
    <mergeCell ref="B9:D9"/>
    <mergeCell ref="E9:F9"/>
  </mergeCells>
  <conditionalFormatting sqref="E9:F9">
    <cfRule type="cellIs" dxfId="11" priority="12" operator="equal">
      <formula>0</formula>
    </cfRule>
  </conditionalFormatting>
  <conditionalFormatting sqref="E15">
    <cfRule type="cellIs" dxfId="10" priority="10" operator="equal">
      <formula>0</formula>
    </cfRule>
  </conditionalFormatting>
  <conditionalFormatting sqref="E14">
    <cfRule type="cellIs" dxfId="9" priority="11" operator="equal">
      <formula>0</formula>
    </cfRule>
  </conditionalFormatting>
  <conditionalFormatting sqref="E26">
    <cfRule type="cellIs" dxfId="8" priority="9" operator="equal">
      <formula>0</formula>
    </cfRule>
  </conditionalFormatting>
  <conditionalFormatting sqref="E20">
    <cfRule type="cellIs" dxfId="7" priority="8" operator="equal">
      <formula>0</formula>
    </cfRule>
  </conditionalFormatting>
  <conditionalFormatting sqref="E16">
    <cfRule type="cellIs" dxfId="6" priority="7" operator="equal">
      <formula>0</formula>
    </cfRule>
  </conditionalFormatting>
  <conditionalFormatting sqref="E24">
    <cfRule type="cellIs" dxfId="5" priority="6" operator="equal">
      <formula>0</formula>
    </cfRule>
  </conditionalFormatting>
  <conditionalFormatting sqref="E28">
    <cfRule type="cellIs" dxfId="4" priority="5" operator="equal">
      <formula>0</formula>
    </cfRule>
  </conditionalFormatting>
  <conditionalFormatting sqref="E18">
    <cfRule type="cellIs" dxfId="3" priority="4" operator="equal">
      <formula>0</formula>
    </cfRule>
  </conditionalFormatting>
  <conditionalFormatting sqref="E23">
    <cfRule type="cellIs" dxfId="2" priority="3" operator="equal">
      <formula>0</formula>
    </cfRule>
  </conditionalFormatting>
  <conditionalFormatting sqref="E27">
    <cfRule type="cellIs" dxfId="1" priority="2" operator="equal">
      <formula>0</formula>
    </cfRule>
  </conditionalFormatting>
  <conditionalFormatting sqref="E30">
    <cfRule type="cellIs" dxfId="0" priority="1" operator="equal">
      <formula>0</formula>
    </cfRule>
  </conditionalFormatting>
  <dataValidations count="1">
    <dataValidation type="decimal" allowBlank="1" showInputMessage="1" showErrorMessage="1" sqref="E18 E30" xr:uid="{00000000-0002-0000-0C00-000000000000}">
      <formula1>0</formula1>
      <formula2>0.999</formula2>
    </dataValidation>
  </dataValidations>
  <printOptions horizontalCentered="1"/>
  <pageMargins left="0.32" right="0.33" top="1" bottom="1" header="0.5" footer="0.5"/>
  <pageSetup scale="53"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43"/>
  <sheetViews>
    <sheetView workbookViewId="0"/>
  </sheetViews>
  <sheetFormatPr defaultColWidth="9.1796875" defaultRowHeight="12.5" x14ac:dyDescent="0.25"/>
  <cols>
    <col min="1" max="1" width="3.453125" style="58" customWidth="1"/>
    <col min="2" max="2" width="27" style="58" customWidth="1"/>
    <col min="3" max="9" width="17.7265625" style="58" customWidth="1"/>
    <col min="10" max="16384" width="9.1796875" style="58"/>
  </cols>
  <sheetData>
    <row r="2" spans="2:6" ht="13" x14ac:dyDescent="0.3">
      <c r="B2" s="57" t="s">
        <v>44</v>
      </c>
    </row>
    <row r="3" spans="2:6" ht="13" thickBot="1" x14ac:dyDescent="0.3"/>
    <row r="4" spans="2:6" ht="41.25" customHeight="1" x14ac:dyDescent="0.25">
      <c r="B4" s="115" t="s">
        <v>45</v>
      </c>
      <c r="C4" s="116" t="s">
        <v>46</v>
      </c>
      <c r="D4" s="332" t="s">
        <v>47</v>
      </c>
      <c r="E4" s="333"/>
    </row>
    <row r="5" spans="2:6" x14ac:dyDescent="0.25">
      <c r="B5" s="117" t="s">
        <v>16</v>
      </c>
      <c r="C5" s="118" t="s">
        <v>48</v>
      </c>
      <c r="D5" s="119">
        <v>6800</v>
      </c>
      <c r="E5" s="120" t="s">
        <v>30</v>
      </c>
    </row>
    <row r="6" spans="2:6" x14ac:dyDescent="0.25">
      <c r="B6" s="117" t="s">
        <v>49</v>
      </c>
      <c r="C6" s="118" t="s">
        <v>50</v>
      </c>
      <c r="D6" s="119">
        <v>4250</v>
      </c>
      <c r="E6" s="120" t="s">
        <v>30</v>
      </c>
    </row>
    <row r="7" spans="2:6" ht="13" thickBot="1" x14ac:dyDescent="0.3">
      <c r="B7" s="121" t="s">
        <v>51</v>
      </c>
      <c r="C7" s="122" t="s">
        <v>48</v>
      </c>
      <c r="D7" s="123">
        <v>8000</v>
      </c>
      <c r="E7" s="124" t="s">
        <v>30</v>
      </c>
    </row>
    <row r="9" spans="2:6" ht="13" thickBot="1" x14ac:dyDescent="0.3"/>
    <row r="10" spans="2:6" ht="38" thickBot="1" x14ac:dyDescent="0.3">
      <c r="B10" s="125" t="s">
        <v>52</v>
      </c>
      <c r="C10" s="126" t="s">
        <v>53</v>
      </c>
      <c r="D10" s="127" t="s">
        <v>54</v>
      </c>
      <c r="F10" s="66"/>
    </row>
    <row r="11" spans="2:6" x14ac:dyDescent="0.25">
      <c r="B11" s="128" t="s">
        <v>55</v>
      </c>
      <c r="C11" s="129" t="s">
        <v>56</v>
      </c>
      <c r="D11" s="130">
        <f>H26</f>
        <v>216.39947175000003</v>
      </c>
      <c r="E11" s="131" t="s">
        <v>57</v>
      </c>
    </row>
    <row r="12" spans="2:6" x14ac:dyDescent="0.25">
      <c r="B12" s="132" t="s">
        <v>58</v>
      </c>
      <c r="C12" s="133">
        <v>0.75</v>
      </c>
      <c r="D12" s="134">
        <f>H27</f>
        <v>200.50800000000001</v>
      </c>
      <c r="E12" s="131" t="s">
        <v>57</v>
      </c>
    </row>
    <row r="13" spans="2:6" x14ac:dyDescent="0.25">
      <c r="B13" s="132" t="s">
        <v>59</v>
      </c>
      <c r="C13" s="133">
        <v>0.75</v>
      </c>
      <c r="D13" s="134">
        <f>H28</f>
        <v>213.44400000000002</v>
      </c>
      <c r="E13" s="131" t="s">
        <v>57</v>
      </c>
    </row>
    <row r="14" spans="2:6" x14ac:dyDescent="0.25">
      <c r="B14" s="132" t="s">
        <v>60</v>
      </c>
      <c r="C14" s="133">
        <v>0.8</v>
      </c>
      <c r="D14" s="134">
        <f>H29</f>
        <v>158.06175000000002</v>
      </c>
      <c r="E14" s="131" t="s">
        <v>57</v>
      </c>
    </row>
    <row r="15" spans="2:6" x14ac:dyDescent="0.25">
      <c r="B15" s="132" t="s">
        <v>61</v>
      </c>
      <c r="C15" s="133">
        <v>0.85</v>
      </c>
      <c r="D15" s="134">
        <f>H29</f>
        <v>158.06175000000002</v>
      </c>
      <c r="E15" s="131" t="s">
        <v>57</v>
      </c>
    </row>
    <row r="16" spans="2:6" ht="13" thickBot="1" x14ac:dyDescent="0.3">
      <c r="B16" s="121" t="s">
        <v>62</v>
      </c>
      <c r="C16" s="135">
        <v>0.8</v>
      </c>
      <c r="D16" s="136">
        <f>63.07*2.205*(AVERAGE(31/25,23/17))</f>
        <v>180.29932200000002</v>
      </c>
      <c r="E16" s="137" t="s">
        <v>63</v>
      </c>
    </row>
    <row r="18" spans="2:9" ht="13" thickBot="1" x14ac:dyDescent="0.3"/>
    <row r="19" spans="2:9" ht="38" thickBot="1" x14ac:dyDescent="0.3">
      <c r="B19" s="125" t="s">
        <v>64</v>
      </c>
      <c r="C19" s="138" t="s">
        <v>65</v>
      </c>
    </row>
    <row r="20" spans="2:9" x14ac:dyDescent="0.25">
      <c r="B20" s="128" t="s">
        <v>66</v>
      </c>
      <c r="C20" s="139">
        <f>136*2.205*(44/12)</f>
        <v>1099.56</v>
      </c>
      <c r="D20" s="131" t="s">
        <v>67</v>
      </c>
    </row>
    <row r="21" spans="2:9" ht="13" thickBot="1" x14ac:dyDescent="0.3">
      <c r="B21" s="121" t="s">
        <v>68</v>
      </c>
      <c r="C21" s="140" t="s">
        <v>69</v>
      </c>
    </row>
    <row r="22" spans="2:9" x14ac:dyDescent="0.25">
      <c r="B22" s="141"/>
      <c r="C22" s="142"/>
    </row>
    <row r="23" spans="2:9" x14ac:dyDescent="0.25">
      <c r="B23" s="141"/>
      <c r="C23" s="142"/>
    </row>
    <row r="24" spans="2:9" ht="13.5" thickBot="1" x14ac:dyDescent="0.35">
      <c r="B24" s="57" t="s">
        <v>70</v>
      </c>
    </row>
    <row r="25" spans="2:9" ht="13" thickBot="1" x14ac:dyDescent="0.3">
      <c r="B25" s="143" t="s">
        <v>71</v>
      </c>
      <c r="C25" s="324" t="s">
        <v>72</v>
      </c>
      <c r="D25" s="324"/>
      <c r="E25" s="144" t="s">
        <v>73</v>
      </c>
      <c r="F25" s="324" t="s">
        <v>74</v>
      </c>
      <c r="G25" s="324"/>
      <c r="H25" s="324" t="s">
        <v>75</v>
      </c>
      <c r="I25" s="325"/>
    </row>
    <row r="26" spans="2:9" x14ac:dyDescent="0.25">
      <c r="B26" s="128" t="s">
        <v>55</v>
      </c>
      <c r="C26" s="145">
        <v>406</v>
      </c>
      <c r="D26" s="146" t="s">
        <v>76</v>
      </c>
      <c r="E26" s="147">
        <v>0.22500000000000001</v>
      </c>
      <c r="F26" s="148">
        <f>C26*E26</f>
        <v>91.350000000000009</v>
      </c>
      <c r="G26" s="146" t="s">
        <v>76</v>
      </c>
      <c r="H26" s="148">
        <f>F26*2.205*(44/12)*0.293</f>
        <v>216.39947175000003</v>
      </c>
      <c r="I26" s="149" t="s">
        <v>77</v>
      </c>
    </row>
    <row r="27" spans="2:9" x14ac:dyDescent="0.25">
      <c r="B27" s="132" t="s">
        <v>78</v>
      </c>
      <c r="C27" s="150">
        <v>31</v>
      </c>
      <c r="D27" s="151" t="s">
        <v>79</v>
      </c>
      <c r="E27" s="152">
        <v>0.8</v>
      </c>
      <c r="F27" s="148">
        <f>C27*E27</f>
        <v>24.8</v>
      </c>
      <c r="G27" s="151" t="s">
        <v>79</v>
      </c>
      <c r="H27" s="148">
        <f>F27*2.205*(44/12)</f>
        <v>200.50800000000001</v>
      </c>
      <c r="I27" s="149" t="s">
        <v>77</v>
      </c>
    </row>
    <row r="28" spans="2:9" x14ac:dyDescent="0.25">
      <c r="B28" s="132" t="s">
        <v>80</v>
      </c>
      <c r="C28" s="150">
        <v>33</v>
      </c>
      <c r="D28" s="151" t="s">
        <v>79</v>
      </c>
      <c r="E28" s="152">
        <v>0.8</v>
      </c>
      <c r="F28" s="148">
        <f>C28*E28</f>
        <v>26.400000000000002</v>
      </c>
      <c r="G28" s="151" t="s">
        <v>79</v>
      </c>
      <c r="H28" s="148">
        <f>F28*2.205*(44/12)</f>
        <v>213.44400000000002</v>
      </c>
      <c r="I28" s="149" t="s">
        <v>77</v>
      </c>
    </row>
    <row r="29" spans="2:9" ht="13" thickBot="1" x14ac:dyDescent="0.3">
      <c r="B29" s="121" t="s">
        <v>60</v>
      </c>
      <c r="C29" s="153">
        <v>23</v>
      </c>
      <c r="D29" s="154" t="s">
        <v>79</v>
      </c>
      <c r="E29" s="155">
        <v>0.85</v>
      </c>
      <c r="F29" s="156">
        <f>C29*E29</f>
        <v>19.55</v>
      </c>
      <c r="G29" s="154" t="s">
        <v>79</v>
      </c>
      <c r="H29" s="156">
        <f>F29*2.205*(44/12)</f>
        <v>158.06175000000002</v>
      </c>
      <c r="I29" s="157" t="s">
        <v>77</v>
      </c>
    </row>
    <row r="32" spans="2:9" ht="13" x14ac:dyDescent="0.3">
      <c r="B32" s="57" t="s">
        <v>81</v>
      </c>
    </row>
    <row r="33" spans="2:9" ht="13" x14ac:dyDescent="0.3">
      <c r="B33" s="66" t="s">
        <v>82</v>
      </c>
    </row>
    <row r="34" spans="2:9" ht="13" thickBot="1" x14ac:dyDescent="0.3"/>
    <row r="35" spans="2:9" ht="39" customHeight="1" thickBot="1" x14ac:dyDescent="0.3">
      <c r="B35" s="209"/>
      <c r="C35" s="214" t="s">
        <v>83</v>
      </c>
      <c r="D35" s="158"/>
      <c r="E35" s="326" t="s">
        <v>209</v>
      </c>
      <c r="F35" s="326"/>
      <c r="G35" s="326"/>
      <c r="H35" s="326"/>
      <c r="I35" s="158"/>
    </row>
    <row r="36" spans="2:9" ht="13" customHeight="1" thickBot="1" x14ac:dyDescent="0.4">
      <c r="B36" s="209" t="s">
        <v>160</v>
      </c>
      <c r="C36" s="213">
        <v>7.3529338705882399</v>
      </c>
      <c r="D36" s="158"/>
      <c r="E36" s="326"/>
      <c r="F36" s="326"/>
      <c r="G36" s="326"/>
      <c r="H36" s="326"/>
      <c r="I36" s="158"/>
    </row>
    <row r="37" spans="2:9" customFormat="1" ht="15" thickBot="1" x14ac:dyDescent="0.4">
      <c r="B37" s="209" t="s">
        <v>199</v>
      </c>
      <c r="C37" s="210">
        <v>5</v>
      </c>
      <c r="D37" s="211"/>
      <c r="E37" s="326"/>
      <c r="F37" s="326"/>
      <c r="G37" s="326"/>
      <c r="H37" s="326"/>
      <c r="I37" s="211"/>
    </row>
    <row r="38" spans="2:9" customFormat="1" ht="15" thickBot="1" x14ac:dyDescent="0.4">
      <c r="B38" s="212" t="s">
        <v>200</v>
      </c>
      <c r="C38" s="213">
        <v>7.3529338705882399</v>
      </c>
      <c r="D38" s="211"/>
      <c r="E38" s="326"/>
      <c r="F38" s="326"/>
      <c r="G38" s="326"/>
      <c r="H38" s="326"/>
      <c r="I38" s="211"/>
    </row>
    <row r="39" spans="2:9" ht="13" thickBot="1" x14ac:dyDescent="0.3">
      <c r="B39" s="141"/>
      <c r="C39" s="159"/>
      <c r="D39" s="160"/>
      <c r="E39" s="326"/>
      <c r="F39" s="326"/>
      <c r="G39" s="326"/>
      <c r="H39" s="326"/>
      <c r="I39" s="158"/>
    </row>
    <row r="40" spans="2:9" x14ac:dyDescent="0.25">
      <c r="B40" s="327" t="s">
        <v>84</v>
      </c>
      <c r="C40" s="330" t="s">
        <v>85</v>
      </c>
      <c r="D40" s="331"/>
      <c r="E40" s="326"/>
      <c r="F40" s="326"/>
      <c r="G40" s="326"/>
      <c r="H40" s="326"/>
    </row>
    <row r="41" spans="2:9" x14ac:dyDescent="0.25">
      <c r="B41" s="328"/>
      <c r="C41" s="161" t="s">
        <v>86</v>
      </c>
      <c r="D41" s="162" t="s">
        <v>87</v>
      </c>
      <c r="E41" s="326"/>
      <c r="F41" s="326"/>
      <c r="G41" s="326"/>
      <c r="H41" s="326"/>
    </row>
    <row r="42" spans="2:9" ht="13" thickBot="1" x14ac:dyDescent="0.3">
      <c r="B42" s="329"/>
      <c r="C42" s="123">
        <v>1.1238999999999999</v>
      </c>
      <c r="D42" s="163">
        <v>-1.2E-2</v>
      </c>
      <c r="E42" s="326"/>
      <c r="F42" s="326"/>
      <c r="G42" s="326"/>
      <c r="H42" s="326"/>
    </row>
    <row r="43" spans="2:9" x14ac:dyDescent="0.25">
      <c r="B43" s="141"/>
      <c r="D43" s="164"/>
    </row>
  </sheetData>
  <sheetProtection algorithmName="SHA-512" hashValue="jjEltEwIIBsV/lMSKlVMaYnjX1o38x3CJgqLZLL+bfdsLJEgLKsNt0oVWglWgktb6UmEf9o/rEXGHN0NFwbEtQ==" saltValue="MQc7NCUgLQxlzOLQRyS6iQ==" spinCount="100000" sheet="1" objects="1" scenarios="1"/>
  <mergeCells count="7">
    <mergeCell ref="H25:I25"/>
    <mergeCell ref="E35:H42"/>
    <mergeCell ref="B40:B42"/>
    <mergeCell ref="C40:D40"/>
    <mergeCell ref="D4:E4"/>
    <mergeCell ref="C25:D25"/>
    <mergeCell ref="F25:G25"/>
  </mergeCells>
  <pageMargins left="0.75" right="0.75" top="1" bottom="1" header="0.5" footer="0.5"/>
  <pageSetup orientation="portrait" horizontalDpi="200" verticalDpi="200"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482E7-EA06-4535-ABC4-47022330A67C}">
  <dimension ref="B2:Y36"/>
  <sheetViews>
    <sheetView workbookViewId="0"/>
  </sheetViews>
  <sheetFormatPr defaultColWidth="9.1796875" defaultRowHeight="12.5" x14ac:dyDescent="0.25"/>
  <cols>
    <col min="1" max="1" width="3.81640625" style="58" customWidth="1"/>
    <col min="2" max="3" width="9.1796875" style="58"/>
    <col min="4" max="6" width="9.453125" style="58" customWidth="1"/>
    <col min="7" max="19" width="9.1796875" style="58"/>
    <col min="20" max="20" width="18.453125" style="58" bestFit="1" customWidth="1"/>
    <col min="21" max="16384" width="9.1796875" style="58"/>
  </cols>
  <sheetData>
    <row r="2" spans="2:25" ht="13" x14ac:dyDescent="0.3">
      <c r="B2" s="57" t="s">
        <v>115</v>
      </c>
    </row>
    <row r="3" spans="2:25" ht="13" x14ac:dyDescent="0.3">
      <c r="B3" s="57" t="s">
        <v>160</v>
      </c>
    </row>
    <row r="5" spans="2:25" ht="13" x14ac:dyDescent="0.3">
      <c r="B5" s="57" t="s">
        <v>117</v>
      </c>
      <c r="D5" s="59"/>
    </row>
    <row r="6" spans="2:25" x14ac:dyDescent="0.25">
      <c r="C6" s="60" t="s">
        <v>118</v>
      </c>
      <c r="D6" s="61">
        <f>Parameters!C36</f>
        <v>7.3529338705882399</v>
      </c>
      <c r="E6" s="62" t="s">
        <v>119</v>
      </c>
    </row>
    <row r="7" spans="2:25" x14ac:dyDescent="0.25">
      <c r="C7" s="60" t="s">
        <v>120</v>
      </c>
      <c r="D7" s="63">
        <f>-LN(0.5)/D6</f>
        <v>9.4268110220946819E-2</v>
      </c>
    </row>
    <row r="8" spans="2:25" x14ac:dyDescent="0.25">
      <c r="C8" s="60"/>
      <c r="D8" s="63" t="s">
        <v>0</v>
      </c>
      <c r="G8" s="58" t="s">
        <v>1</v>
      </c>
      <c r="L8" s="58" t="s">
        <v>2</v>
      </c>
      <c r="Q8" s="58" t="s">
        <v>3</v>
      </c>
      <c r="V8" s="58" t="s">
        <v>110</v>
      </c>
    </row>
    <row r="9" spans="2:25" x14ac:dyDescent="0.25">
      <c r="C9" s="60" t="s">
        <v>121</v>
      </c>
      <c r="D9" s="64" t="str">
        <f>'GHG Analysis - Quarter 1'!$E$37</f>
        <v>-</v>
      </c>
      <c r="G9" s="64" t="str">
        <f>'GHG Analysis - Quarter 2'!$E$37</f>
        <v>-</v>
      </c>
      <c r="L9" s="64" t="str">
        <f>'GHG Analysis - Quarter 3'!$E$37</f>
        <v>-</v>
      </c>
      <c r="Q9" s="64" t="str">
        <f>'GHG Analysis - Quarter 4'!$E$37</f>
        <v>-</v>
      </c>
      <c r="V9" s="64" t="str">
        <f>'GHG Analysis - Annual'!$E$37</f>
        <v>-</v>
      </c>
    </row>
    <row r="10" spans="2:25" x14ac:dyDescent="0.25">
      <c r="C10" s="65" t="s">
        <v>122</v>
      </c>
      <c r="D10" s="58">
        <v>-1</v>
      </c>
      <c r="E10" s="66" t="s">
        <v>123</v>
      </c>
      <c r="G10" s="58">
        <v>-1</v>
      </c>
      <c r="L10" s="58">
        <v>-1</v>
      </c>
      <c r="Q10" s="58">
        <v>-1</v>
      </c>
      <c r="V10" s="58">
        <v>-1</v>
      </c>
    </row>
    <row r="11" spans="2:25" x14ac:dyDescent="0.25">
      <c r="C11" s="60" t="s">
        <v>124</v>
      </c>
      <c r="D11" s="67" t="e">
        <f>-D10/(D9-1)</f>
        <v>#VALUE!</v>
      </c>
      <c r="E11" s="66" t="s">
        <v>125</v>
      </c>
      <c r="G11" s="67" t="e">
        <f>-G10/(G9-1)</f>
        <v>#VALUE!</v>
      </c>
      <c r="L11" s="67" t="e">
        <f>-L10/(L9-1)</f>
        <v>#VALUE!</v>
      </c>
      <c r="Q11" s="67" t="e">
        <f>-Q10/(Q9-1)</f>
        <v>#VALUE!</v>
      </c>
      <c r="V11" s="67" t="e">
        <f>-V10/(V9-1)</f>
        <v>#VALUE!</v>
      </c>
    </row>
    <row r="12" spans="2:25" x14ac:dyDescent="0.25">
      <c r="C12" s="60"/>
      <c r="D12" s="67"/>
    </row>
    <row r="13" spans="2:25" x14ac:dyDescent="0.25">
      <c r="B13" s="58" t="s">
        <v>0</v>
      </c>
      <c r="C13" s="60"/>
      <c r="D13" s="67"/>
      <c r="G13" s="58" t="s">
        <v>1</v>
      </c>
      <c r="H13" s="60"/>
      <c r="I13" s="67"/>
      <c r="L13" s="58" t="s">
        <v>2</v>
      </c>
      <c r="M13" s="60"/>
      <c r="N13" s="67"/>
      <c r="Q13" s="58" t="s">
        <v>3</v>
      </c>
      <c r="R13" s="60"/>
      <c r="S13" s="67"/>
      <c r="V13" s="58" t="s">
        <v>110</v>
      </c>
      <c r="W13" s="60"/>
      <c r="X13" s="67"/>
    </row>
    <row r="14" spans="2:25" ht="13" x14ac:dyDescent="0.3">
      <c r="B14" s="57" t="s">
        <v>126</v>
      </c>
      <c r="G14" s="57" t="s">
        <v>126</v>
      </c>
      <c r="L14" s="57" t="s">
        <v>126</v>
      </c>
      <c r="Q14" s="57" t="s">
        <v>126</v>
      </c>
      <c r="V14" s="57" t="s">
        <v>126</v>
      </c>
    </row>
    <row r="16" spans="2:25" ht="25" x14ac:dyDescent="0.25">
      <c r="B16" s="68" t="s">
        <v>127</v>
      </c>
      <c r="C16" s="68" t="s">
        <v>128</v>
      </c>
      <c r="D16" s="69" t="s">
        <v>129</v>
      </c>
      <c r="E16" s="69" t="s">
        <v>130</v>
      </c>
      <c r="F16" s="69"/>
      <c r="G16" s="68" t="s">
        <v>127</v>
      </c>
      <c r="H16" s="68" t="s">
        <v>128</v>
      </c>
      <c r="I16" s="69" t="s">
        <v>129</v>
      </c>
      <c r="J16" s="69" t="s">
        <v>130</v>
      </c>
      <c r="L16" s="68" t="s">
        <v>127</v>
      </c>
      <c r="M16" s="68" t="s">
        <v>128</v>
      </c>
      <c r="N16" s="69" t="s">
        <v>129</v>
      </c>
      <c r="O16" s="69" t="s">
        <v>130</v>
      </c>
      <c r="Q16" s="68" t="s">
        <v>127</v>
      </c>
      <c r="R16" s="68" t="s">
        <v>128</v>
      </c>
      <c r="S16" s="69" t="s">
        <v>129</v>
      </c>
      <c r="T16" s="69" t="s">
        <v>130</v>
      </c>
      <c r="V16" s="68" t="s">
        <v>127</v>
      </c>
      <c r="W16" s="68" t="s">
        <v>128</v>
      </c>
      <c r="X16" s="69" t="s">
        <v>129</v>
      </c>
      <c r="Y16" s="69" t="s">
        <v>130</v>
      </c>
    </row>
    <row r="17" spans="2:25" x14ac:dyDescent="0.25">
      <c r="B17" s="58">
        <v>1</v>
      </c>
      <c r="C17" s="70">
        <f>EXP(-'GHG Model - Forest Residues'!$D$7*(B17-0.5))</f>
        <v>0.9539595058713467</v>
      </c>
      <c r="D17" s="71" t="e">
        <f>-$D$11*(1-C17)</f>
        <v>#VALUE!</v>
      </c>
      <c r="E17" s="168" t="e">
        <f>$D$11+D17</f>
        <v>#VALUE!</v>
      </c>
      <c r="G17" s="58">
        <v>1</v>
      </c>
      <c r="H17" s="70">
        <f>EXP(-'GHG Model - Forest Residues'!$D$7*(G17-0.5))</f>
        <v>0.9539595058713467</v>
      </c>
      <c r="I17" s="71" t="e">
        <f t="shared" ref="I17:I36" si="0">-$G$11*(1-H17)</f>
        <v>#VALUE!</v>
      </c>
      <c r="J17" s="168" t="e">
        <f>$G$11+I17</f>
        <v>#VALUE!</v>
      </c>
      <c r="L17" s="58">
        <v>1</v>
      </c>
      <c r="M17" s="70">
        <f>EXP(-'GHG Model - Forest Residues'!$D$7*(L17-0.5))</f>
        <v>0.9539595058713467</v>
      </c>
      <c r="N17" s="71" t="e">
        <f t="shared" ref="N17:N36" si="1">-$L$11*(1-M17)</f>
        <v>#VALUE!</v>
      </c>
      <c r="O17" s="168" t="e">
        <f>$L$11+N17</f>
        <v>#VALUE!</v>
      </c>
      <c r="Q17" s="58">
        <v>1</v>
      </c>
      <c r="R17" s="70">
        <f>EXP(-'GHG Model - Forest Residues'!$D$7*(Q17-0.5))</f>
        <v>0.9539595058713467</v>
      </c>
      <c r="S17" s="71" t="e">
        <f>-$Q$11*(1-R17)</f>
        <v>#VALUE!</v>
      </c>
      <c r="T17" s="169" t="e">
        <f>$Q$11+S17</f>
        <v>#VALUE!</v>
      </c>
      <c r="V17" s="58">
        <v>1</v>
      </c>
      <c r="W17" s="70">
        <f>EXP(-'GHG Model - Forest Residues'!$D$7*(V17-0.5))</f>
        <v>0.9539595058713467</v>
      </c>
      <c r="X17" s="71" t="e">
        <f>-$V$11*(1-W17)</f>
        <v>#VALUE!</v>
      </c>
      <c r="Y17" s="168" t="e">
        <f>$V$11+X17</f>
        <v>#VALUE!</v>
      </c>
    </row>
    <row r="18" spans="2:25" x14ac:dyDescent="0.25">
      <c r="B18" s="58">
        <v>2</v>
      </c>
      <c r="C18" s="70">
        <f>EXP(-'GHG Model - Forest Residues'!$D$7*(B18-0.5))</f>
        <v>0.86814010562978772</v>
      </c>
      <c r="D18" s="71" t="e">
        <f t="shared" ref="D18:D36" si="2">-$D$11*(1-C18)</f>
        <v>#VALUE!</v>
      </c>
      <c r="E18" s="168" t="e">
        <f t="shared" ref="E18:E36" si="3">$D$11+D18</f>
        <v>#VALUE!</v>
      </c>
      <c r="G18" s="58">
        <v>2</v>
      </c>
      <c r="H18" s="70">
        <f>EXP(-'GHG Model - Forest Residues'!$D$7*(G18-0.5))</f>
        <v>0.86814010562978772</v>
      </c>
      <c r="I18" s="71" t="e">
        <f t="shared" si="0"/>
        <v>#VALUE!</v>
      </c>
      <c r="J18" s="168" t="e">
        <f t="shared" ref="J18:J36" si="4">$G$11+I18</f>
        <v>#VALUE!</v>
      </c>
      <c r="L18" s="58">
        <v>2</v>
      </c>
      <c r="M18" s="70">
        <f>EXP(-'GHG Model - Forest Residues'!$D$7*(L18-0.5))</f>
        <v>0.86814010562978772</v>
      </c>
      <c r="N18" s="71" t="e">
        <f t="shared" si="1"/>
        <v>#VALUE!</v>
      </c>
      <c r="O18" s="168" t="e">
        <f t="shared" ref="O18:O36" si="5">$L$11+N18</f>
        <v>#VALUE!</v>
      </c>
      <c r="Q18" s="58">
        <v>2</v>
      </c>
      <c r="R18" s="70">
        <f>EXP(-'GHG Model - Forest Residues'!$D$7*(Q18-0.5))</f>
        <v>0.86814010562978772</v>
      </c>
      <c r="S18" s="71" t="e">
        <f t="shared" ref="S18:S36" si="6">-$Q$11*(1-R18)</f>
        <v>#VALUE!</v>
      </c>
      <c r="T18" s="169" t="e">
        <f t="shared" ref="T18:T36" si="7">$Q$11+S18</f>
        <v>#VALUE!</v>
      </c>
      <c r="V18" s="58">
        <v>2</v>
      </c>
      <c r="W18" s="70">
        <f>EXP(-'GHG Model - Forest Residues'!$D$7*(V18-0.5))</f>
        <v>0.86814010562978772</v>
      </c>
      <c r="X18" s="71" t="e">
        <f t="shared" ref="X18:X36" si="8">-$V$11*(1-W18)</f>
        <v>#VALUE!</v>
      </c>
      <c r="Y18" s="168" t="e">
        <f t="shared" ref="Y18:Y36" si="9">$V$11+X18</f>
        <v>#VALUE!</v>
      </c>
    </row>
    <row r="19" spans="2:25" x14ac:dyDescent="0.25">
      <c r="B19" s="58">
        <v>3</v>
      </c>
      <c r="C19" s="70">
        <f>EXP(-'GHG Model - Forest Residues'!$D$7*(B19-0.5))</f>
        <v>0.79004112686575645</v>
      </c>
      <c r="D19" s="71" t="e">
        <f t="shared" si="2"/>
        <v>#VALUE!</v>
      </c>
      <c r="E19" s="168" t="e">
        <f t="shared" si="3"/>
        <v>#VALUE!</v>
      </c>
      <c r="G19" s="58">
        <v>3</v>
      </c>
      <c r="H19" s="70">
        <f>EXP(-'GHG Model - Forest Residues'!$D$7*(G19-0.5))</f>
        <v>0.79004112686575645</v>
      </c>
      <c r="I19" s="71" t="e">
        <f t="shared" si="0"/>
        <v>#VALUE!</v>
      </c>
      <c r="J19" s="168" t="e">
        <f t="shared" si="4"/>
        <v>#VALUE!</v>
      </c>
      <c r="L19" s="58">
        <v>3</v>
      </c>
      <c r="M19" s="70">
        <f>EXP(-'GHG Model - Forest Residues'!$D$7*(L19-0.5))</f>
        <v>0.79004112686575645</v>
      </c>
      <c r="N19" s="71" t="e">
        <f t="shared" si="1"/>
        <v>#VALUE!</v>
      </c>
      <c r="O19" s="168" t="e">
        <f t="shared" si="5"/>
        <v>#VALUE!</v>
      </c>
      <c r="Q19" s="58">
        <v>3</v>
      </c>
      <c r="R19" s="70">
        <f>EXP(-'GHG Model - Forest Residues'!$D$7*(Q19-0.5))</f>
        <v>0.79004112686575645</v>
      </c>
      <c r="S19" s="71" t="e">
        <f t="shared" si="6"/>
        <v>#VALUE!</v>
      </c>
      <c r="T19" s="169" t="e">
        <f t="shared" si="7"/>
        <v>#VALUE!</v>
      </c>
      <c r="V19" s="58">
        <v>3</v>
      </c>
      <c r="W19" s="70">
        <f>EXP(-'GHG Model - Forest Residues'!$D$7*(V19-0.5))</f>
        <v>0.79004112686575645</v>
      </c>
      <c r="X19" s="71" t="e">
        <f t="shared" si="8"/>
        <v>#VALUE!</v>
      </c>
      <c r="Y19" s="168" t="e">
        <f t="shared" si="9"/>
        <v>#VALUE!</v>
      </c>
    </row>
    <row r="20" spans="2:25" x14ac:dyDescent="0.25">
      <c r="B20" s="58">
        <v>4</v>
      </c>
      <c r="C20" s="70">
        <f>EXP(-'GHG Model - Forest Residues'!$D$7*(B20-0.5))</f>
        <v>0.71896803072646565</v>
      </c>
      <c r="D20" s="71" t="e">
        <f t="shared" si="2"/>
        <v>#VALUE!</v>
      </c>
      <c r="E20" s="168" t="e">
        <f t="shared" si="3"/>
        <v>#VALUE!</v>
      </c>
      <c r="G20" s="58">
        <v>4</v>
      </c>
      <c r="H20" s="70">
        <f>EXP(-'GHG Model - Forest Residues'!$D$7*(G20-0.5))</f>
        <v>0.71896803072646565</v>
      </c>
      <c r="I20" s="71" t="e">
        <f t="shared" si="0"/>
        <v>#VALUE!</v>
      </c>
      <c r="J20" s="168" t="e">
        <f t="shared" si="4"/>
        <v>#VALUE!</v>
      </c>
      <c r="L20" s="58">
        <v>4</v>
      </c>
      <c r="M20" s="70">
        <f>EXP(-'GHG Model - Forest Residues'!$D$7*(L20-0.5))</f>
        <v>0.71896803072646565</v>
      </c>
      <c r="N20" s="71" t="e">
        <f t="shared" si="1"/>
        <v>#VALUE!</v>
      </c>
      <c r="O20" s="168" t="e">
        <f t="shared" si="5"/>
        <v>#VALUE!</v>
      </c>
      <c r="Q20" s="58">
        <v>4</v>
      </c>
      <c r="R20" s="70">
        <f>EXP(-'GHG Model - Forest Residues'!$D$7*(Q20-0.5))</f>
        <v>0.71896803072646565</v>
      </c>
      <c r="S20" s="71" t="e">
        <f t="shared" si="6"/>
        <v>#VALUE!</v>
      </c>
      <c r="T20" s="169" t="e">
        <f t="shared" si="7"/>
        <v>#VALUE!</v>
      </c>
      <c r="V20" s="58">
        <v>4</v>
      </c>
      <c r="W20" s="70">
        <f>EXP(-'GHG Model - Forest Residues'!$D$7*(V20-0.5))</f>
        <v>0.71896803072646565</v>
      </c>
      <c r="X20" s="71" t="e">
        <f t="shared" si="8"/>
        <v>#VALUE!</v>
      </c>
      <c r="Y20" s="168" t="e">
        <f t="shared" si="9"/>
        <v>#VALUE!</v>
      </c>
    </row>
    <row r="21" spans="2:25" x14ac:dyDescent="0.25">
      <c r="B21" s="58">
        <v>5</v>
      </c>
      <c r="C21" s="70">
        <f>EXP(-'GHG Model - Forest Residues'!$D$7*(B21-0.5))</f>
        <v>0.6542887599502476</v>
      </c>
      <c r="D21" s="71" t="e">
        <f t="shared" si="2"/>
        <v>#VALUE!</v>
      </c>
      <c r="E21" s="168" t="e">
        <f t="shared" si="3"/>
        <v>#VALUE!</v>
      </c>
      <c r="G21" s="58">
        <v>5</v>
      </c>
      <c r="H21" s="70">
        <f>EXP(-'GHG Model - Forest Residues'!$D$7*(G21-0.5))</f>
        <v>0.6542887599502476</v>
      </c>
      <c r="I21" s="71" t="e">
        <f t="shared" si="0"/>
        <v>#VALUE!</v>
      </c>
      <c r="J21" s="168" t="e">
        <f t="shared" si="4"/>
        <v>#VALUE!</v>
      </c>
      <c r="L21" s="58">
        <v>5</v>
      </c>
      <c r="M21" s="70">
        <f>EXP(-'GHG Model - Forest Residues'!$D$7*(L21-0.5))</f>
        <v>0.6542887599502476</v>
      </c>
      <c r="N21" s="71" t="e">
        <f t="shared" si="1"/>
        <v>#VALUE!</v>
      </c>
      <c r="O21" s="168" t="e">
        <f t="shared" si="5"/>
        <v>#VALUE!</v>
      </c>
      <c r="Q21" s="58">
        <v>5</v>
      </c>
      <c r="R21" s="70">
        <f>EXP(-'GHG Model - Forest Residues'!$D$7*(Q21-0.5))</f>
        <v>0.6542887599502476</v>
      </c>
      <c r="S21" s="71" t="e">
        <f t="shared" si="6"/>
        <v>#VALUE!</v>
      </c>
      <c r="T21" s="169" t="e">
        <f t="shared" si="7"/>
        <v>#VALUE!</v>
      </c>
      <c r="V21" s="58">
        <v>5</v>
      </c>
      <c r="W21" s="70">
        <f>EXP(-'GHG Model - Forest Residues'!$D$7*(V21-0.5))</f>
        <v>0.6542887599502476</v>
      </c>
      <c r="X21" s="71" t="e">
        <f t="shared" si="8"/>
        <v>#VALUE!</v>
      </c>
      <c r="Y21" s="168" t="e">
        <f t="shared" si="9"/>
        <v>#VALUE!</v>
      </c>
    </row>
    <row r="22" spans="2:25" x14ac:dyDescent="0.25">
      <c r="B22" s="58">
        <v>6</v>
      </c>
      <c r="C22" s="70">
        <f>EXP(-'GHG Model - Forest Residues'!$D$7*(B22-0.5))</f>
        <v>0.59542811794381822</v>
      </c>
      <c r="D22" s="71" t="e">
        <f t="shared" si="2"/>
        <v>#VALUE!</v>
      </c>
      <c r="E22" s="168" t="e">
        <f t="shared" si="3"/>
        <v>#VALUE!</v>
      </c>
      <c r="G22" s="58">
        <v>6</v>
      </c>
      <c r="H22" s="70">
        <f>EXP(-'GHG Model - Forest Residues'!$D$7*(G22-0.5))</f>
        <v>0.59542811794381822</v>
      </c>
      <c r="I22" s="71" t="e">
        <f t="shared" si="0"/>
        <v>#VALUE!</v>
      </c>
      <c r="J22" s="168" t="e">
        <f t="shared" si="4"/>
        <v>#VALUE!</v>
      </c>
      <c r="L22" s="58">
        <v>6</v>
      </c>
      <c r="M22" s="70">
        <f>EXP(-'GHG Model - Forest Residues'!$D$7*(L22-0.5))</f>
        <v>0.59542811794381822</v>
      </c>
      <c r="N22" s="71" t="e">
        <f t="shared" si="1"/>
        <v>#VALUE!</v>
      </c>
      <c r="O22" s="168" t="e">
        <f t="shared" si="5"/>
        <v>#VALUE!</v>
      </c>
      <c r="Q22" s="58">
        <v>6</v>
      </c>
      <c r="R22" s="70">
        <f>EXP(-'GHG Model - Forest Residues'!$D$7*(Q22-0.5))</f>
        <v>0.59542811794381822</v>
      </c>
      <c r="S22" s="71" t="e">
        <f t="shared" si="6"/>
        <v>#VALUE!</v>
      </c>
      <c r="T22" s="169" t="e">
        <f t="shared" si="7"/>
        <v>#VALUE!</v>
      </c>
      <c r="V22" s="58">
        <v>6</v>
      </c>
      <c r="W22" s="70">
        <f>EXP(-'GHG Model - Forest Residues'!$D$7*(V22-0.5))</f>
        <v>0.59542811794381822</v>
      </c>
      <c r="X22" s="71" t="e">
        <f t="shared" si="8"/>
        <v>#VALUE!</v>
      </c>
      <c r="Y22" s="168" t="e">
        <f t="shared" si="9"/>
        <v>#VALUE!</v>
      </c>
    </row>
    <row r="23" spans="2:25" x14ac:dyDescent="0.25">
      <c r="B23" s="58">
        <v>7</v>
      </c>
      <c r="C23" s="70">
        <f>EXP(-'GHG Model - Forest Residues'!$D$7*(B23-0.5))</f>
        <v>0.54186265352483898</v>
      </c>
      <c r="D23" s="71" t="e">
        <f t="shared" si="2"/>
        <v>#VALUE!</v>
      </c>
      <c r="E23" s="168" t="e">
        <f t="shared" si="3"/>
        <v>#VALUE!</v>
      </c>
      <c r="G23" s="58">
        <v>7</v>
      </c>
      <c r="H23" s="70">
        <f>EXP(-'GHG Model - Forest Residues'!$D$7*(G23-0.5))</f>
        <v>0.54186265352483898</v>
      </c>
      <c r="I23" s="71" t="e">
        <f t="shared" si="0"/>
        <v>#VALUE!</v>
      </c>
      <c r="J23" s="168" t="e">
        <f t="shared" si="4"/>
        <v>#VALUE!</v>
      </c>
      <c r="L23" s="58">
        <v>7</v>
      </c>
      <c r="M23" s="70">
        <f>EXP(-'GHG Model - Forest Residues'!$D$7*(L23-0.5))</f>
        <v>0.54186265352483898</v>
      </c>
      <c r="N23" s="71" t="e">
        <f t="shared" si="1"/>
        <v>#VALUE!</v>
      </c>
      <c r="O23" s="168" t="e">
        <f t="shared" si="5"/>
        <v>#VALUE!</v>
      </c>
      <c r="Q23" s="58">
        <v>7</v>
      </c>
      <c r="R23" s="70">
        <f>EXP(-'GHG Model - Forest Residues'!$D$7*(Q23-0.5))</f>
        <v>0.54186265352483898</v>
      </c>
      <c r="S23" s="71" t="e">
        <f t="shared" si="6"/>
        <v>#VALUE!</v>
      </c>
      <c r="T23" s="169" t="e">
        <f t="shared" si="7"/>
        <v>#VALUE!</v>
      </c>
      <c r="V23" s="58">
        <v>7</v>
      </c>
      <c r="W23" s="70">
        <f>EXP(-'GHG Model - Forest Residues'!$D$7*(V23-0.5))</f>
        <v>0.54186265352483898</v>
      </c>
      <c r="X23" s="71" t="e">
        <f t="shared" si="8"/>
        <v>#VALUE!</v>
      </c>
      <c r="Y23" s="168" t="e">
        <f t="shared" si="9"/>
        <v>#VALUE!</v>
      </c>
    </row>
    <row r="24" spans="2:25" x14ac:dyDescent="0.25">
      <c r="B24" s="58">
        <v>8</v>
      </c>
      <c r="C24" s="70">
        <f>EXP(-'GHG Model - Forest Residues'!$D$7*(B24-0.5))</f>
        <v>0.49311600583948867</v>
      </c>
      <c r="D24" s="71" t="e">
        <f t="shared" si="2"/>
        <v>#VALUE!</v>
      </c>
      <c r="E24" s="168" t="e">
        <f t="shared" si="3"/>
        <v>#VALUE!</v>
      </c>
      <c r="G24" s="58">
        <v>8</v>
      </c>
      <c r="H24" s="70">
        <f>EXP(-'GHG Model - Forest Residues'!$D$7*(G24-0.5))</f>
        <v>0.49311600583948867</v>
      </c>
      <c r="I24" s="71" t="e">
        <f t="shared" si="0"/>
        <v>#VALUE!</v>
      </c>
      <c r="J24" s="168" t="e">
        <f>$G$11+I24</f>
        <v>#VALUE!</v>
      </c>
      <c r="L24" s="58">
        <v>8</v>
      </c>
      <c r="M24" s="70">
        <f>EXP(-'GHG Model - Forest Residues'!$D$7*(L24-0.5))</f>
        <v>0.49311600583948867</v>
      </c>
      <c r="N24" s="71" t="e">
        <f t="shared" si="1"/>
        <v>#VALUE!</v>
      </c>
      <c r="O24" s="168" t="e">
        <f t="shared" si="5"/>
        <v>#VALUE!</v>
      </c>
      <c r="Q24" s="58">
        <v>8</v>
      </c>
      <c r="R24" s="70">
        <f>EXP(-'GHG Model - Forest Residues'!$D$7*(Q24-0.5))</f>
        <v>0.49311600583948867</v>
      </c>
      <c r="S24" s="71" t="e">
        <f t="shared" si="6"/>
        <v>#VALUE!</v>
      </c>
      <c r="T24" s="169" t="e">
        <f t="shared" si="7"/>
        <v>#VALUE!</v>
      </c>
      <c r="V24" s="58">
        <v>8</v>
      </c>
      <c r="W24" s="70">
        <f>EXP(-'GHG Model - Forest Residues'!$D$7*(V24-0.5))</f>
        <v>0.49311600583948867</v>
      </c>
      <c r="X24" s="71" t="e">
        <f t="shared" si="8"/>
        <v>#VALUE!</v>
      </c>
      <c r="Y24" s="168" t="e">
        <f t="shared" si="9"/>
        <v>#VALUE!</v>
      </c>
    </row>
    <row r="25" spans="2:25" x14ac:dyDescent="0.25">
      <c r="B25" s="58">
        <v>9</v>
      </c>
      <c r="C25" s="70">
        <f>EXP(-'GHG Model - Forest Residues'!$D$7*(B25-0.5))</f>
        <v>0.44875466805712244</v>
      </c>
      <c r="D25" s="71" t="e">
        <f t="shared" si="2"/>
        <v>#VALUE!</v>
      </c>
      <c r="E25" s="168" t="e">
        <f t="shared" si="3"/>
        <v>#VALUE!</v>
      </c>
      <c r="G25" s="58">
        <v>9</v>
      </c>
      <c r="H25" s="70">
        <f>EXP(-'GHG Model - Forest Residues'!$D$7*(G25-0.5))</f>
        <v>0.44875466805712244</v>
      </c>
      <c r="I25" s="71" t="e">
        <f t="shared" si="0"/>
        <v>#VALUE!</v>
      </c>
      <c r="J25" s="168" t="e">
        <f>$G$11+I25</f>
        <v>#VALUE!</v>
      </c>
      <c r="L25" s="58">
        <v>9</v>
      </c>
      <c r="M25" s="70">
        <f>EXP(-'GHG Model - Forest Residues'!$D$7*(L25-0.5))</f>
        <v>0.44875466805712244</v>
      </c>
      <c r="N25" s="71" t="e">
        <f t="shared" si="1"/>
        <v>#VALUE!</v>
      </c>
      <c r="O25" s="168" t="e">
        <f t="shared" si="5"/>
        <v>#VALUE!</v>
      </c>
      <c r="Q25" s="58">
        <v>9</v>
      </c>
      <c r="R25" s="70">
        <f>EXP(-'GHG Model - Forest Residues'!$D$7*(Q25-0.5))</f>
        <v>0.44875466805712244</v>
      </c>
      <c r="S25" s="71" t="e">
        <f t="shared" si="6"/>
        <v>#VALUE!</v>
      </c>
      <c r="T25" s="169" t="e">
        <f t="shared" si="7"/>
        <v>#VALUE!</v>
      </c>
      <c r="V25" s="58">
        <v>9</v>
      </c>
      <c r="W25" s="70">
        <f>EXP(-'GHG Model - Forest Residues'!$D$7*(V25-0.5))</f>
        <v>0.44875466805712244</v>
      </c>
      <c r="X25" s="71" t="e">
        <f t="shared" si="8"/>
        <v>#VALUE!</v>
      </c>
      <c r="Y25" s="168" t="e">
        <f t="shared" si="9"/>
        <v>#VALUE!</v>
      </c>
    </row>
    <row r="26" spans="2:25" x14ac:dyDescent="0.25">
      <c r="B26" s="58">
        <v>10</v>
      </c>
      <c r="C26" s="70">
        <f>EXP(-'GHG Model - Forest Residues'!$D$7*(B26-0.5))</f>
        <v>0.40838413216830038</v>
      </c>
      <c r="D26" s="71" t="e">
        <f t="shared" si="2"/>
        <v>#VALUE!</v>
      </c>
      <c r="E26" s="168" t="e">
        <f t="shared" si="3"/>
        <v>#VALUE!</v>
      </c>
      <c r="G26" s="58">
        <v>10</v>
      </c>
      <c r="H26" s="70">
        <f>EXP(-'GHG Model - Forest Residues'!$D$7*(G26-0.5))</f>
        <v>0.40838413216830038</v>
      </c>
      <c r="I26" s="71" t="e">
        <f t="shared" si="0"/>
        <v>#VALUE!</v>
      </c>
      <c r="J26" s="168" t="e">
        <f>$G$11+I26</f>
        <v>#VALUE!</v>
      </c>
      <c r="L26" s="58">
        <v>10</v>
      </c>
      <c r="M26" s="70">
        <f>EXP(-'GHG Model - Forest Residues'!$D$7*(L26-0.5))</f>
        <v>0.40838413216830038</v>
      </c>
      <c r="N26" s="71" t="e">
        <f t="shared" si="1"/>
        <v>#VALUE!</v>
      </c>
      <c r="O26" s="168" t="e">
        <f>$L$11+N26</f>
        <v>#VALUE!</v>
      </c>
      <c r="Q26" s="58">
        <v>10</v>
      </c>
      <c r="R26" s="70">
        <f>EXP(-'GHG Model - Forest Residues'!$D$7*(Q26-0.5))</f>
        <v>0.40838413216830038</v>
      </c>
      <c r="S26" s="71" t="e">
        <f t="shared" si="6"/>
        <v>#VALUE!</v>
      </c>
      <c r="T26" s="169" t="e">
        <f t="shared" si="7"/>
        <v>#VALUE!</v>
      </c>
      <c r="V26" s="58">
        <v>10</v>
      </c>
      <c r="W26" s="70">
        <f>EXP(-'GHG Model - Forest Residues'!$D$7*(V26-0.5))</f>
        <v>0.40838413216830038</v>
      </c>
      <c r="X26" s="71" t="e">
        <f t="shared" si="8"/>
        <v>#VALUE!</v>
      </c>
      <c r="Y26" s="168" t="e">
        <f t="shared" si="9"/>
        <v>#VALUE!</v>
      </c>
    </row>
    <row r="27" spans="2:25" x14ac:dyDescent="0.25">
      <c r="B27" s="58">
        <v>11</v>
      </c>
      <c r="C27" s="70">
        <f>EXP(-'GHG Model - Forest Residues'!$D$7*(B27-0.5))</f>
        <v>0.37164538060164887</v>
      </c>
      <c r="D27" s="71" t="e">
        <f t="shared" si="2"/>
        <v>#VALUE!</v>
      </c>
      <c r="E27" s="168" t="e">
        <f t="shared" si="3"/>
        <v>#VALUE!</v>
      </c>
      <c r="G27" s="58">
        <v>11</v>
      </c>
      <c r="H27" s="70">
        <f>EXP(-'GHG Model - Forest Residues'!$D$7*(G27-0.5))</f>
        <v>0.37164538060164887</v>
      </c>
      <c r="I27" s="71" t="e">
        <f t="shared" si="0"/>
        <v>#VALUE!</v>
      </c>
      <c r="J27" s="168" t="e">
        <f>$G$11+I27</f>
        <v>#VALUE!</v>
      </c>
      <c r="L27" s="58">
        <v>11</v>
      </c>
      <c r="M27" s="70">
        <f>EXP(-'GHG Model - Forest Residues'!$D$7*(L27-0.5))</f>
        <v>0.37164538060164887</v>
      </c>
      <c r="N27" s="71" t="e">
        <f t="shared" si="1"/>
        <v>#VALUE!</v>
      </c>
      <c r="O27" s="168" t="e">
        <f>$L$11+N27</f>
        <v>#VALUE!</v>
      </c>
      <c r="Q27" s="58">
        <v>11</v>
      </c>
      <c r="R27" s="70">
        <f>EXP(-'GHG Model - Forest Residues'!$D$7*(Q27-0.5))</f>
        <v>0.37164538060164887</v>
      </c>
      <c r="S27" s="71" t="e">
        <f t="shared" si="6"/>
        <v>#VALUE!</v>
      </c>
      <c r="T27" s="169" t="e">
        <f t="shared" si="7"/>
        <v>#VALUE!</v>
      </c>
      <c r="V27" s="58">
        <v>11</v>
      </c>
      <c r="W27" s="70">
        <f>EXP(-'GHG Model - Forest Residues'!$D$7*(V27-0.5))</f>
        <v>0.37164538060164887</v>
      </c>
      <c r="X27" s="71" t="e">
        <f t="shared" si="8"/>
        <v>#VALUE!</v>
      </c>
      <c r="Y27" s="168" t="e">
        <f t="shared" si="9"/>
        <v>#VALUE!</v>
      </c>
    </row>
    <row r="28" spans="2:25" x14ac:dyDescent="0.25">
      <c r="B28" s="58">
        <v>12</v>
      </c>
      <c r="C28" s="70">
        <f>EXP(-'GHG Model - Forest Residues'!$D$7*(B28-0.5))</f>
        <v>0.33821169345929253</v>
      </c>
      <c r="D28" s="71" t="e">
        <f>-$D$11*(1-C28)</f>
        <v>#VALUE!</v>
      </c>
      <c r="E28" s="168" t="e">
        <f t="shared" si="3"/>
        <v>#VALUE!</v>
      </c>
      <c r="G28" s="58">
        <v>12</v>
      </c>
      <c r="H28" s="70">
        <f>EXP(-'GHG Model - Forest Residues'!$D$7*(G28-0.5))</f>
        <v>0.33821169345929253</v>
      </c>
      <c r="I28" s="71" t="e">
        <f t="shared" si="0"/>
        <v>#VALUE!</v>
      </c>
      <c r="J28" s="168" t="e">
        <f t="shared" si="4"/>
        <v>#VALUE!</v>
      </c>
      <c r="L28" s="58">
        <v>12</v>
      </c>
      <c r="M28" s="70">
        <f>EXP(-'GHG Model - Forest Residues'!$D$7*(L28-0.5))</f>
        <v>0.33821169345929253</v>
      </c>
      <c r="N28" s="71" t="e">
        <f t="shared" si="1"/>
        <v>#VALUE!</v>
      </c>
      <c r="O28" s="168" t="e">
        <f>$L$11+N28</f>
        <v>#VALUE!</v>
      </c>
      <c r="Q28" s="58">
        <v>12</v>
      </c>
      <c r="R28" s="70">
        <f>EXP(-'GHG Model - Forest Residues'!$D$7*(Q28-0.5))</f>
        <v>0.33821169345929253</v>
      </c>
      <c r="S28" s="71" t="e">
        <f t="shared" si="6"/>
        <v>#VALUE!</v>
      </c>
      <c r="T28" s="169" t="e">
        <f t="shared" si="7"/>
        <v>#VALUE!</v>
      </c>
      <c r="V28" s="58">
        <v>12</v>
      </c>
      <c r="W28" s="70">
        <f>EXP(-'GHG Model - Forest Residues'!$D$7*(V28-0.5))</f>
        <v>0.33821169345929253</v>
      </c>
      <c r="X28" s="71" t="e">
        <f t="shared" si="8"/>
        <v>#VALUE!</v>
      </c>
      <c r="Y28" s="168" t="e">
        <f t="shared" si="9"/>
        <v>#VALUE!</v>
      </c>
    </row>
    <row r="29" spans="2:25" x14ac:dyDescent="0.25">
      <c r="B29" s="58">
        <v>13</v>
      </c>
      <c r="C29" s="70">
        <f>EXP(-'GHG Model - Forest Residues'!$D$7*(B29-0.5))</f>
        <v>0.30778574297741446</v>
      </c>
      <c r="D29" s="71" t="e">
        <f>-$D$11*(1-C29)</f>
        <v>#VALUE!</v>
      </c>
      <c r="E29" s="168" t="e">
        <f t="shared" si="3"/>
        <v>#VALUE!</v>
      </c>
      <c r="G29" s="58">
        <v>13</v>
      </c>
      <c r="H29" s="70">
        <f>EXP(-'GHG Model - Forest Residues'!$D$7*(G29-0.5))</f>
        <v>0.30778574297741446</v>
      </c>
      <c r="I29" s="71" t="e">
        <f t="shared" si="0"/>
        <v>#VALUE!</v>
      </c>
      <c r="J29" s="168" t="e">
        <f t="shared" si="4"/>
        <v>#VALUE!</v>
      </c>
      <c r="L29" s="58">
        <v>13</v>
      </c>
      <c r="M29" s="70">
        <f>EXP(-'GHG Model - Forest Residues'!$D$7*(L29-0.5))</f>
        <v>0.30778574297741446</v>
      </c>
      <c r="N29" s="71" t="e">
        <f t="shared" si="1"/>
        <v>#VALUE!</v>
      </c>
      <c r="O29" s="168" t="e">
        <f>$L$11+N29</f>
        <v>#VALUE!</v>
      </c>
      <c r="Q29" s="58">
        <v>13</v>
      </c>
      <c r="R29" s="70">
        <f>EXP(-'GHG Model - Forest Residues'!$D$7*(Q29-0.5))</f>
        <v>0.30778574297741446</v>
      </c>
      <c r="S29" s="71" t="e">
        <f t="shared" si="6"/>
        <v>#VALUE!</v>
      </c>
      <c r="T29" s="169" t="e">
        <f t="shared" si="7"/>
        <v>#VALUE!</v>
      </c>
      <c r="V29" s="58">
        <v>13</v>
      </c>
      <c r="W29" s="70">
        <f>EXP(-'GHG Model - Forest Residues'!$D$7*(V29-0.5))</f>
        <v>0.30778574297741446</v>
      </c>
      <c r="X29" s="71" t="e">
        <f t="shared" si="8"/>
        <v>#VALUE!</v>
      </c>
      <c r="Y29" s="168" t="e">
        <f t="shared" si="9"/>
        <v>#VALUE!</v>
      </c>
    </row>
    <row r="30" spans="2:25" x14ac:dyDescent="0.25">
      <c r="B30" s="58">
        <v>14</v>
      </c>
      <c r="C30" s="70">
        <f>EXP(-'GHG Model - Forest Residues'!$D$7*(B30-0.5))</f>
        <v>0.28009694937280771</v>
      </c>
      <c r="D30" s="71" t="e">
        <f>-$D$11*(1-C30)</f>
        <v>#VALUE!</v>
      </c>
      <c r="E30" s="168" t="e">
        <f t="shared" si="3"/>
        <v>#VALUE!</v>
      </c>
      <c r="G30" s="58">
        <v>14</v>
      </c>
      <c r="H30" s="70">
        <f>EXP(-'GHG Model - Forest Residues'!$D$7*(G30-0.5))</f>
        <v>0.28009694937280771</v>
      </c>
      <c r="I30" s="71" t="e">
        <f t="shared" si="0"/>
        <v>#VALUE!</v>
      </c>
      <c r="J30" s="168" t="e">
        <f t="shared" si="4"/>
        <v>#VALUE!</v>
      </c>
      <c r="L30" s="58">
        <v>14</v>
      </c>
      <c r="M30" s="70">
        <f>EXP(-'GHG Model - Forest Residues'!$D$7*(L30-0.5))</f>
        <v>0.28009694937280771</v>
      </c>
      <c r="N30" s="71" t="e">
        <f t="shared" si="1"/>
        <v>#VALUE!</v>
      </c>
      <c r="O30" s="168" t="e">
        <f>$L$11+N30</f>
        <v>#VALUE!</v>
      </c>
      <c r="Q30" s="58">
        <v>14</v>
      </c>
      <c r="R30" s="70">
        <f>EXP(-'GHG Model - Forest Residues'!$D$7*(Q30-0.5))</f>
        <v>0.28009694937280771</v>
      </c>
      <c r="S30" s="71" t="e">
        <f t="shared" si="6"/>
        <v>#VALUE!</v>
      </c>
      <c r="T30" s="169" t="e">
        <f t="shared" si="7"/>
        <v>#VALUE!</v>
      </c>
      <c r="V30" s="58">
        <v>14</v>
      </c>
      <c r="W30" s="70">
        <f>EXP(-'GHG Model - Forest Residues'!$D$7*(V30-0.5))</f>
        <v>0.28009694937280771</v>
      </c>
      <c r="X30" s="71" t="e">
        <f t="shared" si="8"/>
        <v>#VALUE!</v>
      </c>
      <c r="Y30" s="168" t="e">
        <f t="shared" si="9"/>
        <v>#VALUE!</v>
      </c>
    </row>
    <row r="31" spans="2:25" x14ac:dyDescent="0.25">
      <c r="B31" s="58">
        <v>15</v>
      </c>
      <c r="C31" s="70">
        <f>EXP(-'GHG Model - Forest Residues'!$D$7*(B31-0.5))</f>
        <v>0.25489907456080657</v>
      </c>
      <c r="D31" s="71" t="e">
        <f>-$D$11*(1-C31)</f>
        <v>#VALUE!</v>
      </c>
      <c r="E31" s="168" t="e">
        <f t="shared" si="3"/>
        <v>#VALUE!</v>
      </c>
      <c r="G31" s="58">
        <v>15</v>
      </c>
      <c r="H31" s="70">
        <f>EXP(-'GHG Model - Forest Residues'!$D$7*(G31-0.5))</f>
        <v>0.25489907456080657</v>
      </c>
      <c r="I31" s="71" t="e">
        <f t="shared" si="0"/>
        <v>#VALUE!</v>
      </c>
      <c r="J31" s="168" t="e">
        <f t="shared" si="4"/>
        <v>#VALUE!</v>
      </c>
      <c r="L31" s="58">
        <v>15</v>
      </c>
      <c r="M31" s="70">
        <f>EXP(-'GHG Model - Forest Residues'!$D$7*(L31-0.5))</f>
        <v>0.25489907456080657</v>
      </c>
      <c r="N31" s="71" t="e">
        <f t="shared" si="1"/>
        <v>#VALUE!</v>
      </c>
      <c r="O31" s="168" t="e">
        <f t="shared" si="5"/>
        <v>#VALUE!</v>
      </c>
      <c r="Q31" s="58">
        <v>15</v>
      </c>
      <c r="R31" s="70">
        <f>EXP(-'GHG Model - Forest Residues'!$D$7*(Q31-0.5))</f>
        <v>0.25489907456080657</v>
      </c>
      <c r="S31" s="71" t="e">
        <f t="shared" si="6"/>
        <v>#VALUE!</v>
      </c>
      <c r="T31" s="169" t="e">
        <f t="shared" si="7"/>
        <v>#VALUE!</v>
      </c>
      <c r="V31" s="58">
        <v>15</v>
      </c>
      <c r="W31" s="70">
        <f>EXP(-'GHG Model - Forest Residues'!$D$7*(V31-0.5))</f>
        <v>0.25489907456080657</v>
      </c>
      <c r="X31" s="71" t="e">
        <f t="shared" si="8"/>
        <v>#VALUE!</v>
      </c>
      <c r="Y31" s="168" t="e">
        <f t="shared" si="9"/>
        <v>#VALUE!</v>
      </c>
    </row>
    <row r="32" spans="2:25" x14ac:dyDescent="0.25">
      <c r="B32" s="58">
        <v>16</v>
      </c>
      <c r="C32" s="70">
        <f>EXP(-'GHG Model - Forest Residues'!$D$7*(B32-0.5))</f>
        <v>0.23196803234538682</v>
      </c>
      <c r="D32" s="71" t="e">
        <f t="shared" si="2"/>
        <v>#VALUE!</v>
      </c>
      <c r="E32" s="168" t="e">
        <f t="shared" si="3"/>
        <v>#VALUE!</v>
      </c>
      <c r="G32" s="58">
        <v>16</v>
      </c>
      <c r="H32" s="70">
        <f>EXP(-'GHG Model - Forest Residues'!$D$7*(G32-0.5))</f>
        <v>0.23196803234538682</v>
      </c>
      <c r="I32" s="71" t="e">
        <f t="shared" si="0"/>
        <v>#VALUE!</v>
      </c>
      <c r="J32" s="168" t="e">
        <f t="shared" si="4"/>
        <v>#VALUE!</v>
      </c>
      <c r="L32" s="58">
        <v>16</v>
      </c>
      <c r="M32" s="70">
        <f>EXP(-'GHG Model - Forest Residues'!$D$7*(L32-0.5))</f>
        <v>0.23196803234538682</v>
      </c>
      <c r="N32" s="71" t="e">
        <f t="shared" si="1"/>
        <v>#VALUE!</v>
      </c>
      <c r="O32" s="168" t="e">
        <f t="shared" si="5"/>
        <v>#VALUE!</v>
      </c>
      <c r="Q32" s="58">
        <v>16</v>
      </c>
      <c r="R32" s="70">
        <f>EXP(-'GHG Model - Forest Residues'!$D$7*(Q32-0.5))</f>
        <v>0.23196803234538682</v>
      </c>
      <c r="S32" s="71" t="e">
        <f t="shared" si="6"/>
        <v>#VALUE!</v>
      </c>
      <c r="T32" s="169" t="e">
        <f t="shared" si="7"/>
        <v>#VALUE!</v>
      </c>
      <c r="V32" s="58">
        <v>16</v>
      </c>
      <c r="W32" s="70">
        <f>EXP(-'GHG Model - Forest Residues'!$D$7*(V32-0.5))</f>
        <v>0.23196803234538682</v>
      </c>
      <c r="X32" s="71" t="e">
        <f t="shared" si="8"/>
        <v>#VALUE!</v>
      </c>
      <c r="Y32" s="168" t="e">
        <f t="shared" si="9"/>
        <v>#VALUE!</v>
      </c>
    </row>
    <row r="33" spans="2:25" x14ac:dyDescent="0.25">
      <c r="B33" s="58">
        <v>17</v>
      </c>
      <c r="C33" s="70">
        <f>EXP(-'GHG Model - Forest Residues'!$D$7*(B33-0.5))</f>
        <v>0.21109989560732662</v>
      </c>
      <c r="D33" s="71" t="e">
        <f t="shared" si="2"/>
        <v>#VALUE!</v>
      </c>
      <c r="E33" s="168" t="e">
        <f t="shared" si="3"/>
        <v>#VALUE!</v>
      </c>
      <c r="G33" s="58">
        <v>17</v>
      </c>
      <c r="H33" s="70">
        <f>EXP(-'GHG Model - Forest Residues'!$D$7*(G33-0.5))</f>
        <v>0.21109989560732662</v>
      </c>
      <c r="I33" s="71" t="e">
        <f t="shared" si="0"/>
        <v>#VALUE!</v>
      </c>
      <c r="J33" s="168" t="e">
        <f t="shared" si="4"/>
        <v>#VALUE!</v>
      </c>
      <c r="L33" s="58">
        <v>17</v>
      </c>
      <c r="M33" s="70">
        <f>EXP(-'GHG Model - Forest Residues'!$D$7*(L33-0.5))</f>
        <v>0.21109989560732662</v>
      </c>
      <c r="N33" s="71" t="e">
        <f t="shared" si="1"/>
        <v>#VALUE!</v>
      </c>
      <c r="O33" s="168" t="e">
        <f t="shared" si="5"/>
        <v>#VALUE!</v>
      </c>
      <c r="Q33" s="58">
        <v>17</v>
      </c>
      <c r="R33" s="70">
        <f>EXP(-'GHG Model - Forest Residues'!$D$7*(Q33-0.5))</f>
        <v>0.21109989560732662</v>
      </c>
      <c r="S33" s="71" t="e">
        <f t="shared" si="6"/>
        <v>#VALUE!</v>
      </c>
      <c r="T33" s="169" t="e">
        <f t="shared" si="7"/>
        <v>#VALUE!</v>
      </c>
      <c r="V33" s="58">
        <v>17</v>
      </c>
      <c r="W33" s="70">
        <f>EXP(-'GHG Model - Forest Residues'!$D$7*(V33-0.5))</f>
        <v>0.21109989560732662</v>
      </c>
      <c r="X33" s="71" t="e">
        <f t="shared" si="8"/>
        <v>#VALUE!</v>
      </c>
      <c r="Y33" s="168" t="e">
        <f t="shared" si="9"/>
        <v>#VALUE!</v>
      </c>
    </row>
    <row r="34" spans="2:25" x14ac:dyDescent="0.25">
      <c r="B34" s="58">
        <v>18</v>
      </c>
      <c r="C34" s="70">
        <f>EXP(-'GHG Model - Forest Residues'!$D$7*(B34-0.5))</f>
        <v>0.19210908276823352</v>
      </c>
      <c r="D34" s="71" t="e">
        <f t="shared" si="2"/>
        <v>#VALUE!</v>
      </c>
      <c r="E34" s="168" t="e">
        <f t="shared" si="3"/>
        <v>#VALUE!</v>
      </c>
      <c r="G34" s="58">
        <v>18</v>
      </c>
      <c r="H34" s="70">
        <f>EXP(-'GHG Model - Forest Residues'!$D$7*(G34-0.5))</f>
        <v>0.19210908276823352</v>
      </c>
      <c r="I34" s="71" t="e">
        <f t="shared" si="0"/>
        <v>#VALUE!</v>
      </c>
      <c r="J34" s="168" t="e">
        <f t="shared" si="4"/>
        <v>#VALUE!</v>
      </c>
      <c r="L34" s="58">
        <v>18</v>
      </c>
      <c r="M34" s="70">
        <f>EXP(-'GHG Model - Forest Residues'!$D$7*(L34-0.5))</f>
        <v>0.19210908276823352</v>
      </c>
      <c r="N34" s="71" t="e">
        <f t="shared" si="1"/>
        <v>#VALUE!</v>
      </c>
      <c r="O34" s="168" t="e">
        <f t="shared" si="5"/>
        <v>#VALUE!</v>
      </c>
      <c r="Q34" s="58">
        <v>18</v>
      </c>
      <c r="R34" s="70">
        <f>EXP(-'GHG Model - Forest Residues'!$D$7*(Q34-0.5))</f>
        <v>0.19210908276823352</v>
      </c>
      <c r="S34" s="71" t="e">
        <f t="shared" si="6"/>
        <v>#VALUE!</v>
      </c>
      <c r="T34" s="169" t="e">
        <f t="shared" si="7"/>
        <v>#VALUE!</v>
      </c>
      <c r="V34" s="58">
        <v>18</v>
      </c>
      <c r="W34" s="70">
        <f>EXP(-'GHG Model - Forest Residues'!$D$7*(V34-0.5))</f>
        <v>0.19210908276823352</v>
      </c>
      <c r="X34" s="71" t="e">
        <f t="shared" si="8"/>
        <v>#VALUE!</v>
      </c>
      <c r="Y34" s="168" t="e">
        <f t="shared" si="9"/>
        <v>#VALUE!</v>
      </c>
    </row>
    <row r="35" spans="2:25" x14ac:dyDescent="0.25">
      <c r="B35" s="58">
        <v>19</v>
      </c>
      <c r="C35" s="70">
        <f>EXP(-'GHG Model - Forest Residues'!$D$7*(B35-0.5))</f>
        <v>0.17482670740255501</v>
      </c>
      <c r="D35" s="71" t="e">
        <f t="shared" si="2"/>
        <v>#VALUE!</v>
      </c>
      <c r="E35" s="168" t="e">
        <f t="shared" si="3"/>
        <v>#VALUE!</v>
      </c>
      <c r="G35" s="58">
        <v>19</v>
      </c>
      <c r="H35" s="70">
        <f>EXP(-'GHG Model - Forest Residues'!$D$7*(G35-0.5))</f>
        <v>0.17482670740255501</v>
      </c>
      <c r="I35" s="71" t="e">
        <f t="shared" si="0"/>
        <v>#VALUE!</v>
      </c>
      <c r="J35" s="168" t="e">
        <f t="shared" si="4"/>
        <v>#VALUE!</v>
      </c>
      <c r="L35" s="58">
        <v>19</v>
      </c>
      <c r="M35" s="70">
        <f>EXP(-'GHG Model - Forest Residues'!$D$7*(L35-0.5))</f>
        <v>0.17482670740255501</v>
      </c>
      <c r="N35" s="71" t="e">
        <f t="shared" si="1"/>
        <v>#VALUE!</v>
      </c>
      <c r="O35" s="168" t="e">
        <f t="shared" si="5"/>
        <v>#VALUE!</v>
      </c>
      <c r="Q35" s="58">
        <v>19</v>
      </c>
      <c r="R35" s="70">
        <f>EXP(-'GHG Model - Forest Residues'!$D$7*(Q35-0.5))</f>
        <v>0.17482670740255501</v>
      </c>
      <c r="S35" s="71" t="e">
        <f t="shared" si="6"/>
        <v>#VALUE!</v>
      </c>
      <c r="T35" s="169" t="e">
        <f t="shared" si="7"/>
        <v>#VALUE!</v>
      </c>
      <c r="V35" s="58">
        <v>19</v>
      </c>
      <c r="W35" s="70">
        <f>EXP(-'GHG Model - Forest Residues'!$D$7*(V35-0.5))</f>
        <v>0.17482670740255501</v>
      </c>
      <c r="X35" s="71" t="e">
        <f t="shared" si="8"/>
        <v>#VALUE!</v>
      </c>
      <c r="Y35" s="168" t="e">
        <f t="shared" si="9"/>
        <v>#VALUE!</v>
      </c>
    </row>
    <row r="36" spans="2:25" x14ac:dyDescent="0.25">
      <c r="B36" s="58">
        <v>20</v>
      </c>
      <c r="C36" s="70">
        <f>EXP(-'GHG Model - Forest Residues'!$D$7*(B36-0.5))</f>
        <v>0.15909907632057363</v>
      </c>
      <c r="D36" s="71" t="e">
        <f t="shared" si="2"/>
        <v>#VALUE!</v>
      </c>
      <c r="E36" s="168" t="e">
        <f t="shared" si="3"/>
        <v>#VALUE!</v>
      </c>
      <c r="G36" s="58">
        <v>20</v>
      </c>
      <c r="H36" s="70">
        <f>EXP(-'GHG Model - Forest Residues'!$D$7*(G36-0.5))</f>
        <v>0.15909907632057363</v>
      </c>
      <c r="I36" s="71" t="e">
        <f t="shared" si="0"/>
        <v>#VALUE!</v>
      </c>
      <c r="J36" s="168" t="e">
        <f t="shared" si="4"/>
        <v>#VALUE!</v>
      </c>
      <c r="L36" s="58">
        <v>20</v>
      </c>
      <c r="M36" s="70">
        <f>EXP(-'GHG Model - Forest Residues'!$D$7*(L36-0.5))</f>
        <v>0.15909907632057363</v>
      </c>
      <c r="N36" s="71" t="e">
        <f t="shared" si="1"/>
        <v>#VALUE!</v>
      </c>
      <c r="O36" s="168" t="e">
        <f t="shared" si="5"/>
        <v>#VALUE!</v>
      </c>
      <c r="Q36" s="58">
        <v>20</v>
      </c>
      <c r="R36" s="70">
        <f>EXP(-'GHG Model - Forest Residues'!$D$7*(Q36-0.5))</f>
        <v>0.15909907632057363</v>
      </c>
      <c r="S36" s="71" t="e">
        <f t="shared" si="6"/>
        <v>#VALUE!</v>
      </c>
      <c r="T36" s="169" t="e">
        <f t="shared" si="7"/>
        <v>#VALUE!</v>
      </c>
      <c r="V36" s="58">
        <v>20</v>
      </c>
      <c r="W36" s="70">
        <f>EXP(-'GHG Model - Forest Residues'!$D$7*(V36-0.5))</f>
        <v>0.15909907632057363</v>
      </c>
      <c r="X36" s="71" t="e">
        <f t="shared" si="8"/>
        <v>#VALUE!</v>
      </c>
      <c r="Y36" s="168" t="e">
        <f t="shared" si="9"/>
        <v>#VALUE!</v>
      </c>
    </row>
  </sheetData>
  <sheetProtection algorithmName="SHA-512" hashValue="KF11MLdc0JZOOAilbGviV5baDr3vv+9wKs1m/XJgMnVcUCVagy8+rvMcswu8MemMXD9WaHku+agG+KJbAMewmQ==" saltValue="tfU6mBJIFI8nqqv+kIzihA==" spinCount="100000" sheet="1" objects="1" scenarios="1"/>
  <pageMargins left="0.75" right="0.75" top="1" bottom="1" header="0.5" footer="0.5"/>
  <pageSetup orientation="portrait" horizontalDpi="4294967293"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Y36"/>
  <sheetViews>
    <sheetView workbookViewId="0">
      <selection activeCell="D6" sqref="D6"/>
    </sheetView>
  </sheetViews>
  <sheetFormatPr defaultColWidth="9.1796875" defaultRowHeight="12.5" x14ac:dyDescent="0.25"/>
  <cols>
    <col min="1" max="1" width="3.81640625" style="58" customWidth="1"/>
    <col min="2" max="3" width="9.1796875" style="58"/>
    <col min="4" max="6" width="9.453125" style="58" customWidth="1"/>
    <col min="7" max="19" width="9.1796875" style="58"/>
    <col min="20" max="20" width="18.453125" style="58" bestFit="1" customWidth="1"/>
    <col min="21" max="16384" width="9.1796875" style="58"/>
  </cols>
  <sheetData>
    <row r="2" spans="2:25" ht="13" x14ac:dyDescent="0.3">
      <c r="B2" s="57" t="s">
        <v>115</v>
      </c>
    </row>
    <row r="3" spans="2:25" ht="13" x14ac:dyDescent="0.3">
      <c r="B3" s="57" t="s">
        <v>116</v>
      </c>
    </row>
    <row r="5" spans="2:25" ht="13" x14ac:dyDescent="0.3">
      <c r="B5" s="57" t="s">
        <v>117</v>
      </c>
      <c r="D5" s="59"/>
    </row>
    <row r="6" spans="2:25" x14ac:dyDescent="0.25">
      <c r="C6" s="60" t="s">
        <v>118</v>
      </c>
      <c r="D6" s="61">
        <f>Parameters!C37</f>
        <v>5</v>
      </c>
      <c r="E6" s="62" t="s">
        <v>119</v>
      </c>
    </row>
    <row r="7" spans="2:25" x14ac:dyDescent="0.25">
      <c r="C7" s="60" t="s">
        <v>120</v>
      </c>
      <c r="D7" s="63">
        <f>-LN(0.5)/D6</f>
        <v>0.13862943611198905</v>
      </c>
    </row>
    <row r="8" spans="2:25" x14ac:dyDescent="0.25">
      <c r="C8" s="60"/>
      <c r="D8" s="63" t="s">
        <v>0</v>
      </c>
      <c r="G8" s="58" t="s">
        <v>1</v>
      </c>
      <c r="L8" s="58" t="s">
        <v>2</v>
      </c>
      <c r="Q8" s="58" t="s">
        <v>3</v>
      </c>
      <c r="V8" s="58" t="s">
        <v>110</v>
      </c>
    </row>
    <row r="9" spans="2:25" x14ac:dyDescent="0.25">
      <c r="C9" s="60" t="s">
        <v>121</v>
      </c>
      <c r="D9" s="64" t="str">
        <f>'GHG Analysis - Quarter 1'!$E$37</f>
        <v>-</v>
      </c>
      <c r="G9" s="64" t="str">
        <f>'GHG Analysis - Quarter 2'!$E$37</f>
        <v>-</v>
      </c>
      <c r="L9" s="64" t="str">
        <f>'GHG Analysis - Quarter 3'!$E$37</f>
        <v>-</v>
      </c>
      <c r="Q9" s="64" t="str">
        <f>'GHG Analysis - Quarter 4'!$E$37</f>
        <v>-</v>
      </c>
      <c r="V9" s="64" t="str">
        <f>'GHG Analysis - Annual'!$E$37</f>
        <v>-</v>
      </c>
    </row>
    <row r="10" spans="2:25" x14ac:dyDescent="0.25">
      <c r="C10" s="65" t="s">
        <v>122</v>
      </c>
      <c r="D10" s="58">
        <v>-1</v>
      </c>
      <c r="E10" s="66" t="s">
        <v>123</v>
      </c>
      <c r="G10" s="58">
        <v>-1</v>
      </c>
      <c r="L10" s="58">
        <v>-1</v>
      </c>
      <c r="Q10" s="58">
        <v>-1</v>
      </c>
      <c r="V10" s="58">
        <v>-1</v>
      </c>
    </row>
    <row r="11" spans="2:25" x14ac:dyDescent="0.25">
      <c r="C11" s="60" t="s">
        <v>124</v>
      </c>
      <c r="D11" s="67" t="e">
        <f>-D10/(D9-1)</f>
        <v>#VALUE!</v>
      </c>
      <c r="E11" s="66" t="s">
        <v>125</v>
      </c>
      <c r="G11" s="67" t="e">
        <f>-G10/(G9-1)</f>
        <v>#VALUE!</v>
      </c>
      <c r="L11" s="67" t="e">
        <f>-L10/(L9-1)</f>
        <v>#VALUE!</v>
      </c>
      <c r="Q11" s="67" t="e">
        <f>-Q10/(Q9-1)</f>
        <v>#VALUE!</v>
      </c>
      <c r="V11" s="67" t="e">
        <f>-V10/(V9-1)</f>
        <v>#VALUE!</v>
      </c>
    </row>
    <row r="12" spans="2:25" x14ac:dyDescent="0.25">
      <c r="C12" s="60"/>
      <c r="D12" s="67"/>
    </row>
    <row r="13" spans="2:25" x14ac:dyDescent="0.25">
      <c r="B13" s="58" t="s">
        <v>0</v>
      </c>
      <c r="C13" s="60"/>
      <c r="D13" s="67"/>
      <c r="G13" s="58" t="s">
        <v>1</v>
      </c>
      <c r="H13" s="60"/>
      <c r="I13" s="67"/>
      <c r="L13" s="58" t="s">
        <v>2</v>
      </c>
      <c r="M13" s="60"/>
      <c r="N13" s="67"/>
      <c r="Q13" s="58" t="s">
        <v>3</v>
      </c>
      <c r="R13" s="60"/>
      <c r="S13" s="67"/>
      <c r="V13" s="58" t="s">
        <v>110</v>
      </c>
      <c r="W13" s="60"/>
      <c r="X13" s="67"/>
    </row>
    <row r="14" spans="2:25" ht="13" x14ac:dyDescent="0.3">
      <c r="B14" s="57" t="s">
        <v>126</v>
      </c>
      <c r="G14" s="57" t="s">
        <v>126</v>
      </c>
      <c r="L14" s="57" t="s">
        <v>126</v>
      </c>
      <c r="Q14" s="57" t="s">
        <v>126</v>
      </c>
      <c r="V14" s="57" t="s">
        <v>126</v>
      </c>
    </row>
    <row r="16" spans="2:25" ht="25" x14ac:dyDescent="0.25">
      <c r="B16" s="68" t="s">
        <v>127</v>
      </c>
      <c r="C16" s="68" t="s">
        <v>128</v>
      </c>
      <c r="D16" s="69" t="s">
        <v>129</v>
      </c>
      <c r="E16" s="69" t="s">
        <v>130</v>
      </c>
      <c r="F16" s="69"/>
      <c r="G16" s="68" t="s">
        <v>127</v>
      </c>
      <c r="H16" s="68" t="s">
        <v>128</v>
      </c>
      <c r="I16" s="69" t="s">
        <v>129</v>
      </c>
      <c r="J16" s="69" t="s">
        <v>130</v>
      </c>
      <c r="L16" s="68" t="s">
        <v>127</v>
      </c>
      <c r="M16" s="68" t="s">
        <v>128</v>
      </c>
      <c r="N16" s="69" t="s">
        <v>129</v>
      </c>
      <c r="O16" s="69" t="s">
        <v>130</v>
      </c>
      <c r="Q16" s="68" t="s">
        <v>127</v>
      </c>
      <c r="R16" s="68" t="s">
        <v>128</v>
      </c>
      <c r="S16" s="69" t="s">
        <v>129</v>
      </c>
      <c r="T16" s="69" t="s">
        <v>130</v>
      </c>
      <c r="V16" s="68" t="s">
        <v>127</v>
      </c>
      <c r="W16" s="68" t="s">
        <v>128</v>
      </c>
      <c r="X16" s="69" t="s">
        <v>129</v>
      </c>
      <c r="Y16" s="69" t="s">
        <v>130</v>
      </c>
    </row>
    <row r="17" spans="2:25" x14ac:dyDescent="0.25">
      <c r="B17" s="58">
        <v>1</v>
      </c>
      <c r="C17" s="70">
        <f>EXP(-'GHG Model - Non-Forest Residues'!$D$7*(B17-0.5))</f>
        <v>0.93303299153680741</v>
      </c>
      <c r="D17" s="71" t="e">
        <f>-$D$11*(1-C17)</f>
        <v>#VALUE!</v>
      </c>
      <c r="E17" s="168" t="e">
        <f>$D$11+D17</f>
        <v>#VALUE!</v>
      </c>
      <c r="G17" s="58">
        <v>1</v>
      </c>
      <c r="H17" s="70">
        <f>EXP(-'GHG Model - Non-Forest Residues'!$D$7*(G17-0.5))</f>
        <v>0.93303299153680741</v>
      </c>
      <c r="I17" s="71" t="e">
        <f t="shared" ref="I17:I23" si="0">-$G$11*(1-H17)</f>
        <v>#VALUE!</v>
      </c>
      <c r="J17" s="168" t="e">
        <f>$G$11+I17</f>
        <v>#VALUE!</v>
      </c>
      <c r="L17" s="58">
        <v>1</v>
      </c>
      <c r="M17" s="70">
        <f>EXP(-'GHG Model - Non-Forest Residues'!$D$7*(L17-0.5))</f>
        <v>0.93303299153680741</v>
      </c>
      <c r="N17" s="71" t="e">
        <f t="shared" ref="N17:N25" si="1">-$L$11*(1-M17)</f>
        <v>#VALUE!</v>
      </c>
      <c r="O17" s="168" t="e">
        <f>$L$11+N17</f>
        <v>#VALUE!</v>
      </c>
      <c r="Q17" s="58">
        <v>1</v>
      </c>
      <c r="R17" s="70">
        <f>EXP(-'GHG Model - Non-Forest Residues'!$D$7*(Q17-0.5))</f>
        <v>0.93303299153680741</v>
      </c>
      <c r="S17" s="71" t="e">
        <f>-$Q$11*(1-R17)</f>
        <v>#VALUE!</v>
      </c>
      <c r="T17" s="169" t="e">
        <f>$Q$11+S17</f>
        <v>#VALUE!</v>
      </c>
      <c r="V17" s="58">
        <v>1</v>
      </c>
      <c r="W17" s="70">
        <f>EXP(-'GHG Model - Non-Forest Residues'!$D$7*(V17-0.5))</f>
        <v>0.93303299153680741</v>
      </c>
      <c r="X17" s="71" t="e">
        <f>-$V$11*(1-W17)</f>
        <v>#VALUE!</v>
      </c>
      <c r="Y17" s="168" t="e">
        <f>$V$11+X17</f>
        <v>#VALUE!</v>
      </c>
    </row>
    <row r="18" spans="2:25" x14ac:dyDescent="0.25">
      <c r="B18" s="58">
        <v>2</v>
      </c>
      <c r="C18" s="70">
        <f>EXP(-'GHG Model - Non-Forest Residues'!$D$7*(B18-0.5))</f>
        <v>0.81225239635623558</v>
      </c>
      <c r="D18" s="71" t="e">
        <f t="shared" ref="D18:D36" si="2">-$D$11*(1-C18)</f>
        <v>#VALUE!</v>
      </c>
      <c r="E18" s="168" t="e">
        <f t="shared" ref="E18:E36" si="3">$D$11+D18</f>
        <v>#VALUE!</v>
      </c>
      <c r="G18" s="58">
        <v>2</v>
      </c>
      <c r="H18" s="70">
        <f>EXP(-'GHG Model - Non-Forest Residues'!$D$7*(G18-0.5))</f>
        <v>0.81225239635623558</v>
      </c>
      <c r="I18" s="71" t="e">
        <f t="shared" si="0"/>
        <v>#VALUE!</v>
      </c>
      <c r="J18" s="168" t="e">
        <f t="shared" ref="J18:J36" si="4">$G$11+I18</f>
        <v>#VALUE!</v>
      </c>
      <c r="L18" s="58">
        <v>2</v>
      </c>
      <c r="M18" s="70">
        <f>EXP(-'GHG Model - Non-Forest Residues'!$D$7*(L18-0.5))</f>
        <v>0.81225239635623558</v>
      </c>
      <c r="N18" s="71" t="e">
        <f t="shared" si="1"/>
        <v>#VALUE!</v>
      </c>
      <c r="O18" s="168" t="e">
        <f t="shared" ref="O18:O36" si="5">$L$11+N18</f>
        <v>#VALUE!</v>
      </c>
      <c r="Q18" s="58">
        <v>2</v>
      </c>
      <c r="R18" s="70">
        <f>EXP(-'GHG Model - Non-Forest Residues'!$D$7*(Q18-0.5))</f>
        <v>0.81225239635623558</v>
      </c>
      <c r="S18" s="71" t="e">
        <f t="shared" ref="S18:S36" si="6">-$Q$11*(1-R18)</f>
        <v>#VALUE!</v>
      </c>
      <c r="T18" s="169" t="e">
        <f t="shared" ref="T18:T36" si="7">$Q$11+S18</f>
        <v>#VALUE!</v>
      </c>
      <c r="V18" s="58">
        <v>2</v>
      </c>
      <c r="W18" s="70">
        <f>EXP(-'GHG Model - Non-Forest Residues'!$D$7*(V18-0.5))</f>
        <v>0.81225239635623558</v>
      </c>
      <c r="X18" s="71" t="e">
        <f t="shared" ref="X18:X36" si="8">-$V$11*(1-W18)</f>
        <v>#VALUE!</v>
      </c>
      <c r="Y18" s="168" t="e">
        <f t="shared" ref="Y18:Y36" si="9">$V$11+X18</f>
        <v>#VALUE!</v>
      </c>
    </row>
    <row r="19" spans="2:25" x14ac:dyDescent="0.25">
      <c r="B19" s="58">
        <v>3</v>
      </c>
      <c r="C19" s="70">
        <f>EXP(-'GHG Model - Non-Forest Residues'!$D$7*(B19-0.5))</f>
        <v>0.70710678118654757</v>
      </c>
      <c r="D19" s="71" t="e">
        <f t="shared" si="2"/>
        <v>#VALUE!</v>
      </c>
      <c r="E19" s="168" t="e">
        <f t="shared" si="3"/>
        <v>#VALUE!</v>
      </c>
      <c r="G19" s="58">
        <v>3</v>
      </c>
      <c r="H19" s="70">
        <f>EXP(-'GHG Model - Non-Forest Residues'!$D$7*(G19-0.5))</f>
        <v>0.70710678118654757</v>
      </c>
      <c r="I19" s="71" t="e">
        <f t="shared" si="0"/>
        <v>#VALUE!</v>
      </c>
      <c r="J19" s="168" t="e">
        <f t="shared" si="4"/>
        <v>#VALUE!</v>
      </c>
      <c r="L19" s="58">
        <v>3</v>
      </c>
      <c r="M19" s="70">
        <f>EXP(-'GHG Model - Non-Forest Residues'!$D$7*(L19-0.5))</f>
        <v>0.70710678118654757</v>
      </c>
      <c r="N19" s="71" t="e">
        <f t="shared" si="1"/>
        <v>#VALUE!</v>
      </c>
      <c r="O19" s="168" t="e">
        <f t="shared" si="5"/>
        <v>#VALUE!</v>
      </c>
      <c r="Q19" s="58">
        <v>3</v>
      </c>
      <c r="R19" s="70">
        <f>EXP(-'GHG Model - Non-Forest Residues'!$D$7*(Q19-0.5))</f>
        <v>0.70710678118654757</v>
      </c>
      <c r="S19" s="71" t="e">
        <f t="shared" si="6"/>
        <v>#VALUE!</v>
      </c>
      <c r="T19" s="169" t="e">
        <f t="shared" si="7"/>
        <v>#VALUE!</v>
      </c>
      <c r="V19" s="58">
        <v>3</v>
      </c>
      <c r="W19" s="70">
        <f>EXP(-'GHG Model - Non-Forest Residues'!$D$7*(V19-0.5))</f>
        <v>0.70710678118654757</v>
      </c>
      <c r="X19" s="71" t="e">
        <f t="shared" si="8"/>
        <v>#VALUE!</v>
      </c>
      <c r="Y19" s="168" t="e">
        <f t="shared" si="9"/>
        <v>#VALUE!</v>
      </c>
    </row>
    <row r="20" spans="2:25" x14ac:dyDescent="0.25">
      <c r="B20" s="58">
        <v>4</v>
      </c>
      <c r="C20" s="70">
        <f>EXP(-'GHG Model - Non-Forest Residues'!$D$7*(B20-0.5))</f>
        <v>0.61557220667245816</v>
      </c>
      <c r="D20" s="71" t="e">
        <f t="shared" si="2"/>
        <v>#VALUE!</v>
      </c>
      <c r="E20" s="168" t="e">
        <f t="shared" si="3"/>
        <v>#VALUE!</v>
      </c>
      <c r="G20" s="58">
        <v>4</v>
      </c>
      <c r="H20" s="70">
        <f>EXP(-'GHG Model - Non-Forest Residues'!$D$7*(G20-0.5))</f>
        <v>0.61557220667245816</v>
      </c>
      <c r="I20" s="71" t="e">
        <f t="shared" si="0"/>
        <v>#VALUE!</v>
      </c>
      <c r="J20" s="168" t="e">
        <f t="shared" si="4"/>
        <v>#VALUE!</v>
      </c>
      <c r="L20" s="58">
        <v>4</v>
      </c>
      <c r="M20" s="70">
        <f>EXP(-'GHG Model - Non-Forest Residues'!$D$7*(L20-0.5))</f>
        <v>0.61557220667245816</v>
      </c>
      <c r="N20" s="71" t="e">
        <f t="shared" si="1"/>
        <v>#VALUE!</v>
      </c>
      <c r="O20" s="168" t="e">
        <f t="shared" si="5"/>
        <v>#VALUE!</v>
      </c>
      <c r="Q20" s="58">
        <v>4</v>
      </c>
      <c r="R20" s="70">
        <f>EXP(-'GHG Model - Non-Forest Residues'!$D$7*(Q20-0.5))</f>
        <v>0.61557220667245816</v>
      </c>
      <c r="S20" s="71" t="e">
        <f t="shared" si="6"/>
        <v>#VALUE!</v>
      </c>
      <c r="T20" s="169" t="e">
        <f t="shared" si="7"/>
        <v>#VALUE!</v>
      </c>
      <c r="V20" s="58">
        <v>4</v>
      </c>
      <c r="W20" s="70">
        <f>EXP(-'GHG Model - Non-Forest Residues'!$D$7*(V20-0.5))</f>
        <v>0.61557220667245816</v>
      </c>
      <c r="X20" s="71" t="e">
        <f t="shared" si="8"/>
        <v>#VALUE!</v>
      </c>
      <c r="Y20" s="168" t="e">
        <f t="shared" si="9"/>
        <v>#VALUE!</v>
      </c>
    </row>
    <row r="21" spans="2:25" x14ac:dyDescent="0.25">
      <c r="B21" s="58">
        <v>5</v>
      </c>
      <c r="C21" s="70">
        <f>EXP(-'GHG Model - Non-Forest Residues'!$D$7*(B21-0.5))</f>
        <v>0.53588673126814657</v>
      </c>
      <c r="D21" s="71" t="e">
        <f t="shared" si="2"/>
        <v>#VALUE!</v>
      </c>
      <c r="E21" s="168" t="e">
        <f t="shared" si="3"/>
        <v>#VALUE!</v>
      </c>
      <c r="G21" s="58">
        <v>5</v>
      </c>
      <c r="H21" s="70">
        <f>EXP(-'GHG Model - Non-Forest Residues'!$D$7*(G21-0.5))</f>
        <v>0.53588673126814657</v>
      </c>
      <c r="I21" s="71" t="e">
        <f t="shared" si="0"/>
        <v>#VALUE!</v>
      </c>
      <c r="J21" s="168" t="e">
        <f t="shared" si="4"/>
        <v>#VALUE!</v>
      </c>
      <c r="L21" s="58">
        <v>5</v>
      </c>
      <c r="M21" s="70">
        <f>EXP(-'GHG Model - Non-Forest Residues'!$D$7*(L21-0.5))</f>
        <v>0.53588673126814657</v>
      </c>
      <c r="N21" s="71" t="e">
        <f t="shared" si="1"/>
        <v>#VALUE!</v>
      </c>
      <c r="O21" s="168" t="e">
        <f t="shared" si="5"/>
        <v>#VALUE!</v>
      </c>
      <c r="Q21" s="58">
        <v>5</v>
      </c>
      <c r="R21" s="70">
        <f>EXP(-'GHG Model - Non-Forest Residues'!$D$7*(Q21-0.5))</f>
        <v>0.53588673126814657</v>
      </c>
      <c r="S21" s="71" t="e">
        <f t="shared" si="6"/>
        <v>#VALUE!</v>
      </c>
      <c r="T21" s="169" t="e">
        <f t="shared" si="7"/>
        <v>#VALUE!</v>
      </c>
      <c r="V21" s="58">
        <v>5</v>
      </c>
      <c r="W21" s="70">
        <f>EXP(-'GHG Model - Non-Forest Residues'!$D$7*(V21-0.5))</f>
        <v>0.53588673126814657</v>
      </c>
      <c r="X21" s="71" t="e">
        <f t="shared" si="8"/>
        <v>#VALUE!</v>
      </c>
      <c r="Y21" s="168" t="e">
        <f t="shared" si="9"/>
        <v>#VALUE!</v>
      </c>
    </row>
    <row r="22" spans="2:25" x14ac:dyDescent="0.25">
      <c r="B22" s="58">
        <v>6</v>
      </c>
      <c r="C22" s="70">
        <f>EXP(-'GHG Model - Non-Forest Residues'!$D$7*(B22-0.5))</f>
        <v>0.46651649576840371</v>
      </c>
      <c r="D22" s="71" t="e">
        <f t="shared" si="2"/>
        <v>#VALUE!</v>
      </c>
      <c r="E22" s="168" t="e">
        <f t="shared" si="3"/>
        <v>#VALUE!</v>
      </c>
      <c r="G22" s="58">
        <v>6</v>
      </c>
      <c r="H22" s="70">
        <f>EXP(-'GHG Model - Non-Forest Residues'!$D$7*(G22-0.5))</f>
        <v>0.46651649576840371</v>
      </c>
      <c r="I22" s="71" t="e">
        <f t="shared" si="0"/>
        <v>#VALUE!</v>
      </c>
      <c r="J22" s="168" t="e">
        <f t="shared" si="4"/>
        <v>#VALUE!</v>
      </c>
      <c r="L22" s="58">
        <v>6</v>
      </c>
      <c r="M22" s="70">
        <f>EXP(-'GHG Model - Non-Forest Residues'!$D$7*(L22-0.5))</f>
        <v>0.46651649576840371</v>
      </c>
      <c r="N22" s="71" t="e">
        <f t="shared" si="1"/>
        <v>#VALUE!</v>
      </c>
      <c r="O22" s="168" t="e">
        <f t="shared" si="5"/>
        <v>#VALUE!</v>
      </c>
      <c r="Q22" s="58">
        <v>6</v>
      </c>
      <c r="R22" s="70">
        <f>EXP(-'GHG Model - Non-Forest Residues'!$D$7*(Q22-0.5))</f>
        <v>0.46651649576840371</v>
      </c>
      <c r="S22" s="71" t="e">
        <f t="shared" si="6"/>
        <v>#VALUE!</v>
      </c>
      <c r="T22" s="169" t="e">
        <f t="shared" si="7"/>
        <v>#VALUE!</v>
      </c>
      <c r="V22" s="58">
        <v>6</v>
      </c>
      <c r="W22" s="70">
        <f>EXP(-'GHG Model - Non-Forest Residues'!$D$7*(V22-0.5))</f>
        <v>0.46651649576840371</v>
      </c>
      <c r="X22" s="71" t="e">
        <f t="shared" si="8"/>
        <v>#VALUE!</v>
      </c>
      <c r="Y22" s="168" t="e">
        <f t="shared" si="9"/>
        <v>#VALUE!</v>
      </c>
    </row>
    <row r="23" spans="2:25" x14ac:dyDescent="0.25">
      <c r="B23" s="58">
        <v>7</v>
      </c>
      <c r="C23" s="70">
        <f>EXP(-'GHG Model - Non-Forest Residues'!$D$7*(B23-0.5))</f>
        <v>0.40612619817811779</v>
      </c>
      <c r="D23" s="71" t="e">
        <f t="shared" si="2"/>
        <v>#VALUE!</v>
      </c>
      <c r="E23" s="168" t="e">
        <f t="shared" si="3"/>
        <v>#VALUE!</v>
      </c>
      <c r="G23" s="58">
        <v>7</v>
      </c>
      <c r="H23" s="70">
        <f>EXP(-'GHG Model - Non-Forest Residues'!$D$7*(G23-0.5))</f>
        <v>0.40612619817811779</v>
      </c>
      <c r="I23" s="71" t="e">
        <f t="shared" si="0"/>
        <v>#VALUE!</v>
      </c>
      <c r="J23" s="168" t="e">
        <f t="shared" si="4"/>
        <v>#VALUE!</v>
      </c>
      <c r="L23" s="58">
        <v>7</v>
      </c>
      <c r="M23" s="70">
        <f>EXP(-'GHG Model - Non-Forest Residues'!$D$7*(L23-0.5))</f>
        <v>0.40612619817811779</v>
      </c>
      <c r="N23" s="71" t="e">
        <f t="shared" si="1"/>
        <v>#VALUE!</v>
      </c>
      <c r="O23" s="168" t="e">
        <f t="shared" si="5"/>
        <v>#VALUE!</v>
      </c>
      <c r="Q23" s="58">
        <v>7</v>
      </c>
      <c r="R23" s="70">
        <f>EXP(-'GHG Model - Non-Forest Residues'!$D$7*(Q23-0.5))</f>
        <v>0.40612619817811779</v>
      </c>
      <c r="S23" s="71" t="e">
        <f t="shared" si="6"/>
        <v>#VALUE!</v>
      </c>
      <c r="T23" s="169" t="e">
        <f t="shared" si="7"/>
        <v>#VALUE!</v>
      </c>
      <c r="V23" s="58">
        <v>7</v>
      </c>
      <c r="W23" s="70">
        <f>EXP(-'GHG Model - Non-Forest Residues'!$D$7*(V23-0.5))</f>
        <v>0.40612619817811779</v>
      </c>
      <c r="X23" s="71" t="e">
        <f t="shared" si="8"/>
        <v>#VALUE!</v>
      </c>
      <c r="Y23" s="168" t="e">
        <f t="shared" si="9"/>
        <v>#VALUE!</v>
      </c>
    </row>
    <row r="24" spans="2:25" x14ac:dyDescent="0.25">
      <c r="B24" s="58">
        <v>8</v>
      </c>
      <c r="C24" s="70">
        <f>EXP(-'GHG Model - Non-Forest Residues'!$D$7*(B24-0.5))</f>
        <v>0.35355339059327379</v>
      </c>
      <c r="D24" s="71" t="e">
        <f t="shared" si="2"/>
        <v>#VALUE!</v>
      </c>
      <c r="E24" s="168" t="e">
        <f t="shared" si="3"/>
        <v>#VALUE!</v>
      </c>
      <c r="G24" s="58">
        <v>8</v>
      </c>
      <c r="H24" s="70">
        <f>EXP(-'GHG Model - Non-Forest Residues'!$D$7*(G24-0.5))</f>
        <v>0.35355339059327379</v>
      </c>
      <c r="I24" s="71" t="e">
        <f t="shared" ref="I24:I36" si="10">-$G$11*(1-H24)</f>
        <v>#VALUE!</v>
      </c>
      <c r="J24" s="168" t="e">
        <f>$G$11+I24</f>
        <v>#VALUE!</v>
      </c>
      <c r="L24" s="58">
        <v>8</v>
      </c>
      <c r="M24" s="70">
        <f>EXP(-'GHG Model - Non-Forest Residues'!$D$7*(L24-0.5))</f>
        <v>0.35355339059327379</v>
      </c>
      <c r="N24" s="71" t="e">
        <f t="shared" si="1"/>
        <v>#VALUE!</v>
      </c>
      <c r="O24" s="168" t="e">
        <f t="shared" si="5"/>
        <v>#VALUE!</v>
      </c>
      <c r="Q24" s="58">
        <v>8</v>
      </c>
      <c r="R24" s="70">
        <f>EXP(-'GHG Model - Non-Forest Residues'!$D$7*(Q24-0.5))</f>
        <v>0.35355339059327379</v>
      </c>
      <c r="S24" s="71" t="e">
        <f t="shared" si="6"/>
        <v>#VALUE!</v>
      </c>
      <c r="T24" s="169" t="e">
        <f t="shared" si="7"/>
        <v>#VALUE!</v>
      </c>
      <c r="V24" s="58">
        <v>8</v>
      </c>
      <c r="W24" s="70">
        <f>EXP(-'GHG Model - Non-Forest Residues'!$D$7*(V24-0.5))</f>
        <v>0.35355339059327379</v>
      </c>
      <c r="X24" s="71" t="e">
        <f t="shared" si="8"/>
        <v>#VALUE!</v>
      </c>
      <c r="Y24" s="168" t="e">
        <f t="shared" si="9"/>
        <v>#VALUE!</v>
      </c>
    </row>
    <row r="25" spans="2:25" x14ac:dyDescent="0.25">
      <c r="B25" s="58">
        <v>9</v>
      </c>
      <c r="C25" s="70">
        <f>EXP(-'GHG Model - Non-Forest Residues'!$D$7*(B25-0.5))</f>
        <v>0.30778610333622908</v>
      </c>
      <c r="D25" s="71" t="e">
        <f t="shared" si="2"/>
        <v>#VALUE!</v>
      </c>
      <c r="E25" s="168" t="e">
        <f t="shared" si="3"/>
        <v>#VALUE!</v>
      </c>
      <c r="G25" s="58">
        <v>9</v>
      </c>
      <c r="H25" s="70">
        <f>EXP(-'GHG Model - Non-Forest Residues'!$D$7*(G25-0.5))</f>
        <v>0.30778610333622908</v>
      </c>
      <c r="I25" s="71" t="e">
        <f t="shared" si="10"/>
        <v>#VALUE!</v>
      </c>
      <c r="J25" s="168" t="e">
        <f>$G$11+I25</f>
        <v>#VALUE!</v>
      </c>
      <c r="L25" s="58">
        <v>9</v>
      </c>
      <c r="M25" s="70">
        <f>EXP(-'GHG Model - Non-Forest Residues'!$D$7*(L25-0.5))</f>
        <v>0.30778610333622908</v>
      </c>
      <c r="N25" s="71" t="e">
        <f t="shared" si="1"/>
        <v>#VALUE!</v>
      </c>
      <c r="O25" s="168" t="e">
        <f t="shared" si="5"/>
        <v>#VALUE!</v>
      </c>
      <c r="Q25" s="58">
        <v>9</v>
      </c>
      <c r="R25" s="70">
        <f>EXP(-'GHG Model - Non-Forest Residues'!$D$7*(Q25-0.5))</f>
        <v>0.30778610333622908</v>
      </c>
      <c r="S25" s="71" t="e">
        <f t="shared" si="6"/>
        <v>#VALUE!</v>
      </c>
      <c r="T25" s="169" t="e">
        <f t="shared" si="7"/>
        <v>#VALUE!</v>
      </c>
      <c r="V25" s="58">
        <v>9</v>
      </c>
      <c r="W25" s="70">
        <f>EXP(-'GHG Model - Non-Forest Residues'!$D$7*(V25-0.5))</f>
        <v>0.30778610333622908</v>
      </c>
      <c r="X25" s="71" t="e">
        <f t="shared" si="8"/>
        <v>#VALUE!</v>
      </c>
      <c r="Y25" s="168" t="e">
        <f t="shared" si="9"/>
        <v>#VALUE!</v>
      </c>
    </row>
    <row r="26" spans="2:25" x14ac:dyDescent="0.25">
      <c r="B26" s="58">
        <v>10</v>
      </c>
      <c r="C26" s="70">
        <f>EXP(-'GHG Model - Non-Forest Residues'!$D$7*(B26-0.5))</f>
        <v>0.26794336563407328</v>
      </c>
      <c r="D26" s="71" t="e">
        <f t="shared" si="2"/>
        <v>#VALUE!</v>
      </c>
      <c r="E26" s="168" t="e">
        <f t="shared" si="3"/>
        <v>#VALUE!</v>
      </c>
      <c r="G26" s="58">
        <v>10</v>
      </c>
      <c r="H26" s="70">
        <f>EXP(-'GHG Model - Non-Forest Residues'!$D$7*(G26-0.5))</f>
        <v>0.26794336563407328</v>
      </c>
      <c r="I26" s="71" t="e">
        <f t="shared" si="10"/>
        <v>#VALUE!</v>
      </c>
      <c r="J26" s="168" t="e">
        <f>$G$11+I26</f>
        <v>#VALUE!</v>
      </c>
      <c r="L26" s="58">
        <v>10</v>
      </c>
      <c r="M26" s="70">
        <f>EXP(-'GHG Model - Non-Forest Residues'!$D$7*(L26-0.5))</f>
        <v>0.26794336563407328</v>
      </c>
      <c r="N26" s="71" t="e">
        <f t="shared" ref="N26:N36" si="11">-$L$11*(1-M26)</f>
        <v>#VALUE!</v>
      </c>
      <c r="O26" s="168" t="e">
        <f>$L$11+N26</f>
        <v>#VALUE!</v>
      </c>
      <c r="Q26" s="58">
        <v>10</v>
      </c>
      <c r="R26" s="70">
        <f>EXP(-'GHG Model - Non-Forest Residues'!$D$7*(Q26-0.5))</f>
        <v>0.26794336563407328</v>
      </c>
      <c r="S26" s="71" t="e">
        <f t="shared" si="6"/>
        <v>#VALUE!</v>
      </c>
      <c r="T26" s="169" t="e">
        <f t="shared" si="7"/>
        <v>#VALUE!</v>
      </c>
      <c r="V26" s="58">
        <v>10</v>
      </c>
      <c r="W26" s="70">
        <f>EXP(-'GHG Model - Non-Forest Residues'!$D$7*(V26-0.5))</f>
        <v>0.26794336563407328</v>
      </c>
      <c r="X26" s="71" t="e">
        <f t="shared" si="8"/>
        <v>#VALUE!</v>
      </c>
      <c r="Y26" s="168" t="e">
        <f t="shared" si="9"/>
        <v>#VALUE!</v>
      </c>
    </row>
    <row r="27" spans="2:25" x14ac:dyDescent="0.25">
      <c r="B27" s="58">
        <v>11</v>
      </c>
      <c r="C27" s="70">
        <f>EXP(-'GHG Model - Non-Forest Residues'!$D$7*(B27-0.5))</f>
        <v>0.23325824788420185</v>
      </c>
      <c r="D27" s="71" t="e">
        <f t="shared" si="2"/>
        <v>#VALUE!</v>
      </c>
      <c r="E27" s="168" t="e">
        <f t="shared" si="3"/>
        <v>#VALUE!</v>
      </c>
      <c r="G27" s="58">
        <v>11</v>
      </c>
      <c r="H27" s="70">
        <f>EXP(-'GHG Model - Non-Forest Residues'!$D$7*(G27-0.5))</f>
        <v>0.23325824788420185</v>
      </c>
      <c r="I27" s="71" t="e">
        <f t="shared" si="10"/>
        <v>#VALUE!</v>
      </c>
      <c r="J27" s="168" t="e">
        <f>$G$11+I27</f>
        <v>#VALUE!</v>
      </c>
      <c r="L27" s="58">
        <v>11</v>
      </c>
      <c r="M27" s="70">
        <f>EXP(-'GHG Model - Non-Forest Residues'!$D$7*(L27-0.5))</f>
        <v>0.23325824788420185</v>
      </c>
      <c r="N27" s="71" t="e">
        <f t="shared" si="11"/>
        <v>#VALUE!</v>
      </c>
      <c r="O27" s="168" t="e">
        <f>$L$11+N27</f>
        <v>#VALUE!</v>
      </c>
      <c r="Q27" s="58">
        <v>11</v>
      </c>
      <c r="R27" s="70">
        <f>EXP(-'GHG Model - Non-Forest Residues'!$D$7*(Q27-0.5))</f>
        <v>0.23325824788420185</v>
      </c>
      <c r="S27" s="71" t="e">
        <f t="shared" si="6"/>
        <v>#VALUE!</v>
      </c>
      <c r="T27" s="169" t="e">
        <f t="shared" si="7"/>
        <v>#VALUE!</v>
      </c>
      <c r="V27" s="58">
        <v>11</v>
      </c>
      <c r="W27" s="70">
        <f>EXP(-'GHG Model - Non-Forest Residues'!$D$7*(V27-0.5))</f>
        <v>0.23325824788420185</v>
      </c>
      <c r="X27" s="71" t="e">
        <f t="shared" si="8"/>
        <v>#VALUE!</v>
      </c>
      <c r="Y27" s="168" t="e">
        <f t="shared" si="9"/>
        <v>#VALUE!</v>
      </c>
    </row>
    <row r="28" spans="2:25" x14ac:dyDescent="0.25">
      <c r="B28" s="58">
        <v>12</v>
      </c>
      <c r="C28" s="70">
        <f>EXP(-'GHG Model - Non-Forest Residues'!$D$7*(B28-0.5))</f>
        <v>0.2030630990890589</v>
      </c>
      <c r="D28" s="71" t="e">
        <f>-$D$11*(1-C28)</f>
        <v>#VALUE!</v>
      </c>
      <c r="E28" s="168" t="e">
        <f t="shared" si="3"/>
        <v>#VALUE!</v>
      </c>
      <c r="G28" s="58">
        <v>12</v>
      </c>
      <c r="H28" s="70">
        <f>EXP(-'GHG Model - Non-Forest Residues'!$D$7*(G28-0.5))</f>
        <v>0.2030630990890589</v>
      </c>
      <c r="I28" s="71" t="e">
        <f t="shared" si="10"/>
        <v>#VALUE!</v>
      </c>
      <c r="J28" s="168" t="e">
        <f t="shared" si="4"/>
        <v>#VALUE!</v>
      </c>
      <c r="L28" s="58">
        <v>12</v>
      </c>
      <c r="M28" s="70">
        <f>EXP(-'GHG Model - Non-Forest Residues'!$D$7*(L28-0.5))</f>
        <v>0.2030630990890589</v>
      </c>
      <c r="N28" s="71" t="e">
        <f t="shared" si="11"/>
        <v>#VALUE!</v>
      </c>
      <c r="O28" s="168" t="e">
        <f>$L$11+N28</f>
        <v>#VALUE!</v>
      </c>
      <c r="Q28" s="58">
        <v>12</v>
      </c>
      <c r="R28" s="70">
        <f>EXP(-'GHG Model - Non-Forest Residues'!$D$7*(Q28-0.5))</f>
        <v>0.2030630990890589</v>
      </c>
      <c r="S28" s="71" t="e">
        <f t="shared" si="6"/>
        <v>#VALUE!</v>
      </c>
      <c r="T28" s="169" t="e">
        <f t="shared" si="7"/>
        <v>#VALUE!</v>
      </c>
      <c r="V28" s="58">
        <v>12</v>
      </c>
      <c r="W28" s="70">
        <f>EXP(-'GHG Model - Non-Forest Residues'!$D$7*(V28-0.5))</f>
        <v>0.2030630990890589</v>
      </c>
      <c r="X28" s="71" t="e">
        <f t="shared" si="8"/>
        <v>#VALUE!</v>
      </c>
      <c r="Y28" s="168" t="e">
        <f t="shared" si="9"/>
        <v>#VALUE!</v>
      </c>
    </row>
    <row r="29" spans="2:25" x14ac:dyDescent="0.25">
      <c r="B29" s="58">
        <v>13</v>
      </c>
      <c r="C29" s="70">
        <f>EXP(-'GHG Model - Non-Forest Residues'!$D$7*(B29-0.5))</f>
        <v>0.17677669529663692</v>
      </c>
      <c r="D29" s="71" t="e">
        <f>-$D$11*(1-C29)</f>
        <v>#VALUE!</v>
      </c>
      <c r="E29" s="168" t="e">
        <f t="shared" si="3"/>
        <v>#VALUE!</v>
      </c>
      <c r="G29" s="58">
        <v>13</v>
      </c>
      <c r="H29" s="70">
        <f>EXP(-'GHG Model - Non-Forest Residues'!$D$7*(G29-0.5))</f>
        <v>0.17677669529663692</v>
      </c>
      <c r="I29" s="71" t="e">
        <f t="shared" si="10"/>
        <v>#VALUE!</v>
      </c>
      <c r="J29" s="168" t="e">
        <f t="shared" si="4"/>
        <v>#VALUE!</v>
      </c>
      <c r="L29" s="58">
        <v>13</v>
      </c>
      <c r="M29" s="70">
        <f>EXP(-'GHG Model - Non-Forest Residues'!$D$7*(L29-0.5))</f>
        <v>0.17677669529663692</v>
      </c>
      <c r="N29" s="71" t="e">
        <f t="shared" si="11"/>
        <v>#VALUE!</v>
      </c>
      <c r="O29" s="168" t="e">
        <f>$L$11+N29</f>
        <v>#VALUE!</v>
      </c>
      <c r="Q29" s="58">
        <v>13</v>
      </c>
      <c r="R29" s="70">
        <f>EXP(-'GHG Model - Non-Forest Residues'!$D$7*(Q29-0.5))</f>
        <v>0.17677669529663692</v>
      </c>
      <c r="S29" s="71" t="e">
        <f t="shared" si="6"/>
        <v>#VALUE!</v>
      </c>
      <c r="T29" s="169" t="e">
        <f t="shared" si="7"/>
        <v>#VALUE!</v>
      </c>
      <c r="V29" s="58">
        <v>13</v>
      </c>
      <c r="W29" s="70">
        <f>EXP(-'GHG Model - Non-Forest Residues'!$D$7*(V29-0.5))</f>
        <v>0.17677669529663692</v>
      </c>
      <c r="X29" s="71" t="e">
        <f t="shared" si="8"/>
        <v>#VALUE!</v>
      </c>
      <c r="Y29" s="168" t="e">
        <f t="shared" si="9"/>
        <v>#VALUE!</v>
      </c>
    </row>
    <row r="30" spans="2:25" x14ac:dyDescent="0.25">
      <c r="B30" s="58">
        <v>14</v>
      </c>
      <c r="C30" s="70">
        <f>EXP(-'GHG Model - Non-Forest Residues'!$D$7*(B30-0.5))</f>
        <v>0.15389305166811457</v>
      </c>
      <c r="D30" s="71" t="e">
        <f>-$D$11*(1-C30)</f>
        <v>#VALUE!</v>
      </c>
      <c r="E30" s="168" t="e">
        <f t="shared" si="3"/>
        <v>#VALUE!</v>
      </c>
      <c r="G30" s="58">
        <v>14</v>
      </c>
      <c r="H30" s="70">
        <f>EXP(-'GHG Model - Non-Forest Residues'!$D$7*(G30-0.5))</f>
        <v>0.15389305166811457</v>
      </c>
      <c r="I30" s="71" t="e">
        <f t="shared" si="10"/>
        <v>#VALUE!</v>
      </c>
      <c r="J30" s="168" t="e">
        <f t="shared" si="4"/>
        <v>#VALUE!</v>
      </c>
      <c r="L30" s="58">
        <v>14</v>
      </c>
      <c r="M30" s="70">
        <f>EXP(-'GHG Model - Non-Forest Residues'!$D$7*(L30-0.5))</f>
        <v>0.15389305166811457</v>
      </c>
      <c r="N30" s="71" t="e">
        <f t="shared" si="11"/>
        <v>#VALUE!</v>
      </c>
      <c r="O30" s="168" t="e">
        <f>$L$11+N30</f>
        <v>#VALUE!</v>
      </c>
      <c r="Q30" s="58">
        <v>14</v>
      </c>
      <c r="R30" s="70">
        <f>EXP(-'GHG Model - Non-Forest Residues'!$D$7*(Q30-0.5))</f>
        <v>0.15389305166811457</v>
      </c>
      <c r="S30" s="71" t="e">
        <f t="shared" si="6"/>
        <v>#VALUE!</v>
      </c>
      <c r="T30" s="169" t="e">
        <f t="shared" si="7"/>
        <v>#VALUE!</v>
      </c>
      <c r="V30" s="58">
        <v>14</v>
      </c>
      <c r="W30" s="70">
        <f>EXP(-'GHG Model - Non-Forest Residues'!$D$7*(V30-0.5))</f>
        <v>0.15389305166811457</v>
      </c>
      <c r="X30" s="71" t="e">
        <f t="shared" si="8"/>
        <v>#VALUE!</v>
      </c>
      <c r="Y30" s="168" t="e">
        <f t="shared" si="9"/>
        <v>#VALUE!</v>
      </c>
    </row>
    <row r="31" spans="2:25" x14ac:dyDescent="0.25">
      <c r="B31" s="58">
        <v>15</v>
      </c>
      <c r="C31" s="70">
        <f>EXP(-'GHG Model - Non-Forest Residues'!$D$7*(B31-0.5))</f>
        <v>0.13397168281703667</v>
      </c>
      <c r="D31" s="71" t="e">
        <f>-$D$11*(1-C31)</f>
        <v>#VALUE!</v>
      </c>
      <c r="E31" s="168" t="e">
        <f t="shared" si="3"/>
        <v>#VALUE!</v>
      </c>
      <c r="G31" s="58">
        <v>15</v>
      </c>
      <c r="H31" s="70">
        <f>EXP(-'GHG Model - Non-Forest Residues'!$D$7*(G31-0.5))</f>
        <v>0.13397168281703667</v>
      </c>
      <c r="I31" s="71" t="e">
        <f t="shared" si="10"/>
        <v>#VALUE!</v>
      </c>
      <c r="J31" s="168" t="e">
        <f t="shared" si="4"/>
        <v>#VALUE!</v>
      </c>
      <c r="L31" s="58">
        <v>15</v>
      </c>
      <c r="M31" s="70">
        <f>EXP(-'GHG Model - Non-Forest Residues'!$D$7*(L31-0.5))</f>
        <v>0.13397168281703667</v>
      </c>
      <c r="N31" s="71" t="e">
        <f t="shared" si="11"/>
        <v>#VALUE!</v>
      </c>
      <c r="O31" s="168" t="e">
        <f t="shared" si="5"/>
        <v>#VALUE!</v>
      </c>
      <c r="Q31" s="58">
        <v>15</v>
      </c>
      <c r="R31" s="70">
        <f>EXP(-'GHG Model - Non-Forest Residues'!$D$7*(Q31-0.5))</f>
        <v>0.13397168281703667</v>
      </c>
      <c r="S31" s="71" t="e">
        <f t="shared" si="6"/>
        <v>#VALUE!</v>
      </c>
      <c r="T31" s="169" t="e">
        <f t="shared" si="7"/>
        <v>#VALUE!</v>
      </c>
      <c r="V31" s="58">
        <v>15</v>
      </c>
      <c r="W31" s="70">
        <f>EXP(-'GHG Model - Non-Forest Residues'!$D$7*(V31-0.5))</f>
        <v>0.13397168281703667</v>
      </c>
      <c r="X31" s="71" t="e">
        <f t="shared" si="8"/>
        <v>#VALUE!</v>
      </c>
      <c r="Y31" s="168" t="e">
        <f t="shared" si="9"/>
        <v>#VALUE!</v>
      </c>
    </row>
    <row r="32" spans="2:25" x14ac:dyDescent="0.25">
      <c r="B32" s="58">
        <v>16</v>
      </c>
      <c r="C32" s="70">
        <f>EXP(-'GHG Model - Non-Forest Residues'!$D$7*(B32-0.5))</f>
        <v>0.11662912394210094</v>
      </c>
      <c r="D32" s="71" t="e">
        <f t="shared" si="2"/>
        <v>#VALUE!</v>
      </c>
      <c r="E32" s="168" t="e">
        <f t="shared" si="3"/>
        <v>#VALUE!</v>
      </c>
      <c r="G32" s="58">
        <v>16</v>
      </c>
      <c r="H32" s="70">
        <f>EXP(-'GHG Model - Non-Forest Residues'!$D$7*(G32-0.5))</f>
        <v>0.11662912394210094</v>
      </c>
      <c r="I32" s="71" t="e">
        <f t="shared" si="10"/>
        <v>#VALUE!</v>
      </c>
      <c r="J32" s="168" t="e">
        <f t="shared" si="4"/>
        <v>#VALUE!</v>
      </c>
      <c r="L32" s="58">
        <v>16</v>
      </c>
      <c r="M32" s="70">
        <f>EXP(-'GHG Model - Non-Forest Residues'!$D$7*(L32-0.5))</f>
        <v>0.11662912394210094</v>
      </c>
      <c r="N32" s="71" t="e">
        <f t="shared" si="11"/>
        <v>#VALUE!</v>
      </c>
      <c r="O32" s="168" t="e">
        <f t="shared" si="5"/>
        <v>#VALUE!</v>
      </c>
      <c r="Q32" s="58">
        <v>16</v>
      </c>
      <c r="R32" s="70">
        <f>EXP(-'GHG Model - Non-Forest Residues'!$D$7*(Q32-0.5))</f>
        <v>0.11662912394210094</v>
      </c>
      <c r="S32" s="71" t="e">
        <f t="shared" si="6"/>
        <v>#VALUE!</v>
      </c>
      <c r="T32" s="169" t="e">
        <f t="shared" si="7"/>
        <v>#VALUE!</v>
      </c>
      <c r="V32" s="58">
        <v>16</v>
      </c>
      <c r="W32" s="70">
        <f>EXP(-'GHG Model - Non-Forest Residues'!$D$7*(V32-0.5))</f>
        <v>0.11662912394210094</v>
      </c>
      <c r="X32" s="71" t="e">
        <f t="shared" si="8"/>
        <v>#VALUE!</v>
      </c>
      <c r="Y32" s="168" t="e">
        <f t="shared" si="9"/>
        <v>#VALUE!</v>
      </c>
    </row>
    <row r="33" spans="2:25" x14ac:dyDescent="0.25">
      <c r="B33" s="58">
        <v>17</v>
      </c>
      <c r="C33" s="70">
        <f>EXP(-'GHG Model - Non-Forest Residues'!$D$7*(B33-0.5))</f>
        <v>0.10153154954452946</v>
      </c>
      <c r="D33" s="71" t="e">
        <f t="shared" si="2"/>
        <v>#VALUE!</v>
      </c>
      <c r="E33" s="168" t="e">
        <f t="shared" si="3"/>
        <v>#VALUE!</v>
      </c>
      <c r="G33" s="58">
        <v>17</v>
      </c>
      <c r="H33" s="70">
        <f>EXP(-'GHG Model - Non-Forest Residues'!$D$7*(G33-0.5))</f>
        <v>0.10153154954452946</v>
      </c>
      <c r="I33" s="71" t="e">
        <f t="shared" si="10"/>
        <v>#VALUE!</v>
      </c>
      <c r="J33" s="168" t="e">
        <f t="shared" si="4"/>
        <v>#VALUE!</v>
      </c>
      <c r="L33" s="58">
        <v>17</v>
      </c>
      <c r="M33" s="70">
        <f>EXP(-'GHG Model - Non-Forest Residues'!$D$7*(L33-0.5))</f>
        <v>0.10153154954452946</v>
      </c>
      <c r="N33" s="71" t="e">
        <f t="shared" si="11"/>
        <v>#VALUE!</v>
      </c>
      <c r="O33" s="168" t="e">
        <f t="shared" si="5"/>
        <v>#VALUE!</v>
      </c>
      <c r="Q33" s="58">
        <v>17</v>
      </c>
      <c r="R33" s="70">
        <f>EXP(-'GHG Model - Non-Forest Residues'!$D$7*(Q33-0.5))</f>
        <v>0.10153154954452946</v>
      </c>
      <c r="S33" s="71" t="e">
        <f t="shared" si="6"/>
        <v>#VALUE!</v>
      </c>
      <c r="T33" s="169" t="e">
        <f t="shared" si="7"/>
        <v>#VALUE!</v>
      </c>
      <c r="V33" s="58">
        <v>17</v>
      </c>
      <c r="W33" s="70">
        <f>EXP(-'GHG Model - Non-Forest Residues'!$D$7*(V33-0.5))</f>
        <v>0.10153154954452946</v>
      </c>
      <c r="X33" s="71" t="e">
        <f t="shared" si="8"/>
        <v>#VALUE!</v>
      </c>
      <c r="Y33" s="168" t="e">
        <f t="shared" si="9"/>
        <v>#VALUE!</v>
      </c>
    </row>
    <row r="34" spans="2:25" x14ac:dyDescent="0.25">
      <c r="B34" s="58">
        <v>18</v>
      </c>
      <c r="C34" s="70">
        <f>EXP(-'GHG Model - Non-Forest Residues'!$D$7*(B34-0.5))</f>
        <v>8.8388347648318447E-2</v>
      </c>
      <c r="D34" s="71" t="e">
        <f t="shared" si="2"/>
        <v>#VALUE!</v>
      </c>
      <c r="E34" s="168" t="e">
        <f t="shared" si="3"/>
        <v>#VALUE!</v>
      </c>
      <c r="G34" s="58">
        <v>18</v>
      </c>
      <c r="H34" s="70">
        <f>EXP(-'GHG Model - Non-Forest Residues'!$D$7*(G34-0.5))</f>
        <v>8.8388347648318447E-2</v>
      </c>
      <c r="I34" s="71" t="e">
        <f t="shared" si="10"/>
        <v>#VALUE!</v>
      </c>
      <c r="J34" s="168" t="e">
        <f t="shared" si="4"/>
        <v>#VALUE!</v>
      </c>
      <c r="L34" s="58">
        <v>18</v>
      </c>
      <c r="M34" s="70">
        <f>EXP(-'GHG Model - Non-Forest Residues'!$D$7*(L34-0.5))</f>
        <v>8.8388347648318447E-2</v>
      </c>
      <c r="N34" s="71" t="e">
        <f t="shared" si="11"/>
        <v>#VALUE!</v>
      </c>
      <c r="O34" s="168" t="e">
        <f t="shared" si="5"/>
        <v>#VALUE!</v>
      </c>
      <c r="Q34" s="58">
        <v>18</v>
      </c>
      <c r="R34" s="70">
        <f>EXP(-'GHG Model - Non-Forest Residues'!$D$7*(Q34-0.5))</f>
        <v>8.8388347648318447E-2</v>
      </c>
      <c r="S34" s="71" t="e">
        <f t="shared" si="6"/>
        <v>#VALUE!</v>
      </c>
      <c r="T34" s="169" t="e">
        <f t="shared" si="7"/>
        <v>#VALUE!</v>
      </c>
      <c r="V34" s="58">
        <v>18</v>
      </c>
      <c r="W34" s="70">
        <f>EXP(-'GHG Model - Non-Forest Residues'!$D$7*(V34-0.5))</f>
        <v>8.8388347648318447E-2</v>
      </c>
      <c r="X34" s="71" t="e">
        <f t="shared" si="8"/>
        <v>#VALUE!</v>
      </c>
      <c r="Y34" s="168" t="e">
        <f t="shared" si="9"/>
        <v>#VALUE!</v>
      </c>
    </row>
    <row r="35" spans="2:25" x14ac:dyDescent="0.25">
      <c r="B35" s="58">
        <v>19</v>
      </c>
      <c r="C35" s="70">
        <f>EXP(-'GHG Model - Non-Forest Residues'!$D$7*(B35-0.5))</f>
        <v>7.6946525834057283E-2</v>
      </c>
      <c r="D35" s="71" t="e">
        <f t="shared" si="2"/>
        <v>#VALUE!</v>
      </c>
      <c r="E35" s="168" t="e">
        <f t="shared" si="3"/>
        <v>#VALUE!</v>
      </c>
      <c r="G35" s="58">
        <v>19</v>
      </c>
      <c r="H35" s="70">
        <f>EXP(-'GHG Model - Non-Forest Residues'!$D$7*(G35-0.5))</f>
        <v>7.6946525834057283E-2</v>
      </c>
      <c r="I35" s="71" t="e">
        <f t="shared" si="10"/>
        <v>#VALUE!</v>
      </c>
      <c r="J35" s="168" t="e">
        <f t="shared" si="4"/>
        <v>#VALUE!</v>
      </c>
      <c r="L35" s="58">
        <v>19</v>
      </c>
      <c r="M35" s="70">
        <f>EXP(-'GHG Model - Non-Forest Residues'!$D$7*(L35-0.5))</f>
        <v>7.6946525834057283E-2</v>
      </c>
      <c r="N35" s="71" t="e">
        <f t="shared" si="11"/>
        <v>#VALUE!</v>
      </c>
      <c r="O35" s="168" t="e">
        <f t="shared" si="5"/>
        <v>#VALUE!</v>
      </c>
      <c r="Q35" s="58">
        <v>19</v>
      </c>
      <c r="R35" s="70">
        <f>EXP(-'GHG Model - Non-Forest Residues'!$D$7*(Q35-0.5))</f>
        <v>7.6946525834057283E-2</v>
      </c>
      <c r="S35" s="71" t="e">
        <f t="shared" si="6"/>
        <v>#VALUE!</v>
      </c>
      <c r="T35" s="169" t="e">
        <f t="shared" si="7"/>
        <v>#VALUE!</v>
      </c>
      <c r="V35" s="58">
        <v>19</v>
      </c>
      <c r="W35" s="70">
        <f>EXP(-'GHG Model - Non-Forest Residues'!$D$7*(V35-0.5))</f>
        <v>7.6946525834057283E-2</v>
      </c>
      <c r="X35" s="71" t="e">
        <f t="shared" si="8"/>
        <v>#VALUE!</v>
      </c>
      <c r="Y35" s="168" t="e">
        <f t="shared" si="9"/>
        <v>#VALUE!</v>
      </c>
    </row>
    <row r="36" spans="2:25" x14ac:dyDescent="0.25">
      <c r="B36" s="58">
        <v>20</v>
      </c>
      <c r="C36" s="70">
        <f>EXP(-'GHG Model - Non-Forest Residues'!$D$7*(B36-0.5))</f>
        <v>6.6985841408518335E-2</v>
      </c>
      <c r="D36" s="71" t="e">
        <f t="shared" si="2"/>
        <v>#VALUE!</v>
      </c>
      <c r="E36" s="168" t="e">
        <f t="shared" si="3"/>
        <v>#VALUE!</v>
      </c>
      <c r="G36" s="58">
        <v>20</v>
      </c>
      <c r="H36" s="70">
        <f>EXP(-'GHG Model - Non-Forest Residues'!$D$7*(G36-0.5))</f>
        <v>6.6985841408518335E-2</v>
      </c>
      <c r="I36" s="71" t="e">
        <f t="shared" si="10"/>
        <v>#VALUE!</v>
      </c>
      <c r="J36" s="168" t="e">
        <f t="shared" si="4"/>
        <v>#VALUE!</v>
      </c>
      <c r="L36" s="58">
        <v>20</v>
      </c>
      <c r="M36" s="70">
        <f>EXP(-'GHG Model - Non-Forest Residues'!$D$7*(L36-0.5))</f>
        <v>6.6985841408518335E-2</v>
      </c>
      <c r="N36" s="71" t="e">
        <f t="shared" si="11"/>
        <v>#VALUE!</v>
      </c>
      <c r="O36" s="168" t="e">
        <f t="shared" si="5"/>
        <v>#VALUE!</v>
      </c>
      <c r="Q36" s="58">
        <v>20</v>
      </c>
      <c r="R36" s="70">
        <f>EXP(-'GHG Model - Non-Forest Residues'!$D$7*(Q36-0.5))</f>
        <v>6.6985841408518335E-2</v>
      </c>
      <c r="S36" s="71" t="e">
        <f t="shared" si="6"/>
        <v>#VALUE!</v>
      </c>
      <c r="T36" s="169" t="e">
        <f t="shared" si="7"/>
        <v>#VALUE!</v>
      </c>
      <c r="V36" s="58">
        <v>20</v>
      </c>
      <c r="W36" s="70">
        <f>EXP(-'GHG Model - Non-Forest Residues'!$D$7*(V36-0.5))</f>
        <v>6.6985841408518335E-2</v>
      </c>
      <c r="X36" s="71" t="e">
        <f t="shared" si="8"/>
        <v>#VALUE!</v>
      </c>
      <c r="Y36" s="168" t="e">
        <f t="shared" si="9"/>
        <v>#VALUE!</v>
      </c>
    </row>
  </sheetData>
  <sheetProtection algorithmName="SHA-512" hashValue="COd3J5VZ7vOGEbqD/SZyx4ZW6sKI8qPgAsQBjJ0Oi5qGgy/Oyke7sxw3Jfm+w+Q0hSI1+Ajz3i1/HAb/3Tjerg==" saltValue="bXZIyegp8yM3Ipruwp8J8A==" spinCount="100000" sheet="1" objects="1" scenarios="1"/>
  <pageMargins left="0.75" right="0.75" top="1" bottom="1" header="0.5" footer="0.5"/>
  <pageSetup orientation="portrait" horizontalDpi="4294967293"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B5ADA-5AF9-4FCF-B0C6-6138D32D2504}">
  <dimension ref="B2:Y36"/>
  <sheetViews>
    <sheetView workbookViewId="0"/>
  </sheetViews>
  <sheetFormatPr defaultColWidth="9.1796875" defaultRowHeight="12.5" x14ac:dyDescent="0.25"/>
  <cols>
    <col min="1" max="1" width="3.81640625" style="58" customWidth="1"/>
    <col min="2" max="3" width="9.1796875" style="58"/>
    <col min="4" max="6" width="9.453125" style="58" customWidth="1"/>
    <col min="7" max="19" width="9.1796875" style="58"/>
    <col min="20" max="20" width="18.453125" style="58" bestFit="1" customWidth="1"/>
    <col min="21" max="16384" width="9.1796875" style="58"/>
  </cols>
  <sheetData>
    <row r="2" spans="2:25" ht="13" x14ac:dyDescent="0.3">
      <c r="B2" s="57" t="s">
        <v>115</v>
      </c>
    </row>
    <row r="3" spans="2:25" ht="13" x14ac:dyDescent="0.3">
      <c r="B3" s="57" t="s">
        <v>200</v>
      </c>
    </row>
    <row r="5" spans="2:25" ht="13" x14ac:dyDescent="0.3">
      <c r="B5" s="57" t="s">
        <v>117</v>
      </c>
      <c r="D5" s="59"/>
    </row>
    <row r="6" spans="2:25" x14ac:dyDescent="0.25">
      <c r="C6" s="60" t="s">
        <v>118</v>
      </c>
      <c r="D6" s="61">
        <f>Parameters!C36</f>
        <v>7.3529338705882399</v>
      </c>
      <c r="E6" s="62" t="s">
        <v>119</v>
      </c>
    </row>
    <row r="7" spans="2:25" x14ac:dyDescent="0.25">
      <c r="C7" s="60" t="s">
        <v>120</v>
      </c>
      <c r="D7" s="63">
        <f>-LN(0.5)/D6</f>
        <v>9.4268110220946819E-2</v>
      </c>
    </row>
    <row r="8" spans="2:25" x14ac:dyDescent="0.25">
      <c r="C8" s="60"/>
      <c r="D8" s="63" t="s">
        <v>0</v>
      </c>
      <c r="G8" s="58" t="s">
        <v>1</v>
      </c>
      <c r="L8" s="58" t="s">
        <v>2</v>
      </c>
      <c r="Q8" s="58" t="s">
        <v>3</v>
      </c>
      <c r="V8" s="58" t="s">
        <v>110</v>
      </c>
    </row>
    <row r="9" spans="2:25" x14ac:dyDescent="0.25">
      <c r="C9" s="60" t="s">
        <v>121</v>
      </c>
      <c r="D9" s="64" t="str">
        <f>'GHG Analysis - Quarter 1'!$E$37</f>
        <v>-</v>
      </c>
      <c r="G9" s="64" t="str">
        <f>'GHG Analysis - Quarter 2'!$E$37</f>
        <v>-</v>
      </c>
      <c r="L9" s="64" t="str">
        <f>'GHG Analysis - Quarter 3'!$E$37</f>
        <v>-</v>
      </c>
      <c r="Q9" s="64" t="str">
        <f>'GHG Analysis - Quarter 4'!$E$37</f>
        <v>-</v>
      </c>
      <c r="V9" s="64" t="str">
        <f>'GHG Analysis - Annual'!$E$37</f>
        <v>-</v>
      </c>
    </row>
    <row r="10" spans="2:25" x14ac:dyDescent="0.25">
      <c r="C10" s="65" t="s">
        <v>122</v>
      </c>
      <c r="D10" s="58">
        <v>-1</v>
      </c>
      <c r="E10" s="66" t="s">
        <v>123</v>
      </c>
      <c r="G10" s="58">
        <v>-1</v>
      </c>
      <c r="L10" s="58">
        <v>-1</v>
      </c>
      <c r="Q10" s="58">
        <v>-1</v>
      </c>
      <c r="V10" s="58">
        <v>-1</v>
      </c>
    </row>
    <row r="11" spans="2:25" x14ac:dyDescent="0.25">
      <c r="C11" s="60" t="s">
        <v>124</v>
      </c>
      <c r="D11" s="67" t="e">
        <f>-D10/(D9-1)</f>
        <v>#VALUE!</v>
      </c>
      <c r="E11" s="66" t="s">
        <v>125</v>
      </c>
      <c r="G11" s="67" t="e">
        <f>-G10/(G9-1)</f>
        <v>#VALUE!</v>
      </c>
      <c r="L11" s="67" t="e">
        <f>-L10/(L9-1)</f>
        <v>#VALUE!</v>
      </c>
      <c r="Q11" s="67" t="e">
        <f>-Q10/(Q9-1)</f>
        <v>#VALUE!</v>
      </c>
      <c r="V11" s="67" t="e">
        <f>-V10/(V9-1)</f>
        <v>#VALUE!</v>
      </c>
    </row>
    <row r="12" spans="2:25" x14ac:dyDescent="0.25">
      <c r="C12" s="60"/>
      <c r="D12" s="67"/>
    </row>
    <row r="13" spans="2:25" x14ac:dyDescent="0.25">
      <c r="B13" s="58" t="s">
        <v>0</v>
      </c>
      <c r="C13" s="60"/>
      <c r="D13" s="67"/>
      <c r="G13" s="58" t="s">
        <v>1</v>
      </c>
      <c r="H13" s="60"/>
      <c r="I13" s="67"/>
      <c r="L13" s="58" t="s">
        <v>2</v>
      </c>
      <c r="M13" s="60"/>
      <c r="N13" s="67"/>
      <c r="Q13" s="58" t="s">
        <v>3</v>
      </c>
      <c r="R13" s="60"/>
      <c r="S13" s="67"/>
      <c r="V13" s="58" t="s">
        <v>110</v>
      </c>
      <c r="W13" s="60"/>
      <c r="X13" s="67"/>
    </row>
    <row r="14" spans="2:25" ht="13" x14ac:dyDescent="0.3">
      <c r="B14" s="57" t="s">
        <v>126</v>
      </c>
      <c r="G14" s="57" t="s">
        <v>126</v>
      </c>
      <c r="L14" s="57" t="s">
        <v>126</v>
      </c>
      <c r="Q14" s="57" t="s">
        <v>126</v>
      </c>
      <c r="V14" s="57" t="s">
        <v>126</v>
      </c>
    </row>
    <row r="16" spans="2:25" ht="25" x14ac:dyDescent="0.25">
      <c r="B16" s="68" t="s">
        <v>127</v>
      </c>
      <c r="C16" s="68" t="s">
        <v>128</v>
      </c>
      <c r="D16" s="69" t="s">
        <v>129</v>
      </c>
      <c r="E16" s="69" t="s">
        <v>130</v>
      </c>
      <c r="F16" s="69"/>
      <c r="G16" s="68" t="s">
        <v>127</v>
      </c>
      <c r="H16" s="68" t="s">
        <v>128</v>
      </c>
      <c r="I16" s="69" t="s">
        <v>129</v>
      </c>
      <c r="J16" s="69" t="s">
        <v>130</v>
      </c>
      <c r="L16" s="68" t="s">
        <v>127</v>
      </c>
      <c r="M16" s="68" t="s">
        <v>128</v>
      </c>
      <c r="N16" s="69" t="s">
        <v>129</v>
      </c>
      <c r="O16" s="69" t="s">
        <v>130</v>
      </c>
      <c r="Q16" s="68" t="s">
        <v>127</v>
      </c>
      <c r="R16" s="68" t="s">
        <v>128</v>
      </c>
      <c r="S16" s="69" t="s">
        <v>129</v>
      </c>
      <c r="T16" s="69" t="s">
        <v>130</v>
      </c>
      <c r="V16" s="68" t="s">
        <v>127</v>
      </c>
      <c r="W16" s="68" t="s">
        <v>128</v>
      </c>
      <c r="X16" s="69" t="s">
        <v>129</v>
      </c>
      <c r="Y16" s="69" t="s">
        <v>130</v>
      </c>
    </row>
    <row r="17" spans="2:25" x14ac:dyDescent="0.25">
      <c r="B17" s="58">
        <v>1</v>
      </c>
      <c r="C17" s="70">
        <f>EXP(-'GHG Model - Forest Salvage'!$D$7*(B17-0.5))</f>
        <v>0.9539595058713467</v>
      </c>
      <c r="D17" s="71" t="e">
        <f>-$D$11*(1-C17)</f>
        <v>#VALUE!</v>
      </c>
      <c r="E17" s="168" t="e">
        <f>$D$11+D17</f>
        <v>#VALUE!</v>
      </c>
      <c r="G17" s="58">
        <v>1</v>
      </c>
      <c r="H17" s="70">
        <f>EXP(-'GHG Model - Forest Salvage'!$D$7*(G17-0.5))</f>
        <v>0.9539595058713467</v>
      </c>
      <c r="I17" s="71" t="e">
        <f t="shared" ref="I17:I36" si="0">-$G$11*(1-H17)</f>
        <v>#VALUE!</v>
      </c>
      <c r="J17" s="168" t="e">
        <f>$G$11+I17</f>
        <v>#VALUE!</v>
      </c>
      <c r="L17" s="58">
        <v>1</v>
      </c>
      <c r="M17" s="70">
        <f>EXP(-'GHG Model - Forest Salvage'!$D$7*(L17-0.5))</f>
        <v>0.9539595058713467</v>
      </c>
      <c r="N17" s="71" t="e">
        <f t="shared" ref="N17:N36" si="1">-$L$11*(1-M17)</f>
        <v>#VALUE!</v>
      </c>
      <c r="O17" s="168" t="e">
        <f>$L$11+N17</f>
        <v>#VALUE!</v>
      </c>
      <c r="Q17" s="58">
        <v>1</v>
      </c>
      <c r="R17" s="70">
        <f>EXP(-'GHG Model - Forest Salvage'!$D$7*(Q17-0.5))</f>
        <v>0.9539595058713467</v>
      </c>
      <c r="S17" s="71" t="e">
        <f>-$Q$11*(1-R17)</f>
        <v>#VALUE!</v>
      </c>
      <c r="T17" s="169" t="e">
        <f>$Q$11+S17</f>
        <v>#VALUE!</v>
      </c>
      <c r="V17" s="58">
        <v>1</v>
      </c>
      <c r="W17" s="70">
        <f>EXP(-'GHG Model - Forest Salvage'!$D$7*(V17-0.5))</f>
        <v>0.9539595058713467</v>
      </c>
      <c r="X17" s="71" t="e">
        <f>-$V$11*(1-W17)</f>
        <v>#VALUE!</v>
      </c>
      <c r="Y17" s="168" t="e">
        <f>$V$11+X17</f>
        <v>#VALUE!</v>
      </c>
    </row>
    <row r="18" spans="2:25" x14ac:dyDescent="0.25">
      <c r="B18" s="58">
        <v>2</v>
      </c>
      <c r="C18" s="70">
        <f>EXP(-'GHG Model - Forest Salvage'!$D$7*(B18-0.5))</f>
        <v>0.86814010562978772</v>
      </c>
      <c r="D18" s="71" t="e">
        <f t="shared" ref="D18:D36" si="2">-$D$11*(1-C18)</f>
        <v>#VALUE!</v>
      </c>
      <c r="E18" s="168" t="e">
        <f t="shared" ref="E18:E36" si="3">$D$11+D18</f>
        <v>#VALUE!</v>
      </c>
      <c r="G18" s="58">
        <v>2</v>
      </c>
      <c r="H18" s="70">
        <f>EXP(-'GHG Model - Forest Salvage'!$D$7*(G18-0.5))</f>
        <v>0.86814010562978772</v>
      </c>
      <c r="I18" s="71" t="e">
        <f t="shared" si="0"/>
        <v>#VALUE!</v>
      </c>
      <c r="J18" s="168" t="e">
        <f t="shared" ref="J18:J36" si="4">$G$11+I18</f>
        <v>#VALUE!</v>
      </c>
      <c r="L18" s="58">
        <v>2</v>
      </c>
      <c r="M18" s="70">
        <f>EXP(-'GHG Model - Forest Salvage'!$D$7*(L18-0.5))</f>
        <v>0.86814010562978772</v>
      </c>
      <c r="N18" s="71" t="e">
        <f t="shared" si="1"/>
        <v>#VALUE!</v>
      </c>
      <c r="O18" s="168" t="e">
        <f t="shared" ref="O18:O36" si="5">$L$11+N18</f>
        <v>#VALUE!</v>
      </c>
      <c r="Q18" s="58">
        <v>2</v>
      </c>
      <c r="R18" s="70">
        <f>EXP(-'GHG Model - Forest Salvage'!$D$7*(Q18-0.5))</f>
        <v>0.86814010562978772</v>
      </c>
      <c r="S18" s="71" t="e">
        <f t="shared" ref="S18:S36" si="6">-$Q$11*(1-R18)</f>
        <v>#VALUE!</v>
      </c>
      <c r="T18" s="169" t="e">
        <f t="shared" ref="T18:T36" si="7">$Q$11+S18</f>
        <v>#VALUE!</v>
      </c>
      <c r="V18" s="58">
        <v>2</v>
      </c>
      <c r="W18" s="70">
        <f>EXP(-'GHG Model - Forest Salvage'!$D$7*(V18-0.5))</f>
        <v>0.86814010562978772</v>
      </c>
      <c r="X18" s="71" t="e">
        <f t="shared" ref="X18:X36" si="8">-$V$11*(1-W18)</f>
        <v>#VALUE!</v>
      </c>
      <c r="Y18" s="168" t="e">
        <f t="shared" ref="Y18:Y36" si="9">$V$11+X18</f>
        <v>#VALUE!</v>
      </c>
    </row>
    <row r="19" spans="2:25" x14ac:dyDescent="0.25">
      <c r="B19" s="58">
        <v>3</v>
      </c>
      <c r="C19" s="70">
        <f>EXP(-'GHG Model - Forest Salvage'!$D$7*(B19-0.5))</f>
        <v>0.79004112686575645</v>
      </c>
      <c r="D19" s="71" t="e">
        <f t="shared" si="2"/>
        <v>#VALUE!</v>
      </c>
      <c r="E19" s="168" t="e">
        <f t="shared" si="3"/>
        <v>#VALUE!</v>
      </c>
      <c r="G19" s="58">
        <v>3</v>
      </c>
      <c r="H19" s="70">
        <f>EXP(-'GHG Model - Forest Salvage'!$D$7*(G19-0.5))</f>
        <v>0.79004112686575645</v>
      </c>
      <c r="I19" s="71" t="e">
        <f t="shared" si="0"/>
        <v>#VALUE!</v>
      </c>
      <c r="J19" s="168" t="e">
        <f t="shared" si="4"/>
        <v>#VALUE!</v>
      </c>
      <c r="L19" s="58">
        <v>3</v>
      </c>
      <c r="M19" s="70">
        <f>EXP(-'GHG Model - Forest Salvage'!$D$7*(L19-0.5))</f>
        <v>0.79004112686575645</v>
      </c>
      <c r="N19" s="71" t="e">
        <f t="shared" si="1"/>
        <v>#VALUE!</v>
      </c>
      <c r="O19" s="168" t="e">
        <f t="shared" si="5"/>
        <v>#VALUE!</v>
      </c>
      <c r="Q19" s="58">
        <v>3</v>
      </c>
      <c r="R19" s="70">
        <f>EXP(-'GHG Model - Forest Salvage'!$D$7*(Q19-0.5))</f>
        <v>0.79004112686575645</v>
      </c>
      <c r="S19" s="71" t="e">
        <f t="shared" si="6"/>
        <v>#VALUE!</v>
      </c>
      <c r="T19" s="169" t="e">
        <f t="shared" si="7"/>
        <v>#VALUE!</v>
      </c>
      <c r="V19" s="58">
        <v>3</v>
      </c>
      <c r="W19" s="70">
        <f>EXP(-'GHG Model - Forest Salvage'!$D$7*(V19-0.5))</f>
        <v>0.79004112686575645</v>
      </c>
      <c r="X19" s="71" t="e">
        <f t="shared" si="8"/>
        <v>#VALUE!</v>
      </c>
      <c r="Y19" s="168" t="e">
        <f t="shared" si="9"/>
        <v>#VALUE!</v>
      </c>
    </row>
    <row r="20" spans="2:25" x14ac:dyDescent="0.25">
      <c r="B20" s="58">
        <v>4</v>
      </c>
      <c r="C20" s="70">
        <f>EXP(-'GHG Model - Forest Salvage'!$D$7*(B20-0.5))</f>
        <v>0.71896803072646565</v>
      </c>
      <c r="D20" s="71" t="e">
        <f t="shared" si="2"/>
        <v>#VALUE!</v>
      </c>
      <c r="E20" s="168" t="e">
        <f t="shared" si="3"/>
        <v>#VALUE!</v>
      </c>
      <c r="G20" s="58">
        <v>4</v>
      </c>
      <c r="H20" s="70">
        <f>EXP(-'GHG Model - Forest Salvage'!$D$7*(G20-0.5))</f>
        <v>0.71896803072646565</v>
      </c>
      <c r="I20" s="71" t="e">
        <f t="shared" si="0"/>
        <v>#VALUE!</v>
      </c>
      <c r="J20" s="168" t="e">
        <f t="shared" si="4"/>
        <v>#VALUE!</v>
      </c>
      <c r="L20" s="58">
        <v>4</v>
      </c>
      <c r="M20" s="70">
        <f>EXP(-'GHG Model - Forest Salvage'!$D$7*(L20-0.5))</f>
        <v>0.71896803072646565</v>
      </c>
      <c r="N20" s="71" t="e">
        <f t="shared" si="1"/>
        <v>#VALUE!</v>
      </c>
      <c r="O20" s="168" t="e">
        <f t="shared" si="5"/>
        <v>#VALUE!</v>
      </c>
      <c r="Q20" s="58">
        <v>4</v>
      </c>
      <c r="R20" s="70">
        <f>EXP(-'GHG Model - Forest Salvage'!$D$7*(Q20-0.5))</f>
        <v>0.71896803072646565</v>
      </c>
      <c r="S20" s="71" t="e">
        <f t="shared" si="6"/>
        <v>#VALUE!</v>
      </c>
      <c r="T20" s="169" t="e">
        <f t="shared" si="7"/>
        <v>#VALUE!</v>
      </c>
      <c r="V20" s="58">
        <v>4</v>
      </c>
      <c r="W20" s="70">
        <f>EXP(-'GHG Model - Forest Salvage'!$D$7*(V20-0.5))</f>
        <v>0.71896803072646565</v>
      </c>
      <c r="X20" s="71" t="e">
        <f t="shared" si="8"/>
        <v>#VALUE!</v>
      </c>
      <c r="Y20" s="168" t="e">
        <f t="shared" si="9"/>
        <v>#VALUE!</v>
      </c>
    </row>
    <row r="21" spans="2:25" x14ac:dyDescent="0.25">
      <c r="B21" s="58">
        <v>5</v>
      </c>
      <c r="C21" s="70">
        <f>EXP(-'GHG Model - Forest Salvage'!$D$7*(B21-0.5))</f>
        <v>0.6542887599502476</v>
      </c>
      <c r="D21" s="71" t="e">
        <f t="shared" si="2"/>
        <v>#VALUE!</v>
      </c>
      <c r="E21" s="168" t="e">
        <f t="shared" si="3"/>
        <v>#VALUE!</v>
      </c>
      <c r="G21" s="58">
        <v>5</v>
      </c>
      <c r="H21" s="70">
        <f>EXP(-'GHG Model - Forest Salvage'!$D$7*(G21-0.5))</f>
        <v>0.6542887599502476</v>
      </c>
      <c r="I21" s="71" t="e">
        <f t="shared" si="0"/>
        <v>#VALUE!</v>
      </c>
      <c r="J21" s="168" t="e">
        <f t="shared" si="4"/>
        <v>#VALUE!</v>
      </c>
      <c r="L21" s="58">
        <v>5</v>
      </c>
      <c r="M21" s="70">
        <f>EXP(-'GHG Model - Forest Salvage'!$D$7*(L21-0.5))</f>
        <v>0.6542887599502476</v>
      </c>
      <c r="N21" s="71" t="e">
        <f t="shared" si="1"/>
        <v>#VALUE!</v>
      </c>
      <c r="O21" s="168" t="e">
        <f t="shared" si="5"/>
        <v>#VALUE!</v>
      </c>
      <c r="Q21" s="58">
        <v>5</v>
      </c>
      <c r="R21" s="70">
        <f>EXP(-'GHG Model - Forest Salvage'!$D$7*(Q21-0.5))</f>
        <v>0.6542887599502476</v>
      </c>
      <c r="S21" s="71" t="e">
        <f t="shared" si="6"/>
        <v>#VALUE!</v>
      </c>
      <c r="T21" s="169" t="e">
        <f t="shared" si="7"/>
        <v>#VALUE!</v>
      </c>
      <c r="V21" s="58">
        <v>5</v>
      </c>
      <c r="W21" s="70">
        <f>EXP(-'GHG Model - Forest Salvage'!$D$7*(V21-0.5))</f>
        <v>0.6542887599502476</v>
      </c>
      <c r="X21" s="71" t="e">
        <f t="shared" si="8"/>
        <v>#VALUE!</v>
      </c>
      <c r="Y21" s="168" t="e">
        <f t="shared" si="9"/>
        <v>#VALUE!</v>
      </c>
    </row>
    <row r="22" spans="2:25" x14ac:dyDescent="0.25">
      <c r="B22" s="58">
        <v>6</v>
      </c>
      <c r="C22" s="70">
        <f>EXP(-'GHG Model - Forest Salvage'!$D$7*(B22-0.5))</f>
        <v>0.59542811794381822</v>
      </c>
      <c r="D22" s="71" t="e">
        <f t="shared" si="2"/>
        <v>#VALUE!</v>
      </c>
      <c r="E22" s="168" t="e">
        <f t="shared" si="3"/>
        <v>#VALUE!</v>
      </c>
      <c r="G22" s="58">
        <v>6</v>
      </c>
      <c r="H22" s="70">
        <f>EXP(-'GHG Model - Forest Salvage'!$D$7*(G22-0.5))</f>
        <v>0.59542811794381822</v>
      </c>
      <c r="I22" s="71" t="e">
        <f t="shared" si="0"/>
        <v>#VALUE!</v>
      </c>
      <c r="J22" s="168" t="e">
        <f t="shared" si="4"/>
        <v>#VALUE!</v>
      </c>
      <c r="L22" s="58">
        <v>6</v>
      </c>
      <c r="M22" s="70">
        <f>EXP(-'GHG Model - Forest Salvage'!$D$7*(L22-0.5))</f>
        <v>0.59542811794381822</v>
      </c>
      <c r="N22" s="71" t="e">
        <f t="shared" si="1"/>
        <v>#VALUE!</v>
      </c>
      <c r="O22" s="168" t="e">
        <f t="shared" si="5"/>
        <v>#VALUE!</v>
      </c>
      <c r="Q22" s="58">
        <v>6</v>
      </c>
      <c r="R22" s="70">
        <f>EXP(-'GHG Model - Forest Salvage'!$D$7*(Q22-0.5))</f>
        <v>0.59542811794381822</v>
      </c>
      <c r="S22" s="71" t="e">
        <f t="shared" si="6"/>
        <v>#VALUE!</v>
      </c>
      <c r="T22" s="169" t="e">
        <f t="shared" si="7"/>
        <v>#VALUE!</v>
      </c>
      <c r="V22" s="58">
        <v>6</v>
      </c>
      <c r="W22" s="70">
        <f>EXP(-'GHG Model - Forest Salvage'!$D$7*(V22-0.5))</f>
        <v>0.59542811794381822</v>
      </c>
      <c r="X22" s="71" t="e">
        <f t="shared" si="8"/>
        <v>#VALUE!</v>
      </c>
      <c r="Y22" s="168" t="e">
        <f t="shared" si="9"/>
        <v>#VALUE!</v>
      </c>
    </row>
    <row r="23" spans="2:25" x14ac:dyDescent="0.25">
      <c r="B23" s="58">
        <v>7</v>
      </c>
      <c r="C23" s="70">
        <f>EXP(-'GHG Model - Forest Salvage'!$D$7*(B23-0.5))</f>
        <v>0.54186265352483898</v>
      </c>
      <c r="D23" s="71" t="e">
        <f t="shared" si="2"/>
        <v>#VALUE!</v>
      </c>
      <c r="E23" s="168" t="e">
        <f t="shared" si="3"/>
        <v>#VALUE!</v>
      </c>
      <c r="G23" s="58">
        <v>7</v>
      </c>
      <c r="H23" s="70">
        <f>EXP(-'GHG Model - Forest Salvage'!$D$7*(G23-0.5))</f>
        <v>0.54186265352483898</v>
      </c>
      <c r="I23" s="71" t="e">
        <f t="shared" si="0"/>
        <v>#VALUE!</v>
      </c>
      <c r="J23" s="168" t="e">
        <f t="shared" si="4"/>
        <v>#VALUE!</v>
      </c>
      <c r="L23" s="58">
        <v>7</v>
      </c>
      <c r="M23" s="70">
        <f>EXP(-'GHG Model - Forest Salvage'!$D$7*(L23-0.5))</f>
        <v>0.54186265352483898</v>
      </c>
      <c r="N23" s="71" t="e">
        <f t="shared" si="1"/>
        <v>#VALUE!</v>
      </c>
      <c r="O23" s="168" t="e">
        <f t="shared" si="5"/>
        <v>#VALUE!</v>
      </c>
      <c r="Q23" s="58">
        <v>7</v>
      </c>
      <c r="R23" s="70">
        <f>EXP(-'GHG Model - Forest Salvage'!$D$7*(Q23-0.5))</f>
        <v>0.54186265352483898</v>
      </c>
      <c r="S23" s="71" t="e">
        <f t="shared" si="6"/>
        <v>#VALUE!</v>
      </c>
      <c r="T23" s="169" t="e">
        <f t="shared" si="7"/>
        <v>#VALUE!</v>
      </c>
      <c r="V23" s="58">
        <v>7</v>
      </c>
      <c r="W23" s="70">
        <f>EXP(-'GHG Model - Forest Salvage'!$D$7*(V23-0.5))</f>
        <v>0.54186265352483898</v>
      </c>
      <c r="X23" s="71" t="e">
        <f t="shared" si="8"/>
        <v>#VALUE!</v>
      </c>
      <c r="Y23" s="168" t="e">
        <f t="shared" si="9"/>
        <v>#VALUE!</v>
      </c>
    </row>
    <row r="24" spans="2:25" x14ac:dyDescent="0.25">
      <c r="B24" s="58">
        <v>8</v>
      </c>
      <c r="C24" s="70">
        <f>EXP(-'GHG Model - Forest Salvage'!$D$7*(B24-0.5))</f>
        <v>0.49311600583948867</v>
      </c>
      <c r="D24" s="71" t="e">
        <f t="shared" si="2"/>
        <v>#VALUE!</v>
      </c>
      <c r="E24" s="168" t="e">
        <f t="shared" si="3"/>
        <v>#VALUE!</v>
      </c>
      <c r="G24" s="58">
        <v>8</v>
      </c>
      <c r="H24" s="70">
        <f>EXP(-'GHG Model - Forest Salvage'!$D$7*(G24-0.5))</f>
        <v>0.49311600583948867</v>
      </c>
      <c r="I24" s="71" t="e">
        <f t="shared" si="0"/>
        <v>#VALUE!</v>
      </c>
      <c r="J24" s="168" t="e">
        <f>$G$11+I24</f>
        <v>#VALUE!</v>
      </c>
      <c r="L24" s="58">
        <v>8</v>
      </c>
      <c r="M24" s="70">
        <f>EXP(-'GHG Model - Forest Salvage'!$D$7*(L24-0.5))</f>
        <v>0.49311600583948867</v>
      </c>
      <c r="N24" s="71" t="e">
        <f t="shared" si="1"/>
        <v>#VALUE!</v>
      </c>
      <c r="O24" s="168" t="e">
        <f t="shared" si="5"/>
        <v>#VALUE!</v>
      </c>
      <c r="Q24" s="58">
        <v>8</v>
      </c>
      <c r="R24" s="70">
        <f>EXP(-'GHG Model - Forest Salvage'!$D$7*(Q24-0.5))</f>
        <v>0.49311600583948867</v>
      </c>
      <c r="S24" s="71" t="e">
        <f t="shared" si="6"/>
        <v>#VALUE!</v>
      </c>
      <c r="T24" s="169" t="e">
        <f t="shared" si="7"/>
        <v>#VALUE!</v>
      </c>
      <c r="V24" s="58">
        <v>8</v>
      </c>
      <c r="W24" s="70">
        <f>EXP(-'GHG Model - Forest Salvage'!$D$7*(V24-0.5))</f>
        <v>0.49311600583948867</v>
      </c>
      <c r="X24" s="71" t="e">
        <f t="shared" si="8"/>
        <v>#VALUE!</v>
      </c>
      <c r="Y24" s="168" t="e">
        <f t="shared" si="9"/>
        <v>#VALUE!</v>
      </c>
    </row>
    <row r="25" spans="2:25" x14ac:dyDescent="0.25">
      <c r="B25" s="58">
        <v>9</v>
      </c>
      <c r="C25" s="70">
        <f>EXP(-'GHG Model - Forest Salvage'!$D$7*(B25-0.5))</f>
        <v>0.44875466805712244</v>
      </c>
      <c r="D25" s="71" t="e">
        <f t="shared" si="2"/>
        <v>#VALUE!</v>
      </c>
      <c r="E25" s="168" t="e">
        <f t="shared" si="3"/>
        <v>#VALUE!</v>
      </c>
      <c r="G25" s="58">
        <v>9</v>
      </c>
      <c r="H25" s="70">
        <f>EXP(-'GHG Model - Forest Salvage'!$D$7*(G25-0.5))</f>
        <v>0.44875466805712244</v>
      </c>
      <c r="I25" s="71" t="e">
        <f t="shared" si="0"/>
        <v>#VALUE!</v>
      </c>
      <c r="J25" s="168" t="e">
        <f>$G$11+I25</f>
        <v>#VALUE!</v>
      </c>
      <c r="L25" s="58">
        <v>9</v>
      </c>
      <c r="M25" s="70">
        <f>EXP(-'GHG Model - Forest Salvage'!$D$7*(L25-0.5))</f>
        <v>0.44875466805712244</v>
      </c>
      <c r="N25" s="71" t="e">
        <f t="shared" si="1"/>
        <v>#VALUE!</v>
      </c>
      <c r="O25" s="168" t="e">
        <f t="shared" si="5"/>
        <v>#VALUE!</v>
      </c>
      <c r="Q25" s="58">
        <v>9</v>
      </c>
      <c r="R25" s="70">
        <f>EXP(-'GHG Model - Forest Salvage'!$D$7*(Q25-0.5))</f>
        <v>0.44875466805712244</v>
      </c>
      <c r="S25" s="71" t="e">
        <f t="shared" si="6"/>
        <v>#VALUE!</v>
      </c>
      <c r="T25" s="169" t="e">
        <f t="shared" si="7"/>
        <v>#VALUE!</v>
      </c>
      <c r="V25" s="58">
        <v>9</v>
      </c>
      <c r="W25" s="70">
        <f>EXP(-'GHG Model - Forest Salvage'!$D$7*(V25-0.5))</f>
        <v>0.44875466805712244</v>
      </c>
      <c r="X25" s="71" t="e">
        <f t="shared" si="8"/>
        <v>#VALUE!</v>
      </c>
      <c r="Y25" s="168" t="e">
        <f t="shared" si="9"/>
        <v>#VALUE!</v>
      </c>
    </row>
    <row r="26" spans="2:25" x14ac:dyDescent="0.25">
      <c r="B26" s="58">
        <v>10</v>
      </c>
      <c r="C26" s="70">
        <f>EXP(-'GHG Model - Forest Salvage'!$D$7*(B26-0.5))</f>
        <v>0.40838413216830038</v>
      </c>
      <c r="D26" s="71" t="e">
        <f t="shared" si="2"/>
        <v>#VALUE!</v>
      </c>
      <c r="E26" s="168" t="e">
        <f t="shared" si="3"/>
        <v>#VALUE!</v>
      </c>
      <c r="G26" s="58">
        <v>10</v>
      </c>
      <c r="H26" s="70">
        <f>EXP(-'GHG Model - Forest Salvage'!$D$7*(G26-0.5))</f>
        <v>0.40838413216830038</v>
      </c>
      <c r="I26" s="71" t="e">
        <f t="shared" si="0"/>
        <v>#VALUE!</v>
      </c>
      <c r="J26" s="168" t="e">
        <f>$G$11+I26</f>
        <v>#VALUE!</v>
      </c>
      <c r="L26" s="58">
        <v>10</v>
      </c>
      <c r="M26" s="70">
        <f>EXP(-'GHG Model - Forest Salvage'!$D$7*(L26-0.5))</f>
        <v>0.40838413216830038</v>
      </c>
      <c r="N26" s="71" t="e">
        <f t="shared" si="1"/>
        <v>#VALUE!</v>
      </c>
      <c r="O26" s="168" t="e">
        <f>$L$11+N26</f>
        <v>#VALUE!</v>
      </c>
      <c r="Q26" s="58">
        <v>10</v>
      </c>
      <c r="R26" s="70">
        <f>EXP(-'GHG Model - Forest Salvage'!$D$7*(Q26-0.5))</f>
        <v>0.40838413216830038</v>
      </c>
      <c r="S26" s="71" t="e">
        <f t="shared" si="6"/>
        <v>#VALUE!</v>
      </c>
      <c r="T26" s="169" t="e">
        <f t="shared" si="7"/>
        <v>#VALUE!</v>
      </c>
      <c r="V26" s="58">
        <v>10</v>
      </c>
      <c r="W26" s="70">
        <f>EXP(-'GHG Model - Forest Salvage'!$D$7*(V26-0.5))</f>
        <v>0.40838413216830038</v>
      </c>
      <c r="X26" s="71" t="e">
        <f t="shared" si="8"/>
        <v>#VALUE!</v>
      </c>
      <c r="Y26" s="168" t="e">
        <f t="shared" si="9"/>
        <v>#VALUE!</v>
      </c>
    </row>
    <row r="27" spans="2:25" x14ac:dyDescent="0.25">
      <c r="B27" s="58">
        <v>11</v>
      </c>
      <c r="C27" s="70">
        <f>EXP(-'GHG Model - Forest Salvage'!$D$7*(B27-0.5))</f>
        <v>0.37164538060164887</v>
      </c>
      <c r="D27" s="71" t="e">
        <f t="shared" si="2"/>
        <v>#VALUE!</v>
      </c>
      <c r="E27" s="168" t="e">
        <f t="shared" si="3"/>
        <v>#VALUE!</v>
      </c>
      <c r="G27" s="58">
        <v>11</v>
      </c>
      <c r="H27" s="70">
        <f>EXP(-'GHG Model - Forest Salvage'!$D$7*(G27-0.5))</f>
        <v>0.37164538060164887</v>
      </c>
      <c r="I27" s="71" t="e">
        <f t="shared" si="0"/>
        <v>#VALUE!</v>
      </c>
      <c r="J27" s="168" t="e">
        <f>$G$11+I27</f>
        <v>#VALUE!</v>
      </c>
      <c r="L27" s="58">
        <v>11</v>
      </c>
      <c r="M27" s="70">
        <f>EXP(-'GHG Model - Forest Salvage'!$D$7*(L27-0.5))</f>
        <v>0.37164538060164887</v>
      </c>
      <c r="N27" s="71" t="e">
        <f t="shared" si="1"/>
        <v>#VALUE!</v>
      </c>
      <c r="O27" s="168" t="e">
        <f>$L$11+N27</f>
        <v>#VALUE!</v>
      </c>
      <c r="Q27" s="58">
        <v>11</v>
      </c>
      <c r="R27" s="70">
        <f>EXP(-'GHG Model - Forest Salvage'!$D$7*(Q27-0.5))</f>
        <v>0.37164538060164887</v>
      </c>
      <c r="S27" s="71" t="e">
        <f t="shared" si="6"/>
        <v>#VALUE!</v>
      </c>
      <c r="T27" s="169" t="e">
        <f t="shared" si="7"/>
        <v>#VALUE!</v>
      </c>
      <c r="V27" s="58">
        <v>11</v>
      </c>
      <c r="W27" s="70">
        <f>EXP(-'GHG Model - Forest Salvage'!$D$7*(V27-0.5))</f>
        <v>0.37164538060164887</v>
      </c>
      <c r="X27" s="71" t="e">
        <f t="shared" si="8"/>
        <v>#VALUE!</v>
      </c>
      <c r="Y27" s="168" t="e">
        <f t="shared" si="9"/>
        <v>#VALUE!</v>
      </c>
    </row>
    <row r="28" spans="2:25" x14ac:dyDescent="0.25">
      <c r="B28" s="58">
        <v>12</v>
      </c>
      <c r="C28" s="70">
        <f>EXP(-'GHG Model - Forest Salvage'!$D$7*(B28-0.5))</f>
        <v>0.33821169345929253</v>
      </c>
      <c r="D28" s="71" t="e">
        <f>-$D$11*(1-C28)</f>
        <v>#VALUE!</v>
      </c>
      <c r="E28" s="168" t="e">
        <f t="shared" si="3"/>
        <v>#VALUE!</v>
      </c>
      <c r="G28" s="58">
        <v>12</v>
      </c>
      <c r="H28" s="70">
        <f>EXP(-'GHG Model - Forest Salvage'!$D$7*(G28-0.5))</f>
        <v>0.33821169345929253</v>
      </c>
      <c r="I28" s="71" t="e">
        <f t="shared" si="0"/>
        <v>#VALUE!</v>
      </c>
      <c r="J28" s="168" t="e">
        <f t="shared" si="4"/>
        <v>#VALUE!</v>
      </c>
      <c r="L28" s="58">
        <v>12</v>
      </c>
      <c r="M28" s="70">
        <f>EXP(-'GHG Model - Forest Salvage'!$D$7*(L28-0.5))</f>
        <v>0.33821169345929253</v>
      </c>
      <c r="N28" s="71" t="e">
        <f t="shared" si="1"/>
        <v>#VALUE!</v>
      </c>
      <c r="O28" s="168" t="e">
        <f>$L$11+N28</f>
        <v>#VALUE!</v>
      </c>
      <c r="Q28" s="58">
        <v>12</v>
      </c>
      <c r="R28" s="70">
        <f>EXP(-'GHG Model - Forest Salvage'!$D$7*(Q28-0.5))</f>
        <v>0.33821169345929253</v>
      </c>
      <c r="S28" s="71" t="e">
        <f t="shared" si="6"/>
        <v>#VALUE!</v>
      </c>
      <c r="T28" s="169" t="e">
        <f t="shared" si="7"/>
        <v>#VALUE!</v>
      </c>
      <c r="V28" s="58">
        <v>12</v>
      </c>
      <c r="W28" s="70">
        <f>EXP(-'GHG Model - Forest Salvage'!$D$7*(V28-0.5))</f>
        <v>0.33821169345929253</v>
      </c>
      <c r="X28" s="71" t="e">
        <f t="shared" si="8"/>
        <v>#VALUE!</v>
      </c>
      <c r="Y28" s="168" t="e">
        <f t="shared" si="9"/>
        <v>#VALUE!</v>
      </c>
    </row>
    <row r="29" spans="2:25" x14ac:dyDescent="0.25">
      <c r="B29" s="58">
        <v>13</v>
      </c>
      <c r="C29" s="70">
        <f>EXP(-'GHG Model - Forest Salvage'!$D$7*(B29-0.5))</f>
        <v>0.30778574297741446</v>
      </c>
      <c r="D29" s="71" t="e">
        <f>-$D$11*(1-C29)</f>
        <v>#VALUE!</v>
      </c>
      <c r="E29" s="168" t="e">
        <f t="shared" si="3"/>
        <v>#VALUE!</v>
      </c>
      <c r="G29" s="58">
        <v>13</v>
      </c>
      <c r="H29" s="70">
        <f>EXP(-'GHG Model - Forest Salvage'!$D$7*(G29-0.5))</f>
        <v>0.30778574297741446</v>
      </c>
      <c r="I29" s="71" t="e">
        <f t="shared" si="0"/>
        <v>#VALUE!</v>
      </c>
      <c r="J29" s="168" t="e">
        <f t="shared" si="4"/>
        <v>#VALUE!</v>
      </c>
      <c r="L29" s="58">
        <v>13</v>
      </c>
      <c r="M29" s="70">
        <f>EXP(-'GHG Model - Forest Salvage'!$D$7*(L29-0.5))</f>
        <v>0.30778574297741446</v>
      </c>
      <c r="N29" s="71" t="e">
        <f t="shared" si="1"/>
        <v>#VALUE!</v>
      </c>
      <c r="O29" s="168" t="e">
        <f>$L$11+N29</f>
        <v>#VALUE!</v>
      </c>
      <c r="Q29" s="58">
        <v>13</v>
      </c>
      <c r="R29" s="70">
        <f>EXP(-'GHG Model - Forest Salvage'!$D$7*(Q29-0.5))</f>
        <v>0.30778574297741446</v>
      </c>
      <c r="S29" s="71" t="e">
        <f t="shared" si="6"/>
        <v>#VALUE!</v>
      </c>
      <c r="T29" s="169" t="e">
        <f t="shared" si="7"/>
        <v>#VALUE!</v>
      </c>
      <c r="V29" s="58">
        <v>13</v>
      </c>
      <c r="W29" s="70">
        <f>EXP(-'GHG Model - Forest Salvage'!$D$7*(V29-0.5))</f>
        <v>0.30778574297741446</v>
      </c>
      <c r="X29" s="71" t="e">
        <f t="shared" si="8"/>
        <v>#VALUE!</v>
      </c>
      <c r="Y29" s="168" t="e">
        <f t="shared" si="9"/>
        <v>#VALUE!</v>
      </c>
    </row>
    <row r="30" spans="2:25" x14ac:dyDescent="0.25">
      <c r="B30" s="58">
        <v>14</v>
      </c>
      <c r="C30" s="70">
        <f>EXP(-'GHG Model - Forest Salvage'!$D$7*(B30-0.5))</f>
        <v>0.28009694937280771</v>
      </c>
      <c r="D30" s="71" t="e">
        <f>-$D$11*(1-C30)</f>
        <v>#VALUE!</v>
      </c>
      <c r="E30" s="168" t="e">
        <f t="shared" si="3"/>
        <v>#VALUE!</v>
      </c>
      <c r="G30" s="58">
        <v>14</v>
      </c>
      <c r="H30" s="70">
        <f>EXP(-'GHG Model - Forest Salvage'!$D$7*(G30-0.5))</f>
        <v>0.28009694937280771</v>
      </c>
      <c r="I30" s="71" t="e">
        <f t="shared" si="0"/>
        <v>#VALUE!</v>
      </c>
      <c r="J30" s="168" t="e">
        <f t="shared" si="4"/>
        <v>#VALUE!</v>
      </c>
      <c r="L30" s="58">
        <v>14</v>
      </c>
      <c r="M30" s="70">
        <f>EXP(-'GHG Model - Forest Salvage'!$D$7*(L30-0.5))</f>
        <v>0.28009694937280771</v>
      </c>
      <c r="N30" s="71" t="e">
        <f t="shared" si="1"/>
        <v>#VALUE!</v>
      </c>
      <c r="O30" s="168" t="e">
        <f>$L$11+N30</f>
        <v>#VALUE!</v>
      </c>
      <c r="Q30" s="58">
        <v>14</v>
      </c>
      <c r="R30" s="70">
        <f>EXP(-'GHG Model - Forest Salvage'!$D$7*(Q30-0.5))</f>
        <v>0.28009694937280771</v>
      </c>
      <c r="S30" s="71" t="e">
        <f t="shared" si="6"/>
        <v>#VALUE!</v>
      </c>
      <c r="T30" s="169" t="e">
        <f t="shared" si="7"/>
        <v>#VALUE!</v>
      </c>
      <c r="V30" s="58">
        <v>14</v>
      </c>
      <c r="W30" s="70">
        <f>EXP(-'GHG Model - Forest Salvage'!$D$7*(V30-0.5))</f>
        <v>0.28009694937280771</v>
      </c>
      <c r="X30" s="71" t="e">
        <f t="shared" si="8"/>
        <v>#VALUE!</v>
      </c>
      <c r="Y30" s="168" t="e">
        <f t="shared" si="9"/>
        <v>#VALUE!</v>
      </c>
    </row>
    <row r="31" spans="2:25" x14ac:dyDescent="0.25">
      <c r="B31" s="58">
        <v>15</v>
      </c>
      <c r="C31" s="70">
        <f>EXP(-'GHG Model - Forest Salvage'!$D$7*(B31-0.5))</f>
        <v>0.25489907456080657</v>
      </c>
      <c r="D31" s="71" t="e">
        <f>-$D$11*(1-C31)</f>
        <v>#VALUE!</v>
      </c>
      <c r="E31" s="168" t="e">
        <f t="shared" si="3"/>
        <v>#VALUE!</v>
      </c>
      <c r="G31" s="58">
        <v>15</v>
      </c>
      <c r="H31" s="70">
        <f>EXP(-'GHG Model - Forest Salvage'!$D$7*(G31-0.5))</f>
        <v>0.25489907456080657</v>
      </c>
      <c r="I31" s="71" t="e">
        <f t="shared" si="0"/>
        <v>#VALUE!</v>
      </c>
      <c r="J31" s="168" t="e">
        <f t="shared" si="4"/>
        <v>#VALUE!</v>
      </c>
      <c r="L31" s="58">
        <v>15</v>
      </c>
      <c r="M31" s="70">
        <f>EXP(-'GHG Model - Forest Salvage'!$D$7*(L31-0.5))</f>
        <v>0.25489907456080657</v>
      </c>
      <c r="N31" s="71" t="e">
        <f t="shared" si="1"/>
        <v>#VALUE!</v>
      </c>
      <c r="O31" s="168" t="e">
        <f t="shared" si="5"/>
        <v>#VALUE!</v>
      </c>
      <c r="Q31" s="58">
        <v>15</v>
      </c>
      <c r="R31" s="70">
        <f>EXP(-'GHG Model - Forest Salvage'!$D$7*(Q31-0.5))</f>
        <v>0.25489907456080657</v>
      </c>
      <c r="S31" s="71" t="e">
        <f t="shared" si="6"/>
        <v>#VALUE!</v>
      </c>
      <c r="T31" s="169" t="e">
        <f t="shared" si="7"/>
        <v>#VALUE!</v>
      </c>
      <c r="V31" s="58">
        <v>15</v>
      </c>
      <c r="W31" s="70">
        <f>EXP(-'GHG Model - Forest Salvage'!$D$7*(V31-0.5))</f>
        <v>0.25489907456080657</v>
      </c>
      <c r="X31" s="71" t="e">
        <f t="shared" si="8"/>
        <v>#VALUE!</v>
      </c>
      <c r="Y31" s="168" t="e">
        <f t="shared" si="9"/>
        <v>#VALUE!</v>
      </c>
    </row>
    <row r="32" spans="2:25" x14ac:dyDescent="0.25">
      <c r="B32" s="58">
        <v>16</v>
      </c>
      <c r="C32" s="70">
        <f>EXP(-'GHG Model - Forest Salvage'!$D$7*(B32-0.5))</f>
        <v>0.23196803234538682</v>
      </c>
      <c r="D32" s="71" t="e">
        <f t="shared" si="2"/>
        <v>#VALUE!</v>
      </c>
      <c r="E32" s="168" t="e">
        <f t="shared" si="3"/>
        <v>#VALUE!</v>
      </c>
      <c r="G32" s="58">
        <v>16</v>
      </c>
      <c r="H32" s="70">
        <f>EXP(-'GHG Model - Forest Salvage'!$D$7*(G32-0.5))</f>
        <v>0.23196803234538682</v>
      </c>
      <c r="I32" s="71" t="e">
        <f t="shared" si="0"/>
        <v>#VALUE!</v>
      </c>
      <c r="J32" s="168" t="e">
        <f t="shared" si="4"/>
        <v>#VALUE!</v>
      </c>
      <c r="L32" s="58">
        <v>16</v>
      </c>
      <c r="M32" s="70">
        <f>EXP(-'GHG Model - Forest Salvage'!$D$7*(L32-0.5))</f>
        <v>0.23196803234538682</v>
      </c>
      <c r="N32" s="71" t="e">
        <f t="shared" si="1"/>
        <v>#VALUE!</v>
      </c>
      <c r="O32" s="168" t="e">
        <f t="shared" si="5"/>
        <v>#VALUE!</v>
      </c>
      <c r="Q32" s="58">
        <v>16</v>
      </c>
      <c r="R32" s="70">
        <f>EXP(-'GHG Model - Forest Salvage'!$D$7*(Q32-0.5))</f>
        <v>0.23196803234538682</v>
      </c>
      <c r="S32" s="71" t="e">
        <f t="shared" si="6"/>
        <v>#VALUE!</v>
      </c>
      <c r="T32" s="169" t="e">
        <f t="shared" si="7"/>
        <v>#VALUE!</v>
      </c>
      <c r="V32" s="58">
        <v>16</v>
      </c>
      <c r="W32" s="70">
        <f>EXP(-'GHG Model - Forest Salvage'!$D$7*(V32-0.5))</f>
        <v>0.23196803234538682</v>
      </c>
      <c r="X32" s="71" t="e">
        <f t="shared" si="8"/>
        <v>#VALUE!</v>
      </c>
      <c r="Y32" s="168" t="e">
        <f t="shared" si="9"/>
        <v>#VALUE!</v>
      </c>
    </row>
    <row r="33" spans="2:25" x14ac:dyDescent="0.25">
      <c r="B33" s="58">
        <v>17</v>
      </c>
      <c r="C33" s="70">
        <f>EXP(-'GHG Model - Forest Salvage'!$D$7*(B33-0.5))</f>
        <v>0.21109989560732662</v>
      </c>
      <c r="D33" s="71" t="e">
        <f t="shared" si="2"/>
        <v>#VALUE!</v>
      </c>
      <c r="E33" s="168" t="e">
        <f t="shared" si="3"/>
        <v>#VALUE!</v>
      </c>
      <c r="G33" s="58">
        <v>17</v>
      </c>
      <c r="H33" s="70">
        <f>EXP(-'GHG Model - Forest Salvage'!$D$7*(G33-0.5))</f>
        <v>0.21109989560732662</v>
      </c>
      <c r="I33" s="71" t="e">
        <f t="shared" si="0"/>
        <v>#VALUE!</v>
      </c>
      <c r="J33" s="168" t="e">
        <f t="shared" si="4"/>
        <v>#VALUE!</v>
      </c>
      <c r="L33" s="58">
        <v>17</v>
      </c>
      <c r="M33" s="70">
        <f>EXP(-'GHG Model - Forest Salvage'!$D$7*(L33-0.5))</f>
        <v>0.21109989560732662</v>
      </c>
      <c r="N33" s="71" t="e">
        <f t="shared" si="1"/>
        <v>#VALUE!</v>
      </c>
      <c r="O33" s="168" t="e">
        <f t="shared" si="5"/>
        <v>#VALUE!</v>
      </c>
      <c r="Q33" s="58">
        <v>17</v>
      </c>
      <c r="R33" s="70">
        <f>EXP(-'GHG Model - Forest Salvage'!$D$7*(Q33-0.5))</f>
        <v>0.21109989560732662</v>
      </c>
      <c r="S33" s="71" t="e">
        <f t="shared" si="6"/>
        <v>#VALUE!</v>
      </c>
      <c r="T33" s="169" t="e">
        <f t="shared" si="7"/>
        <v>#VALUE!</v>
      </c>
      <c r="V33" s="58">
        <v>17</v>
      </c>
      <c r="W33" s="70">
        <f>EXP(-'GHG Model - Forest Salvage'!$D$7*(V33-0.5))</f>
        <v>0.21109989560732662</v>
      </c>
      <c r="X33" s="71" t="e">
        <f t="shared" si="8"/>
        <v>#VALUE!</v>
      </c>
      <c r="Y33" s="168" t="e">
        <f t="shared" si="9"/>
        <v>#VALUE!</v>
      </c>
    </row>
    <row r="34" spans="2:25" x14ac:dyDescent="0.25">
      <c r="B34" s="58">
        <v>18</v>
      </c>
      <c r="C34" s="70">
        <f>EXP(-'GHG Model - Forest Salvage'!$D$7*(B34-0.5))</f>
        <v>0.19210908276823352</v>
      </c>
      <c r="D34" s="71" t="e">
        <f t="shared" si="2"/>
        <v>#VALUE!</v>
      </c>
      <c r="E34" s="168" t="e">
        <f t="shared" si="3"/>
        <v>#VALUE!</v>
      </c>
      <c r="G34" s="58">
        <v>18</v>
      </c>
      <c r="H34" s="70">
        <f>EXP(-'GHG Model - Forest Salvage'!$D$7*(G34-0.5))</f>
        <v>0.19210908276823352</v>
      </c>
      <c r="I34" s="71" t="e">
        <f t="shared" si="0"/>
        <v>#VALUE!</v>
      </c>
      <c r="J34" s="168" t="e">
        <f t="shared" si="4"/>
        <v>#VALUE!</v>
      </c>
      <c r="L34" s="58">
        <v>18</v>
      </c>
      <c r="M34" s="70">
        <f>EXP(-'GHG Model - Forest Salvage'!$D$7*(L34-0.5))</f>
        <v>0.19210908276823352</v>
      </c>
      <c r="N34" s="71" t="e">
        <f t="shared" si="1"/>
        <v>#VALUE!</v>
      </c>
      <c r="O34" s="168" t="e">
        <f t="shared" si="5"/>
        <v>#VALUE!</v>
      </c>
      <c r="Q34" s="58">
        <v>18</v>
      </c>
      <c r="R34" s="70">
        <f>EXP(-'GHG Model - Forest Salvage'!$D$7*(Q34-0.5))</f>
        <v>0.19210908276823352</v>
      </c>
      <c r="S34" s="71" t="e">
        <f t="shared" si="6"/>
        <v>#VALUE!</v>
      </c>
      <c r="T34" s="169" t="e">
        <f t="shared" si="7"/>
        <v>#VALUE!</v>
      </c>
      <c r="V34" s="58">
        <v>18</v>
      </c>
      <c r="W34" s="70">
        <f>EXP(-'GHG Model - Forest Salvage'!$D$7*(V34-0.5))</f>
        <v>0.19210908276823352</v>
      </c>
      <c r="X34" s="71" t="e">
        <f t="shared" si="8"/>
        <v>#VALUE!</v>
      </c>
      <c r="Y34" s="168" t="e">
        <f t="shared" si="9"/>
        <v>#VALUE!</v>
      </c>
    </row>
    <row r="35" spans="2:25" x14ac:dyDescent="0.25">
      <c r="B35" s="58">
        <v>19</v>
      </c>
      <c r="C35" s="70">
        <f>EXP(-'GHG Model - Forest Salvage'!$D$7*(B35-0.5))</f>
        <v>0.17482670740255501</v>
      </c>
      <c r="D35" s="71" t="e">
        <f t="shared" si="2"/>
        <v>#VALUE!</v>
      </c>
      <c r="E35" s="168" t="e">
        <f t="shared" si="3"/>
        <v>#VALUE!</v>
      </c>
      <c r="G35" s="58">
        <v>19</v>
      </c>
      <c r="H35" s="70">
        <f>EXP(-'GHG Model - Forest Salvage'!$D$7*(G35-0.5))</f>
        <v>0.17482670740255501</v>
      </c>
      <c r="I35" s="71" t="e">
        <f t="shared" si="0"/>
        <v>#VALUE!</v>
      </c>
      <c r="J35" s="168" t="e">
        <f t="shared" si="4"/>
        <v>#VALUE!</v>
      </c>
      <c r="L35" s="58">
        <v>19</v>
      </c>
      <c r="M35" s="70">
        <f>EXP(-'GHG Model - Forest Salvage'!$D$7*(L35-0.5))</f>
        <v>0.17482670740255501</v>
      </c>
      <c r="N35" s="71" t="e">
        <f t="shared" si="1"/>
        <v>#VALUE!</v>
      </c>
      <c r="O35" s="168" t="e">
        <f t="shared" si="5"/>
        <v>#VALUE!</v>
      </c>
      <c r="Q35" s="58">
        <v>19</v>
      </c>
      <c r="R35" s="70">
        <f>EXP(-'GHG Model - Forest Salvage'!$D$7*(Q35-0.5))</f>
        <v>0.17482670740255501</v>
      </c>
      <c r="S35" s="71" t="e">
        <f t="shared" si="6"/>
        <v>#VALUE!</v>
      </c>
      <c r="T35" s="169" t="e">
        <f t="shared" si="7"/>
        <v>#VALUE!</v>
      </c>
      <c r="V35" s="58">
        <v>19</v>
      </c>
      <c r="W35" s="70">
        <f>EXP(-'GHG Model - Forest Salvage'!$D$7*(V35-0.5))</f>
        <v>0.17482670740255501</v>
      </c>
      <c r="X35" s="71" t="e">
        <f t="shared" si="8"/>
        <v>#VALUE!</v>
      </c>
      <c r="Y35" s="168" t="e">
        <f t="shared" si="9"/>
        <v>#VALUE!</v>
      </c>
    </row>
    <row r="36" spans="2:25" x14ac:dyDescent="0.25">
      <c r="B36" s="58">
        <v>20</v>
      </c>
      <c r="C36" s="70">
        <f>EXP(-'GHG Model - Forest Salvage'!$D$7*(B36-0.5))</f>
        <v>0.15909907632057363</v>
      </c>
      <c r="D36" s="71" t="e">
        <f t="shared" si="2"/>
        <v>#VALUE!</v>
      </c>
      <c r="E36" s="168" t="e">
        <f t="shared" si="3"/>
        <v>#VALUE!</v>
      </c>
      <c r="G36" s="58">
        <v>20</v>
      </c>
      <c r="H36" s="70">
        <f>EXP(-'GHG Model - Forest Salvage'!$D$7*(G36-0.5))</f>
        <v>0.15909907632057363</v>
      </c>
      <c r="I36" s="71" t="e">
        <f t="shared" si="0"/>
        <v>#VALUE!</v>
      </c>
      <c r="J36" s="168" t="e">
        <f t="shared" si="4"/>
        <v>#VALUE!</v>
      </c>
      <c r="L36" s="58">
        <v>20</v>
      </c>
      <c r="M36" s="70">
        <f>EXP(-'GHG Model - Forest Salvage'!$D$7*(L36-0.5))</f>
        <v>0.15909907632057363</v>
      </c>
      <c r="N36" s="71" t="e">
        <f t="shared" si="1"/>
        <v>#VALUE!</v>
      </c>
      <c r="O36" s="168" t="e">
        <f t="shared" si="5"/>
        <v>#VALUE!</v>
      </c>
      <c r="Q36" s="58">
        <v>20</v>
      </c>
      <c r="R36" s="70">
        <f>EXP(-'GHG Model - Forest Salvage'!$D$7*(Q36-0.5))</f>
        <v>0.15909907632057363</v>
      </c>
      <c r="S36" s="71" t="e">
        <f t="shared" si="6"/>
        <v>#VALUE!</v>
      </c>
      <c r="T36" s="169" t="e">
        <f t="shared" si="7"/>
        <v>#VALUE!</v>
      </c>
      <c r="V36" s="58">
        <v>20</v>
      </c>
      <c r="W36" s="70">
        <f>EXP(-'GHG Model - Forest Salvage'!$D$7*(V36-0.5))</f>
        <v>0.15909907632057363</v>
      </c>
      <c r="X36" s="71" t="e">
        <f t="shared" si="8"/>
        <v>#VALUE!</v>
      </c>
      <c r="Y36" s="168" t="e">
        <f t="shared" si="9"/>
        <v>#VALUE!</v>
      </c>
    </row>
  </sheetData>
  <sheetProtection algorithmName="SHA-512" hashValue="cDThqXcDJoYNrxUoD1ydZEk4UHYmfr7BZrPnGA83KOqum24YZTMXyt5q2XRYMMoF44v4PbHDVMFVkI3qGEv8dg==" saltValue="JhgbgTkPGvlAuBCG4gnU2A==" spinCount="100000" sheet="1" objects="1" scenarios="1"/>
  <pageMargins left="0.75" right="0.75" top="1" bottom="1" header="0.5" footer="0.5"/>
  <pageSetup orientation="portrait" horizontalDpi="4294967293"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Y35"/>
  <sheetViews>
    <sheetView workbookViewId="0"/>
  </sheetViews>
  <sheetFormatPr defaultColWidth="9.1796875" defaultRowHeight="12.5" x14ac:dyDescent="0.25"/>
  <cols>
    <col min="1" max="1" width="3.81640625" style="58" customWidth="1"/>
    <col min="2" max="3" width="9.1796875" style="58"/>
    <col min="4" max="5" width="9.1796875" style="58" customWidth="1"/>
    <col min="6" max="19" width="9.1796875" style="58"/>
    <col min="20" max="20" width="17.453125" style="58" bestFit="1" customWidth="1"/>
    <col min="21" max="16384" width="9.1796875" style="58"/>
  </cols>
  <sheetData>
    <row r="2" spans="2:25" ht="13" x14ac:dyDescent="0.3">
      <c r="B2" s="57" t="s">
        <v>115</v>
      </c>
    </row>
    <row r="3" spans="2:25" ht="13" x14ac:dyDescent="0.3">
      <c r="B3" s="57" t="s">
        <v>131</v>
      </c>
    </row>
    <row r="5" spans="2:25" ht="13" x14ac:dyDescent="0.3">
      <c r="B5" s="57" t="s">
        <v>117</v>
      </c>
    </row>
    <row r="7" spans="2:25" x14ac:dyDescent="0.25">
      <c r="D7" s="58" t="s">
        <v>0</v>
      </c>
      <c r="E7" s="66"/>
      <c r="I7" s="58" t="s">
        <v>1</v>
      </c>
      <c r="J7" s="66"/>
      <c r="N7" s="58" t="s">
        <v>2</v>
      </c>
      <c r="O7" s="66"/>
      <c r="S7" s="58" t="s">
        <v>3</v>
      </c>
      <c r="T7" s="66"/>
      <c r="X7" s="58" t="s">
        <v>110</v>
      </c>
      <c r="Y7" s="66"/>
    </row>
    <row r="8" spans="2:25" x14ac:dyDescent="0.25">
      <c r="C8" s="60" t="s">
        <v>121</v>
      </c>
      <c r="D8" s="64" t="str">
        <f>'GHG Analysis - Quarter 1'!E37</f>
        <v>-</v>
      </c>
      <c r="H8" s="60" t="s">
        <v>121</v>
      </c>
      <c r="I8" s="64" t="str">
        <f>'GHG Analysis - Quarter 2'!E37</f>
        <v>-</v>
      </c>
      <c r="M8" s="60" t="s">
        <v>121</v>
      </c>
      <c r="N8" s="64" t="str">
        <f>'GHG Analysis - Quarter 3'!E37</f>
        <v>-</v>
      </c>
      <c r="R8" s="60" t="s">
        <v>121</v>
      </c>
      <c r="S8" s="64" t="str">
        <f>'GHG Analysis - Quarter 4'!E37</f>
        <v>-</v>
      </c>
      <c r="W8" s="60" t="s">
        <v>121</v>
      </c>
      <c r="X8" s="64" t="str">
        <f>'GHG Analysis - Annual'!E37</f>
        <v>-</v>
      </c>
    </row>
    <row r="9" spans="2:25" x14ac:dyDescent="0.25">
      <c r="C9" s="65" t="s">
        <v>122</v>
      </c>
      <c r="D9" s="58">
        <v>-1</v>
      </c>
      <c r="H9" s="65" t="s">
        <v>122</v>
      </c>
      <c r="I9" s="58">
        <v>-1</v>
      </c>
      <c r="M9" s="65" t="s">
        <v>122</v>
      </c>
      <c r="N9" s="58">
        <v>-1</v>
      </c>
      <c r="R9" s="65" t="s">
        <v>122</v>
      </c>
      <c r="S9" s="58">
        <v>-1</v>
      </c>
      <c r="W9" s="65" t="s">
        <v>122</v>
      </c>
      <c r="X9" s="58">
        <v>-1</v>
      </c>
    </row>
    <row r="10" spans="2:25" x14ac:dyDescent="0.25">
      <c r="C10" s="60" t="s">
        <v>124</v>
      </c>
      <c r="D10" s="67" t="e">
        <f>-D9/(D8-1)</f>
        <v>#VALUE!</v>
      </c>
      <c r="H10" s="60" t="s">
        <v>124</v>
      </c>
      <c r="I10" s="67" t="e">
        <f>-I9/(I8-1)</f>
        <v>#VALUE!</v>
      </c>
      <c r="M10" s="60" t="s">
        <v>124</v>
      </c>
      <c r="N10" s="67" t="e">
        <f>-N9/(N8-1)</f>
        <v>#VALUE!</v>
      </c>
      <c r="R10" s="60" t="s">
        <v>124</v>
      </c>
      <c r="S10" s="67" t="e">
        <f>-S9/(S8-1)</f>
        <v>#VALUE!</v>
      </c>
      <c r="W10" s="60" t="s">
        <v>124</v>
      </c>
      <c r="X10" s="67" t="e">
        <f>-X9/(X8-1)</f>
        <v>#VALUE!</v>
      </c>
    </row>
    <row r="12" spans="2:25" x14ac:dyDescent="0.25">
      <c r="B12" s="60" t="s">
        <v>0</v>
      </c>
      <c r="G12" s="60" t="s">
        <v>1</v>
      </c>
      <c r="L12" s="60" t="s">
        <v>2</v>
      </c>
      <c r="Q12" s="60" t="s">
        <v>3</v>
      </c>
      <c r="V12" s="60" t="s">
        <v>110</v>
      </c>
    </row>
    <row r="13" spans="2:25" ht="13" x14ac:dyDescent="0.3">
      <c r="B13" s="57" t="s">
        <v>126</v>
      </c>
      <c r="G13" s="57" t="s">
        <v>126</v>
      </c>
      <c r="L13" s="57" t="s">
        <v>126</v>
      </c>
      <c r="Q13" s="57" t="s">
        <v>126</v>
      </c>
      <c r="V13" s="57" t="s">
        <v>126</v>
      </c>
    </row>
    <row r="14" spans="2:25" x14ac:dyDescent="0.25">
      <c r="B14" s="60"/>
      <c r="G14" s="60"/>
      <c r="L14" s="60"/>
      <c r="Q14" s="60"/>
      <c r="V14" s="60"/>
    </row>
    <row r="15" spans="2:25" ht="25" x14ac:dyDescent="0.25">
      <c r="B15" s="68" t="s">
        <v>127</v>
      </c>
      <c r="C15" s="68" t="s">
        <v>132</v>
      </c>
      <c r="D15" s="69" t="s">
        <v>133</v>
      </c>
      <c r="E15" s="69" t="s">
        <v>130</v>
      </c>
      <c r="F15" s="69"/>
      <c r="G15" s="68" t="s">
        <v>127</v>
      </c>
      <c r="H15" s="68" t="s">
        <v>132</v>
      </c>
      <c r="I15" s="69" t="s">
        <v>133</v>
      </c>
      <c r="J15" s="69" t="s">
        <v>130</v>
      </c>
      <c r="L15" s="68" t="s">
        <v>127</v>
      </c>
      <c r="M15" s="68" t="s">
        <v>132</v>
      </c>
      <c r="N15" s="69" t="s">
        <v>133</v>
      </c>
      <c r="O15" s="69" t="s">
        <v>130</v>
      </c>
      <c r="Q15" s="68" t="s">
        <v>127</v>
      </c>
      <c r="R15" s="68" t="s">
        <v>132</v>
      </c>
      <c r="S15" s="69" t="s">
        <v>133</v>
      </c>
      <c r="T15" s="69" t="s">
        <v>130</v>
      </c>
      <c r="V15" s="68" t="s">
        <v>127</v>
      </c>
      <c r="W15" s="68" t="s">
        <v>132</v>
      </c>
      <c r="X15" s="69" t="s">
        <v>133</v>
      </c>
      <c r="Y15" s="69" t="s">
        <v>130</v>
      </c>
    </row>
    <row r="16" spans="2:25" x14ac:dyDescent="0.25">
      <c r="B16" s="58">
        <v>1</v>
      </c>
      <c r="C16" s="72">
        <f>Parameters!$C$42*EXP(Parameters!$D$42*B16)</f>
        <v>1.1104937980855236</v>
      </c>
      <c r="D16" s="70" t="e">
        <f>-$D$10*(1-C16)</f>
        <v>#VALUE!</v>
      </c>
      <c r="E16" s="170" t="e">
        <f>$D$10+D16</f>
        <v>#VALUE!</v>
      </c>
      <c r="G16" s="58">
        <v>1</v>
      </c>
      <c r="H16" s="72">
        <f>Parameters!$C$42*EXP(Parameters!$D$42*G16)</f>
        <v>1.1104937980855236</v>
      </c>
      <c r="I16" s="70" t="e">
        <f>-$I$10*(1-H16)</f>
        <v>#VALUE!</v>
      </c>
      <c r="J16" s="170" t="e">
        <f>$I$10+I16</f>
        <v>#VALUE!</v>
      </c>
      <c r="L16" s="58">
        <v>1</v>
      </c>
      <c r="M16" s="72">
        <f>Parameters!$C$42*EXP(Parameters!$D$42*L16)</f>
        <v>1.1104937980855236</v>
      </c>
      <c r="N16" s="70" t="e">
        <f>-$N$10*(1-M16)</f>
        <v>#VALUE!</v>
      </c>
      <c r="O16" s="170" t="e">
        <f>$N$10+N16</f>
        <v>#VALUE!</v>
      </c>
      <c r="Q16" s="58">
        <v>1</v>
      </c>
      <c r="R16" s="72">
        <f>Parameters!$C$42*EXP(Parameters!$D$42*Q16)</f>
        <v>1.1104937980855236</v>
      </c>
      <c r="S16" s="70" t="e">
        <f>-$S$10*(1-R16)</f>
        <v>#VALUE!</v>
      </c>
      <c r="T16" s="171" t="e">
        <f>$S$10+S16</f>
        <v>#VALUE!</v>
      </c>
      <c r="V16" s="58">
        <v>1</v>
      </c>
      <c r="W16" s="72">
        <f>Parameters!$C$42*EXP(Parameters!$D$42*V16)</f>
        <v>1.1104937980855236</v>
      </c>
      <c r="X16" s="70" t="e">
        <f>-$X$10*(1-W16)</f>
        <v>#VALUE!</v>
      </c>
      <c r="Y16" s="170" t="e">
        <f>$X$10+X16</f>
        <v>#VALUE!</v>
      </c>
    </row>
    <row r="17" spans="2:25" x14ac:dyDescent="0.25">
      <c r="B17" s="58">
        <v>2</v>
      </c>
      <c r="C17" s="72">
        <f>Parameters!$C$42*EXP(Parameters!$D$42*B17)</f>
        <v>1.0972475091969141</v>
      </c>
      <c r="D17" s="70" t="e">
        <f>-$D$10*(1-C17)</f>
        <v>#VALUE!</v>
      </c>
      <c r="E17" s="70" t="e">
        <f t="shared" ref="E17:E35" si="0">$D$10+D17</f>
        <v>#VALUE!</v>
      </c>
      <c r="G17" s="58">
        <v>2</v>
      </c>
      <c r="H17" s="72">
        <f>Parameters!$C$42*EXP(Parameters!$D$42*G17)</f>
        <v>1.0972475091969141</v>
      </c>
      <c r="I17" s="70" t="e">
        <f t="shared" ref="I17:I34" si="1">-$I$10*(1-H17)</f>
        <v>#VALUE!</v>
      </c>
      <c r="J17" s="170" t="e">
        <f t="shared" ref="J17:J35" si="2">$I$10+I17</f>
        <v>#VALUE!</v>
      </c>
      <c r="L17" s="58">
        <v>2</v>
      </c>
      <c r="M17" s="72">
        <f>Parameters!$C$42*EXP(Parameters!$D$42*L17)</f>
        <v>1.0972475091969141</v>
      </c>
      <c r="N17" s="70" t="e">
        <f t="shared" ref="N17:N35" si="3">-$N$10*(1-M17)</f>
        <v>#VALUE!</v>
      </c>
      <c r="O17" s="170" t="e">
        <f t="shared" ref="O17:O35" si="4">$N$10+N17</f>
        <v>#VALUE!</v>
      </c>
      <c r="Q17" s="58">
        <v>2</v>
      </c>
      <c r="R17" s="72">
        <f>Parameters!$C$42*EXP(Parameters!$D$42*Q17)</f>
        <v>1.0972475091969141</v>
      </c>
      <c r="S17" s="70" t="e">
        <f t="shared" ref="S17:S35" si="5">-$S$10*(1-R17)</f>
        <v>#VALUE!</v>
      </c>
      <c r="T17" s="171" t="e">
        <f t="shared" ref="T17:T35" si="6">$S$10+S17</f>
        <v>#VALUE!</v>
      </c>
      <c r="V17" s="58">
        <v>2</v>
      </c>
      <c r="W17" s="72">
        <f>Parameters!$C$42*EXP(Parameters!$D$42*V17)</f>
        <v>1.0972475091969141</v>
      </c>
      <c r="X17" s="70" t="e">
        <f t="shared" ref="X17:X35" si="7">-$X$10*(1-W17)</f>
        <v>#VALUE!</v>
      </c>
      <c r="Y17" s="170" t="e">
        <f t="shared" ref="Y17:Y35" si="8">$X$10+X17</f>
        <v>#VALUE!</v>
      </c>
    </row>
    <row r="18" spans="2:25" x14ac:dyDescent="0.25">
      <c r="B18" s="58">
        <v>3</v>
      </c>
      <c r="C18" s="72">
        <f>Parameters!$C$42*EXP(Parameters!$D$42*B18)</f>
        <v>1.084159225845682</v>
      </c>
      <c r="D18" s="70" t="e">
        <f>-$D$10*(1-C18)</f>
        <v>#VALUE!</v>
      </c>
      <c r="E18" s="70" t="e">
        <f t="shared" si="0"/>
        <v>#VALUE!</v>
      </c>
      <c r="G18" s="58">
        <v>3</v>
      </c>
      <c r="H18" s="72">
        <f>Parameters!$C$42*EXP(Parameters!$D$42*G18)</f>
        <v>1.084159225845682</v>
      </c>
      <c r="I18" s="70" t="e">
        <f t="shared" si="1"/>
        <v>#VALUE!</v>
      </c>
      <c r="J18" s="170" t="e">
        <f t="shared" si="2"/>
        <v>#VALUE!</v>
      </c>
      <c r="L18" s="58">
        <v>3</v>
      </c>
      <c r="M18" s="72">
        <f>Parameters!$C$42*EXP(Parameters!$D$42*L18)</f>
        <v>1.084159225845682</v>
      </c>
      <c r="N18" s="70" t="e">
        <f t="shared" si="3"/>
        <v>#VALUE!</v>
      </c>
      <c r="O18" s="170" t="e">
        <f t="shared" si="4"/>
        <v>#VALUE!</v>
      </c>
      <c r="Q18" s="58">
        <v>3</v>
      </c>
      <c r="R18" s="72">
        <f>Parameters!$C$42*EXP(Parameters!$D$42*Q18)</f>
        <v>1.084159225845682</v>
      </c>
      <c r="S18" s="70" t="e">
        <f t="shared" si="5"/>
        <v>#VALUE!</v>
      </c>
      <c r="T18" s="171" t="e">
        <f t="shared" si="6"/>
        <v>#VALUE!</v>
      </c>
      <c r="V18" s="58">
        <v>3</v>
      </c>
      <c r="W18" s="72">
        <f>Parameters!$C$42*EXP(Parameters!$D$42*V18)</f>
        <v>1.084159225845682</v>
      </c>
      <c r="X18" s="70" t="e">
        <f t="shared" si="7"/>
        <v>#VALUE!</v>
      </c>
      <c r="Y18" s="170" t="e">
        <f t="shared" si="8"/>
        <v>#VALUE!</v>
      </c>
    </row>
    <row r="19" spans="2:25" x14ac:dyDescent="0.25">
      <c r="B19" s="58">
        <v>4</v>
      </c>
      <c r="C19" s="72">
        <f>Parameters!$C$42*EXP(Parameters!$D$42*B19)</f>
        <v>1.0712270632964074</v>
      </c>
      <c r="D19" s="70" t="e">
        <f>-$D$10*(1-C19)</f>
        <v>#VALUE!</v>
      </c>
      <c r="E19" s="70" t="e">
        <f t="shared" si="0"/>
        <v>#VALUE!</v>
      </c>
      <c r="G19" s="58">
        <v>4</v>
      </c>
      <c r="H19" s="72">
        <f>Parameters!$C$42*EXP(Parameters!$D$42*G19)</f>
        <v>1.0712270632964074</v>
      </c>
      <c r="I19" s="70" t="e">
        <f t="shared" si="1"/>
        <v>#VALUE!</v>
      </c>
      <c r="J19" s="170" t="e">
        <f t="shared" si="2"/>
        <v>#VALUE!</v>
      </c>
      <c r="L19" s="58">
        <v>4</v>
      </c>
      <c r="M19" s="72">
        <f>Parameters!$C$42*EXP(Parameters!$D$42*L19)</f>
        <v>1.0712270632964074</v>
      </c>
      <c r="N19" s="70" t="e">
        <f t="shared" si="3"/>
        <v>#VALUE!</v>
      </c>
      <c r="O19" s="170" t="e">
        <f t="shared" si="4"/>
        <v>#VALUE!</v>
      </c>
      <c r="Q19" s="58">
        <v>4</v>
      </c>
      <c r="R19" s="72">
        <f>Parameters!$C$42*EXP(Parameters!$D$42*Q19)</f>
        <v>1.0712270632964074</v>
      </c>
      <c r="S19" s="70" t="e">
        <f t="shared" si="5"/>
        <v>#VALUE!</v>
      </c>
      <c r="T19" s="171" t="e">
        <f t="shared" si="6"/>
        <v>#VALUE!</v>
      </c>
      <c r="V19" s="58">
        <v>4</v>
      </c>
      <c r="W19" s="72">
        <f>Parameters!$C$42*EXP(Parameters!$D$42*V19)</f>
        <v>1.0712270632964074</v>
      </c>
      <c r="X19" s="70" t="e">
        <f t="shared" si="7"/>
        <v>#VALUE!</v>
      </c>
      <c r="Y19" s="170" t="e">
        <f t="shared" si="8"/>
        <v>#VALUE!</v>
      </c>
    </row>
    <row r="20" spans="2:25" x14ac:dyDescent="0.25">
      <c r="B20" s="58">
        <v>5</v>
      </c>
      <c r="C20" s="72">
        <f>Parameters!$C$42*EXP(Parameters!$D$42*B20)</f>
        <v>1.0584491592953371</v>
      </c>
      <c r="D20" s="70" t="e">
        <f t="shared" ref="D20:D35" si="9">-$D$10*(1-C20)</f>
        <v>#VALUE!</v>
      </c>
      <c r="E20" s="170" t="e">
        <f>$D$10+D20</f>
        <v>#VALUE!</v>
      </c>
      <c r="G20" s="58">
        <v>5</v>
      </c>
      <c r="H20" s="72">
        <f>Parameters!$C$42*EXP(Parameters!$D$42*G20)</f>
        <v>1.0584491592953371</v>
      </c>
      <c r="I20" s="70" t="e">
        <f t="shared" si="1"/>
        <v>#VALUE!</v>
      </c>
      <c r="J20" s="170" t="e">
        <f t="shared" si="2"/>
        <v>#VALUE!</v>
      </c>
      <c r="L20" s="58">
        <v>5</v>
      </c>
      <c r="M20" s="72">
        <f>Parameters!$C$42*EXP(Parameters!$D$42*L20)</f>
        <v>1.0584491592953371</v>
      </c>
      <c r="N20" s="70" t="e">
        <f t="shared" si="3"/>
        <v>#VALUE!</v>
      </c>
      <c r="O20" s="170" t="e">
        <f t="shared" si="4"/>
        <v>#VALUE!</v>
      </c>
      <c r="Q20" s="58">
        <v>5</v>
      </c>
      <c r="R20" s="72">
        <f>Parameters!$C$42*EXP(Parameters!$D$42*Q20)</f>
        <v>1.0584491592953371</v>
      </c>
      <c r="S20" s="70" t="e">
        <f t="shared" si="5"/>
        <v>#VALUE!</v>
      </c>
      <c r="T20" s="171" t="e">
        <f t="shared" si="6"/>
        <v>#VALUE!</v>
      </c>
      <c r="V20" s="58">
        <v>5</v>
      </c>
      <c r="W20" s="72">
        <f>Parameters!$C$42*EXP(Parameters!$D$42*V20)</f>
        <v>1.0584491592953371</v>
      </c>
      <c r="X20" s="70" t="e">
        <f t="shared" si="7"/>
        <v>#VALUE!</v>
      </c>
      <c r="Y20" s="170" t="e">
        <f t="shared" si="8"/>
        <v>#VALUE!</v>
      </c>
    </row>
    <row r="21" spans="2:25" x14ac:dyDescent="0.25">
      <c r="B21" s="58">
        <v>6</v>
      </c>
      <c r="C21" s="72">
        <f>Parameters!$C$42*EXP(Parameters!$D$42*B21)</f>
        <v>1.045823673802214</v>
      </c>
      <c r="D21" s="70" t="e">
        <f>-$D$10*(1-C21)</f>
        <v>#VALUE!</v>
      </c>
      <c r="E21" s="170" t="e">
        <f>$D$10+D21</f>
        <v>#VALUE!</v>
      </c>
      <c r="G21" s="58">
        <v>6</v>
      </c>
      <c r="H21" s="72">
        <f>Parameters!$C$42*EXP(Parameters!$D$42*G21)</f>
        <v>1.045823673802214</v>
      </c>
      <c r="I21" s="70" t="e">
        <f t="shared" si="1"/>
        <v>#VALUE!</v>
      </c>
      <c r="J21" s="170" t="e">
        <f t="shared" si="2"/>
        <v>#VALUE!</v>
      </c>
      <c r="L21" s="58">
        <v>6</v>
      </c>
      <c r="M21" s="72">
        <f>Parameters!$C$42*EXP(Parameters!$D$42*L21)</f>
        <v>1.045823673802214</v>
      </c>
      <c r="N21" s="70" t="e">
        <f t="shared" si="3"/>
        <v>#VALUE!</v>
      </c>
      <c r="O21" s="170" t="e">
        <f t="shared" si="4"/>
        <v>#VALUE!</v>
      </c>
      <c r="Q21" s="58">
        <v>6</v>
      </c>
      <c r="R21" s="72">
        <f>Parameters!$C$42*EXP(Parameters!$D$42*Q21)</f>
        <v>1.045823673802214</v>
      </c>
      <c r="S21" s="70" t="e">
        <f t="shared" si="5"/>
        <v>#VALUE!</v>
      </c>
      <c r="T21" s="171" t="e">
        <f t="shared" si="6"/>
        <v>#VALUE!</v>
      </c>
      <c r="V21" s="58">
        <v>6</v>
      </c>
      <c r="W21" s="72">
        <f>Parameters!$C$42*EXP(Parameters!$D$42*V21)</f>
        <v>1.045823673802214</v>
      </c>
      <c r="X21" s="70" t="e">
        <f t="shared" si="7"/>
        <v>#VALUE!</v>
      </c>
      <c r="Y21" s="170" t="e">
        <f t="shared" si="8"/>
        <v>#VALUE!</v>
      </c>
    </row>
    <row r="22" spans="2:25" x14ac:dyDescent="0.25">
      <c r="B22" s="58">
        <v>7</v>
      </c>
      <c r="C22" s="72">
        <f>Parameters!$C$42*EXP(Parameters!$D$42*B22)</f>
        <v>1.0333487887253106</v>
      </c>
      <c r="D22" s="70" t="e">
        <f t="shared" si="9"/>
        <v>#VALUE!</v>
      </c>
      <c r="E22" s="170" t="e">
        <f>$D$10+D22</f>
        <v>#VALUE!</v>
      </c>
      <c r="G22" s="58">
        <v>7</v>
      </c>
      <c r="H22" s="72">
        <f>Parameters!$C$42*EXP(Parameters!$D$42*G22)</f>
        <v>1.0333487887253106</v>
      </c>
      <c r="I22" s="70" t="e">
        <f t="shared" si="1"/>
        <v>#VALUE!</v>
      </c>
      <c r="J22" s="170" t="e">
        <f t="shared" si="2"/>
        <v>#VALUE!</v>
      </c>
      <c r="L22" s="58">
        <v>7</v>
      </c>
      <c r="M22" s="72">
        <f>Parameters!$C$42*EXP(Parameters!$D$42*L22)</f>
        <v>1.0333487887253106</v>
      </c>
      <c r="N22" s="70" t="e">
        <f t="shared" si="3"/>
        <v>#VALUE!</v>
      </c>
      <c r="O22" s="170" t="e">
        <f t="shared" si="4"/>
        <v>#VALUE!</v>
      </c>
      <c r="Q22" s="58">
        <v>7</v>
      </c>
      <c r="R22" s="72">
        <f>Parameters!$C$42*EXP(Parameters!$D$42*Q22)</f>
        <v>1.0333487887253106</v>
      </c>
      <c r="S22" s="70" t="e">
        <f t="shared" si="5"/>
        <v>#VALUE!</v>
      </c>
      <c r="T22" s="171" t="e">
        <f t="shared" si="6"/>
        <v>#VALUE!</v>
      </c>
      <c r="V22" s="58">
        <v>7</v>
      </c>
      <c r="W22" s="72">
        <f>Parameters!$C$42*EXP(Parameters!$D$42*V22)</f>
        <v>1.0333487887253106</v>
      </c>
      <c r="X22" s="70" t="e">
        <f t="shared" si="7"/>
        <v>#VALUE!</v>
      </c>
      <c r="Y22" s="170" t="e">
        <f t="shared" si="8"/>
        <v>#VALUE!</v>
      </c>
    </row>
    <row r="23" spans="2:25" x14ac:dyDescent="0.25">
      <c r="B23" s="58">
        <v>8</v>
      </c>
      <c r="C23" s="72">
        <f>Parameters!$C$42*EXP(Parameters!$D$42*B23)</f>
        <v>1.0210227076596188</v>
      </c>
      <c r="D23" s="70" t="e">
        <f t="shared" si="9"/>
        <v>#VALUE!</v>
      </c>
      <c r="E23" s="70" t="e">
        <f t="shared" si="0"/>
        <v>#VALUE!</v>
      </c>
      <c r="G23" s="58">
        <v>8</v>
      </c>
      <c r="H23" s="72">
        <f>Parameters!$C$42*EXP(Parameters!$D$42*G23)</f>
        <v>1.0210227076596188</v>
      </c>
      <c r="I23" s="70" t="e">
        <f t="shared" si="1"/>
        <v>#VALUE!</v>
      </c>
      <c r="J23" s="170" t="e">
        <f t="shared" si="2"/>
        <v>#VALUE!</v>
      </c>
      <c r="L23" s="58">
        <v>8</v>
      </c>
      <c r="M23" s="72">
        <f>Parameters!$C$42*EXP(Parameters!$D$42*L23)</f>
        <v>1.0210227076596188</v>
      </c>
      <c r="N23" s="70" t="e">
        <f>-$N$10*(1-M23)</f>
        <v>#VALUE!</v>
      </c>
      <c r="O23" s="170" t="e">
        <f t="shared" si="4"/>
        <v>#VALUE!</v>
      </c>
      <c r="Q23" s="58">
        <v>8</v>
      </c>
      <c r="R23" s="72">
        <f>Parameters!$C$42*EXP(Parameters!$D$42*Q23)</f>
        <v>1.0210227076596188</v>
      </c>
      <c r="S23" s="70" t="e">
        <f t="shared" si="5"/>
        <v>#VALUE!</v>
      </c>
      <c r="T23" s="171" t="e">
        <f t="shared" si="6"/>
        <v>#VALUE!</v>
      </c>
      <c r="V23" s="58">
        <v>8</v>
      </c>
      <c r="W23" s="72">
        <f>Parameters!$C$42*EXP(Parameters!$D$42*V23)</f>
        <v>1.0210227076596188</v>
      </c>
      <c r="X23" s="70" t="e">
        <f t="shared" si="7"/>
        <v>#VALUE!</v>
      </c>
      <c r="Y23" s="170" t="e">
        <f t="shared" si="8"/>
        <v>#VALUE!</v>
      </c>
    </row>
    <row r="24" spans="2:25" x14ac:dyDescent="0.25">
      <c r="B24" s="58">
        <v>9</v>
      </c>
      <c r="C24" s="72">
        <f>Parameters!$C$42*EXP(Parameters!$D$42*B24)</f>
        <v>1.0088436556281657</v>
      </c>
      <c r="D24" s="70" t="e">
        <f t="shared" si="9"/>
        <v>#VALUE!</v>
      </c>
      <c r="E24" s="70" t="e">
        <f t="shared" si="0"/>
        <v>#VALUE!</v>
      </c>
      <c r="G24" s="58">
        <v>9</v>
      </c>
      <c r="H24" s="72">
        <f>Parameters!$C$42*EXP(Parameters!$D$42*G24)</f>
        <v>1.0088436556281657</v>
      </c>
      <c r="I24" s="70" t="e">
        <f t="shared" si="1"/>
        <v>#VALUE!</v>
      </c>
      <c r="J24" s="170" t="e">
        <f t="shared" si="2"/>
        <v>#VALUE!</v>
      </c>
      <c r="L24" s="58">
        <v>9</v>
      </c>
      <c r="M24" s="72">
        <f>Parameters!$C$42*EXP(Parameters!$D$42*L24)</f>
        <v>1.0088436556281657</v>
      </c>
      <c r="N24" s="70" t="e">
        <f>-$N$10*(1-M24)</f>
        <v>#VALUE!</v>
      </c>
      <c r="O24" s="170" t="e">
        <f t="shared" si="4"/>
        <v>#VALUE!</v>
      </c>
      <c r="Q24" s="58">
        <v>9</v>
      </c>
      <c r="R24" s="72">
        <f>Parameters!$C$42*EXP(Parameters!$D$42*Q24)</f>
        <v>1.0088436556281657</v>
      </c>
      <c r="S24" s="70" t="e">
        <f t="shared" si="5"/>
        <v>#VALUE!</v>
      </c>
      <c r="T24" s="171" t="e">
        <f t="shared" si="6"/>
        <v>#VALUE!</v>
      </c>
      <c r="V24" s="58">
        <v>9</v>
      </c>
      <c r="W24" s="72">
        <f>Parameters!$C$42*EXP(Parameters!$D$42*V24)</f>
        <v>1.0088436556281657</v>
      </c>
      <c r="X24" s="70" t="e">
        <f t="shared" si="7"/>
        <v>#VALUE!</v>
      </c>
      <c r="Y24" s="170" t="e">
        <f t="shared" si="8"/>
        <v>#VALUE!</v>
      </c>
    </row>
    <row r="25" spans="2:25" x14ac:dyDescent="0.25">
      <c r="B25" s="58">
        <v>10</v>
      </c>
      <c r="C25" s="72">
        <f>Parameters!$C$42*EXP(Parameters!$D$42*B25)</f>
        <v>0.99680987882641325</v>
      </c>
      <c r="D25" s="70" t="e">
        <f t="shared" si="9"/>
        <v>#VALUE!</v>
      </c>
      <c r="E25" s="70" t="e">
        <f t="shared" si="0"/>
        <v>#VALUE!</v>
      </c>
      <c r="G25" s="58">
        <v>10</v>
      </c>
      <c r="H25" s="72">
        <f>Parameters!$C$42*EXP(Parameters!$D$42*G25)</f>
        <v>0.99680987882641325</v>
      </c>
      <c r="I25" s="70" t="e">
        <f t="shared" si="1"/>
        <v>#VALUE!</v>
      </c>
      <c r="J25" s="170" t="e">
        <f t="shared" si="2"/>
        <v>#VALUE!</v>
      </c>
      <c r="L25" s="58">
        <v>10</v>
      </c>
      <c r="M25" s="72">
        <f>Parameters!$C$42*EXP(Parameters!$D$42*L25)</f>
        <v>0.99680987882641325</v>
      </c>
      <c r="N25" s="70" t="e">
        <f>-$N$10*(1-M25)</f>
        <v>#VALUE!</v>
      </c>
      <c r="O25" s="170" t="e">
        <f t="shared" si="4"/>
        <v>#VALUE!</v>
      </c>
      <c r="Q25" s="58">
        <v>10</v>
      </c>
      <c r="R25" s="72">
        <f>Parameters!$C$42*EXP(Parameters!$D$42*Q25)</f>
        <v>0.99680987882641325</v>
      </c>
      <c r="S25" s="70" t="e">
        <f t="shared" si="5"/>
        <v>#VALUE!</v>
      </c>
      <c r="T25" s="171" t="e">
        <f t="shared" si="6"/>
        <v>#VALUE!</v>
      </c>
      <c r="V25" s="58">
        <v>10</v>
      </c>
      <c r="W25" s="72">
        <f>Parameters!$C$42*EXP(Parameters!$D$42*V25)</f>
        <v>0.99680987882641325</v>
      </c>
      <c r="X25" s="70" t="e">
        <f t="shared" si="7"/>
        <v>#VALUE!</v>
      </c>
      <c r="Y25" s="170" t="e">
        <f t="shared" si="8"/>
        <v>#VALUE!</v>
      </c>
    </row>
    <row r="26" spans="2:25" x14ac:dyDescent="0.25">
      <c r="B26" s="58">
        <v>11</v>
      </c>
      <c r="C26" s="72">
        <f>Parameters!$C$42*EXP(Parameters!$D$42*B26)</f>
        <v>0.98491964436970747</v>
      </c>
      <c r="D26" s="70" t="e">
        <f t="shared" si="9"/>
        <v>#VALUE!</v>
      </c>
      <c r="E26" s="70" t="e">
        <f t="shared" si="0"/>
        <v>#VALUE!</v>
      </c>
      <c r="G26" s="58">
        <v>11</v>
      </c>
      <c r="H26" s="72">
        <f>Parameters!$C$42*EXP(Parameters!$D$42*G26)</f>
        <v>0.98491964436970747</v>
      </c>
      <c r="I26" s="70" t="e">
        <f t="shared" si="1"/>
        <v>#VALUE!</v>
      </c>
      <c r="J26" s="170" t="e">
        <f t="shared" si="2"/>
        <v>#VALUE!</v>
      </c>
      <c r="L26" s="58">
        <v>11</v>
      </c>
      <c r="M26" s="72">
        <f>Parameters!$C$42*EXP(Parameters!$D$42*L26)</f>
        <v>0.98491964436970747</v>
      </c>
      <c r="N26" s="70" t="e">
        <f>-$N$10*(1-M26)</f>
        <v>#VALUE!</v>
      </c>
      <c r="O26" s="170" t="e">
        <f t="shared" si="4"/>
        <v>#VALUE!</v>
      </c>
      <c r="Q26" s="58">
        <v>11</v>
      </c>
      <c r="R26" s="72">
        <f>Parameters!$C$42*EXP(Parameters!$D$42*Q26)</f>
        <v>0.98491964436970747</v>
      </c>
      <c r="S26" s="70" t="e">
        <f t="shared" si="5"/>
        <v>#VALUE!</v>
      </c>
      <c r="T26" s="171" t="e">
        <f t="shared" si="6"/>
        <v>#VALUE!</v>
      </c>
      <c r="V26" s="58">
        <v>11</v>
      </c>
      <c r="W26" s="72">
        <f>Parameters!$C$42*EXP(Parameters!$D$42*V26)</f>
        <v>0.98491964436970747</v>
      </c>
      <c r="X26" s="70" t="e">
        <f t="shared" si="7"/>
        <v>#VALUE!</v>
      </c>
      <c r="Y26" s="170" t="e">
        <f t="shared" si="8"/>
        <v>#VALUE!</v>
      </c>
    </row>
    <row r="27" spans="2:25" x14ac:dyDescent="0.25">
      <c r="B27" s="58">
        <v>12</v>
      </c>
      <c r="C27" s="72">
        <f>Parameters!$C$42*EXP(Parameters!$D$42*B27)</f>
        <v>0.97317124004374045</v>
      </c>
      <c r="D27" s="70" t="e">
        <f t="shared" si="9"/>
        <v>#VALUE!</v>
      </c>
      <c r="E27" s="70" t="e">
        <f>$D$10+D27</f>
        <v>#VALUE!</v>
      </c>
      <c r="G27" s="58">
        <v>12</v>
      </c>
      <c r="H27" s="72">
        <f>Parameters!$C$42*EXP(Parameters!$D$42*G27)</f>
        <v>0.97317124004374045</v>
      </c>
      <c r="I27" s="70" t="e">
        <f t="shared" si="1"/>
        <v>#VALUE!</v>
      </c>
      <c r="J27" s="170" t="e">
        <f t="shared" si="2"/>
        <v>#VALUE!</v>
      </c>
      <c r="L27" s="58">
        <v>12</v>
      </c>
      <c r="M27" s="72">
        <f>Parameters!$C$42*EXP(Parameters!$D$42*L27)</f>
        <v>0.97317124004374045</v>
      </c>
      <c r="N27" s="70" t="e">
        <f t="shared" si="3"/>
        <v>#VALUE!</v>
      </c>
      <c r="O27" s="170" t="e">
        <f>$N$10+N27</f>
        <v>#VALUE!</v>
      </c>
      <c r="Q27" s="58">
        <v>12</v>
      </c>
      <c r="R27" s="72">
        <f>Parameters!$C$42*EXP(Parameters!$D$42*Q27)</f>
        <v>0.97317124004374045</v>
      </c>
      <c r="S27" s="70" t="e">
        <f t="shared" si="5"/>
        <v>#VALUE!</v>
      </c>
      <c r="T27" s="171" t="e">
        <f t="shared" si="6"/>
        <v>#VALUE!</v>
      </c>
      <c r="V27" s="58">
        <v>12</v>
      </c>
      <c r="W27" s="72">
        <f>Parameters!$C$42*EXP(Parameters!$D$42*V27)</f>
        <v>0.97317124004374045</v>
      </c>
      <c r="X27" s="70" t="e">
        <f t="shared" si="7"/>
        <v>#VALUE!</v>
      </c>
      <c r="Y27" s="170" t="e">
        <f t="shared" si="8"/>
        <v>#VALUE!</v>
      </c>
    </row>
    <row r="28" spans="2:25" x14ac:dyDescent="0.25">
      <c r="B28" s="58">
        <v>13</v>
      </c>
      <c r="C28" s="72">
        <f>Parameters!$C$42*EXP(Parameters!$D$42*B28)</f>
        <v>0.96156297405798752</v>
      </c>
      <c r="D28" s="70" t="e">
        <f t="shared" si="9"/>
        <v>#VALUE!</v>
      </c>
      <c r="E28" s="70" t="e">
        <f t="shared" si="0"/>
        <v>#VALUE!</v>
      </c>
      <c r="G28" s="58">
        <v>13</v>
      </c>
      <c r="H28" s="72">
        <f>Parameters!$C$42*EXP(Parameters!$D$42*G28)</f>
        <v>0.96156297405798752</v>
      </c>
      <c r="I28" s="70" t="e">
        <f t="shared" si="1"/>
        <v>#VALUE!</v>
      </c>
      <c r="J28" s="170" t="e">
        <f t="shared" si="2"/>
        <v>#VALUE!</v>
      </c>
      <c r="L28" s="58">
        <v>13</v>
      </c>
      <c r="M28" s="72">
        <f>Parameters!$C$42*EXP(Parameters!$D$42*L28)</f>
        <v>0.96156297405798752</v>
      </c>
      <c r="N28" s="70" t="e">
        <f t="shared" si="3"/>
        <v>#VALUE!</v>
      </c>
      <c r="O28" s="170" t="e">
        <f>$N$10+N28</f>
        <v>#VALUE!</v>
      </c>
      <c r="Q28" s="58">
        <v>13</v>
      </c>
      <c r="R28" s="72">
        <f>Parameters!$C$42*EXP(Parameters!$D$42*Q28)</f>
        <v>0.96156297405798752</v>
      </c>
      <c r="S28" s="70" t="e">
        <f t="shared" si="5"/>
        <v>#VALUE!</v>
      </c>
      <c r="T28" s="171" t="e">
        <f t="shared" si="6"/>
        <v>#VALUE!</v>
      </c>
      <c r="V28" s="58">
        <v>13</v>
      </c>
      <c r="W28" s="72">
        <f>Parameters!$C$42*EXP(Parameters!$D$42*V28)</f>
        <v>0.96156297405798752</v>
      </c>
      <c r="X28" s="70" t="e">
        <f t="shared" si="7"/>
        <v>#VALUE!</v>
      </c>
      <c r="Y28" s="170" t="e">
        <f t="shared" si="8"/>
        <v>#VALUE!</v>
      </c>
    </row>
    <row r="29" spans="2:25" x14ac:dyDescent="0.25">
      <c r="B29" s="58">
        <v>14</v>
      </c>
      <c r="C29" s="72">
        <f>Parameters!$C$42*EXP(Parameters!$D$42*B29)</f>
        <v>0.95009317480208788</v>
      </c>
      <c r="D29" s="70" t="e">
        <f t="shared" si="9"/>
        <v>#VALUE!</v>
      </c>
      <c r="E29" s="70" t="e">
        <f t="shared" si="0"/>
        <v>#VALUE!</v>
      </c>
      <c r="G29" s="58">
        <v>14</v>
      </c>
      <c r="H29" s="72">
        <f>Parameters!$C$42*EXP(Parameters!$D$42*G29)</f>
        <v>0.95009317480208788</v>
      </c>
      <c r="I29" s="70" t="e">
        <f t="shared" si="1"/>
        <v>#VALUE!</v>
      </c>
      <c r="J29" s="170" t="e">
        <f t="shared" si="2"/>
        <v>#VALUE!</v>
      </c>
      <c r="L29" s="58">
        <v>14</v>
      </c>
      <c r="M29" s="72">
        <f>Parameters!$C$42*EXP(Parameters!$D$42*L29)</f>
        <v>0.95009317480208788</v>
      </c>
      <c r="N29" s="70" t="e">
        <f t="shared" si="3"/>
        <v>#VALUE!</v>
      </c>
      <c r="O29" s="170" t="e">
        <f>$N$10+N29</f>
        <v>#VALUE!</v>
      </c>
      <c r="Q29" s="58">
        <v>14</v>
      </c>
      <c r="R29" s="72">
        <f>Parameters!$C$42*EXP(Parameters!$D$42*Q29)</f>
        <v>0.95009317480208788</v>
      </c>
      <c r="S29" s="70" t="e">
        <f t="shared" si="5"/>
        <v>#VALUE!</v>
      </c>
      <c r="T29" s="171" t="e">
        <f t="shared" si="6"/>
        <v>#VALUE!</v>
      </c>
      <c r="V29" s="58">
        <v>14</v>
      </c>
      <c r="W29" s="72">
        <f>Parameters!$C$42*EXP(Parameters!$D$42*V29)</f>
        <v>0.95009317480208788</v>
      </c>
      <c r="X29" s="70" t="e">
        <f t="shared" si="7"/>
        <v>#VALUE!</v>
      </c>
      <c r="Y29" s="170" t="e">
        <f t="shared" si="8"/>
        <v>#VALUE!</v>
      </c>
    </row>
    <row r="30" spans="2:25" x14ac:dyDescent="0.25">
      <c r="B30" s="58">
        <v>15</v>
      </c>
      <c r="C30" s="72">
        <f>Parameters!$C$42*EXP(Parameters!$D$42*B30)</f>
        <v>0.9387601906051285</v>
      </c>
      <c r="D30" s="70" t="e">
        <f t="shared" si="9"/>
        <v>#VALUE!</v>
      </c>
      <c r="E30" s="70" t="e">
        <f t="shared" si="0"/>
        <v>#VALUE!</v>
      </c>
      <c r="G30" s="58">
        <v>15</v>
      </c>
      <c r="H30" s="72">
        <f>Parameters!$C$42*EXP(Parameters!$D$42*G30)</f>
        <v>0.9387601906051285</v>
      </c>
      <c r="I30" s="70" t="e">
        <f t="shared" si="1"/>
        <v>#VALUE!</v>
      </c>
      <c r="J30" s="170" t="e">
        <f t="shared" si="2"/>
        <v>#VALUE!</v>
      </c>
      <c r="L30" s="58">
        <v>15</v>
      </c>
      <c r="M30" s="72">
        <f>Parameters!$C$42*EXP(Parameters!$D$42*L30)</f>
        <v>0.9387601906051285</v>
      </c>
      <c r="N30" s="70" t="e">
        <f t="shared" si="3"/>
        <v>#VALUE!</v>
      </c>
      <c r="O30" s="170" t="e">
        <f>$N$10+N30</f>
        <v>#VALUE!</v>
      </c>
      <c r="Q30" s="58">
        <v>15</v>
      </c>
      <c r="R30" s="72">
        <f>Parameters!$C$42*EXP(Parameters!$D$42*Q30)</f>
        <v>0.9387601906051285</v>
      </c>
      <c r="S30" s="70" t="e">
        <f t="shared" si="5"/>
        <v>#VALUE!</v>
      </c>
      <c r="T30" s="171" t="e">
        <f t="shared" si="6"/>
        <v>#VALUE!</v>
      </c>
      <c r="V30" s="58">
        <v>15</v>
      </c>
      <c r="W30" s="72">
        <f>Parameters!$C$42*EXP(Parameters!$D$42*V30)</f>
        <v>0.9387601906051285</v>
      </c>
      <c r="X30" s="70" t="e">
        <f t="shared" si="7"/>
        <v>#VALUE!</v>
      </c>
      <c r="Y30" s="170" t="e">
        <f t="shared" si="8"/>
        <v>#VALUE!</v>
      </c>
    </row>
    <row r="31" spans="2:25" x14ac:dyDescent="0.25">
      <c r="B31" s="58">
        <v>16</v>
      </c>
      <c r="C31" s="72">
        <f>Parameters!$C$42*EXP(Parameters!$D$42*B31)</f>
        <v>0.92756238949780168</v>
      </c>
      <c r="D31" s="70" t="e">
        <f t="shared" si="9"/>
        <v>#VALUE!</v>
      </c>
      <c r="E31" s="70" t="e">
        <f t="shared" si="0"/>
        <v>#VALUE!</v>
      </c>
      <c r="G31" s="58">
        <v>16</v>
      </c>
      <c r="H31" s="72">
        <f>Parameters!$C$42*EXP(Parameters!$D$42*G31)</f>
        <v>0.92756238949780168</v>
      </c>
      <c r="I31" s="70" t="e">
        <f t="shared" si="1"/>
        <v>#VALUE!</v>
      </c>
      <c r="J31" s="170" t="e">
        <f>$I$10+I31</f>
        <v>#VALUE!</v>
      </c>
      <c r="L31" s="58">
        <v>16</v>
      </c>
      <c r="M31" s="72">
        <f>Parameters!$C$42*EXP(Parameters!$D$42*L31)</f>
        <v>0.92756238949780168</v>
      </c>
      <c r="N31" s="70" t="e">
        <f t="shared" si="3"/>
        <v>#VALUE!</v>
      </c>
      <c r="O31" s="170" t="e">
        <f t="shared" si="4"/>
        <v>#VALUE!</v>
      </c>
      <c r="Q31" s="58">
        <v>16</v>
      </c>
      <c r="R31" s="72">
        <f>Parameters!$C$42*EXP(Parameters!$D$42*Q31)</f>
        <v>0.92756238949780168</v>
      </c>
      <c r="S31" s="70" t="e">
        <f t="shared" si="5"/>
        <v>#VALUE!</v>
      </c>
      <c r="T31" s="171" t="e">
        <f t="shared" si="6"/>
        <v>#VALUE!</v>
      </c>
      <c r="V31" s="58">
        <v>16</v>
      </c>
      <c r="W31" s="72">
        <f>Parameters!$C$42*EXP(Parameters!$D$42*V31)</f>
        <v>0.92756238949780168</v>
      </c>
      <c r="X31" s="70" t="e">
        <f t="shared" si="7"/>
        <v>#VALUE!</v>
      </c>
      <c r="Y31" s="170" t="e">
        <f t="shared" si="8"/>
        <v>#VALUE!</v>
      </c>
    </row>
    <row r="32" spans="2:25" x14ac:dyDescent="0.25">
      <c r="B32" s="58">
        <v>17</v>
      </c>
      <c r="C32" s="72">
        <f>Parameters!$C$42*EXP(Parameters!$D$42*B32)</f>
        <v>0.91649815897739817</v>
      </c>
      <c r="D32" s="70" t="e">
        <f t="shared" si="9"/>
        <v>#VALUE!</v>
      </c>
      <c r="E32" s="70" t="e">
        <f t="shared" si="0"/>
        <v>#VALUE!</v>
      </c>
      <c r="G32" s="58">
        <v>17</v>
      </c>
      <c r="H32" s="72">
        <f>Parameters!$C$42*EXP(Parameters!$D$42*G32)</f>
        <v>0.91649815897739817</v>
      </c>
      <c r="I32" s="70" t="e">
        <f t="shared" si="1"/>
        <v>#VALUE!</v>
      </c>
      <c r="J32" s="170" t="e">
        <f>$I$10+I32</f>
        <v>#VALUE!</v>
      </c>
      <c r="L32" s="58">
        <v>17</v>
      </c>
      <c r="M32" s="72">
        <f>Parameters!$C$42*EXP(Parameters!$D$42*L32)</f>
        <v>0.91649815897739817</v>
      </c>
      <c r="N32" s="70" t="e">
        <f t="shared" si="3"/>
        <v>#VALUE!</v>
      </c>
      <c r="O32" s="170" t="e">
        <f t="shared" si="4"/>
        <v>#VALUE!</v>
      </c>
      <c r="Q32" s="58">
        <v>17</v>
      </c>
      <c r="R32" s="72">
        <f>Parameters!$C$42*EXP(Parameters!$D$42*Q32)</f>
        <v>0.91649815897739817</v>
      </c>
      <c r="S32" s="70" t="e">
        <f t="shared" si="5"/>
        <v>#VALUE!</v>
      </c>
      <c r="T32" s="171" t="e">
        <f t="shared" si="6"/>
        <v>#VALUE!</v>
      </c>
      <c r="V32" s="58">
        <v>17</v>
      </c>
      <c r="W32" s="72">
        <f>Parameters!$C$42*EXP(Parameters!$D$42*V32)</f>
        <v>0.91649815897739817</v>
      </c>
      <c r="X32" s="70" t="e">
        <f t="shared" si="7"/>
        <v>#VALUE!</v>
      </c>
      <c r="Y32" s="170" t="e">
        <f t="shared" si="8"/>
        <v>#VALUE!</v>
      </c>
    </row>
    <row r="33" spans="2:25" x14ac:dyDescent="0.25">
      <c r="B33" s="58">
        <v>18</v>
      </c>
      <c r="C33" s="72">
        <f>Parameters!$C$42*EXP(Parameters!$D$42*B33)</f>
        <v>0.9055659057756037</v>
      </c>
      <c r="D33" s="70" t="e">
        <f t="shared" si="9"/>
        <v>#VALUE!</v>
      </c>
      <c r="E33" s="70" t="e">
        <f t="shared" si="0"/>
        <v>#VALUE!</v>
      </c>
      <c r="G33" s="58">
        <v>18</v>
      </c>
      <c r="H33" s="72">
        <f>Parameters!$C$42*EXP(Parameters!$D$42*G33)</f>
        <v>0.9055659057756037</v>
      </c>
      <c r="I33" s="70" t="e">
        <f t="shared" si="1"/>
        <v>#VALUE!</v>
      </c>
      <c r="J33" s="170" t="e">
        <f>$I$10+I33</f>
        <v>#VALUE!</v>
      </c>
      <c r="L33" s="58">
        <v>18</v>
      </c>
      <c r="M33" s="72">
        <f>Parameters!$C$42*EXP(Parameters!$D$42*L33)</f>
        <v>0.9055659057756037</v>
      </c>
      <c r="N33" s="70" t="e">
        <f t="shared" si="3"/>
        <v>#VALUE!</v>
      </c>
      <c r="O33" s="170" t="e">
        <f t="shared" si="4"/>
        <v>#VALUE!</v>
      </c>
      <c r="Q33" s="58">
        <v>18</v>
      </c>
      <c r="R33" s="72">
        <f>Parameters!$C$42*EXP(Parameters!$D$42*Q33)</f>
        <v>0.9055659057756037</v>
      </c>
      <c r="S33" s="70" t="e">
        <f t="shared" si="5"/>
        <v>#VALUE!</v>
      </c>
      <c r="T33" s="171" t="e">
        <f t="shared" si="6"/>
        <v>#VALUE!</v>
      </c>
      <c r="V33" s="58">
        <v>18</v>
      </c>
      <c r="W33" s="72">
        <f>Parameters!$C$42*EXP(Parameters!$D$42*V33)</f>
        <v>0.9055659057756037</v>
      </c>
      <c r="X33" s="70" t="e">
        <f t="shared" si="7"/>
        <v>#VALUE!</v>
      </c>
      <c r="Y33" s="170" t="e">
        <f t="shared" si="8"/>
        <v>#VALUE!</v>
      </c>
    </row>
    <row r="34" spans="2:25" x14ac:dyDescent="0.25">
      <c r="B34" s="58">
        <v>19</v>
      </c>
      <c r="C34" s="72">
        <f>Parameters!$C$42*EXP(Parameters!$D$42*B34)</f>
        <v>0.89476405562906636</v>
      </c>
      <c r="D34" s="70" t="e">
        <f t="shared" si="9"/>
        <v>#VALUE!</v>
      </c>
      <c r="E34" s="70" t="e">
        <f t="shared" si="0"/>
        <v>#VALUE!</v>
      </c>
      <c r="G34" s="58">
        <v>19</v>
      </c>
      <c r="H34" s="72">
        <f>Parameters!$C$42*EXP(Parameters!$D$42*G34)</f>
        <v>0.89476405562906636</v>
      </c>
      <c r="I34" s="70" t="e">
        <f t="shared" si="1"/>
        <v>#VALUE!</v>
      </c>
      <c r="J34" s="170" t="e">
        <f>$I$10+I34</f>
        <v>#VALUE!</v>
      </c>
      <c r="L34" s="58">
        <v>19</v>
      </c>
      <c r="M34" s="72">
        <f>Parameters!$C$42*EXP(Parameters!$D$42*L34)</f>
        <v>0.89476405562906636</v>
      </c>
      <c r="N34" s="70" t="e">
        <f t="shared" si="3"/>
        <v>#VALUE!</v>
      </c>
      <c r="O34" s="170" t="e">
        <f t="shared" si="4"/>
        <v>#VALUE!</v>
      </c>
      <c r="Q34" s="58">
        <v>19</v>
      </c>
      <c r="R34" s="72">
        <f>Parameters!$C$42*EXP(Parameters!$D$42*Q34)</f>
        <v>0.89476405562906636</v>
      </c>
      <c r="S34" s="70" t="e">
        <f t="shared" si="5"/>
        <v>#VALUE!</v>
      </c>
      <c r="T34" s="171" t="e">
        <f t="shared" si="6"/>
        <v>#VALUE!</v>
      </c>
      <c r="V34" s="58">
        <v>19</v>
      </c>
      <c r="W34" s="72">
        <f>Parameters!$C$42*EXP(Parameters!$D$42*V34)</f>
        <v>0.89476405562906636</v>
      </c>
      <c r="X34" s="70" t="e">
        <f t="shared" si="7"/>
        <v>#VALUE!</v>
      </c>
      <c r="Y34" s="170" t="e">
        <f t="shared" si="8"/>
        <v>#VALUE!</v>
      </c>
    </row>
    <row r="35" spans="2:25" x14ac:dyDescent="0.25">
      <c r="B35" s="58">
        <v>20</v>
      </c>
      <c r="C35" s="72">
        <f>Parameters!$C$42*EXP(Parameters!$D$42*B35)</f>
        <v>0.88409105305269942</v>
      </c>
      <c r="D35" s="70" t="e">
        <f t="shared" si="9"/>
        <v>#VALUE!</v>
      </c>
      <c r="E35" s="70" t="e">
        <f t="shared" si="0"/>
        <v>#VALUE!</v>
      </c>
      <c r="G35" s="58">
        <v>20</v>
      </c>
      <c r="H35" s="72">
        <f>Parameters!$C$42*EXP(Parameters!$D$42*G35)</f>
        <v>0.88409105305269942</v>
      </c>
      <c r="I35" s="70" t="e">
        <f>-$I$10*(1-H35)</f>
        <v>#VALUE!</v>
      </c>
      <c r="J35" s="170" t="e">
        <f t="shared" si="2"/>
        <v>#VALUE!</v>
      </c>
      <c r="L35" s="58">
        <v>20</v>
      </c>
      <c r="M35" s="72">
        <f>Parameters!$C$42*EXP(Parameters!$D$42*L35)</f>
        <v>0.88409105305269942</v>
      </c>
      <c r="N35" s="70" t="e">
        <f t="shared" si="3"/>
        <v>#VALUE!</v>
      </c>
      <c r="O35" s="170" t="e">
        <f t="shared" si="4"/>
        <v>#VALUE!</v>
      </c>
      <c r="Q35" s="58">
        <v>20</v>
      </c>
      <c r="R35" s="72">
        <f>Parameters!$C$42*EXP(Parameters!$D$42*Q35)</f>
        <v>0.88409105305269942</v>
      </c>
      <c r="S35" s="70" t="e">
        <f t="shared" si="5"/>
        <v>#VALUE!</v>
      </c>
      <c r="T35" s="171" t="e">
        <f t="shared" si="6"/>
        <v>#VALUE!</v>
      </c>
      <c r="V35" s="58">
        <v>20</v>
      </c>
      <c r="W35" s="72">
        <f>Parameters!$C$42*EXP(Parameters!$D$42*V35)</f>
        <v>0.88409105305269942</v>
      </c>
      <c r="X35" s="70" t="e">
        <f t="shared" si="7"/>
        <v>#VALUE!</v>
      </c>
      <c r="Y35" s="170" t="e">
        <f t="shared" si="8"/>
        <v>#VALUE!</v>
      </c>
    </row>
  </sheetData>
  <sheetProtection algorithmName="SHA-512" hashValue="z5zNnmxYjHC/7dcAqxhcUh4L2VR74xTs0zyEyG/AgadSSW+3sfryKlrr0gPbYWs/p1zMvlqkaiWi49kpcfjVCw==" saltValue="/QeYq8b8EWyaow/5oPtwjg==" spinCount="100000" sheet="1" objects="1" scenarios="1"/>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V155"/>
  <sheetViews>
    <sheetView zoomScale="70" zoomScaleNormal="70" workbookViewId="0">
      <selection activeCell="J8" sqref="J8"/>
    </sheetView>
  </sheetViews>
  <sheetFormatPr defaultColWidth="9.1796875" defaultRowHeight="14.5" x14ac:dyDescent="0.35"/>
  <cols>
    <col min="1" max="1" width="2.1796875" style="176" customWidth="1"/>
    <col min="2" max="2" width="4.7265625" style="176" customWidth="1"/>
    <col min="3" max="3" width="3.26953125" style="176" customWidth="1"/>
    <col min="4" max="4" width="20.26953125" style="176" customWidth="1"/>
    <col min="5" max="5" width="9.54296875" style="176" bestFit="1" customWidth="1"/>
    <col min="6" max="14" width="9.1796875" style="176"/>
    <col min="15" max="16" width="13.26953125" style="176" customWidth="1"/>
    <col min="17" max="16384" width="9.1796875" style="176"/>
  </cols>
  <sheetData>
    <row r="1" spans="2:10" x14ac:dyDescent="0.35">
      <c r="D1" s="177"/>
    </row>
    <row r="2" spans="2:10" ht="21" x14ac:dyDescent="0.5">
      <c r="B2" s="178" t="s">
        <v>134</v>
      </c>
    </row>
    <row r="4" spans="2:10" ht="18.5" x14ac:dyDescent="0.45">
      <c r="D4" s="179" t="s">
        <v>135</v>
      </c>
      <c r="F4" s="180" t="s">
        <v>136</v>
      </c>
    </row>
    <row r="5" spans="2:10" x14ac:dyDescent="0.35">
      <c r="D5" s="181" t="s">
        <v>137</v>
      </c>
      <c r="E5" s="176">
        <v>0</v>
      </c>
      <c r="F5" s="176">
        <v>10</v>
      </c>
      <c r="G5" s="176">
        <v>20</v>
      </c>
      <c r="H5" s="176">
        <v>30</v>
      </c>
      <c r="I5" s="176">
        <v>40</v>
      </c>
      <c r="J5" s="176">
        <v>50</v>
      </c>
    </row>
    <row r="6" spans="2:10" x14ac:dyDescent="0.35">
      <c r="C6" s="182" t="s">
        <v>138</v>
      </c>
    </row>
    <row r="7" spans="2:10" x14ac:dyDescent="0.35">
      <c r="C7" s="176" t="s">
        <v>139</v>
      </c>
    </row>
    <row r="8" spans="2:10" x14ac:dyDescent="0.35">
      <c r="D8" s="180" t="s">
        <v>140</v>
      </c>
      <c r="E8" s="176">
        <v>0</v>
      </c>
      <c r="F8" s="176">
        <v>0.11</v>
      </c>
      <c r="G8" s="176">
        <v>0.3</v>
      </c>
      <c r="H8" s="176">
        <v>0.47</v>
      </c>
      <c r="I8" s="176">
        <v>0.53</v>
      </c>
      <c r="J8" s="176">
        <v>0.53</v>
      </c>
    </row>
    <row r="9" spans="2:10" x14ac:dyDescent="0.35">
      <c r="D9" s="180" t="s">
        <v>141</v>
      </c>
      <c r="E9" s="176">
        <v>0</v>
      </c>
      <c r="F9" s="176">
        <v>0.28000000000000003</v>
      </c>
      <c r="G9" s="176">
        <v>0.41</v>
      </c>
      <c r="H9" s="176">
        <v>0.54</v>
      </c>
      <c r="I9" s="176">
        <v>0.63</v>
      </c>
      <c r="J9" s="176">
        <v>0.68</v>
      </c>
    </row>
    <row r="10" spans="2:10" x14ac:dyDescent="0.35">
      <c r="C10" s="176" t="s">
        <v>142</v>
      </c>
    </row>
    <row r="11" spans="2:10" x14ac:dyDescent="0.35">
      <c r="D11" s="180" t="s">
        <v>140</v>
      </c>
      <c r="E11" s="176">
        <v>0</v>
      </c>
      <c r="F11" s="176">
        <v>-0.09</v>
      </c>
      <c r="G11" s="176">
        <v>0.11</v>
      </c>
      <c r="H11" s="176">
        <v>0.31</v>
      </c>
      <c r="I11" s="176">
        <v>0.38</v>
      </c>
      <c r="J11" s="176">
        <v>0.38</v>
      </c>
    </row>
    <row r="12" spans="2:10" x14ac:dyDescent="0.35">
      <c r="D12" s="180" t="s">
        <v>141</v>
      </c>
      <c r="E12" s="176">
        <v>0</v>
      </c>
      <c r="F12" s="176">
        <v>-0.12</v>
      </c>
      <c r="G12" s="176">
        <v>-0.04</v>
      </c>
      <c r="H12" s="176">
        <v>0.16</v>
      </c>
      <c r="I12" s="176">
        <v>0.31</v>
      </c>
      <c r="J12" s="176">
        <v>0.39</v>
      </c>
    </row>
    <row r="13" spans="2:10" x14ac:dyDescent="0.35">
      <c r="C13" s="176" t="s">
        <v>143</v>
      </c>
    </row>
    <row r="14" spans="2:10" x14ac:dyDescent="0.35">
      <c r="D14" s="180" t="s">
        <v>140</v>
      </c>
      <c r="E14" s="176">
        <v>0</v>
      </c>
      <c r="F14" s="176">
        <v>0.68</v>
      </c>
      <c r="G14" s="176">
        <v>0.87</v>
      </c>
      <c r="H14" s="176">
        <v>0.93</v>
      </c>
      <c r="I14" s="176">
        <v>0.96</v>
      </c>
      <c r="J14" s="176">
        <v>0.97</v>
      </c>
    </row>
    <row r="15" spans="2:10" x14ac:dyDescent="0.35">
      <c r="D15" s="180" t="s">
        <v>141</v>
      </c>
      <c r="E15" s="176">
        <v>0</v>
      </c>
      <c r="F15" s="176">
        <v>0.68</v>
      </c>
      <c r="G15" s="176">
        <v>0.87</v>
      </c>
      <c r="H15" s="176">
        <v>0.93</v>
      </c>
      <c r="I15" s="176">
        <v>0.96</v>
      </c>
      <c r="J15" s="176">
        <v>0.97</v>
      </c>
    </row>
    <row r="16" spans="2:10" x14ac:dyDescent="0.35">
      <c r="D16" s="180"/>
    </row>
    <row r="17" spans="3:14" x14ac:dyDescent="0.35">
      <c r="C17" s="182" t="s">
        <v>144</v>
      </c>
    </row>
    <row r="18" spans="3:14" x14ac:dyDescent="0.35">
      <c r="C18" s="176" t="s">
        <v>139</v>
      </c>
    </row>
    <row r="19" spans="3:14" x14ac:dyDescent="0.35">
      <c r="D19" s="180" t="s">
        <v>140</v>
      </c>
      <c r="E19" s="176">
        <f>1-E8</f>
        <v>1</v>
      </c>
      <c r="F19" s="176">
        <f t="shared" ref="F19:J20" si="0">1-F8</f>
        <v>0.89</v>
      </c>
      <c r="G19" s="176">
        <f t="shared" si="0"/>
        <v>0.7</v>
      </c>
      <c r="H19" s="176">
        <f t="shared" si="0"/>
        <v>0.53</v>
      </c>
      <c r="I19" s="176">
        <f t="shared" si="0"/>
        <v>0.47</v>
      </c>
      <c r="J19" s="176">
        <f t="shared" si="0"/>
        <v>0.47</v>
      </c>
    </row>
    <row r="20" spans="3:14" x14ac:dyDescent="0.35">
      <c r="D20" s="180" t="s">
        <v>141</v>
      </c>
      <c r="E20" s="176">
        <f>1-E9</f>
        <v>1</v>
      </c>
      <c r="F20" s="176">
        <f t="shared" si="0"/>
        <v>0.72</v>
      </c>
      <c r="G20" s="176">
        <f t="shared" si="0"/>
        <v>0.59000000000000008</v>
      </c>
      <c r="H20" s="176">
        <f t="shared" si="0"/>
        <v>0.45999999999999996</v>
      </c>
      <c r="I20" s="176">
        <f t="shared" si="0"/>
        <v>0.37</v>
      </c>
      <c r="J20" s="176">
        <f t="shared" si="0"/>
        <v>0.31999999999999995</v>
      </c>
    </row>
    <row r="21" spans="3:14" x14ac:dyDescent="0.35">
      <c r="C21" s="176" t="s">
        <v>142</v>
      </c>
    </row>
    <row r="22" spans="3:14" x14ac:dyDescent="0.35">
      <c r="D22" s="180" t="s">
        <v>140</v>
      </c>
      <c r="E22" s="176">
        <f>1-E11</f>
        <v>1</v>
      </c>
      <c r="F22" s="176">
        <f t="shared" ref="F22:J23" si="1">1-F11</f>
        <v>1.0900000000000001</v>
      </c>
      <c r="G22" s="176">
        <f t="shared" si="1"/>
        <v>0.89</v>
      </c>
      <c r="H22" s="176">
        <f t="shared" si="1"/>
        <v>0.69</v>
      </c>
      <c r="I22" s="176">
        <f t="shared" si="1"/>
        <v>0.62</v>
      </c>
      <c r="J22" s="176">
        <f t="shared" si="1"/>
        <v>0.62</v>
      </c>
    </row>
    <row r="23" spans="3:14" x14ac:dyDescent="0.35">
      <c r="D23" s="180" t="s">
        <v>141</v>
      </c>
      <c r="E23" s="176">
        <f>1-E12</f>
        <v>1</v>
      </c>
      <c r="F23" s="176">
        <f t="shared" si="1"/>
        <v>1.1200000000000001</v>
      </c>
      <c r="G23" s="176">
        <f t="shared" si="1"/>
        <v>1.04</v>
      </c>
      <c r="H23" s="176">
        <f t="shared" si="1"/>
        <v>0.84</v>
      </c>
      <c r="I23" s="176">
        <f t="shared" si="1"/>
        <v>0.69</v>
      </c>
      <c r="J23" s="176">
        <f t="shared" si="1"/>
        <v>0.61</v>
      </c>
    </row>
    <row r="24" spans="3:14" x14ac:dyDescent="0.35">
      <c r="C24" s="176" t="s">
        <v>143</v>
      </c>
    </row>
    <row r="25" spans="3:14" x14ac:dyDescent="0.35">
      <c r="D25" s="180" t="s">
        <v>140</v>
      </c>
      <c r="E25" s="176">
        <f>1-E14</f>
        <v>1</v>
      </c>
      <c r="F25" s="176">
        <f>1-F14</f>
        <v>0.31999999999999995</v>
      </c>
      <c r="G25" s="176">
        <f t="shared" ref="G25:J26" si="2">1-G14</f>
        <v>0.13</v>
      </c>
      <c r="H25" s="176">
        <f t="shared" si="2"/>
        <v>6.9999999999999951E-2</v>
      </c>
      <c r="I25" s="176">
        <f t="shared" si="2"/>
        <v>4.0000000000000036E-2</v>
      </c>
      <c r="J25" s="176">
        <f t="shared" si="2"/>
        <v>3.0000000000000027E-2</v>
      </c>
    </row>
    <row r="26" spans="3:14" x14ac:dyDescent="0.35">
      <c r="D26" s="180" t="s">
        <v>141</v>
      </c>
      <c r="E26" s="176">
        <f>1-E15</f>
        <v>1</v>
      </c>
      <c r="F26" s="176">
        <f>1-F15</f>
        <v>0.31999999999999995</v>
      </c>
      <c r="G26" s="176">
        <f t="shared" si="2"/>
        <v>0.13</v>
      </c>
      <c r="H26" s="176">
        <f t="shared" si="2"/>
        <v>6.9999999999999951E-2</v>
      </c>
      <c r="I26" s="176">
        <f t="shared" si="2"/>
        <v>4.0000000000000036E-2</v>
      </c>
      <c r="J26" s="176">
        <f t="shared" si="2"/>
        <v>3.0000000000000027E-2</v>
      </c>
    </row>
    <row r="28" spans="3:14" x14ac:dyDescent="0.35">
      <c r="C28" s="182" t="s">
        <v>145</v>
      </c>
      <c r="E28" s="183">
        <v>0</v>
      </c>
      <c r="F28" s="183">
        <v>10</v>
      </c>
      <c r="G28" s="183">
        <v>20</v>
      </c>
      <c r="H28" s="183">
        <v>30</v>
      </c>
      <c r="I28" s="183">
        <v>40</v>
      </c>
      <c r="J28" s="183">
        <v>50</v>
      </c>
      <c r="K28" s="183">
        <v>60</v>
      </c>
      <c r="L28" s="183">
        <v>70</v>
      </c>
      <c r="M28" s="183">
        <v>80</v>
      </c>
      <c r="N28" s="183">
        <v>90</v>
      </c>
    </row>
    <row r="29" spans="3:14" x14ac:dyDescent="0.35">
      <c r="D29" s="176" t="s">
        <v>146</v>
      </c>
      <c r="E29" s="184">
        <f t="shared" ref="E29:J29" si="3">AVERAGE(E22:E23)</f>
        <v>1</v>
      </c>
      <c r="F29" s="184">
        <f>AVERAGE(F22:F23)</f>
        <v>1.105</v>
      </c>
      <c r="G29" s="184">
        <f t="shared" si="3"/>
        <v>0.96500000000000008</v>
      </c>
      <c r="H29" s="184">
        <f t="shared" si="3"/>
        <v>0.7649999999999999</v>
      </c>
      <c r="I29" s="184">
        <f t="shared" si="3"/>
        <v>0.65500000000000003</v>
      </c>
      <c r="J29" s="184">
        <f t="shared" si="3"/>
        <v>0.61499999999999999</v>
      </c>
    </row>
    <row r="30" spans="3:14" x14ac:dyDescent="0.35">
      <c r="D30" s="176" t="s">
        <v>147</v>
      </c>
      <c r="E30" s="185">
        <f>AVERAGE(E25:E26)</f>
        <v>1</v>
      </c>
      <c r="F30" s="185">
        <f>AVERAGE(F25:F26)</f>
        <v>0.31999999999999995</v>
      </c>
      <c r="G30" s="185">
        <f t="shared" ref="G30:J30" si="4">AVERAGE(G25:G26)</f>
        <v>0.13</v>
      </c>
      <c r="H30" s="185">
        <f t="shared" si="4"/>
        <v>6.9999999999999951E-2</v>
      </c>
      <c r="I30" s="185">
        <f t="shared" si="4"/>
        <v>4.0000000000000036E-2</v>
      </c>
      <c r="J30" s="185">
        <f t="shared" si="4"/>
        <v>3.0000000000000027E-2</v>
      </c>
    </row>
    <row r="31" spans="3:14" x14ac:dyDescent="0.35">
      <c r="E31" s="185"/>
      <c r="F31" s="185"/>
      <c r="G31" s="185"/>
      <c r="H31" s="185"/>
      <c r="I31" s="185"/>
      <c r="J31" s="185"/>
    </row>
    <row r="32" spans="3:14" x14ac:dyDescent="0.35">
      <c r="D32" s="336" t="s">
        <v>148</v>
      </c>
      <c r="E32" s="337"/>
      <c r="F32" s="338"/>
      <c r="G32" s="186"/>
      <c r="H32" s="187" t="s">
        <v>86</v>
      </c>
      <c r="I32" s="188">
        <f>1.1239</f>
        <v>1.1238999999999999</v>
      </c>
      <c r="J32" s="189"/>
      <c r="K32" s="190" t="s">
        <v>87</v>
      </c>
      <c r="L32" s="191">
        <v>-1.2E-2</v>
      </c>
    </row>
    <row r="34" spans="2:22" ht="21" x14ac:dyDescent="0.5">
      <c r="B34" s="178" t="s">
        <v>149</v>
      </c>
    </row>
    <row r="35" spans="2:22" ht="15" thickBot="1" x14ac:dyDescent="0.4"/>
    <row r="36" spans="2:22" ht="51.75" customHeight="1" thickBot="1" x14ac:dyDescent="0.4">
      <c r="D36" s="339" t="s">
        <v>150</v>
      </c>
      <c r="E36" s="340"/>
      <c r="F36" s="343" t="s">
        <v>151</v>
      </c>
      <c r="G36" s="344"/>
      <c r="H36" s="343" t="s">
        <v>120</v>
      </c>
      <c r="I36" s="344"/>
      <c r="J36" s="334" t="s">
        <v>152</v>
      </c>
      <c r="K36" s="335"/>
      <c r="L36" s="335"/>
      <c r="M36" s="335"/>
      <c r="N36" s="335"/>
      <c r="O36" s="335"/>
      <c r="P36" s="335"/>
      <c r="Q36" s="335"/>
      <c r="R36" s="335"/>
    </row>
    <row r="37" spans="2:22" ht="15" thickBot="1" x14ac:dyDescent="0.4">
      <c r="D37" s="341"/>
      <c r="E37" s="342"/>
      <c r="F37" s="345">
        <v>5</v>
      </c>
      <c r="G37" s="346"/>
      <c r="H37" s="347">
        <f>-LN(0.5)/F37</f>
        <v>0.13862943611198905</v>
      </c>
      <c r="I37" s="348"/>
      <c r="J37" s="334"/>
      <c r="K37" s="335"/>
      <c r="L37" s="335"/>
      <c r="M37" s="335"/>
      <c r="N37" s="335"/>
      <c r="O37" s="335"/>
      <c r="P37" s="335"/>
      <c r="Q37" s="335"/>
      <c r="R37" s="335"/>
    </row>
    <row r="38" spans="2:22" x14ac:dyDescent="0.35">
      <c r="E38" s="192"/>
      <c r="F38" s="193"/>
      <c r="K38" s="194"/>
      <c r="L38" s="194"/>
      <c r="M38" s="194"/>
    </row>
    <row r="39" spans="2:22" x14ac:dyDescent="0.35">
      <c r="D39" s="195" t="s">
        <v>153</v>
      </c>
      <c r="E39" s="196"/>
      <c r="K39" s="196"/>
      <c r="L39" s="196"/>
      <c r="M39" s="196"/>
    </row>
    <row r="40" spans="2:22" x14ac:dyDescent="0.35">
      <c r="D40" s="197" t="s">
        <v>154</v>
      </c>
      <c r="E40" s="196"/>
      <c r="K40" s="196"/>
      <c r="L40" s="196"/>
      <c r="M40" s="196"/>
    </row>
    <row r="41" spans="2:22" x14ac:dyDescent="0.35">
      <c r="D41" s="197" t="s">
        <v>155</v>
      </c>
      <c r="E41" s="196"/>
      <c r="K41" s="196"/>
      <c r="L41" s="196"/>
      <c r="M41" s="196"/>
    </row>
    <row r="42" spans="2:22" x14ac:dyDescent="0.35">
      <c r="D42" s="197" t="s">
        <v>156</v>
      </c>
      <c r="E42" s="196"/>
      <c r="K42" s="196"/>
      <c r="L42" s="196"/>
      <c r="M42" s="196"/>
    </row>
    <row r="43" spans="2:22" x14ac:dyDescent="0.35">
      <c r="D43" s="197" t="s">
        <v>157</v>
      </c>
    </row>
    <row r="46" spans="2:22" ht="21" x14ac:dyDescent="0.5">
      <c r="B46" s="178" t="s">
        <v>158</v>
      </c>
    </row>
    <row r="47" spans="2:22" ht="15.75" customHeight="1" thickBot="1" x14ac:dyDescent="0.55000000000000004">
      <c r="B47" s="178"/>
    </row>
    <row r="48" spans="2:22" ht="32.25" customHeight="1" thickBot="1" x14ac:dyDescent="0.4">
      <c r="I48" s="363" t="s">
        <v>196</v>
      </c>
      <c r="J48" s="364"/>
      <c r="K48" s="365"/>
      <c r="L48" s="365"/>
      <c r="M48" s="365"/>
      <c r="N48" s="365"/>
      <c r="O48" s="366"/>
      <c r="Q48" s="363" t="s">
        <v>116</v>
      </c>
      <c r="R48" s="364"/>
      <c r="S48" s="365"/>
      <c r="T48" s="365"/>
      <c r="U48" s="365"/>
      <c r="V48" s="366"/>
    </row>
    <row r="49" spans="4:22" ht="36" customHeight="1" x14ac:dyDescent="0.35">
      <c r="D49" s="198" t="s">
        <v>159</v>
      </c>
      <c r="E49" s="349" t="s">
        <v>196</v>
      </c>
      <c r="F49" s="349" t="s">
        <v>131</v>
      </c>
      <c r="G49" s="351" t="s">
        <v>116</v>
      </c>
      <c r="H49" s="367"/>
      <c r="I49" s="196"/>
      <c r="K49" s="353" t="s">
        <v>197</v>
      </c>
      <c r="L49" s="354"/>
      <c r="M49" s="354" t="s">
        <v>132</v>
      </c>
      <c r="N49" s="354"/>
      <c r="O49" s="199" t="s">
        <v>120</v>
      </c>
      <c r="P49" s="200"/>
      <c r="Q49" s="200"/>
      <c r="S49" s="353" t="s">
        <v>151</v>
      </c>
      <c r="T49" s="354"/>
      <c r="U49" s="354" t="s">
        <v>120</v>
      </c>
      <c r="V49" s="368"/>
    </row>
    <row r="50" spans="4:22" ht="15" thickBot="1" x14ac:dyDescent="0.4">
      <c r="D50" s="201" t="s">
        <v>127</v>
      </c>
      <c r="E50" s="350"/>
      <c r="F50" s="350"/>
      <c r="G50" s="352"/>
      <c r="H50" s="367"/>
      <c r="I50" s="196"/>
      <c r="J50" s="202"/>
      <c r="K50" s="355">
        <v>7</v>
      </c>
      <c r="L50" s="356"/>
      <c r="M50" s="357">
        <f>E57</f>
        <v>0.52400000000000002</v>
      </c>
      <c r="N50" s="357"/>
      <c r="O50" s="369" t="s">
        <v>198</v>
      </c>
      <c r="Q50" s="196"/>
      <c r="R50" s="202"/>
      <c r="S50" s="371">
        <v>5</v>
      </c>
      <c r="T50" s="372"/>
      <c r="U50" s="373">
        <f>-LN(0.5)/S50</f>
        <v>0.13862943611198905</v>
      </c>
      <c r="V50" s="374"/>
    </row>
    <row r="51" spans="4:22" ht="15" thickBot="1" x14ac:dyDescent="0.4">
      <c r="D51" s="222">
        <v>1</v>
      </c>
      <c r="E51" s="223">
        <f>FORECAST(D51,'Carbon Deficit Analyses'!$E$30:$F$30,'Carbon Deficit Analyses'!$E$28:$F$28)</f>
        <v>0.93199999999999994</v>
      </c>
      <c r="F51" s="223">
        <f>$I$32*EXP($L$32*D51)</f>
        <v>1.1104937980855236</v>
      </c>
      <c r="G51" s="224">
        <f>EXP(-$H$37*(D51-0.5))</f>
        <v>0.93303299153680741</v>
      </c>
      <c r="H51" s="193"/>
      <c r="I51" s="193"/>
      <c r="K51" s="375">
        <v>8</v>
      </c>
      <c r="L51" s="376"/>
      <c r="M51" s="377">
        <f>E58</f>
        <v>0.45599999999999996</v>
      </c>
      <c r="N51" s="378"/>
      <c r="O51" s="370"/>
      <c r="P51" s="203"/>
      <c r="Q51" s="196"/>
    </row>
    <row r="52" spans="4:22" ht="15" thickBot="1" x14ac:dyDescent="0.4">
      <c r="D52" s="225">
        <v>2</v>
      </c>
      <c r="E52" s="226">
        <f>FORECAST(D52,'Carbon Deficit Analyses'!$E$30:$F$30,'Carbon Deficit Analyses'!$E$28:$F$28)</f>
        <v>0.86399999999999999</v>
      </c>
      <c r="F52" s="226">
        <f t="shared" ref="F52:F115" si="5">$I$32*EXP($L$32*D52)</f>
        <v>1.0972475091969141</v>
      </c>
      <c r="G52" s="227">
        <f t="shared" ref="G52:G115" si="6">EXP(-$H$37*(D52-0.5))</f>
        <v>0.81225239635623558</v>
      </c>
      <c r="H52" s="193"/>
      <c r="I52" s="358" t="s">
        <v>118</v>
      </c>
      <c r="J52" s="359"/>
      <c r="K52" s="360">
        <v>7.3529338705882399</v>
      </c>
      <c r="L52" s="361"/>
      <c r="M52" s="362">
        <f>FORECAST(K52,M50:M51,K50:K51)</f>
        <v>0.50000049679999969</v>
      </c>
      <c r="N52" s="362"/>
      <c r="O52" s="204">
        <f>-LN(0.5)/K52</f>
        <v>9.4268110220946819E-2</v>
      </c>
      <c r="Q52" s="196"/>
    </row>
    <row r="53" spans="4:22" x14ac:dyDescent="0.35">
      <c r="D53" s="225">
        <v>3</v>
      </c>
      <c r="E53" s="226">
        <f>FORECAST(D53,'Carbon Deficit Analyses'!$E$30:$F$30,'Carbon Deficit Analyses'!$E$28:$F$28)</f>
        <v>0.79600000000000004</v>
      </c>
      <c r="F53" s="226">
        <f t="shared" si="5"/>
        <v>1.084159225845682</v>
      </c>
      <c r="G53" s="227">
        <f t="shared" si="6"/>
        <v>0.70710678118654757</v>
      </c>
      <c r="H53" s="193"/>
      <c r="I53" s="205"/>
      <c r="Q53" s="196"/>
    </row>
    <row r="54" spans="4:22" x14ac:dyDescent="0.35">
      <c r="D54" s="225">
        <v>4</v>
      </c>
      <c r="E54" s="226">
        <f>FORECAST(D54,'Carbon Deficit Analyses'!$E$30:$F$30,'Carbon Deficit Analyses'!$E$28:$F$28)</f>
        <v>0.72799999999999998</v>
      </c>
      <c r="F54" s="226">
        <f t="shared" si="5"/>
        <v>1.0712270632964074</v>
      </c>
      <c r="G54" s="227">
        <f t="shared" si="6"/>
        <v>0.61557220667245816</v>
      </c>
      <c r="H54" s="193"/>
      <c r="I54" s="193"/>
      <c r="J54" s="205"/>
      <c r="K54" s="205"/>
      <c r="L54" s="205"/>
      <c r="M54" s="205"/>
      <c r="N54" s="205"/>
      <c r="O54" s="205"/>
      <c r="Q54" s="196"/>
    </row>
    <row r="55" spans="4:22" x14ac:dyDescent="0.35">
      <c r="D55" s="225">
        <v>5</v>
      </c>
      <c r="E55" s="226">
        <f>FORECAST(D55,'Carbon Deficit Analyses'!$E$30:$F$30,'Carbon Deficit Analyses'!$E$28:$F$28)</f>
        <v>0.65999999999999992</v>
      </c>
      <c r="F55" s="226">
        <f t="shared" si="5"/>
        <v>1.0584491592953371</v>
      </c>
      <c r="G55" s="227">
        <f>EXP(-$H$37*(D55-0.5))</f>
        <v>0.53588673126814657</v>
      </c>
      <c r="H55" s="193"/>
      <c r="I55" s="193"/>
      <c r="J55" s="205"/>
      <c r="K55" s="205"/>
      <c r="L55" s="205"/>
      <c r="M55" s="205"/>
      <c r="N55" s="205"/>
      <c r="O55" s="205"/>
      <c r="Q55" s="196"/>
    </row>
    <row r="56" spans="4:22" x14ac:dyDescent="0.35">
      <c r="D56" s="225">
        <v>6</v>
      </c>
      <c r="E56" s="226">
        <f>FORECAST(D56,'Carbon Deficit Analyses'!$E$30:$F$30,'Carbon Deficit Analyses'!$E$28:$F$28)</f>
        <v>0.59199999999999997</v>
      </c>
      <c r="F56" s="226">
        <f t="shared" si="5"/>
        <v>1.045823673802214</v>
      </c>
      <c r="G56" s="227">
        <f t="shared" si="6"/>
        <v>0.46651649576840371</v>
      </c>
      <c r="H56" s="193"/>
      <c r="I56" s="193"/>
      <c r="J56" s="205"/>
      <c r="K56" s="205"/>
      <c r="L56" s="205"/>
      <c r="M56" s="205"/>
      <c r="N56" s="205"/>
      <c r="O56" s="205"/>
      <c r="Q56" s="196"/>
    </row>
    <row r="57" spans="4:22" x14ac:dyDescent="0.35">
      <c r="D57" s="225">
        <v>7</v>
      </c>
      <c r="E57" s="226">
        <f>FORECAST(D57,'Carbon Deficit Analyses'!$E$30:$F$30,'Carbon Deficit Analyses'!$E$28:$F$28)</f>
        <v>0.52400000000000002</v>
      </c>
      <c r="F57" s="226">
        <f t="shared" si="5"/>
        <v>1.0333487887253106</v>
      </c>
      <c r="G57" s="227">
        <f t="shared" si="6"/>
        <v>0.40612619817811779</v>
      </c>
      <c r="H57" s="193"/>
      <c r="I57" s="193"/>
      <c r="J57" s="205"/>
      <c r="K57" s="205"/>
      <c r="L57" s="205"/>
      <c r="M57" s="205"/>
      <c r="N57" s="205"/>
      <c r="O57" s="205"/>
      <c r="Q57" s="196"/>
    </row>
    <row r="58" spans="4:22" x14ac:dyDescent="0.35">
      <c r="D58" s="225">
        <v>8</v>
      </c>
      <c r="E58" s="226">
        <f>FORECAST(D58,'Carbon Deficit Analyses'!$E$30:$F$30,'Carbon Deficit Analyses'!$E$28:$F$28)</f>
        <v>0.45599999999999996</v>
      </c>
      <c r="F58" s="226">
        <f t="shared" si="5"/>
        <v>1.0210227076596188</v>
      </c>
      <c r="G58" s="227">
        <f t="shared" si="6"/>
        <v>0.35355339059327379</v>
      </c>
      <c r="H58" s="193"/>
      <c r="I58" s="193"/>
      <c r="J58" s="206"/>
      <c r="Q58" s="196"/>
    </row>
    <row r="59" spans="4:22" x14ac:dyDescent="0.35">
      <c r="D59" s="225">
        <v>9</v>
      </c>
      <c r="E59" s="226">
        <f>FORECAST(D59,'Carbon Deficit Analyses'!$E$30:$F$30,'Carbon Deficit Analyses'!$E$28:$F$28)</f>
        <v>0.3879999999999999</v>
      </c>
      <c r="F59" s="226">
        <f t="shared" si="5"/>
        <v>1.0088436556281657</v>
      </c>
      <c r="G59" s="227">
        <f t="shared" si="6"/>
        <v>0.30778610333622908</v>
      </c>
      <c r="H59" s="193"/>
      <c r="I59" s="193"/>
      <c r="J59" s="206"/>
      <c r="Q59" s="196"/>
    </row>
    <row r="60" spans="4:22" x14ac:dyDescent="0.35">
      <c r="D60" s="225">
        <v>10</v>
      </c>
      <c r="E60" s="226">
        <f>F30</f>
        <v>0.31999999999999995</v>
      </c>
      <c r="F60" s="226">
        <f t="shared" si="5"/>
        <v>0.99680987882641325</v>
      </c>
      <c r="G60" s="227">
        <f t="shared" si="6"/>
        <v>0.26794336563407328</v>
      </c>
      <c r="H60" s="193"/>
      <c r="I60" s="193"/>
      <c r="J60" s="206"/>
      <c r="Q60" s="196"/>
    </row>
    <row r="61" spans="4:22" x14ac:dyDescent="0.35">
      <c r="D61" s="225">
        <v>11</v>
      </c>
      <c r="E61" s="226">
        <f>FORECAST(D61,'Carbon Deficit Analyses'!$F$30:$G$30,'Carbon Deficit Analyses'!$F$28:$G$28)</f>
        <v>0.30099999999999993</v>
      </c>
      <c r="F61" s="226">
        <f t="shared" si="5"/>
        <v>0.98491964436970747</v>
      </c>
      <c r="G61" s="227">
        <f t="shared" si="6"/>
        <v>0.23325824788420185</v>
      </c>
      <c r="H61" s="193"/>
      <c r="I61" s="193"/>
      <c r="J61" s="206"/>
      <c r="Q61" s="196"/>
    </row>
    <row r="62" spans="4:22" x14ac:dyDescent="0.35">
      <c r="D62" s="225">
        <v>12</v>
      </c>
      <c r="E62" s="226">
        <f>FORECAST(D62,'Carbon Deficit Analyses'!$F$30:$G$30,'Carbon Deficit Analyses'!$F$28:$G$28)</f>
        <v>0.28199999999999992</v>
      </c>
      <c r="F62" s="226">
        <f t="shared" si="5"/>
        <v>0.97317124004374045</v>
      </c>
      <c r="G62" s="227">
        <f t="shared" si="6"/>
        <v>0.2030630990890589</v>
      </c>
      <c r="H62" s="193"/>
      <c r="I62" s="193"/>
      <c r="J62" s="206"/>
      <c r="Q62" s="196"/>
    </row>
    <row r="63" spans="4:22" x14ac:dyDescent="0.35">
      <c r="D63" s="225">
        <v>13</v>
      </c>
      <c r="E63" s="226">
        <f>FORECAST(D63,'Carbon Deficit Analyses'!$F$30:$G$30,'Carbon Deficit Analyses'!$F$28:$G$28)</f>
        <v>0.26299999999999996</v>
      </c>
      <c r="F63" s="226">
        <f t="shared" si="5"/>
        <v>0.96156297405798752</v>
      </c>
      <c r="G63" s="227">
        <f t="shared" si="6"/>
        <v>0.17677669529663692</v>
      </c>
      <c r="H63" s="193"/>
      <c r="I63" s="193"/>
      <c r="J63" s="206"/>
      <c r="Q63" s="196"/>
    </row>
    <row r="64" spans="4:22" x14ac:dyDescent="0.35">
      <c r="D64" s="225">
        <v>14</v>
      </c>
      <c r="E64" s="226">
        <f>FORECAST(D64,'Carbon Deficit Analyses'!$F$30:$G$30,'Carbon Deficit Analyses'!$F$28:$G$28)</f>
        <v>0.24399999999999994</v>
      </c>
      <c r="F64" s="226">
        <f t="shared" si="5"/>
        <v>0.95009317480208788</v>
      </c>
      <c r="G64" s="227">
        <f t="shared" si="6"/>
        <v>0.15389305166811457</v>
      </c>
      <c r="H64" s="193"/>
      <c r="I64" s="193"/>
      <c r="J64" s="206"/>
      <c r="Q64" s="196"/>
    </row>
    <row r="65" spans="4:17" x14ac:dyDescent="0.35">
      <c r="D65" s="225">
        <v>15</v>
      </c>
      <c r="E65" s="226">
        <f>FORECAST(D65,'Carbon Deficit Analyses'!$F$30:$G$30,'Carbon Deficit Analyses'!$F$28:$G$28)</f>
        <v>0.22499999999999998</v>
      </c>
      <c r="F65" s="226">
        <f t="shared" si="5"/>
        <v>0.9387601906051285</v>
      </c>
      <c r="G65" s="227">
        <f t="shared" si="6"/>
        <v>0.13397168281703667</v>
      </c>
      <c r="H65" s="193"/>
      <c r="I65" s="193"/>
      <c r="J65" s="206"/>
      <c r="Q65" s="196"/>
    </row>
    <row r="66" spans="4:17" x14ac:dyDescent="0.35">
      <c r="D66" s="225">
        <v>16</v>
      </c>
      <c r="E66" s="226">
        <f>FORECAST(D66,'Carbon Deficit Analyses'!$F$30:$G$30,'Carbon Deficit Analyses'!$F$28:$G$28)</f>
        <v>0.20599999999999996</v>
      </c>
      <c r="F66" s="226">
        <f t="shared" si="5"/>
        <v>0.92756238949780168</v>
      </c>
      <c r="G66" s="227">
        <f t="shared" si="6"/>
        <v>0.11662912394210094</v>
      </c>
      <c r="H66" s="193"/>
      <c r="I66" s="193"/>
      <c r="J66" s="206"/>
      <c r="Q66" s="196"/>
    </row>
    <row r="67" spans="4:17" x14ac:dyDescent="0.35">
      <c r="D67" s="225">
        <v>17</v>
      </c>
      <c r="E67" s="226">
        <f>FORECAST(D67,'Carbon Deficit Analyses'!$F$30:$G$30,'Carbon Deficit Analyses'!$F$28:$G$28)</f>
        <v>0.18699999999999994</v>
      </c>
      <c r="F67" s="226">
        <f t="shared" si="5"/>
        <v>0.91649815897739817</v>
      </c>
      <c r="G67" s="227">
        <f t="shared" si="6"/>
        <v>0.10153154954452946</v>
      </c>
      <c r="H67" s="193"/>
      <c r="I67" s="193"/>
      <c r="J67" s="206"/>
      <c r="Q67" s="196"/>
    </row>
    <row r="68" spans="4:17" x14ac:dyDescent="0.35">
      <c r="D68" s="225">
        <v>18</v>
      </c>
      <c r="E68" s="226">
        <f>FORECAST(D68,'Carbon Deficit Analyses'!$F$30:$G$30,'Carbon Deficit Analyses'!$F$28:$G$28)</f>
        <v>0.16799999999999998</v>
      </c>
      <c r="F68" s="226">
        <f t="shared" si="5"/>
        <v>0.9055659057756037</v>
      </c>
      <c r="G68" s="227">
        <f t="shared" si="6"/>
        <v>8.8388347648318447E-2</v>
      </c>
      <c r="H68" s="193"/>
      <c r="I68" s="193"/>
      <c r="J68" s="206"/>
      <c r="Q68" s="196"/>
    </row>
    <row r="69" spans="4:17" x14ac:dyDescent="0.35">
      <c r="D69" s="225">
        <v>19</v>
      </c>
      <c r="E69" s="226">
        <f>FORECAST(D69,'Carbon Deficit Analyses'!$F$30:$G$30,'Carbon Deficit Analyses'!$F$28:$G$28)</f>
        <v>0.14899999999999997</v>
      </c>
      <c r="F69" s="226">
        <f t="shared" si="5"/>
        <v>0.89476405562906636</v>
      </c>
      <c r="G69" s="227">
        <f t="shared" si="6"/>
        <v>7.6946525834057283E-2</v>
      </c>
      <c r="H69" s="193"/>
      <c r="I69" s="193"/>
      <c r="J69" s="207"/>
      <c r="Q69" s="196"/>
    </row>
    <row r="70" spans="4:17" x14ac:dyDescent="0.35">
      <c r="D70" s="225">
        <v>20</v>
      </c>
      <c r="E70" s="226">
        <f>G30</f>
        <v>0.13</v>
      </c>
      <c r="F70" s="226">
        <f t="shared" si="5"/>
        <v>0.88409105305269942</v>
      </c>
      <c r="G70" s="227">
        <f t="shared" si="6"/>
        <v>6.6985841408518335E-2</v>
      </c>
      <c r="H70" s="193"/>
      <c r="I70" s="196"/>
      <c r="Q70" s="196"/>
    </row>
    <row r="71" spans="4:17" s="196" customFormat="1" ht="12.5" x14ac:dyDescent="0.25">
      <c r="D71" s="228">
        <v>21</v>
      </c>
      <c r="E71" s="226">
        <f>FORECAST(D71,'Carbon Deficit Analyses'!$G$30:$H$30,'Carbon Deficit Analyses'!$G$28:$H$28)</f>
        <v>0.124</v>
      </c>
      <c r="F71" s="221">
        <f t="shared" si="5"/>
        <v>0.87354536111568848</v>
      </c>
      <c r="G71" s="229">
        <f t="shared" si="6"/>
        <v>5.831456197105047E-2</v>
      </c>
    </row>
    <row r="72" spans="4:17" s="196" customFormat="1" ht="12.5" x14ac:dyDescent="0.25">
      <c r="D72" s="228">
        <v>22</v>
      </c>
      <c r="E72" s="226">
        <f>FORECAST(D72,'Carbon Deficit Analyses'!$G$30:$H$30,'Carbon Deficit Analyses'!$G$28:$H$28)</f>
        <v>0.11799999999999999</v>
      </c>
      <c r="F72" s="221">
        <f t="shared" si="5"/>
        <v>0.86312546122017197</v>
      </c>
      <c r="G72" s="229">
        <f t="shared" si="6"/>
        <v>5.0765774772264724E-2</v>
      </c>
    </row>
    <row r="73" spans="4:17" s="196" customFormat="1" ht="12.5" x14ac:dyDescent="0.25">
      <c r="D73" s="228">
        <v>23</v>
      </c>
      <c r="E73" s="226">
        <f>FORECAST(D73,'Carbon Deficit Analyses'!$G$30:$H$30,'Carbon Deficit Analyses'!$G$28:$H$28)</f>
        <v>0.11199999999999999</v>
      </c>
      <c r="F73" s="221">
        <f t="shared" si="5"/>
        <v>0.85282985288255908</v>
      </c>
      <c r="G73" s="229">
        <f t="shared" si="6"/>
        <v>4.4194173824159223E-2</v>
      </c>
    </row>
    <row r="74" spans="4:17" s="196" customFormat="1" ht="12.5" x14ac:dyDescent="0.25">
      <c r="D74" s="228">
        <v>24</v>
      </c>
      <c r="E74" s="226">
        <f>FORECAST(D74,'Carbon Deficit Analyses'!$G$30:$H$30,'Carbon Deficit Analyses'!$G$28:$H$28)</f>
        <v>0.10599999999999998</v>
      </c>
      <c r="F74" s="221">
        <f t="shared" si="5"/>
        <v>0.84265705351745845</v>
      </c>
      <c r="G74" s="229">
        <f t="shared" si="6"/>
        <v>3.8473262917028635E-2</v>
      </c>
    </row>
    <row r="75" spans="4:17" s="196" customFormat="1" ht="12.5" x14ac:dyDescent="0.25">
      <c r="D75" s="228">
        <v>25</v>
      </c>
      <c r="E75" s="226">
        <f>FORECAST(D75,'Carbon Deficit Analyses'!$G$30:$H$30,'Carbon Deficit Analyses'!$G$28:$H$28)</f>
        <v>9.9999999999999978E-2</v>
      </c>
      <c r="F75" s="221">
        <f t="shared" si="5"/>
        <v>0.83260559822418267</v>
      </c>
      <c r="G75" s="229">
        <f t="shared" si="6"/>
        <v>3.3492920704259174E-2</v>
      </c>
    </row>
    <row r="76" spans="4:17" s="196" customFormat="1" ht="12.5" x14ac:dyDescent="0.25">
      <c r="D76" s="228">
        <v>26</v>
      </c>
      <c r="E76" s="226">
        <f>FORECAST(D76,'Carbon Deficit Analyses'!$G$30:$H$30,'Carbon Deficit Analyses'!$G$28:$H$28)</f>
        <v>9.3999999999999972E-2</v>
      </c>
      <c r="F76" s="221">
        <f t="shared" si="5"/>
        <v>0.82267403957580054</v>
      </c>
      <c r="G76" s="229">
        <f t="shared" si="6"/>
        <v>2.9157280985525245E-2</v>
      </c>
    </row>
    <row r="77" spans="4:17" s="196" customFormat="1" ht="12.5" x14ac:dyDescent="0.25">
      <c r="D77" s="228">
        <v>27</v>
      </c>
      <c r="E77" s="226">
        <f>FORECAST(D77,'Carbon Deficit Analyses'!$G$30:$H$30,'Carbon Deficit Analyses'!$G$28:$H$28)</f>
        <v>8.7999999999999967E-2</v>
      </c>
      <c r="F77" s="221">
        <f t="shared" si="5"/>
        <v>0.8128609474107048</v>
      </c>
      <c r="G77" s="229">
        <f t="shared" si="6"/>
        <v>2.5382887386132372E-2</v>
      </c>
    </row>
    <row r="78" spans="4:17" s="196" customFormat="1" ht="12.5" x14ac:dyDescent="0.25">
      <c r="D78" s="228">
        <v>28</v>
      </c>
      <c r="E78" s="226">
        <f>FORECAST(D78,'Carbon Deficit Analyses'!$G$30:$H$30,'Carbon Deficit Analyses'!$G$28:$H$28)</f>
        <v>8.1999999999999962E-2</v>
      </c>
      <c r="F78" s="221">
        <f t="shared" si="5"/>
        <v>0.80316490862666667</v>
      </c>
      <c r="G78" s="229">
        <f t="shared" si="6"/>
        <v>2.2097086912079619E-2</v>
      </c>
    </row>
    <row r="79" spans="4:17" s="196" customFormat="1" ht="12.5" x14ac:dyDescent="0.25">
      <c r="D79" s="228">
        <v>29</v>
      </c>
      <c r="E79" s="226">
        <f>FORECAST(D79,'Carbon Deficit Analyses'!$G$30:$H$30,'Carbon Deficit Analyses'!$G$28:$H$28)</f>
        <v>7.5999999999999956E-2</v>
      </c>
      <c r="F79" s="221">
        <f t="shared" si="5"/>
        <v>0.79358452697734649</v>
      </c>
      <c r="G79" s="229">
        <f t="shared" si="6"/>
        <v>1.9236631458514324E-2</v>
      </c>
    </row>
    <row r="80" spans="4:17" s="196" customFormat="1" ht="12.5" x14ac:dyDescent="0.25">
      <c r="D80" s="228">
        <v>30</v>
      </c>
      <c r="E80" s="221">
        <f>H30</f>
        <v>6.9999999999999951E-2</v>
      </c>
      <c r="F80" s="221">
        <f t="shared" si="5"/>
        <v>0.78411842287123168</v>
      </c>
      <c r="G80" s="229">
        <f t="shared" si="6"/>
        <v>1.6746460352129587E-2</v>
      </c>
    </row>
    <row r="81" spans="4:7" s="196" customFormat="1" ht="12.5" x14ac:dyDescent="0.25">
      <c r="D81" s="228">
        <v>31</v>
      </c>
      <c r="E81" s="226">
        <f>FORECAST(D81,'Carbon Deficit Analyses'!$H$30:$I$30,'Carbon Deficit Analyses'!$H$28:$I$28)</f>
        <v>6.6999999999999962E-2</v>
      </c>
      <c r="F81" s="221">
        <f t="shared" si="5"/>
        <v>0.77476523317297352</v>
      </c>
      <c r="G81" s="229">
        <f t="shared" si="6"/>
        <v>1.4578640492762621E-2</v>
      </c>
    </row>
    <row r="82" spans="4:7" s="196" customFormat="1" ht="12.5" x14ac:dyDescent="0.25">
      <c r="D82" s="228">
        <v>32</v>
      </c>
      <c r="E82" s="226">
        <f>FORECAST(D82,'Carbon Deficit Analyses'!$H$30:$I$30,'Carbon Deficit Analyses'!$H$28:$I$28)</f>
        <v>6.3999999999999974E-2</v>
      </c>
      <c r="F82" s="221">
        <f t="shared" si="5"/>
        <v>0.76552361100709287</v>
      </c>
      <c r="G82" s="229">
        <f t="shared" si="6"/>
        <v>1.2691443693066184E-2</v>
      </c>
    </row>
    <row r="83" spans="4:7" s="196" customFormat="1" ht="12.5" x14ac:dyDescent="0.25">
      <c r="D83" s="228">
        <v>33</v>
      </c>
      <c r="E83" s="226">
        <f>FORECAST(D83,'Carbon Deficit Analyses'!$H$30:$I$30,'Carbon Deficit Analyses'!$H$28:$I$28)</f>
        <v>6.0999999999999985E-2</v>
      </c>
      <c r="F83" s="221">
        <f t="shared" si="5"/>
        <v>0.75639222556402852</v>
      </c>
      <c r="G83" s="229">
        <f t="shared" si="6"/>
        <v>1.1048543456039809E-2</v>
      </c>
    </row>
    <row r="84" spans="4:7" s="196" customFormat="1" ht="12.5" x14ac:dyDescent="0.25">
      <c r="D84" s="228">
        <v>34</v>
      </c>
      <c r="E84" s="226">
        <f>FORECAST(D84,'Carbon Deficit Analyses'!$H$30:$I$30,'Carbon Deficit Analyses'!$H$28:$I$28)</f>
        <v>5.7999999999999996E-2</v>
      </c>
      <c r="F84" s="221">
        <f t="shared" si="5"/>
        <v>0.74736976190849747</v>
      </c>
      <c r="G84" s="229">
        <f t="shared" si="6"/>
        <v>9.6183157292571621E-3</v>
      </c>
    </row>
    <row r="85" spans="4:7" s="196" customFormat="1" ht="12.5" x14ac:dyDescent="0.25">
      <c r="D85" s="228">
        <v>35</v>
      </c>
      <c r="E85" s="226">
        <f>FORECAST(D85,'Carbon Deficit Analyses'!$H$30:$I$30,'Carbon Deficit Analyses'!$H$28:$I$28)</f>
        <v>5.4999999999999993E-2</v>
      </c>
      <c r="F85" s="221">
        <f t="shared" si="5"/>
        <v>0.73845492079014219</v>
      </c>
      <c r="G85" s="229">
        <f t="shared" si="6"/>
        <v>8.3732301760647936E-3</v>
      </c>
    </row>
    <row r="86" spans="4:7" s="196" customFormat="1" ht="12.5" x14ac:dyDescent="0.25">
      <c r="D86" s="228">
        <v>36</v>
      </c>
      <c r="E86" s="226">
        <f>FORECAST(D86,'Carbon Deficit Analyses'!$H$30:$I$30,'Carbon Deficit Analyses'!$H$28:$I$28)</f>
        <v>5.2000000000000005E-2</v>
      </c>
      <c r="F86" s="221">
        <f t="shared" si="5"/>
        <v>0.72964641845643718</v>
      </c>
      <c r="G86" s="229">
        <f t="shared" si="6"/>
        <v>7.2893202463813096E-3</v>
      </c>
    </row>
    <row r="87" spans="4:7" s="196" customFormat="1" ht="12.5" x14ac:dyDescent="0.25">
      <c r="D87" s="228">
        <v>37</v>
      </c>
      <c r="E87" s="226">
        <f>FORECAST(D87,'Carbon Deficit Analyses'!$H$30:$I$30,'Carbon Deficit Analyses'!$H$28:$I$28)</f>
        <v>4.9000000000000016E-2</v>
      </c>
      <c r="F87" s="221">
        <f t="shared" si="5"/>
        <v>0.72094298646782473</v>
      </c>
      <c r="G87" s="229">
        <f t="shared" si="6"/>
        <v>6.3457218465330914E-3</v>
      </c>
    </row>
    <row r="88" spans="4:7" s="196" customFormat="1" ht="12.5" x14ac:dyDescent="0.25">
      <c r="D88" s="228">
        <v>38</v>
      </c>
      <c r="E88" s="226">
        <f>FORECAST(D88,'Carbon Deficit Analyses'!$H$30:$I$30,'Carbon Deficit Analyses'!$H$28:$I$28)</f>
        <v>4.6000000000000027E-2</v>
      </c>
      <c r="F88" s="221">
        <f t="shared" si="5"/>
        <v>0.71234337151505911</v>
      </c>
      <c r="G88" s="229">
        <f t="shared" si="6"/>
        <v>5.5242717280199038E-3</v>
      </c>
    </row>
    <row r="89" spans="4:7" s="196" customFormat="1" ht="12.5" x14ac:dyDescent="0.25">
      <c r="D89" s="228">
        <v>39</v>
      </c>
      <c r="E89" s="226">
        <f>FORECAST(D89,'Carbon Deficit Analyses'!$H$30:$I$30,'Carbon Deficit Analyses'!$H$28:$I$28)</f>
        <v>4.3000000000000038E-2</v>
      </c>
      <c r="F89" s="221">
        <f t="shared" si="5"/>
        <v>0.70384633523872708</v>
      </c>
      <c r="G89" s="229">
        <f t="shared" si="6"/>
        <v>4.8091578646285802E-3</v>
      </c>
    </row>
    <row r="90" spans="4:7" s="196" customFormat="1" ht="12.5" x14ac:dyDescent="0.25">
      <c r="D90" s="228">
        <v>40</v>
      </c>
      <c r="E90" s="221">
        <f>I30</f>
        <v>4.0000000000000036E-2</v>
      </c>
      <c r="F90" s="221">
        <f t="shared" si="5"/>
        <v>0.69545065405092166</v>
      </c>
      <c r="G90" s="229">
        <f t="shared" si="6"/>
        <v>4.1866150880323959E-3</v>
      </c>
    </row>
    <row r="91" spans="4:7" s="196" customFormat="1" ht="12.5" x14ac:dyDescent="0.25">
      <c r="D91" s="228">
        <v>41</v>
      </c>
      <c r="E91" s="226">
        <f>FORECAST(D91,'Carbon Deficit Analyses'!$I$30:$J$30,'Carbon Deficit Analyses'!$I$28:$J$28)</f>
        <v>3.9000000000000035E-2</v>
      </c>
      <c r="F91" s="221">
        <f t="shared" si="5"/>
        <v>0.68715511895904413</v>
      </c>
      <c r="G91" s="229">
        <f t="shared" si="6"/>
        <v>3.6446601231906548E-3</v>
      </c>
    </row>
    <row r="92" spans="4:7" s="196" customFormat="1" ht="12.5" x14ac:dyDescent="0.25">
      <c r="D92" s="228">
        <v>42</v>
      </c>
      <c r="E92" s="226">
        <f>FORECAST(D92,'Carbon Deficit Analyses'!$I$30:$J$30,'Carbon Deficit Analyses'!$I$28:$J$28)</f>
        <v>3.8000000000000034E-2</v>
      </c>
      <c r="F92" s="221">
        <f t="shared" si="5"/>
        <v>0.67895853539170625</v>
      </c>
      <c r="G92" s="229">
        <f t="shared" si="6"/>
        <v>3.1728609232665457E-3</v>
      </c>
    </row>
    <row r="93" spans="4:7" s="196" customFormat="1" ht="12.5" x14ac:dyDescent="0.25">
      <c r="D93" s="228">
        <v>43</v>
      </c>
      <c r="E93" s="226">
        <f>FORECAST(D93,'Carbon Deficit Analyses'!$I$30:$J$30,'Carbon Deficit Analyses'!$I$28:$J$28)</f>
        <v>3.7000000000000033E-2</v>
      </c>
      <c r="F93" s="221">
        <f t="shared" si="5"/>
        <v>0.67085972302671093</v>
      </c>
      <c r="G93" s="229">
        <f t="shared" si="6"/>
        <v>2.7621358640099515E-3</v>
      </c>
    </row>
    <row r="94" spans="4:7" s="196" customFormat="1" ht="12.5" x14ac:dyDescent="0.25">
      <c r="D94" s="228">
        <v>44</v>
      </c>
      <c r="E94" s="226">
        <f>FORECAST(D94,'Carbon Deficit Analyses'!$I$30:$J$30,'Carbon Deficit Analyses'!$I$28:$J$28)</f>
        <v>3.6000000000000032E-2</v>
      </c>
      <c r="F94" s="221">
        <f t="shared" si="5"/>
        <v>0.66285751562108253</v>
      </c>
      <c r="G94" s="229">
        <f t="shared" si="6"/>
        <v>2.4045789323142901E-3</v>
      </c>
    </row>
    <row r="95" spans="4:7" s="196" customFormat="1" ht="12.5" x14ac:dyDescent="0.25">
      <c r="D95" s="228">
        <v>45</v>
      </c>
      <c r="E95" s="226">
        <f>FORECAST(D95,'Carbon Deficit Analyses'!$I$30:$J$30,'Carbon Deficit Analyses'!$I$28:$J$28)</f>
        <v>3.5000000000000031E-2</v>
      </c>
      <c r="F95" s="221">
        <f t="shared" si="5"/>
        <v>0.65495076084312687</v>
      </c>
      <c r="G95" s="229">
        <f t="shared" si="6"/>
        <v>2.093307544016198E-3</v>
      </c>
    </row>
    <row r="96" spans="4:7" s="196" customFormat="1" ht="12.5" x14ac:dyDescent="0.25">
      <c r="D96" s="228">
        <v>46</v>
      </c>
      <c r="E96" s="226">
        <f>FORECAST(D96,'Carbon Deficit Analyses'!$I$30:$J$30,'Carbon Deficit Analyses'!$I$28:$J$28)</f>
        <v>3.400000000000003E-2</v>
      </c>
      <c r="F96" s="221">
        <f t="shared" si="5"/>
        <v>0.64713832010649297</v>
      </c>
      <c r="G96" s="229">
        <f t="shared" si="6"/>
        <v>1.8223300615953272E-3</v>
      </c>
    </row>
    <row r="97" spans="4:7" s="196" customFormat="1" ht="12.5" x14ac:dyDescent="0.25">
      <c r="D97" s="228">
        <v>47</v>
      </c>
      <c r="E97" s="226">
        <f>FORECAST(D97,'Carbon Deficit Analyses'!$I$30:$J$30,'Carbon Deficit Analyses'!$I$28:$J$28)</f>
        <v>3.3000000000000029E-2</v>
      </c>
      <c r="F97" s="221">
        <f t="shared" si="5"/>
        <v>0.63941906840621487</v>
      </c>
      <c r="G97" s="229">
        <f t="shared" si="6"/>
        <v>1.5864304616332726E-3</v>
      </c>
    </row>
    <row r="98" spans="4:7" s="196" customFormat="1" ht="12.5" x14ac:dyDescent="0.25">
      <c r="D98" s="228">
        <v>48</v>
      </c>
      <c r="E98" s="226">
        <f>FORECAST(D98,'Carbon Deficit Analyses'!$I$30:$J$30,'Carbon Deficit Analyses'!$I$28:$J$28)</f>
        <v>3.2000000000000028E-2</v>
      </c>
      <c r="F98" s="221">
        <f t="shared" si="5"/>
        <v>0.63179189415670867</v>
      </c>
      <c r="G98" s="229">
        <f t="shared" si="6"/>
        <v>1.3810679320049757E-3</v>
      </c>
    </row>
    <row r="99" spans="4:7" s="196" customFormat="1" ht="12.5" x14ac:dyDescent="0.25">
      <c r="D99" s="228">
        <v>49</v>
      </c>
      <c r="E99" s="226">
        <f>FORECAST(D99,'Carbon Deficit Analyses'!$I$30:$J$30,'Carbon Deficit Analyses'!$I$28:$J$28)</f>
        <v>3.1000000000000028E-2</v>
      </c>
      <c r="F99" s="221">
        <f t="shared" si="5"/>
        <v>0.62425569903170264</v>
      </c>
      <c r="G99" s="229">
        <f t="shared" si="6"/>
        <v>1.2022894661571459E-3</v>
      </c>
    </row>
    <row r="100" spans="4:7" s="196" customFormat="1" ht="12.5" x14ac:dyDescent="0.25">
      <c r="D100" s="228">
        <v>50</v>
      </c>
      <c r="E100" s="221">
        <f>J30</f>
        <v>3.0000000000000027E-2</v>
      </c>
      <c r="F100" s="221">
        <f t="shared" si="5"/>
        <v>0.61680939780607624</v>
      </c>
      <c r="G100" s="229">
        <f t="shared" si="6"/>
        <v>1.0466537720080998E-3</v>
      </c>
    </row>
    <row r="101" spans="4:7" s="196" customFormat="1" ht="12.5" x14ac:dyDescent="0.25">
      <c r="D101" s="228">
        <v>51</v>
      </c>
      <c r="E101" s="226">
        <f>FORECAST(D101,'Carbon Deficit Analyses'!$I$30:$J$30,'Carbon Deficit Analyses'!$I$28:$J$28)</f>
        <v>2.9000000000000026E-2</v>
      </c>
      <c r="F101" s="221">
        <f t="shared" si="5"/>
        <v>0.60945191819958566</v>
      </c>
      <c r="G101" s="229">
        <f t="shared" si="6"/>
        <v>9.1116503079766435E-4</v>
      </c>
    </row>
    <row r="102" spans="4:7" s="196" customFormat="1" ht="12.5" x14ac:dyDescent="0.25">
      <c r="D102" s="228">
        <v>52</v>
      </c>
      <c r="E102" s="226">
        <f>FORECAST(D102,'Carbon Deficit Analyses'!$I$30:$J$30,'Carbon Deficit Analyses'!$I$28:$J$28)</f>
        <v>2.8000000000000025E-2</v>
      </c>
      <c r="F102" s="221">
        <f t="shared" si="5"/>
        <v>0.60218220072245376</v>
      </c>
      <c r="G102" s="229">
        <f t="shared" si="6"/>
        <v>7.9321523081663696E-4</v>
      </c>
    </row>
    <row r="103" spans="4:7" s="196" customFormat="1" ht="12.5" x14ac:dyDescent="0.25">
      <c r="D103" s="228">
        <v>53</v>
      </c>
      <c r="E103" s="226">
        <f>FORECAST(D103,'Carbon Deficit Analyses'!$I$30:$J$30,'Carbon Deficit Analyses'!$I$28:$J$28)</f>
        <v>2.7000000000000024E-2</v>
      </c>
      <c r="F103" s="221">
        <f t="shared" si="5"/>
        <v>0.5949991985228017</v>
      </c>
      <c r="G103" s="229">
        <f t="shared" si="6"/>
        <v>6.9053396600248841E-4</v>
      </c>
    </row>
    <row r="104" spans="4:7" s="196" customFormat="1" ht="12.5" x14ac:dyDescent="0.25">
      <c r="D104" s="228">
        <v>54</v>
      </c>
      <c r="E104" s="226">
        <f>FORECAST(D104,'Carbon Deficit Analyses'!$I$30:$J$30,'Carbon Deficit Analyses'!$I$28:$J$28)</f>
        <v>2.6000000000000023E-2</v>
      </c>
      <c r="F104" s="221">
        <f t="shared" si="5"/>
        <v>0.58790187723590059</v>
      </c>
      <c r="G104" s="229">
        <f t="shared" si="6"/>
        <v>6.0114473307857296E-4</v>
      </c>
    </row>
    <row r="105" spans="4:7" s="196" customFormat="1" ht="12.5" x14ac:dyDescent="0.25">
      <c r="D105" s="228">
        <v>55</v>
      </c>
      <c r="E105" s="226">
        <f>FORECAST(D105,'Carbon Deficit Analyses'!$I$30:$J$30,'Carbon Deficit Analyses'!$I$28:$J$28)</f>
        <v>2.5000000000000022E-2</v>
      </c>
      <c r="F105" s="221">
        <f t="shared" si="5"/>
        <v>0.5808892148352206</v>
      </c>
      <c r="G105" s="229">
        <f t="shared" si="6"/>
        <v>5.2332688600404981E-4</v>
      </c>
    </row>
    <row r="106" spans="4:7" s="196" customFormat="1" ht="12.5" x14ac:dyDescent="0.25">
      <c r="D106" s="228">
        <v>56</v>
      </c>
      <c r="E106" s="226">
        <f>FORECAST(D106,'Carbon Deficit Analyses'!$I$30:$J$30,'Carbon Deficit Analyses'!$I$28:$J$28)</f>
        <v>2.4000000000000021E-2</v>
      </c>
      <c r="F106" s="221">
        <f t="shared" si="5"/>
        <v>0.5739602014852585</v>
      </c>
      <c r="G106" s="229">
        <f t="shared" si="6"/>
        <v>4.5558251539883212E-4</v>
      </c>
    </row>
    <row r="107" spans="4:7" s="196" customFormat="1" ht="12.5" x14ac:dyDescent="0.25">
      <c r="D107" s="228">
        <v>57</v>
      </c>
      <c r="E107" s="226">
        <f>FORECAST(D107,'Carbon Deficit Analyses'!$I$30:$J$30,'Carbon Deficit Analyses'!$I$28:$J$28)</f>
        <v>2.300000000000002E-2</v>
      </c>
      <c r="F107" s="221">
        <f t="shared" si="5"/>
        <v>0.56711383939611815</v>
      </c>
      <c r="G107" s="229">
        <f t="shared" si="6"/>
        <v>3.9660761540831843E-4</v>
      </c>
    </row>
    <row r="108" spans="4:7" s="196" customFormat="1" ht="12.5" x14ac:dyDescent="0.25">
      <c r="D108" s="228">
        <v>58</v>
      </c>
      <c r="E108" s="226">
        <f>FORECAST(D108,'Carbon Deficit Analyses'!$I$30:$J$30,'Carbon Deficit Analyses'!$I$28:$J$28)</f>
        <v>2.200000000000002E-2</v>
      </c>
      <c r="F108" s="221">
        <f t="shared" si="5"/>
        <v>0.56034914267982816</v>
      </c>
      <c r="G108" s="229">
        <f t="shared" si="6"/>
        <v>3.4526698300124415E-4</v>
      </c>
    </row>
    <row r="109" spans="4:7" s="196" customFormat="1" ht="12.5" x14ac:dyDescent="0.25">
      <c r="D109" s="228">
        <v>59</v>
      </c>
      <c r="E109" s="226">
        <f>FORECAST(D109,'Carbon Deficit Analyses'!$I$30:$J$30,'Carbon Deficit Analyses'!$I$28:$J$28)</f>
        <v>2.1000000000000019E-2</v>
      </c>
      <c r="F109" s="221">
        <f t="shared" si="5"/>
        <v>0.55366513720837218</v>
      </c>
      <c r="G109" s="229">
        <f t="shared" si="6"/>
        <v>3.0057236653928615E-4</v>
      </c>
    </row>
    <row r="110" spans="4:7" s="196" customFormat="1" ht="12.5" x14ac:dyDescent="0.25">
      <c r="D110" s="228">
        <v>60</v>
      </c>
      <c r="E110" s="226">
        <f>FORECAST(D110,'Carbon Deficit Analyses'!$I$30:$J$30,'Carbon Deficit Analyses'!$I$28:$J$28)</f>
        <v>2.0000000000000018E-2</v>
      </c>
      <c r="F110" s="221">
        <f t="shared" si="5"/>
        <v>0.54706086047341207</v>
      </c>
      <c r="G110" s="229">
        <f t="shared" si="6"/>
        <v>2.6166344300202464E-4</v>
      </c>
    </row>
    <row r="111" spans="4:7" s="196" customFormat="1" ht="12.5" x14ac:dyDescent="0.25">
      <c r="D111" s="228">
        <v>61</v>
      </c>
      <c r="E111" s="226">
        <f>FORECAST(D111,'Carbon Deficit Analyses'!$I$30:$J$30,'Carbon Deficit Analyses'!$I$28:$J$28)</f>
        <v>1.9000000000000017E-2</v>
      </c>
      <c r="F111" s="221">
        <f t="shared" si="5"/>
        <v>0.54053536144768588</v>
      </c>
      <c r="G111" s="229">
        <f t="shared" si="6"/>
        <v>2.2779125769941584E-4</v>
      </c>
    </row>
    <row r="112" spans="4:7" s="196" customFormat="1" ht="12.5" x14ac:dyDescent="0.25">
      <c r="D112" s="228">
        <v>62</v>
      </c>
      <c r="E112" s="226">
        <f>FORECAST(D112,'Carbon Deficit Analyses'!$I$30:$J$30,'Carbon Deficit Analyses'!$I$28:$J$28)</f>
        <v>1.8000000000000016E-2</v>
      </c>
      <c r="F112" s="221">
        <f t="shared" si="5"/>
        <v>0.53408770044805776</v>
      </c>
      <c r="G112" s="229">
        <f t="shared" si="6"/>
        <v>1.9830380770415902E-4</v>
      </c>
    </row>
    <row r="113" spans="4:10" s="196" customFormat="1" ht="12.5" x14ac:dyDescent="0.25">
      <c r="D113" s="228">
        <v>63</v>
      </c>
      <c r="E113" s="226">
        <f>FORECAST(D113,'Carbon Deficit Analyses'!$I$30:$J$30,'Carbon Deficit Analyses'!$I$28:$J$28)</f>
        <v>1.7000000000000015E-2</v>
      </c>
      <c r="F113" s="221">
        <f t="shared" si="5"/>
        <v>0.52771694900020205</v>
      </c>
      <c r="G113" s="229">
        <f t="shared" si="6"/>
        <v>1.7263349150062191E-4</v>
      </c>
    </row>
    <row r="114" spans="4:10" s="196" customFormat="1" ht="12.5" x14ac:dyDescent="0.25">
      <c r="D114" s="228">
        <v>64</v>
      </c>
      <c r="E114" s="226">
        <f>FORECAST(D114,'Carbon Deficit Analyses'!$I$30:$J$30,'Carbon Deficit Analyses'!$I$28:$J$28)</f>
        <v>1.6000000000000014E-2</v>
      </c>
      <c r="F114" s="221">
        <f t="shared" si="5"/>
        <v>0.52142218970490173</v>
      </c>
      <c r="G114" s="229">
        <f t="shared" si="6"/>
        <v>1.5028618326964308E-4</v>
      </c>
    </row>
    <row r="115" spans="4:10" s="196" customFormat="1" ht="12.5" x14ac:dyDescent="0.25">
      <c r="D115" s="228">
        <v>65</v>
      </c>
      <c r="E115" s="226">
        <f>FORECAST(D115,'Carbon Deficit Analyses'!$I$30:$J$30,'Carbon Deficit Analyses'!$I$28:$J$28)</f>
        <v>1.5000000000000013E-2</v>
      </c>
      <c r="F115" s="221">
        <f t="shared" si="5"/>
        <v>0.5152025161059407</v>
      </c>
      <c r="G115" s="229">
        <f t="shared" si="6"/>
        <v>1.3083172150101256E-4</v>
      </c>
    </row>
    <row r="116" spans="4:10" s="196" customFormat="1" ht="12.5" x14ac:dyDescent="0.25">
      <c r="D116" s="228">
        <v>66</v>
      </c>
      <c r="E116" s="226">
        <f>FORECAST(D116,'Carbon Deficit Analyses'!$I$30:$J$30,'Carbon Deficit Analyses'!$I$28:$J$28)</f>
        <v>1.4000000000000012E-2</v>
      </c>
      <c r="F116" s="221">
        <f t="shared" ref="F116:F130" si="7">$I$32*EXP($L$32*D116)</f>
        <v>0.50905703255957313</v>
      </c>
      <c r="G116" s="229">
        <f t="shared" ref="G116:G130" si="8">EXP(-$H$37*(D116-0.5))</f>
        <v>1.1389562884970811E-4</v>
      </c>
    </row>
    <row r="117" spans="4:10" s="196" customFormat="1" ht="12.5" x14ac:dyDescent="0.25">
      <c r="D117" s="228">
        <v>67</v>
      </c>
      <c r="E117" s="226">
        <f>FORECAST(D117,'Carbon Deficit Analyses'!$I$30:$J$30,'Carbon Deficit Analyses'!$I$28:$J$28)</f>
        <v>1.3000000000000012E-2</v>
      </c>
      <c r="F117" s="221">
        <f t="shared" si="7"/>
        <v>0.50298485410554905</v>
      </c>
      <c r="G117" s="229">
        <f t="shared" si="8"/>
        <v>9.9151903852079675E-5</v>
      </c>
    </row>
    <row r="118" spans="4:10" s="196" customFormat="1" ht="12.5" x14ac:dyDescent="0.25">
      <c r="D118" s="228">
        <v>68</v>
      </c>
      <c r="E118" s="226">
        <f>FORECAST(D118,'Carbon Deficit Analyses'!$I$30:$J$30,'Carbon Deficit Analyses'!$I$28:$J$28)</f>
        <v>1.2000000000000011E-2</v>
      </c>
      <c r="F118" s="221">
        <f t="shared" si="7"/>
        <v>0.49698510633967802</v>
      </c>
      <c r="G118" s="229">
        <f t="shared" si="8"/>
        <v>8.6316745750311105E-5</v>
      </c>
    </row>
    <row r="119" spans="4:10" s="196" customFormat="1" ht="12.5" x14ac:dyDescent="0.25">
      <c r="D119" s="228">
        <v>69</v>
      </c>
      <c r="E119" s="226">
        <f>FORECAST(D119,'Carbon Deficit Analyses'!$I$30:$J$30,'Carbon Deficit Analyses'!$I$28:$J$28)</f>
        <v>1.100000000000001E-2</v>
      </c>
      <c r="F119" s="221">
        <f t="shared" si="7"/>
        <v>0.49105692528791434</v>
      </c>
      <c r="G119" s="229">
        <f t="shared" si="8"/>
        <v>7.5143091634821661E-5</v>
      </c>
    </row>
    <row r="120" spans="4:10" s="196" customFormat="1" ht="12.5" x14ac:dyDescent="0.25">
      <c r="D120" s="228">
        <v>70</v>
      </c>
      <c r="E120" s="226">
        <f>FORECAST(D120,'Carbon Deficit Analyses'!$I$30:$J$30,'Carbon Deficit Analyses'!$I$28:$J$28)</f>
        <v>1.0000000000000009E-2</v>
      </c>
      <c r="F120" s="221">
        <f t="shared" si="7"/>
        <v>0.48519945728194264</v>
      </c>
      <c r="G120" s="229">
        <f t="shared" si="8"/>
        <v>6.5415860750506267E-5</v>
      </c>
    </row>
    <row r="121" spans="4:10" s="196" customFormat="1" ht="12.5" x14ac:dyDescent="0.25">
      <c r="D121" s="228">
        <v>71</v>
      </c>
      <c r="E121" s="226">
        <f>FORECAST(D121,'Carbon Deficit Analyses'!$I$30:$J$30,'Carbon Deficit Analyses'!$I$28:$J$28)</f>
        <v>9.000000000000008E-3</v>
      </c>
      <c r="F121" s="221">
        <f t="shared" si="7"/>
        <v>0.47941185883624815</v>
      </c>
      <c r="G121" s="229">
        <f t="shared" si="8"/>
        <v>5.6947814424854049E-5</v>
      </c>
    </row>
    <row r="122" spans="4:10" s="196" customFormat="1" ht="12.5" x14ac:dyDescent="0.25">
      <c r="D122" s="228">
        <v>72</v>
      </c>
      <c r="E122" s="226">
        <f>FORECAST(D122,'Carbon Deficit Analyses'!$I$30:$J$30,'Carbon Deficit Analyses'!$I$28:$J$28)</f>
        <v>8.0000000000000071E-3</v>
      </c>
      <c r="F122" s="221">
        <f t="shared" si="7"/>
        <v>0.47369329652665376</v>
      </c>
      <c r="G122" s="229">
        <f t="shared" si="8"/>
        <v>4.9575951926039837E-5</v>
      </c>
    </row>
    <row r="123" spans="4:10" x14ac:dyDescent="0.35">
      <c r="D123" s="228">
        <v>73</v>
      </c>
      <c r="E123" s="226">
        <f>FORECAST(D123,'Carbon Deficit Analyses'!$I$30:$J$30,'Carbon Deficit Analyses'!$I$28:$J$28)</f>
        <v>7.0000000000000062E-3</v>
      </c>
      <c r="F123" s="221">
        <f t="shared" si="7"/>
        <v>0.46804294687030512</v>
      </c>
      <c r="G123" s="229">
        <f t="shared" si="8"/>
        <v>4.3158372875155546E-5</v>
      </c>
      <c r="H123" s="196"/>
      <c r="I123" s="196"/>
      <c r="J123" s="196"/>
    </row>
    <row r="124" spans="4:10" x14ac:dyDescent="0.35">
      <c r="D124" s="228">
        <v>74</v>
      </c>
      <c r="E124" s="226">
        <f>FORECAST(D124,'Carbon Deficit Analyses'!$I$30:$J$30,'Carbon Deficit Analyses'!$I$28:$J$28)</f>
        <v>6.0000000000000053E-3</v>
      </c>
      <c r="F124" s="221">
        <f t="shared" si="7"/>
        <v>0.46245999620708794</v>
      </c>
      <c r="G124" s="229">
        <f t="shared" si="8"/>
        <v>3.7571545817410824E-5</v>
      </c>
      <c r="H124" s="196"/>
      <c r="I124" s="196"/>
      <c r="J124" s="196"/>
    </row>
    <row r="125" spans="4:10" x14ac:dyDescent="0.35">
      <c r="D125" s="228">
        <v>75</v>
      </c>
      <c r="E125" s="226">
        <f>FORECAST(D125,'Carbon Deficit Analyses'!$I$30:$J$30,'Carbon Deficit Analyses'!$I$28:$J$28)</f>
        <v>5.0000000000000044E-3</v>
      </c>
      <c r="F125" s="221">
        <f t="shared" si="7"/>
        <v>0.45694364058245929</v>
      </c>
      <c r="G125" s="229">
        <f t="shared" si="8"/>
        <v>3.2707930375253134E-5</v>
      </c>
      <c r="H125" s="196"/>
      <c r="I125" s="196"/>
      <c r="J125" s="196"/>
    </row>
    <row r="126" spans="4:10" x14ac:dyDescent="0.35">
      <c r="D126" s="228">
        <v>76</v>
      </c>
      <c r="E126" s="226">
        <f>FORECAST(D126,'Carbon Deficit Analyses'!$I$30:$J$30,'Carbon Deficit Analyses'!$I$28:$J$28)</f>
        <v>4.0000000000000036E-3</v>
      </c>
      <c r="F126" s="221">
        <f t="shared" si="7"/>
        <v>0.45149308563167689</v>
      </c>
      <c r="G126" s="229">
        <f t="shared" si="8"/>
        <v>2.8473907212427021E-5</v>
      </c>
      <c r="H126" s="196"/>
      <c r="I126" s="196"/>
      <c r="J126" s="196"/>
    </row>
    <row r="127" spans="4:10" x14ac:dyDescent="0.35">
      <c r="D127" s="228">
        <v>77</v>
      </c>
      <c r="E127" s="226">
        <f>FORECAST(D127,'Carbon Deficit Analyses'!$I$30:$J$30,'Carbon Deficit Analyses'!$I$28:$J$28)</f>
        <v>3.0000000000000027E-3</v>
      </c>
      <c r="F127" s="221">
        <f t="shared" si="7"/>
        <v>0.44610754646540923</v>
      </c>
      <c r="G127" s="229">
        <f t="shared" si="8"/>
        <v>2.4787975963019915E-5</v>
      </c>
      <c r="H127" s="196"/>
      <c r="I127" s="196"/>
      <c r="J127" s="196"/>
    </row>
    <row r="128" spans="4:10" x14ac:dyDescent="0.35">
      <c r="D128" s="228">
        <v>78</v>
      </c>
      <c r="E128" s="226">
        <f>FORECAST(D128,'Carbon Deficit Analyses'!$I$30:$J$30,'Carbon Deficit Analyses'!$I$28:$J$28)</f>
        <v>2.0000000000000018E-3</v>
      </c>
      <c r="F128" s="221">
        <f t="shared" si="7"/>
        <v>0.4407862475567102</v>
      </c>
      <c r="G128" s="229">
        <f t="shared" si="8"/>
        <v>2.1579186437577773E-5</v>
      </c>
      <c r="H128" s="196"/>
      <c r="I128" s="196"/>
      <c r="J128" s="196"/>
    </row>
    <row r="129" spans="4:10" x14ac:dyDescent="0.35">
      <c r="D129" s="228">
        <v>79</v>
      </c>
      <c r="E129" s="226">
        <f>FORECAST(D129,'Carbon Deficit Analyses'!$I$30:$J$30,'Carbon Deficit Analyses'!$I$28:$J$28)</f>
        <v>1.0000000000000009E-3</v>
      </c>
      <c r="F129" s="221">
        <f t="shared" si="7"/>
        <v>0.43552842262934155</v>
      </c>
      <c r="G129" s="229">
        <f t="shared" si="8"/>
        <v>1.8785772908705412E-5</v>
      </c>
      <c r="H129" s="196"/>
      <c r="I129" s="196"/>
      <c r="J129" s="196"/>
    </row>
    <row r="130" spans="4:10" ht="15" thickBot="1" x14ac:dyDescent="0.4">
      <c r="D130" s="230">
        <v>80</v>
      </c>
      <c r="E130" s="233">
        <f>FORECAST(D130,'Carbon Deficit Analyses'!$I$30:$J$30,'Carbon Deficit Analyses'!$I$28:$J$28)</f>
        <v>0</v>
      </c>
      <c r="F130" s="231">
        <f t="shared" si="7"/>
        <v>0.4303333145474284</v>
      </c>
      <c r="G130" s="232">
        <f t="shared" si="8"/>
        <v>1.6353965187626563E-5</v>
      </c>
      <c r="H130" s="196"/>
      <c r="I130" s="196"/>
      <c r="J130" s="196"/>
    </row>
    <row r="131" spans="4:10" x14ac:dyDescent="0.35">
      <c r="D131" s="208"/>
      <c r="E131" s="208"/>
      <c r="F131" s="208"/>
      <c r="G131" s="208"/>
      <c r="H131" s="196"/>
      <c r="I131" s="196"/>
      <c r="J131" s="196"/>
    </row>
    <row r="132" spans="4:10" x14ac:dyDescent="0.35">
      <c r="D132" s="208"/>
      <c r="E132" s="208"/>
      <c r="F132" s="208"/>
      <c r="G132" s="208"/>
      <c r="H132" s="196"/>
      <c r="I132" s="196"/>
      <c r="J132" s="196"/>
    </row>
    <row r="133" spans="4:10" x14ac:dyDescent="0.35">
      <c r="D133" s="208"/>
      <c r="E133" s="208"/>
      <c r="F133" s="208"/>
      <c r="G133" s="208"/>
      <c r="H133" s="196"/>
      <c r="I133" s="196"/>
      <c r="J133" s="196"/>
    </row>
    <row r="134" spans="4:10" x14ac:dyDescent="0.35">
      <c r="D134" s="208"/>
      <c r="E134" s="208"/>
      <c r="F134" s="208"/>
      <c r="G134" s="208"/>
      <c r="H134" s="196"/>
      <c r="I134" s="196"/>
      <c r="J134" s="196"/>
    </row>
    <row r="135" spans="4:10" x14ac:dyDescent="0.35">
      <c r="D135" s="208"/>
      <c r="E135" s="208"/>
      <c r="F135" s="208"/>
      <c r="G135" s="208"/>
      <c r="H135" s="196"/>
      <c r="I135" s="196"/>
      <c r="J135" s="196"/>
    </row>
    <row r="136" spans="4:10" x14ac:dyDescent="0.35">
      <c r="D136" s="208"/>
      <c r="E136" s="208"/>
      <c r="F136" s="208"/>
      <c r="G136" s="208"/>
      <c r="H136" s="196"/>
      <c r="I136" s="196"/>
      <c r="J136" s="196"/>
    </row>
    <row r="137" spans="4:10" x14ac:dyDescent="0.35">
      <c r="D137" s="208"/>
      <c r="E137" s="208"/>
      <c r="F137" s="208"/>
      <c r="G137" s="208"/>
      <c r="H137" s="196"/>
      <c r="I137" s="196"/>
      <c r="J137" s="196"/>
    </row>
    <row r="138" spans="4:10" x14ac:dyDescent="0.35">
      <c r="D138" s="208"/>
      <c r="E138" s="208"/>
      <c r="F138" s="208"/>
      <c r="G138" s="208"/>
      <c r="H138" s="196"/>
      <c r="I138" s="196"/>
      <c r="J138" s="196"/>
    </row>
    <row r="139" spans="4:10" x14ac:dyDescent="0.35">
      <c r="D139" s="208"/>
      <c r="E139" s="208"/>
      <c r="F139" s="208"/>
      <c r="G139" s="208"/>
      <c r="H139" s="196"/>
      <c r="I139" s="196"/>
      <c r="J139" s="196"/>
    </row>
    <row r="140" spans="4:10" x14ac:dyDescent="0.35">
      <c r="D140" s="208"/>
      <c r="E140" s="208"/>
      <c r="F140" s="208"/>
      <c r="G140" s="208"/>
      <c r="H140" s="196"/>
      <c r="I140" s="196"/>
      <c r="J140" s="196"/>
    </row>
    <row r="141" spans="4:10" x14ac:dyDescent="0.35">
      <c r="D141" s="208"/>
      <c r="E141" s="208"/>
      <c r="F141" s="208"/>
      <c r="G141" s="208"/>
      <c r="H141" s="196"/>
      <c r="I141" s="196"/>
      <c r="J141" s="196"/>
    </row>
    <row r="142" spans="4:10" x14ac:dyDescent="0.35">
      <c r="D142" s="208"/>
      <c r="E142" s="208"/>
      <c r="F142" s="208"/>
      <c r="G142" s="208"/>
      <c r="H142" s="196"/>
      <c r="I142" s="196"/>
      <c r="J142" s="196"/>
    </row>
    <row r="143" spans="4:10" x14ac:dyDescent="0.35">
      <c r="D143" s="208"/>
      <c r="E143" s="208"/>
      <c r="F143" s="208"/>
      <c r="G143" s="208"/>
      <c r="H143" s="196"/>
      <c r="I143" s="196"/>
      <c r="J143" s="196"/>
    </row>
    <row r="144" spans="4:10" x14ac:dyDescent="0.35">
      <c r="D144" s="208"/>
      <c r="E144" s="208"/>
      <c r="F144" s="208"/>
      <c r="G144" s="208"/>
      <c r="H144" s="196"/>
      <c r="I144" s="196"/>
      <c r="J144" s="196"/>
    </row>
    <row r="145" spans="4:10" x14ac:dyDescent="0.35">
      <c r="D145" s="208"/>
      <c r="E145" s="208"/>
      <c r="F145" s="208"/>
      <c r="G145" s="208"/>
      <c r="H145" s="196"/>
      <c r="I145" s="196"/>
      <c r="J145" s="196"/>
    </row>
    <row r="146" spans="4:10" x14ac:dyDescent="0.35">
      <c r="D146" s="208"/>
      <c r="E146" s="208"/>
      <c r="F146" s="208"/>
      <c r="G146" s="208"/>
      <c r="H146" s="196"/>
      <c r="I146" s="196"/>
      <c r="J146" s="196"/>
    </row>
    <row r="147" spans="4:10" x14ac:dyDescent="0.35">
      <c r="D147" s="208"/>
      <c r="E147" s="208"/>
      <c r="F147" s="208"/>
      <c r="G147" s="208"/>
      <c r="H147" s="196"/>
      <c r="I147" s="196"/>
      <c r="J147" s="196"/>
    </row>
    <row r="148" spans="4:10" x14ac:dyDescent="0.35">
      <c r="D148" s="208"/>
      <c r="E148" s="208"/>
      <c r="F148" s="208"/>
      <c r="G148" s="208"/>
      <c r="H148" s="196"/>
      <c r="I148" s="196"/>
      <c r="J148" s="196"/>
    </row>
    <row r="149" spans="4:10" x14ac:dyDescent="0.35">
      <c r="D149" s="208"/>
      <c r="E149" s="208"/>
      <c r="F149" s="208"/>
      <c r="G149" s="208"/>
      <c r="H149" s="196"/>
      <c r="I149" s="196"/>
      <c r="J149" s="196"/>
    </row>
    <row r="150" spans="4:10" x14ac:dyDescent="0.35">
      <c r="D150" s="208"/>
      <c r="E150" s="208"/>
      <c r="F150" s="208"/>
      <c r="G150" s="208"/>
      <c r="H150" s="196"/>
      <c r="I150" s="196"/>
      <c r="J150" s="196"/>
    </row>
    <row r="151" spans="4:10" x14ac:dyDescent="0.35">
      <c r="D151" s="208"/>
      <c r="E151" s="208"/>
      <c r="F151" s="208"/>
      <c r="G151" s="208"/>
      <c r="H151" s="196"/>
      <c r="I151" s="196"/>
      <c r="J151" s="196"/>
    </row>
    <row r="152" spans="4:10" x14ac:dyDescent="0.35">
      <c r="D152" s="208"/>
      <c r="E152" s="208"/>
      <c r="F152" s="208"/>
      <c r="G152" s="208"/>
      <c r="H152" s="196"/>
      <c r="I152" s="196"/>
      <c r="J152" s="196"/>
    </row>
    <row r="153" spans="4:10" x14ac:dyDescent="0.35">
      <c r="D153" s="208"/>
      <c r="E153" s="208"/>
      <c r="F153" s="208"/>
      <c r="G153" s="208"/>
      <c r="H153" s="196"/>
      <c r="I153" s="196"/>
      <c r="J153" s="196"/>
    </row>
    <row r="154" spans="4:10" x14ac:dyDescent="0.35">
      <c r="D154" s="208"/>
      <c r="E154" s="208"/>
      <c r="F154" s="208"/>
      <c r="G154" s="208"/>
      <c r="H154" s="196"/>
      <c r="I154" s="196"/>
      <c r="J154" s="196"/>
    </row>
    <row r="155" spans="4:10" x14ac:dyDescent="0.35">
      <c r="D155" s="208"/>
      <c r="E155" s="208"/>
      <c r="F155" s="208"/>
      <c r="G155" s="208"/>
      <c r="H155" s="196"/>
      <c r="I155" s="196"/>
      <c r="J155" s="196"/>
    </row>
  </sheetData>
  <sheetProtection algorithmName="SHA-512" hashValue="+MxaxdYyXlkXwViqftNr2KHWKhn6u58O9QGxyGgcEOP2VHbZ69doQiI5zLqEDTV+GMjx2Nu9V1Mof2fqYX0I9w==" saltValue="+b+hIicwS6PyXZ6nz1DfOQ==" spinCount="100000" sheet="1" objects="1" scenarios="1"/>
  <mergeCells count="27">
    <mergeCell ref="I52:J52"/>
    <mergeCell ref="K52:L52"/>
    <mergeCell ref="M52:N52"/>
    <mergeCell ref="Q48:V48"/>
    <mergeCell ref="H49:H50"/>
    <mergeCell ref="S49:T49"/>
    <mergeCell ref="U49:V49"/>
    <mergeCell ref="O50:O51"/>
    <mergeCell ref="S50:T50"/>
    <mergeCell ref="U50:V50"/>
    <mergeCell ref="K51:L51"/>
    <mergeCell ref="M51:N51"/>
    <mergeCell ref="I48:O48"/>
    <mergeCell ref="E49:E50"/>
    <mergeCell ref="F49:F50"/>
    <mergeCell ref="G49:G50"/>
    <mergeCell ref="K49:L49"/>
    <mergeCell ref="M49:N49"/>
    <mergeCell ref="K50:L50"/>
    <mergeCell ref="M50:N50"/>
    <mergeCell ref="J36:R37"/>
    <mergeCell ref="D32:F32"/>
    <mergeCell ref="D36:E37"/>
    <mergeCell ref="F36:G36"/>
    <mergeCell ref="H36:I36"/>
    <mergeCell ref="F37:G37"/>
    <mergeCell ref="H37:I37"/>
  </mergeCells>
  <pageMargins left="0.7" right="0.7" top="0.75" bottom="0.75" header="0.3" footer="0.3"/>
  <pageSetup orientation="portrait" horizontalDpi="4294967293" verticalDpi="1200" r:id="rId1"/>
  <ignoredErrors>
    <ignoredError sqref="E10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99"/>
  </sheetPr>
  <dimension ref="B1:D68"/>
  <sheetViews>
    <sheetView zoomScale="85" zoomScaleNormal="85" workbookViewId="0"/>
  </sheetViews>
  <sheetFormatPr defaultColWidth="9.1796875" defaultRowHeight="14.5" x14ac:dyDescent="0.35"/>
  <cols>
    <col min="1" max="1" width="2" style="6" customWidth="1"/>
    <col min="2" max="3" width="55.7265625" style="6" customWidth="1"/>
    <col min="4" max="16384" width="9.1796875" style="6"/>
  </cols>
  <sheetData>
    <row r="1" spans="2:4" ht="15" thickBot="1" x14ac:dyDescent="0.4">
      <c r="B1" s="4"/>
      <c r="C1" s="5"/>
    </row>
    <row r="2" spans="2:4" x14ac:dyDescent="0.35">
      <c r="B2" s="243"/>
      <c r="C2" s="244"/>
    </row>
    <row r="3" spans="2:4" x14ac:dyDescent="0.35">
      <c r="B3" s="239" t="s">
        <v>5</v>
      </c>
      <c r="C3" s="240"/>
    </row>
    <row r="4" spans="2:4" x14ac:dyDescent="0.35">
      <c r="B4" s="239" t="s">
        <v>6</v>
      </c>
      <c r="C4" s="240"/>
    </row>
    <row r="5" spans="2:4" x14ac:dyDescent="0.35">
      <c r="B5" s="239" t="s">
        <v>7</v>
      </c>
      <c r="C5" s="240"/>
    </row>
    <row r="6" spans="2:4" x14ac:dyDescent="0.35">
      <c r="B6" s="239" t="s">
        <v>208</v>
      </c>
      <c r="C6" s="240"/>
    </row>
    <row r="7" spans="2:4" x14ac:dyDescent="0.35">
      <c r="B7" s="239"/>
      <c r="C7" s="240"/>
    </row>
    <row r="8" spans="2:4" x14ac:dyDescent="0.35">
      <c r="B8" s="239" t="s">
        <v>9</v>
      </c>
      <c r="C8" s="240"/>
    </row>
    <row r="9" spans="2:4" ht="15" thickBot="1" x14ac:dyDescent="0.4">
      <c r="B9" s="241"/>
      <c r="C9" s="242"/>
    </row>
    <row r="11" spans="2:4" ht="15" thickBot="1" x14ac:dyDescent="0.4">
      <c r="B11" s="7"/>
    </row>
    <row r="12" spans="2:4" x14ac:dyDescent="0.35">
      <c r="B12" s="8" t="s">
        <v>92</v>
      </c>
      <c r="C12" s="12"/>
    </row>
    <row r="13" spans="2:4" x14ac:dyDescent="0.35">
      <c r="B13" s="9" t="s">
        <v>93</v>
      </c>
      <c r="C13" s="13"/>
      <c r="D13" s="10"/>
    </row>
    <row r="14" spans="2:4" x14ac:dyDescent="0.35">
      <c r="B14" s="9" t="s">
        <v>94</v>
      </c>
      <c r="C14" s="13"/>
    </row>
    <row r="15" spans="2:4" x14ac:dyDescent="0.35">
      <c r="B15" s="9" t="s">
        <v>95</v>
      </c>
      <c r="C15" s="13"/>
    </row>
    <row r="16" spans="2:4" ht="15" thickBot="1" x14ac:dyDescent="0.4">
      <c r="B16" s="11" t="s">
        <v>96</v>
      </c>
      <c r="C16" s="14"/>
    </row>
    <row r="68" spans="2:2" x14ac:dyDescent="0.35">
      <c r="B68" s="6" t="s">
        <v>8</v>
      </c>
    </row>
  </sheetData>
  <sheetProtection algorithmName="SHA-512" hashValue="4laC17aJabAcZqetK3yp0OrcriT6hrpzaZHL0GGgH/cIXnRH1AjOBvDVeW5NQfrbrlafXwR3h+c1ArDh42cTug==" saltValue="wIeHgmHq0UivYdxhb6qbAg==" spinCount="100000" sheet="1" objects="1" scenarios="1"/>
  <mergeCells count="8">
    <mergeCell ref="B8:C8"/>
    <mergeCell ref="B9:C9"/>
    <mergeCell ref="B2:C2"/>
    <mergeCell ref="B3:C3"/>
    <mergeCell ref="B4:C4"/>
    <mergeCell ref="B5:C5"/>
    <mergeCell ref="B6:C6"/>
    <mergeCell ref="B7:C7"/>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A4"/>
  <sheetViews>
    <sheetView workbookViewId="0">
      <selection activeCell="E7" sqref="E7"/>
    </sheetView>
  </sheetViews>
  <sheetFormatPr defaultRowHeight="14.5" x14ac:dyDescent="0.35"/>
  <sheetData>
    <row r="1" spans="1:1" x14ac:dyDescent="0.35">
      <c r="A1" t="s">
        <v>0</v>
      </c>
    </row>
    <row r="2" spans="1:1" x14ac:dyDescent="0.35">
      <c r="A2" t="s">
        <v>1</v>
      </c>
    </row>
    <row r="3" spans="1:1" x14ac:dyDescent="0.35">
      <c r="A3" t="s">
        <v>2</v>
      </c>
    </row>
    <row r="4" spans="1:1" x14ac:dyDescent="0.35">
      <c r="A4"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99"/>
  </sheetPr>
  <dimension ref="B1:H17"/>
  <sheetViews>
    <sheetView workbookViewId="0"/>
  </sheetViews>
  <sheetFormatPr defaultColWidth="9.1796875" defaultRowHeight="12.5" x14ac:dyDescent="0.25"/>
  <cols>
    <col min="1" max="2" width="2.54296875" style="2" customWidth="1"/>
    <col min="3" max="3" width="18.54296875" style="2" bestFit="1" customWidth="1"/>
    <col min="4" max="8" width="14.7265625" style="2" customWidth="1"/>
    <col min="9" max="16384" width="9.1796875" style="2"/>
  </cols>
  <sheetData>
    <row r="1" spans="2:8" ht="13" thickBot="1" x14ac:dyDescent="0.3"/>
    <row r="2" spans="2:8" s="3" customFormat="1" ht="15" customHeight="1" x14ac:dyDescent="0.3">
      <c r="C2" s="252" t="s">
        <v>10</v>
      </c>
      <c r="D2" s="253"/>
      <c r="E2" s="253"/>
      <c r="F2" s="253"/>
      <c r="G2" s="253"/>
      <c r="H2" s="254"/>
    </row>
    <row r="3" spans="2:8" s="3" customFormat="1" ht="15" customHeight="1" x14ac:dyDescent="0.3">
      <c r="C3" s="255" t="s">
        <v>208</v>
      </c>
      <c r="D3" s="256"/>
      <c r="E3" s="256"/>
      <c r="F3" s="256"/>
      <c r="G3" s="256"/>
      <c r="H3" s="257"/>
    </row>
    <row r="4" spans="2:8" s="3" customFormat="1" ht="15" customHeight="1" x14ac:dyDescent="0.25">
      <c r="C4" s="258"/>
      <c r="D4" s="259"/>
      <c r="E4" s="259"/>
      <c r="F4" s="259"/>
      <c r="G4" s="259"/>
      <c r="H4" s="260"/>
    </row>
    <row r="5" spans="2:8" s="3" customFormat="1" ht="15" customHeight="1" thickBot="1" x14ac:dyDescent="0.35">
      <c r="C5" s="261" t="s">
        <v>111</v>
      </c>
      <c r="D5" s="262"/>
      <c r="E5" s="262"/>
      <c r="F5" s="262"/>
      <c r="G5" s="262"/>
      <c r="H5" s="263"/>
    </row>
    <row r="6" spans="2:8" ht="13" thickBot="1" x14ac:dyDescent="0.3"/>
    <row r="7" spans="2:8" s="16" customFormat="1" ht="15.75" customHeight="1" thickBot="1" x14ac:dyDescent="0.35">
      <c r="B7" s="250" t="s">
        <v>97</v>
      </c>
      <c r="C7" s="250"/>
      <c r="D7" s="251"/>
      <c r="E7" s="264">
        <f>Certification!C12</f>
        <v>0</v>
      </c>
      <c r="F7" s="265"/>
      <c r="G7" s="265"/>
      <c r="H7" s="266"/>
    </row>
    <row r="8" spans="2:8" ht="13" thickBot="1" x14ac:dyDescent="0.3"/>
    <row r="9" spans="2:8" ht="15" customHeight="1" x14ac:dyDescent="0.25">
      <c r="C9" s="245" t="s">
        <v>4</v>
      </c>
      <c r="D9" s="247" t="s">
        <v>112</v>
      </c>
      <c r="E9" s="248"/>
      <c r="F9" s="248"/>
      <c r="G9" s="248"/>
      <c r="H9" s="249"/>
    </row>
    <row r="10" spans="2:8" ht="13" x14ac:dyDescent="0.25">
      <c r="C10" s="246"/>
      <c r="D10" s="238" t="s">
        <v>106</v>
      </c>
      <c r="E10" s="175" t="s">
        <v>107</v>
      </c>
      <c r="F10" s="175" t="s">
        <v>108</v>
      </c>
      <c r="G10" s="175" t="s">
        <v>109</v>
      </c>
      <c r="H10" s="237" t="s">
        <v>110</v>
      </c>
    </row>
    <row r="11" spans="2:8" ht="25.5" customHeight="1" x14ac:dyDescent="0.25">
      <c r="C11" s="174" t="s">
        <v>205</v>
      </c>
      <c r="D11" s="234"/>
      <c r="E11" s="234"/>
      <c r="F11" s="234"/>
      <c r="G11" s="234"/>
      <c r="H11" s="236">
        <f t="shared" ref="H11:H16" si="0">SUM(D11:G11)</f>
        <v>0</v>
      </c>
    </row>
    <row r="12" spans="2:8" ht="25.5" customHeight="1" x14ac:dyDescent="0.25">
      <c r="C12" s="174" t="s">
        <v>206</v>
      </c>
      <c r="D12" s="234"/>
      <c r="E12" s="234"/>
      <c r="F12" s="234"/>
      <c r="G12" s="234"/>
      <c r="H12" s="15">
        <f t="shared" si="0"/>
        <v>0</v>
      </c>
    </row>
    <row r="13" spans="2:8" ht="25.5" customHeight="1" x14ac:dyDescent="0.25">
      <c r="C13" s="174" t="s">
        <v>207</v>
      </c>
      <c r="D13" s="234"/>
      <c r="E13" s="234"/>
      <c r="F13" s="234"/>
      <c r="G13" s="234"/>
      <c r="H13" s="15">
        <f t="shared" si="0"/>
        <v>0</v>
      </c>
    </row>
    <row r="14" spans="2:8" ht="25.5" customHeight="1" x14ac:dyDescent="0.25">
      <c r="C14" s="174" t="s">
        <v>194</v>
      </c>
      <c r="D14" s="234"/>
      <c r="E14" s="234"/>
      <c r="F14" s="234"/>
      <c r="G14" s="234"/>
      <c r="H14" s="15">
        <f t="shared" si="0"/>
        <v>0</v>
      </c>
    </row>
    <row r="15" spans="2:8" ht="25.5" customHeight="1" x14ac:dyDescent="0.25">
      <c r="C15" s="174" t="s">
        <v>104</v>
      </c>
      <c r="D15" s="234"/>
      <c r="E15" s="234"/>
      <c r="F15" s="234"/>
      <c r="G15" s="234"/>
      <c r="H15" s="15">
        <f t="shared" si="0"/>
        <v>0</v>
      </c>
    </row>
    <row r="16" spans="2:8" ht="25.5" customHeight="1" x14ac:dyDescent="0.25">
      <c r="C16" s="174" t="s">
        <v>195</v>
      </c>
      <c r="D16" s="235">
        <f>SUM(D11:D15)</f>
        <v>0</v>
      </c>
      <c r="E16" s="220">
        <f>SUM(E11:E15)</f>
        <v>0</v>
      </c>
      <c r="F16" s="220">
        <f>SUM(F11:F15)</f>
        <v>0</v>
      </c>
      <c r="G16" s="220">
        <f>SUM(G11:G15)</f>
        <v>0</v>
      </c>
      <c r="H16" s="217">
        <f t="shared" si="0"/>
        <v>0</v>
      </c>
    </row>
    <row r="17" spans="3:8" ht="13" thickBot="1" x14ac:dyDescent="0.3">
      <c r="C17" s="216" t="s">
        <v>105</v>
      </c>
      <c r="D17" s="218" t="str">
        <f>IFERROR((D11+D12+D13+D14)/D16,"-")</f>
        <v>-</v>
      </c>
      <c r="E17" s="218" t="str">
        <f>IFERROR((E11+E12+E13+E14)/E16,"-")</f>
        <v>-</v>
      </c>
      <c r="F17" s="218" t="str">
        <f>IFERROR((F11+F12+F13+F14)/F16,"-")</f>
        <v>-</v>
      </c>
      <c r="G17" s="218" t="str">
        <f>IFERROR((G11+G12+G13+G14)/G16,"-")</f>
        <v>-</v>
      </c>
      <c r="H17" s="219" t="str">
        <f>IFERROR((H11+H12+H13+H14)/H16,"-")</f>
        <v>-</v>
      </c>
    </row>
  </sheetData>
  <sheetProtection algorithmName="SHA-512" hashValue="1SV3HMLbad+XewgEkRJ1WHXd0iaFvKMFg3EytPGMc1bRRReJfxAx/UxY+LNpS9hgXEAi+lcTD1p/mjDFLoejSQ==" saltValue="eQZKRvMC8QdNkAwlt2T0Kw==" spinCount="100000" sheet="1" objects="1" scenarios="1"/>
  <protectedRanges>
    <protectedRange sqref="E7" name="Range1_1"/>
  </protectedRanges>
  <mergeCells count="8">
    <mergeCell ref="C9:C10"/>
    <mergeCell ref="D9:H9"/>
    <mergeCell ref="B7:D7"/>
    <mergeCell ref="C2:H2"/>
    <mergeCell ref="C3:H3"/>
    <mergeCell ref="C4:H4"/>
    <mergeCell ref="C5:H5"/>
    <mergeCell ref="E7:H7"/>
  </mergeCells>
  <conditionalFormatting sqref="H14">
    <cfRule type="cellIs" dxfId="66" priority="6" operator="equal">
      <formula>0</formula>
    </cfRule>
  </conditionalFormatting>
  <conditionalFormatting sqref="H11:H13">
    <cfRule type="cellIs" dxfId="65" priority="5" operator="equal">
      <formula>0</formula>
    </cfRule>
  </conditionalFormatting>
  <conditionalFormatting sqref="H15">
    <cfRule type="cellIs" dxfId="64" priority="4" operator="equal">
      <formula>0</formula>
    </cfRule>
  </conditionalFormatting>
  <conditionalFormatting sqref="H16">
    <cfRule type="cellIs" dxfId="63" priority="3" operator="equal">
      <formula>0</formula>
    </cfRule>
  </conditionalFormatting>
  <conditionalFormatting sqref="D16:G16">
    <cfRule type="cellIs" dxfId="62" priority="2" operator="equal">
      <formula>0</formula>
    </cfRule>
  </conditionalFormatting>
  <conditionalFormatting sqref="E7">
    <cfRule type="cellIs" dxfId="61" priority="1" operator="equal">
      <formula>0</formula>
    </cfRule>
  </conditionalFormatting>
  <dataValidations count="1">
    <dataValidation type="decimal" allowBlank="1" showInputMessage="1" showErrorMessage="1" sqref="D11:G15" xr:uid="{00000000-0002-0000-0200-000000000000}">
      <formula1>0</formula1>
      <formula2>1000000</formula2>
    </dataValidation>
  </dataValidations>
  <pageMargins left="0.7" right="0.7" top="0.75" bottom="0.75" header="0.3" footer="0.3"/>
  <pageSetup orientation="portrait" r:id="rId1"/>
  <ignoredErrors>
    <ignoredError sqref="H1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99"/>
  </sheetPr>
  <dimension ref="B1:K38"/>
  <sheetViews>
    <sheetView zoomScaleNormal="100" workbookViewId="0"/>
  </sheetViews>
  <sheetFormatPr defaultColWidth="9.1796875" defaultRowHeight="12.5" x14ac:dyDescent="0.25"/>
  <cols>
    <col min="1" max="2" width="2.54296875" style="16" customWidth="1"/>
    <col min="3" max="3" width="9.7265625" style="16" customWidth="1"/>
    <col min="4" max="4" width="32.81640625" style="16" customWidth="1"/>
    <col min="5" max="5" width="28.54296875" style="16" customWidth="1"/>
    <col min="6" max="6" width="24.7265625" style="16" customWidth="1"/>
    <col min="7" max="7" width="3.26953125" style="16" customWidth="1"/>
    <col min="8" max="16384" width="9.1796875" style="16"/>
  </cols>
  <sheetData>
    <row r="1" spans="2:8" ht="13" thickBot="1" x14ac:dyDescent="0.3"/>
    <row r="2" spans="2:8" ht="13" x14ac:dyDescent="0.3">
      <c r="B2" s="17"/>
      <c r="C2" s="276" t="s">
        <v>10</v>
      </c>
      <c r="D2" s="277"/>
      <c r="E2" s="277"/>
      <c r="F2" s="278"/>
    </row>
    <row r="3" spans="2:8" ht="13" x14ac:dyDescent="0.3">
      <c r="B3" s="17"/>
      <c r="C3" s="279" t="s">
        <v>208</v>
      </c>
      <c r="D3" s="280"/>
      <c r="E3" s="280"/>
      <c r="F3" s="281"/>
    </row>
    <row r="4" spans="2:8" ht="13" x14ac:dyDescent="0.3">
      <c r="B4" s="17"/>
      <c r="C4" s="279"/>
      <c r="D4" s="280"/>
      <c r="E4" s="280"/>
      <c r="F4" s="281"/>
    </row>
    <row r="5" spans="2:8" ht="13.5" thickBot="1" x14ac:dyDescent="0.35">
      <c r="B5" s="17"/>
      <c r="C5" s="282" t="s">
        <v>88</v>
      </c>
      <c r="D5" s="283"/>
      <c r="E5" s="283"/>
      <c r="F5" s="284"/>
    </row>
    <row r="8" spans="2:8" ht="13" thickBot="1" x14ac:dyDescent="0.3">
      <c r="H8" s="18" t="s">
        <v>12</v>
      </c>
    </row>
    <row r="9" spans="2:8" ht="13.5" thickBot="1" x14ac:dyDescent="0.35">
      <c r="B9" s="250" t="s">
        <v>97</v>
      </c>
      <c r="C9" s="250"/>
      <c r="D9" s="251"/>
      <c r="E9" s="264">
        <f>Certification!C12</f>
        <v>0</v>
      </c>
      <c r="F9" s="285"/>
      <c r="H9" s="19" t="s">
        <v>13</v>
      </c>
    </row>
    <row r="10" spans="2:8" x14ac:dyDescent="0.25">
      <c r="H10" s="20"/>
    </row>
    <row r="11" spans="2:8" ht="13" x14ac:dyDescent="0.3">
      <c r="B11" s="21" t="s">
        <v>98</v>
      </c>
    </row>
    <row r="12" spans="2:8" ht="13" thickBot="1" x14ac:dyDescent="0.3"/>
    <row r="13" spans="2:8" ht="13" x14ac:dyDescent="0.3">
      <c r="C13" s="22" t="s">
        <v>14</v>
      </c>
      <c r="D13" s="23"/>
      <c r="E13" s="23"/>
      <c r="F13" s="24"/>
      <c r="G13" s="25"/>
    </row>
    <row r="14" spans="2:8" x14ac:dyDescent="0.25">
      <c r="C14" s="26"/>
      <c r="D14" s="27" t="s">
        <v>15</v>
      </c>
      <c r="E14" s="50"/>
      <c r="F14" s="28" t="s">
        <v>17</v>
      </c>
      <c r="G14" s="25"/>
    </row>
    <row r="15" spans="2:8" x14ac:dyDescent="0.25">
      <c r="C15" s="26"/>
      <c r="D15" s="27" t="s">
        <v>18</v>
      </c>
      <c r="E15" s="29" t="str">
        <f>IFERROR(VLOOKUP(E14,BiomassHeatValues,3),"-")</f>
        <v>-</v>
      </c>
      <c r="F15" s="30" t="str">
        <f>IFERROR(VLOOKUP(E14,BiomassHeatValues,4),"-")</f>
        <v>-</v>
      </c>
      <c r="G15" s="25"/>
    </row>
    <row r="16" spans="2:8" ht="13" thickBot="1" x14ac:dyDescent="0.3">
      <c r="C16" s="31"/>
      <c r="D16" s="32" t="s">
        <v>113</v>
      </c>
      <c r="E16" s="33" t="str">
        <f>IF('Fuel Report'!D11+'Fuel Report'!D12+'Fuel Report'!D13+'Fuel Report'!D14=0,"-",'Fuel Report'!D11+'Fuel Report'!D12+'Fuel Report'!D13+'Fuel Report'!D14)</f>
        <v>-</v>
      </c>
      <c r="F16" s="34" t="str">
        <f>IFERROR(VLOOKUP(E14,BiomassHeatValues,2),"-")</f>
        <v>-</v>
      </c>
      <c r="G16" s="25"/>
    </row>
    <row r="17" spans="3:11" ht="13" thickBot="1" x14ac:dyDescent="0.3"/>
    <row r="18" spans="3:11" ht="13.5" thickBot="1" x14ac:dyDescent="0.35">
      <c r="C18" s="22" t="s">
        <v>19</v>
      </c>
      <c r="D18" s="23"/>
      <c r="E18" s="23"/>
      <c r="F18" s="24"/>
    </row>
    <row r="19" spans="3:11" x14ac:dyDescent="0.25">
      <c r="C19" s="26"/>
      <c r="D19" s="27" t="s">
        <v>20</v>
      </c>
      <c r="E19" s="35"/>
      <c r="F19" s="36"/>
      <c r="H19" s="267" t="s">
        <v>24</v>
      </c>
      <c r="I19" s="268"/>
      <c r="J19" s="268"/>
      <c r="K19" s="269"/>
    </row>
    <row r="20" spans="3:11" x14ac:dyDescent="0.25">
      <c r="C20" s="26"/>
      <c r="D20" s="37" t="s">
        <v>102</v>
      </c>
      <c r="E20" s="51"/>
      <c r="F20" s="28" t="s">
        <v>99</v>
      </c>
      <c r="H20" s="270"/>
      <c r="I20" s="271"/>
      <c r="J20" s="271"/>
      <c r="K20" s="272"/>
    </row>
    <row r="21" spans="3:11" x14ac:dyDescent="0.25">
      <c r="C21" s="26"/>
      <c r="D21" s="38" t="s">
        <v>21</v>
      </c>
      <c r="E21" s="51"/>
      <c r="F21" s="28" t="s">
        <v>99</v>
      </c>
      <c r="H21" s="270"/>
      <c r="I21" s="271"/>
      <c r="J21" s="271"/>
      <c r="K21" s="272"/>
    </row>
    <row r="22" spans="3:11" ht="13" thickBot="1" x14ac:dyDescent="0.3">
      <c r="C22" s="26"/>
      <c r="D22" s="27" t="s">
        <v>22</v>
      </c>
      <c r="E22" s="39" t="s">
        <v>23</v>
      </c>
      <c r="F22" s="40"/>
      <c r="H22" s="273"/>
      <c r="I22" s="274"/>
      <c r="J22" s="274"/>
      <c r="K22" s="275"/>
    </row>
    <row r="23" spans="3:11" ht="13" thickBot="1" x14ac:dyDescent="0.3">
      <c r="C23" s="31"/>
      <c r="D23" s="41" t="s">
        <v>25</v>
      </c>
      <c r="E23" s="52"/>
      <c r="F23" s="42" t="s">
        <v>100</v>
      </c>
    </row>
    <row r="24" spans="3:11" ht="13" thickBot="1" x14ac:dyDescent="0.3"/>
    <row r="25" spans="3:11" ht="13" x14ac:dyDescent="0.3">
      <c r="C25" s="22" t="s">
        <v>26</v>
      </c>
      <c r="D25" s="23"/>
      <c r="E25" s="23"/>
      <c r="F25" s="24"/>
      <c r="H25" s="267" t="s">
        <v>31</v>
      </c>
      <c r="I25" s="268"/>
      <c r="J25" s="268"/>
      <c r="K25" s="269"/>
    </row>
    <row r="26" spans="3:11" x14ac:dyDescent="0.25">
      <c r="C26" s="26"/>
      <c r="D26" s="27" t="s">
        <v>27</v>
      </c>
      <c r="E26" s="39" t="s">
        <v>28</v>
      </c>
      <c r="F26" s="40"/>
      <c r="H26" s="270"/>
      <c r="I26" s="271"/>
      <c r="J26" s="271"/>
      <c r="K26" s="272"/>
    </row>
    <row r="27" spans="3:11" x14ac:dyDescent="0.25">
      <c r="C27" s="26"/>
      <c r="D27" s="27" t="s">
        <v>29</v>
      </c>
      <c r="E27" s="50"/>
      <c r="F27" s="40" t="s">
        <v>30</v>
      </c>
      <c r="H27" s="270"/>
      <c r="I27" s="271"/>
      <c r="J27" s="271"/>
      <c r="K27" s="272"/>
    </row>
    <row r="28" spans="3:11" ht="13" thickBot="1" x14ac:dyDescent="0.3">
      <c r="C28" s="31"/>
      <c r="D28" s="41" t="s">
        <v>32</v>
      </c>
      <c r="E28" s="52"/>
      <c r="F28" s="42" t="s">
        <v>101</v>
      </c>
      <c r="H28" s="273"/>
      <c r="I28" s="274"/>
      <c r="J28" s="274"/>
      <c r="K28" s="275"/>
    </row>
    <row r="30" spans="3:11" ht="13" thickBot="1" x14ac:dyDescent="0.3"/>
    <row r="31" spans="3:11" ht="13" x14ac:dyDescent="0.3">
      <c r="C31" s="22" t="s">
        <v>33</v>
      </c>
      <c r="D31" s="23"/>
      <c r="E31" s="23"/>
      <c r="F31" s="24"/>
    </row>
    <row r="32" spans="3:11" x14ac:dyDescent="0.25">
      <c r="C32" s="26"/>
      <c r="D32" s="27" t="s">
        <v>34</v>
      </c>
      <c r="E32" s="43" t="str">
        <f>IFERROR(IF(F15="BTU/lb",E15*E16*2000/3412000,E15*E16/3412000),"-")</f>
        <v>-</v>
      </c>
      <c r="F32" s="40" t="s">
        <v>35</v>
      </c>
    </row>
    <row r="33" spans="3:6" x14ac:dyDescent="0.25">
      <c r="C33" s="26"/>
      <c r="D33" s="27" t="s">
        <v>36</v>
      </c>
      <c r="E33" s="43">
        <f>E20</f>
        <v>0</v>
      </c>
      <c r="F33" s="40" t="s">
        <v>37</v>
      </c>
    </row>
    <row r="34" spans="3:6" x14ac:dyDescent="0.25">
      <c r="C34" s="26"/>
      <c r="D34" s="27" t="s">
        <v>38</v>
      </c>
      <c r="E34" s="43">
        <f>E21</f>
        <v>0</v>
      </c>
      <c r="F34" s="40" t="s">
        <v>37</v>
      </c>
    </row>
    <row r="35" spans="3:6" x14ac:dyDescent="0.25">
      <c r="C35" s="26"/>
      <c r="D35" s="27" t="s">
        <v>39</v>
      </c>
      <c r="E35" s="43">
        <f>E23*1000/3412</f>
        <v>0</v>
      </c>
      <c r="F35" s="40" t="s">
        <v>40</v>
      </c>
    </row>
    <row r="36" spans="3:6" ht="13" thickBot="1" x14ac:dyDescent="0.3">
      <c r="C36" s="31"/>
      <c r="D36" s="41" t="s">
        <v>41</v>
      </c>
      <c r="E36" s="44">
        <f>E27*E28/3412000</f>
        <v>0</v>
      </c>
      <c r="F36" s="45" t="s">
        <v>42</v>
      </c>
    </row>
    <row r="37" spans="3:6" ht="13" thickBot="1" x14ac:dyDescent="0.3"/>
    <row r="38" spans="3:6" ht="13.5" thickBot="1" x14ac:dyDescent="0.35">
      <c r="C38" s="46" t="s">
        <v>43</v>
      </c>
      <c r="D38" s="47"/>
      <c r="E38" s="48" t="str">
        <f>IFERROR((E33/(1-0.06)+E34+E35+E36)/E32,"-")</f>
        <v>-</v>
      </c>
      <c r="F38" s="49"/>
    </row>
  </sheetData>
  <sheetProtection algorithmName="SHA-512" hashValue="SgcOGlZXnBQj4DJeh3HleDRVTd1QqNbc1jxWIasds8LC7qsoeqhU8YXIziE4x2Cp8REfXL9CkXFAAm+FSxU1rA==" saltValue="JpyBYgaLxTCZnGSdcCp2+g==" spinCount="100000" sheet="1" objects="1" scenarios="1"/>
  <protectedRanges>
    <protectedRange sqref="E14 E16 E20:E21 E23 E27:E28 H19 H25" name="Range1"/>
    <protectedRange sqref="E9" name="Range1_1"/>
  </protectedRanges>
  <mergeCells count="8">
    <mergeCell ref="H19:K22"/>
    <mergeCell ref="H25:K28"/>
    <mergeCell ref="C2:F2"/>
    <mergeCell ref="C3:F3"/>
    <mergeCell ref="C4:F4"/>
    <mergeCell ref="C5:F5"/>
    <mergeCell ref="B9:D9"/>
    <mergeCell ref="E9:F9"/>
  </mergeCells>
  <conditionalFormatting sqref="E33:E36">
    <cfRule type="cellIs" dxfId="60" priority="2" operator="equal">
      <formula>0</formula>
    </cfRule>
  </conditionalFormatting>
  <conditionalFormatting sqref="E9:F9">
    <cfRule type="cellIs" dxfId="59" priority="1" operator="equal">
      <formula>0</formula>
    </cfRule>
  </conditionalFormatting>
  <dataValidations count="2">
    <dataValidation type="list" allowBlank="1" showInputMessage="1" showErrorMessage="1" sqref="E14" xr:uid="{00000000-0002-0000-0300-000000000000}">
      <formula1>BiomassFuels</formula1>
    </dataValidation>
    <dataValidation type="decimal" allowBlank="1" showInputMessage="1" showErrorMessage="1" sqref="E20:E21 E23 E27:E28" xr:uid="{00000000-0002-0000-0300-000001000000}">
      <formula1>0</formula1>
      <formula2>1000000</formula2>
    </dataValidation>
  </dataValidations>
  <pageMargins left="0.75" right="0.75" top="1" bottom="1" header="0.5" footer="0.5"/>
  <pageSetup orientation="portrait"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99"/>
  </sheetPr>
  <dimension ref="B1:K38"/>
  <sheetViews>
    <sheetView zoomScaleNormal="100" workbookViewId="0"/>
  </sheetViews>
  <sheetFormatPr defaultColWidth="9.1796875" defaultRowHeight="12.5" x14ac:dyDescent="0.25"/>
  <cols>
    <col min="1" max="2" width="2.54296875" style="16" customWidth="1"/>
    <col min="3" max="3" width="9.7265625" style="16" customWidth="1"/>
    <col min="4" max="4" width="32.81640625" style="16" customWidth="1"/>
    <col min="5" max="5" width="28.54296875" style="16" customWidth="1"/>
    <col min="6" max="6" width="24.7265625" style="16" customWidth="1"/>
    <col min="7" max="7" width="3.26953125" style="16" customWidth="1"/>
    <col min="8" max="16384" width="9.1796875" style="16"/>
  </cols>
  <sheetData>
    <row r="1" spans="2:8" ht="13" thickBot="1" x14ac:dyDescent="0.3"/>
    <row r="2" spans="2:8" ht="13" x14ac:dyDescent="0.3">
      <c r="B2" s="17"/>
      <c r="C2" s="276" t="s">
        <v>10</v>
      </c>
      <c r="D2" s="277"/>
      <c r="E2" s="277"/>
      <c r="F2" s="278"/>
    </row>
    <row r="3" spans="2:8" ht="13" x14ac:dyDescent="0.3">
      <c r="B3" s="17"/>
      <c r="C3" s="279" t="s">
        <v>208</v>
      </c>
      <c r="D3" s="280"/>
      <c r="E3" s="280"/>
      <c r="F3" s="281"/>
    </row>
    <row r="4" spans="2:8" ht="13" x14ac:dyDescent="0.3">
      <c r="B4" s="17"/>
      <c r="C4" s="279"/>
      <c r="D4" s="280"/>
      <c r="E4" s="280"/>
      <c r="F4" s="281"/>
    </row>
    <row r="5" spans="2:8" ht="13.5" thickBot="1" x14ac:dyDescent="0.35">
      <c r="B5" s="17"/>
      <c r="C5" s="282" t="s">
        <v>89</v>
      </c>
      <c r="D5" s="283"/>
      <c r="E5" s="283"/>
      <c r="F5" s="284"/>
    </row>
    <row r="8" spans="2:8" ht="13" thickBot="1" x14ac:dyDescent="0.3">
      <c r="H8" s="18" t="s">
        <v>12</v>
      </c>
    </row>
    <row r="9" spans="2:8" ht="13.5" thickBot="1" x14ac:dyDescent="0.35">
      <c r="B9" s="250" t="s">
        <v>97</v>
      </c>
      <c r="C9" s="250"/>
      <c r="D9" s="251"/>
      <c r="E9" s="264">
        <f>Certification!C12</f>
        <v>0</v>
      </c>
      <c r="F9" s="285"/>
      <c r="H9" s="19" t="s">
        <v>13</v>
      </c>
    </row>
    <row r="10" spans="2:8" x14ac:dyDescent="0.25">
      <c r="H10" s="20"/>
    </row>
    <row r="11" spans="2:8" ht="13" x14ac:dyDescent="0.3">
      <c r="B11" s="21" t="s">
        <v>98</v>
      </c>
    </row>
    <row r="12" spans="2:8" ht="13" thickBot="1" x14ac:dyDescent="0.3"/>
    <row r="13" spans="2:8" ht="13" x14ac:dyDescent="0.3">
      <c r="C13" s="22" t="s">
        <v>14</v>
      </c>
      <c r="D13" s="23"/>
      <c r="E13" s="23"/>
      <c r="F13" s="24"/>
      <c r="G13" s="25"/>
    </row>
    <row r="14" spans="2:8" x14ac:dyDescent="0.25">
      <c r="C14" s="26"/>
      <c r="D14" s="27" t="s">
        <v>15</v>
      </c>
      <c r="E14" s="50"/>
      <c r="F14" s="28" t="s">
        <v>17</v>
      </c>
      <c r="G14" s="25"/>
    </row>
    <row r="15" spans="2:8" x14ac:dyDescent="0.25">
      <c r="C15" s="26"/>
      <c r="D15" s="27" t="s">
        <v>18</v>
      </c>
      <c r="E15" s="29" t="str">
        <f>IFERROR(VLOOKUP(E14,BiomassHeatValues,3),"-")</f>
        <v>-</v>
      </c>
      <c r="F15" s="30" t="str">
        <f>IFERROR(VLOOKUP(E14,BiomassHeatValues,4),"-")</f>
        <v>-</v>
      </c>
      <c r="G15" s="25"/>
    </row>
    <row r="16" spans="2:8" ht="13" thickBot="1" x14ac:dyDescent="0.3">
      <c r="C16" s="31"/>
      <c r="D16" s="32" t="s">
        <v>113</v>
      </c>
      <c r="E16" s="33" t="str">
        <f>IF('Fuel Report'!E11+'Fuel Report'!E12+'Fuel Report'!E13+'Fuel Report'!E14=0,"-",'Fuel Report'!E11+'Fuel Report'!E12+'Fuel Report'!E13+'Fuel Report'!E14)</f>
        <v>-</v>
      </c>
      <c r="F16" s="34" t="str">
        <f>IFERROR(VLOOKUP(E14,BiomassHeatValues,2),"-")</f>
        <v>-</v>
      </c>
      <c r="G16" s="25"/>
    </row>
    <row r="17" spans="3:11" ht="13" thickBot="1" x14ac:dyDescent="0.3"/>
    <row r="18" spans="3:11" ht="13.5" thickBot="1" x14ac:dyDescent="0.35">
      <c r="C18" s="22" t="s">
        <v>19</v>
      </c>
      <c r="D18" s="23"/>
      <c r="E18" s="23"/>
      <c r="F18" s="24"/>
    </row>
    <row r="19" spans="3:11" x14ac:dyDescent="0.25">
      <c r="C19" s="26"/>
      <c r="D19" s="27" t="s">
        <v>20</v>
      </c>
      <c r="E19" s="35"/>
      <c r="F19" s="36"/>
      <c r="H19" s="267" t="s">
        <v>24</v>
      </c>
      <c r="I19" s="268"/>
      <c r="J19" s="268"/>
      <c r="K19" s="269"/>
    </row>
    <row r="20" spans="3:11" x14ac:dyDescent="0.25">
      <c r="C20" s="26"/>
      <c r="D20" s="37" t="s">
        <v>102</v>
      </c>
      <c r="E20" s="51"/>
      <c r="F20" s="28" t="s">
        <v>99</v>
      </c>
      <c r="H20" s="270"/>
      <c r="I20" s="271"/>
      <c r="J20" s="271"/>
      <c r="K20" s="272"/>
    </row>
    <row r="21" spans="3:11" x14ac:dyDescent="0.25">
      <c r="C21" s="26"/>
      <c r="D21" s="38" t="s">
        <v>21</v>
      </c>
      <c r="E21" s="51"/>
      <c r="F21" s="28" t="s">
        <v>99</v>
      </c>
      <c r="H21" s="270"/>
      <c r="I21" s="271"/>
      <c r="J21" s="271"/>
      <c r="K21" s="272"/>
    </row>
    <row r="22" spans="3:11" ht="13" thickBot="1" x14ac:dyDescent="0.3">
      <c r="C22" s="26"/>
      <c r="D22" s="27" t="s">
        <v>22</v>
      </c>
      <c r="E22" s="39" t="s">
        <v>23</v>
      </c>
      <c r="F22" s="40"/>
      <c r="H22" s="273"/>
      <c r="I22" s="274"/>
      <c r="J22" s="274"/>
      <c r="K22" s="275"/>
    </row>
    <row r="23" spans="3:11" ht="13" thickBot="1" x14ac:dyDescent="0.3">
      <c r="C23" s="31"/>
      <c r="D23" s="41" t="s">
        <v>25</v>
      </c>
      <c r="E23" s="52"/>
      <c r="F23" s="42" t="s">
        <v>100</v>
      </c>
    </row>
    <row r="24" spans="3:11" ht="13" thickBot="1" x14ac:dyDescent="0.3"/>
    <row r="25" spans="3:11" ht="13" x14ac:dyDescent="0.3">
      <c r="C25" s="22" t="s">
        <v>26</v>
      </c>
      <c r="D25" s="23"/>
      <c r="E25" s="23"/>
      <c r="F25" s="24"/>
      <c r="H25" s="267" t="s">
        <v>31</v>
      </c>
      <c r="I25" s="268"/>
      <c r="J25" s="268"/>
      <c r="K25" s="269"/>
    </row>
    <row r="26" spans="3:11" x14ac:dyDescent="0.25">
      <c r="C26" s="26"/>
      <c r="D26" s="27" t="s">
        <v>27</v>
      </c>
      <c r="E26" s="39" t="s">
        <v>28</v>
      </c>
      <c r="F26" s="40"/>
      <c r="H26" s="270"/>
      <c r="I26" s="271"/>
      <c r="J26" s="271"/>
      <c r="K26" s="272"/>
    </row>
    <row r="27" spans="3:11" x14ac:dyDescent="0.25">
      <c r="C27" s="26"/>
      <c r="D27" s="27" t="s">
        <v>29</v>
      </c>
      <c r="E27" s="50"/>
      <c r="F27" s="40" t="s">
        <v>30</v>
      </c>
      <c r="H27" s="270"/>
      <c r="I27" s="271"/>
      <c r="J27" s="271"/>
      <c r="K27" s="272"/>
    </row>
    <row r="28" spans="3:11" ht="13" thickBot="1" x14ac:dyDescent="0.3">
      <c r="C28" s="31"/>
      <c r="D28" s="41" t="s">
        <v>32</v>
      </c>
      <c r="E28" s="52"/>
      <c r="F28" s="42" t="s">
        <v>101</v>
      </c>
      <c r="H28" s="273"/>
      <c r="I28" s="274"/>
      <c r="J28" s="274"/>
      <c r="K28" s="275"/>
    </row>
    <row r="30" spans="3:11" ht="13" thickBot="1" x14ac:dyDescent="0.3"/>
    <row r="31" spans="3:11" ht="13" x14ac:dyDescent="0.3">
      <c r="C31" s="22" t="s">
        <v>33</v>
      </c>
      <c r="D31" s="23"/>
      <c r="E31" s="23"/>
      <c r="F31" s="24"/>
    </row>
    <row r="32" spans="3:11" x14ac:dyDescent="0.25">
      <c r="C32" s="26"/>
      <c r="D32" s="27" t="s">
        <v>34</v>
      </c>
      <c r="E32" s="43" t="str">
        <f>IFERROR(IF(F15="BTU/lb",E15*E16*2000/3412000,E15*E16/3412000),"-")</f>
        <v>-</v>
      </c>
      <c r="F32" s="40" t="s">
        <v>35</v>
      </c>
    </row>
    <row r="33" spans="3:6" x14ac:dyDescent="0.25">
      <c r="C33" s="26"/>
      <c r="D33" s="27" t="s">
        <v>36</v>
      </c>
      <c r="E33" s="43">
        <f>E20</f>
        <v>0</v>
      </c>
      <c r="F33" s="40" t="s">
        <v>37</v>
      </c>
    </row>
    <row r="34" spans="3:6" x14ac:dyDescent="0.25">
      <c r="C34" s="26"/>
      <c r="D34" s="27" t="s">
        <v>38</v>
      </c>
      <c r="E34" s="43">
        <f>E21</f>
        <v>0</v>
      </c>
      <c r="F34" s="40" t="s">
        <v>37</v>
      </c>
    </row>
    <row r="35" spans="3:6" x14ac:dyDescent="0.25">
      <c r="C35" s="26"/>
      <c r="D35" s="27" t="s">
        <v>39</v>
      </c>
      <c r="E35" s="43">
        <f>E23*1000/3412</f>
        <v>0</v>
      </c>
      <c r="F35" s="40" t="s">
        <v>40</v>
      </c>
    </row>
    <row r="36" spans="3:6" ht="13" thickBot="1" x14ac:dyDescent="0.3">
      <c r="C36" s="31"/>
      <c r="D36" s="41" t="s">
        <v>41</v>
      </c>
      <c r="E36" s="44">
        <f>E27*E28/3412000</f>
        <v>0</v>
      </c>
      <c r="F36" s="45" t="s">
        <v>42</v>
      </c>
    </row>
    <row r="37" spans="3:6" ht="13" thickBot="1" x14ac:dyDescent="0.3"/>
    <row r="38" spans="3:6" ht="13.5" thickBot="1" x14ac:dyDescent="0.35">
      <c r="C38" s="46" t="s">
        <v>43</v>
      </c>
      <c r="D38" s="47"/>
      <c r="E38" s="48" t="str">
        <f>IFERROR((E33/(1-0.06)+E34+E35+E36)/E32,"-")</f>
        <v>-</v>
      </c>
      <c r="F38" s="49"/>
    </row>
  </sheetData>
  <sheetProtection algorithmName="SHA-512" hashValue="grrTSaT0PyoubqEc3PkJ6CiUehG5nGLIBhaGZH6vAw6z0lyM1F+1Cah6prKZeLfmXk7+L7n530ZNDdHjJy6xnQ==" saltValue="0UhS+joBzMd8d6iygxMvFA==" spinCount="100000" sheet="1" objects="1" scenarios="1"/>
  <protectedRanges>
    <protectedRange sqref="E14 E20:E21 E23 E27:E28 H19 H25" name="Range1"/>
    <protectedRange sqref="E9" name="Range1_1"/>
    <protectedRange sqref="E16" name="Range1_2"/>
  </protectedRanges>
  <mergeCells count="8">
    <mergeCell ref="H19:K22"/>
    <mergeCell ref="H25:K28"/>
    <mergeCell ref="C2:F2"/>
    <mergeCell ref="C3:F3"/>
    <mergeCell ref="C4:F4"/>
    <mergeCell ref="C5:F5"/>
    <mergeCell ref="B9:D9"/>
    <mergeCell ref="E9:F9"/>
  </mergeCells>
  <conditionalFormatting sqref="E33:E36">
    <cfRule type="cellIs" dxfId="58" priority="2" operator="equal">
      <formula>0</formula>
    </cfRule>
  </conditionalFormatting>
  <conditionalFormatting sqref="E9:F9">
    <cfRule type="cellIs" dxfId="57" priority="1" operator="equal">
      <formula>0</formula>
    </cfRule>
  </conditionalFormatting>
  <dataValidations count="2">
    <dataValidation type="decimal" allowBlank="1" showInputMessage="1" showErrorMessage="1" sqref="E20:E21 E23 E27:E28" xr:uid="{00000000-0002-0000-0400-000000000000}">
      <formula1>0</formula1>
      <formula2>1000000</formula2>
    </dataValidation>
    <dataValidation type="list" allowBlank="1" showInputMessage="1" showErrorMessage="1" sqref="E14" xr:uid="{00000000-0002-0000-0400-000001000000}">
      <formula1>BiomassFuels</formula1>
    </dataValidation>
  </dataValidations>
  <pageMargins left="0.75" right="0.75" top="1" bottom="1" header="0.5" footer="0.5"/>
  <pageSetup orientation="portrait"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99"/>
  </sheetPr>
  <dimension ref="B1:K38"/>
  <sheetViews>
    <sheetView zoomScaleNormal="100" workbookViewId="0"/>
  </sheetViews>
  <sheetFormatPr defaultColWidth="9.1796875" defaultRowHeight="12.5" x14ac:dyDescent="0.25"/>
  <cols>
    <col min="1" max="2" width="2.54296875" style="16" customWidth="1"/>
    <col min="3" max="3" width="9.7265625" style="16" customWidth="1"/>
    <col min="4" max="4" width="32.81640625" style="16" customWidth="1"/>
    <col min="5" max="5" width="28.54296875" style="16" customWidth="1"/>
    <col min="6" max="6" width="24.7265625" style="16" customWidth="1"/>
    <col min="7" max="7" width="3.26953125" style="16" customWidth="1"/>
    <col min="8" max="16384" width="9.1796875" style="16"/>
  </cols>
  <sheetData>
    <row r="1" spans="2:8" ht="13" thickBot="1" x14ac:dyDescent="0.3"/>
    <row r="2" spans="2:8" ht="13" x14ac:dyDescent="0.3">
      <c r="B2" s="17"/>
      <c r="C2" s="276" t="s">
        <v>10</v>
      </c>
      <c r="D2" s="277"/>
      <c r="E2" s="277"/>
      <c r="F2" s="278"/>
    </row>
    <row r="3" spans="2:8" ht="13" x14ac:dyDescent="0.3">
      <c r="B3" s="17"/>
      <c r="C3" s="279" t="s">
        <v>208</v>
      </c>
      <c r="D3" s="280"/>
      <c r="E3" s="280"/>
      <c r="F3" s="281"/>
    </row>
    <row r="4" spans="2:8" ht="13" x14ac:dyDescent="0.3">
      <c r="B4" s="17"/>
      <c r="C4" s="279"/>
      <c r="D4" s="280"/>
      <c r="E4" s="280"/>
      <c r="F4" s="281"/>
    </row>
    <row r="5" spans="2:8" ht="13.5" thickBot="1" x14ac:dyDescent="0.35">
      <c r="B5" s="17"/>
      <c r="C5" s="282" t="s">
        <v>90</v>
      </c>
      <c r="D5" s="283"/>
      <c r="E5" s="283"/>
      <c r="F5" s="284"/>
    </row>
    <row r="8" spans="2:8" ht="13" thickBot="1" x14ac:dyDescent="0.3">
      <c r="H8" s="18" t="s">
        <v>12</v>
      </c>
    </row>
    <row r="9" spans="2:8" ht="13.5" thickBot="1" x14ac:dyDescent="0.35">
      <c r="B9" s="250" t="s">
        <v>97</v>
      </c>
      <c r="C9" s="250"/>
      <c r="D9" s="251"/>
      <c r="E9" s="264">
        <f>Certification!C12</f>
        <v>0</v>
      </c>
      <c r="F9" s="285"/>
      <c r="H9" s="19" t="s">
        <v>13</v>
      </c>
    </row>
    <row r="10" spans="2:8" x14ac:dyDescent="0.25">
      <c r="H10" s="20"/>
    </row>
    <row r="11" spans="2:8" ht="13" x14ac:dyDescent="0.3">
      <c r="B11" s="21" t="s">
        <v>98</v>
      </c>
    </row>
    <row r="12" spans="2:8" ht="13" thickBot="1" x14ac:dyDescent="0.3"/>
    <row r="13" spans="2:8" ht="13" x14ac:dyDescent="0.3">
      <c r="C13" s="22" t="s">
        <v>14</v>
      </c>
      <c r="D13" s="23"/>
      <c r="E13" s="23"/>
      <c r="F13" s="24"/>
      <c r="G13" s="25"/>
    </row>
    <row r="14" spans="2:8" x14ac:dyDescent="0.25">
      <c r="C14" s="26"/>
      <c r="D14" s="27" t="s">
        <v>15</v>
      </c>
      <c r="E14" s="50"/>
      <c r="F14" s="28" t="s">
        <v>17</v>
      </c>
      <c r="G14" s="25"/>
    </row>
    <row r="15" spans="2:8" x14ac:dyDescent="0.25">
      <c r="C15" s="26"/>
      <c r="D15" s="27" t="s">
        <v>18</v>
      </c>
      <c r="E15" s="29" t="str">
        <f>IFERROR(VLOOKUP(E14,BiomassHeatValues,3),"-")</f>
        <v>-</v>
      </c>
      <c r="F15" s="30" t="str">
        <f>IFERROR(VLOOKUP(E14,BiomassHeatValues,4),"-")</f>
        <v>-</v>
      </c>
      <c r="G15" s="25"/>
    </row>
    <row r="16" spans="2:8" ht="13" thickBot="1" x14ac:dyDescent="0.3">
      <c r="C16" s="31"/>
      <c r="D16" s="32" t="s">
        <v>113</v>
      </c>
      <c r="E16" s="33" t="str">
        <f>IF('Fuel Report'!F11+'Fuel Report'!F12+'Fuel Report'!F13+'Fuel Report'!F14=0,"-",'Fuel Report'!F11+'Fuel Report'!F12+'Fuel Report'!F13+'Fuel Report'!F14)</f>
        <v>-</v>
      </c>
      <c r="F16" s="34" t="str">
        <f>IFERROR(VLOOKUP(E14,BiomassHeatValues,2),"-")</f>
        <v>-</v>
      </c>
      <c r="G16" s="25"/>
    </row>
    <row r="17" spans="3:11" ht="13" thickBot="1" x14ac:dyDescent="0.3"/>
    <row r="18" spans="3:11" ht="13.5" thickBot="1" x14ac:dyDescent="0.35">
      <c r="C18" s="22" t="s">
        <v>19</v>
      </c>
      <c r="D18" s="23"/>
      <c r="E18" s="23"/>
      <c r="F18" s="24"/>
    </row>
    <row r="19" spans="3:11" x14ac:dyDescent="0.25">
      <c r="C19" s="26"/>
      <c r="D19" s="27" t="s">
        <v>20</v>
      </c>
      <c r="E19" s="35"/>
      <c r="F19" s="36"/>
      <c r="H19" s="267" t="s">
        <v>24</v>
      </c>
      <c r="I19" s="268"/>
      <c r="J19" s="268"/>
      <c r="K19" s="269"/>
    </row>
    <row r="20" spans="3:11" x14ac:dyDescent="0.25">
      <c r="C20" s="26"/>
      <c r="D20" s="37" t="s">
        <v>102</v>
      </c>
      <c r="E20" s="51"/>
      <c r="F20" s="28" t="s">
        <v>99</v>
      </c>
      <c r="H20" s="270"/>
      <c r="I20" s="271"/>
      <c r="J20" s="271"/>
      <c r="K20" s="272"/>
    </row>
    <row r="21" spans="3:11" x14ac:dyDescent="0.25">
      <c r="C21" s="26"/>
      <c r="D21" s="38" t="s">
        <v>21</v>
      </c>
      <c r="E21" s="51"/>
      <c r="F21" s="28" t="s">
        <v>99</v>
      </c>
      <c r="H21" s="270"/>
      <c r="I21" s="271"/>
      <c r="J21" s="271"/>
      <c r="K21" s="272"/>
    </row>
    <row r="22" spans="3:11" ht="13" thickBot="1" x14ac:dyDescent="0.3">
      <c r="C22" s="26"/>
      <c r="D22" s="27" t="s">
        <v>22</v>
      </c>
      <c r="E22" s="39" t="s">
        <v>23</v>
      </c>
      <c r="F22" s="40"/>
      <c r="H22" s="273"/>
      <c r="I22" s="274"/>
      <c r="J22" s="274"/>
      <c r="K22" s="275"/>
    </row>
    <row r="23" spans="3:11" ht="13" thickBot="1" x14ac:dyDescent="0.3">
      <c r="C23" s="31"/>
      <c r="D23" s="41" t="s">
        <v>25</v>
      </c>
      <c r="E23" s="52"/>
      <c r="F23" s="42" t="s">
        <v>100</v>
      </c>
    </row>
    <row r="24" spans="3:11" ht="13" thickBot="1" x14ac:dyDescent="0.3"/>
    <row r="25" spans="3:11" ht="13" x14ac:dyDescent="0.3">
      <c r="C25" s="22" t="s">
        <v>26</v>
      </c>
      <c r="D25" s="23"/>
      <c r="E25" s="23"/>
      <c r="F25" s="24"/>
      <c r="H25" s="267" t="s">
        <v>31</v>
      </c>
      <c r="I25" s="268"/>
      <c r="J25" s="268"/>
      <c r="K25" s="269"/>
    </row>
    <row r="26" spans="3:11" x14ac:dyDescent="0.25">
      <c r="C26" s="26"/>
      <c r="D26" s="27" t="s">
        <v>27</v>
      </c>
      <c r="E26" s="39" t="s">
        <v>28</v>
      </c>
      <c r="F26" s="40"/>
      <c r="H26" s="270"/>
      <c r="I26" s="271"/>
      <c r="J26" s="271"/>
      <c r="K26" s="272"/>
    </row>
    <row r="27" spans="3:11" x14ac:dyDescent="0.25">
      <c r="C27" s="26"/>
      <c r="D27" s="27" t="s">
        <v>29</v>
      </c>
      <c r="E27" s="50"/>
      <c r="F27" s="40" t="s">
        <v>30</v>
      </c>
      <c r="H27" s="270"/>
      <c r="I27" s="271"/>
      <c r="J27" s="271"/>
      <c r="K27" s="272"/>
    </row>
    <row r="28" spans="3:11" ht="13" thickBot="1" x14ac:dyDescent="0.3">
      <c r="C28" s="31"/>
      <c r="D28" s="41" t="s">
        <v>32</v>
      </c>
      <c r="E28" s="52"/>
      <c r="F28" s="42" t="s">
        <v>101</v>
      </c>
      <c r="H28" s="273"/>
      <c r="I28" s="274"/>
      <c r="J28" s="274"/>
      <c r="K28" s="275"/>
    </row>
    <row r="30" spans="3:11" ht="13" thickBot="1" x14ac:dyDescent="0.3"/>
    <row r="31" spans="3:11" ht="13" x14ac:dyDescent="0.3">
      <c r="C31" s="22" t="s">
        <v>33</v>
      </c>
      <c r="D31" s="23"/>
      <c r="E31" s="23"/>
      <c r="F31" s="24"/>
    </row>
    <row r="32" spans="3:11" x14ac:dyDescent="0.25">
      <c r="C32" s="26"/>
      <c r="D32" s="27" t="s">
        <v>34</v>
      </c>
      <c r="E32" s="43" t="str">
        <f>IFERROR(IF(F15="BTU/lb",E15*E16*2000/3412000,E15*E16/3412000),"-")</f>
        <v>-</v>
      </c>
      <c r="F32" s="40" t="s">
        <v>35</v>
      </c>
    </row>
    <row r="33" spans="3:6" x14ac:dyDescent="0.25">
      <c r="C33" s="26"/>
      <c r="D33" s="27" t="s">
        <v>36</v>
      </c>
      <c r="E33" s="43">
        <f>E20</f>
        <v>0</v>
      </c>
      <c r="F33" s="40" t="s">
        <v>37</v>
      </c>
    </row>
    <row r="34" spans="3:6" x14ac:dyDescent="0.25">
      <c r="C34" s="26"/>
      <c r="D34" s="27" t="s">
        <v>38</v>
      </c>
      <c r="E34" s="43">
        <f>E21</f>
        <v>0</v>
      </c>
      <c r="F34" s="40" t="s">
        <v>37</v>
      </c>
    </row>
    <row r="35" spans="3:6" x14ac:dyDescent="0.25">
      <c r="C35" s="26"/>
      <c r="D35" s="27" t="s">
        <v>39</v>
      </c>
      <c r="E35" s="43">
        <f>E23*1000/3412</f>
        <v>0</v>
      </c>
      <c r="F35" s="40" t="s">
        <v>40</v>
      </c>
    </row>
    <row r="36" spans="3:6" ht="13" thickBot="1" x14ac:dyDescent="0.3">
      <c r="C36" s="31"/>
      <c r="D36" s="41" t="s">
        <v>41</v>
      </c>
      <c r="E36" s="44">
        <f>E27*E28/3412000</f>
        <v>0</v>
      </c>
      <c r="F36" s="45" t="s">
        <v>42</v>
      </c>
    </row>
    <row r="37" spans="3:6" ht="13" thickBot="1" x14ac:dyDescent="0.3"/>
    <row r="38" spans="3:6" ht="13.5" thickBot="1" x14ac:dyDescent="0.35">
      <c r="C38" s="46" t="s">
        <v>43</v>
      </c>
      <c r="D38" s="47"/>
      <c r="E38" s="48" t="str">
        <f>IFERROR((E33/(1-0.06)+E34+E35+E36)/E32,"-")</f>
        <v>-</v>
      </c>
      <c r="F38" s="49"/>
    </row>
  </sheetData>
  <sheetProtection algorithmName="SHA-512" hashValue="f0UydI7HvCW4xEyfN8HUZB0uq+g6GmTW3POnHbt+G6ydxAHONaRPvoLbpKNvSU6P8Ksa+72pbwn2ZQYtqoms+w==" saltValue="b5DEBdv3T850bYzk7rlKCQ==" spinCount="100000" sheet="1" objects="1" scenarios="1"/>
  <protectedRanges>
    <protectedRange sqref="E14 E20:E21 E23 E27:E28 H19 H25" name="Range1"/>
    <protectedRange sqref="E9" name="Range1_1"/>
    <protectedRange sqref="E16" name="Range1_2"/>
  </protectedRanges>
  <mergeCells count="8">
    <mergeCell ref="H19:K22"/>
    <mergeCell ref="H25:K28"/>
    <mergeCell ref="C2:F2"/>
    <mergeCell ref="C3:F3"/>
    <mergeCell ref="C4:F4"/>
    <mergeCell ref="C5:F5"/>
    <mergeCell ref="B9:D9"/>
    <mergeCell ref="E9:F9"/>
  </mergeCells>
  <conditionalFormatting sqref="E33:E36">
    <cfRule type="cellIs" dxfId="56" priority="2" operator="equal">
      <formula>0</formula>
    </cfRule>
  </conditionalFormatting>
  <conditionalFormatting sqref="E9:F9">
    <cfRule type="cellIs" dxfId="55" priority="1" operator="equal">
      <formula>0</formula>
    </cfRule>
  </conditionalFormatting>
  <dataValidations count="2">
    <dataValidation type="list" allowBlank="1" showInputMessage="1" showErrorMessage="1" sqref="E14" xr:uid="{00000000-0002-0000-0500-000000000000}">
      <formula1>BiomassFuels</formula1>
    </dataValidation>
    <dataValidation type="decimal" allowBlank="1" showInputMessage="1" showErrorMessage="1" sqref="E20:E21 E23 E27:E28" xr:uid="{00000000-0002-0000-0500-000001000000}">
      <formula1>0</formula1>
      <formula2>1000000</formula2>
    </dataValidation>
  </dataValidations>
  <pageMargins left="0.75" right="0.75" top="1" bottom="1" header="0.5" footer="0.5"/>
  <pageSetup orientation="portrait" horizontalDpi="200"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99"/>
  </sheetPr>
  <dimension ref="B1:K38"/>
  <sheetViews>
    <sheetView zoomScaleNormal="100" workbookViewId="0"/>
  </sheetViews>
  <sheetFormatPr defaultColWidth="9.1796875" defaultRowHeight="12.5" x14ac:dyDescent="0.25"/>
  <cols>
    <col min="1" max="2" width="2.54296875" style="16" customWidth="1"/>
    <col min="3" max="3" width="9.7265625" style="16" customWidth="1"/>
    <col min="4" max="4" width="32.81640625" style="16" customWidth="1"/>
    <col min="5" max="5" width="28.54296875" style="16" customWidth="1"/>
    <col min="6" max="6" width="24.7265625" style="16" customWidth="1"/>
    <col min="7" max="7" width="3.26953125" style="16" customWidth="1"/>
    <col min="8" max="16384" width="9.1796875" style="16"/>
  </cols>
  <sheetData>
    <row r="1" spans="2:8" ht="13" thickBot="1" x14ac:dyDescent="0.3"/>
    <row r="2" spans="2:8" ht="13" x14ac:dyDescent="0.3">
      <c r="B2" s="17"/>
      <c r="C2" s="276" t="s">
        <v>10</v>
      </c>
      <c r="D2" s="277"/>
      <c r="E2" s="277"/>
      <c r="F2" s="278"/>
    </row>
    <row r="3" spans="2:8" ht="13" x14ac:dyDescent="0.3">
      <c r="B3" s="17"/>
      <c r="C3" s="279" t="s">
        <v>208</v>
      </c>
      <c r="D3" s="280"/>
      <c r="E3" s="280"/>
      <c r="F3" s="281"/>
    </row>
    <row r="4" spans="2:8" ht="13" x14ac:dyDescent="0.3">
      <c r="B4" s="17"/>
      <c r="C4" s="279"/>
      <c r="D4" s="280"/>
      <c r="E4" s="280"/>
      <c r="F4" s="281"/>
    </row>
    <row r="5" spans="2:8" ht="13.5" thickBot="1" x14ac:dyDescent="0.35">
      <c r="B5" s="17"/>
      <c r="C5" s="282" t="s">
        <v>91</v>
      </c>
      <c r="D5" s="283"/>
      <c r="E5" s="283"/>
      <c r="F5" s="284"/>
    </row>
    <row r="8" spans="2:8" ht="13" thickBot="1" x14ac:dyDescent="0.3">
      <c r="H8" s="18" t="s">
        <v>12</v>
      </c>
    </row>
    <row r="9" spans="2:8" ht="13.5" thickBot="1" x14ac:dyDescent="0.35">
      <c r="B9" s="250" t="s">
        <v>97</v>
      </c>
      <c r="C9" s="250"/>
      <c r="D9" s="251"/>
      <c r="E9" s="264">
        <f>Certification!C12</f>
        <v>0</v>
      </c>
      <c r="F9" s="285"/>
      <c r="H9" s="19" t="s">
        <v>13</v>
      </c>
    </row>
    <row r="10" spans="2:8" x14ac:dyDescent="0.25">
      <c r="H10" s="20"/>
    </row>
    <row r="11" spans="2:8" ht="13" x14ac:dyDescent="0.3">
      <c r="B11" s="21" t="s">
        <v>98</v>
      </c>
    </row>
    <row r="12" spans="2:8" ht="13" thickBot="1" x14ac:dyDescent="0.3"/>
    <row r="13" spans="2:8" ht="13" x14ac:dyDescent="0.3">
      <c r="C13" s="22" t="s">
        <v>14</v>
      </c>
      <c r="D13" s="23"/>
      <c r="E13" s="23"/>
      <c r="F13" s="24"/>
      <c r="G13" s="25"/>
    </row>
    <row r="14" spans="2:8" x14ac:dyDescent="0.25">
      <c r="C14" s="26"/>
      <c r="D14" s="27" t="s">
        <v>15</v>
      </c>
      <c r="E14" s="50"/>
      <c r="F14" s="28" t="s">
        <v>17</v>
      </c>
      <c r="G14" s="25"/>
    </row>
    <row r="15" spans="2:8" x14ac:dyDescent="0.25">
      <c r="C15" s="26"/>
      <c r="D15" s="27" t="s">
        <v>18</v>
      </c>
      <c r="E15" s="29" t="str">
        <f>IFERROR(VLOOKUP(E14,BiomassHeatValues,3),"-")</f>
        <v>-</v>
      </c>
      <c r="F15" s="30" t="str">
        <f>IFERROR(VLOOKUP(E14,BiomassHeatValues,4),"-")</f>
        <v>-</v>
      </c>
      <c r="G15" s="25"/>
    </row>
    <row r="16" spans="2:8" ht="13" thickBot="1" x14ac:dyDescent="0.3">
      <c r="C16" s="31"/>
      <c r="D16" s="32" t="s">
        <v>113</v>
      </c>
      <c r="E16" s="33" t="str">
        <f>IF('Fuel Report'!G11+'Fuel Report'!G12+'Fuel Report'!G13+'Fuel Report'!G14=0,"-",'Fuel Report'!G11+'Fuel Report'!G12+'Fuel Report'!G13+'Fuel Report'!G14)</f>
        <v>-</v>
      </c>
      <c r="F16" s="34" t="str">
        <f>IFERROR(VLOOKUP(E14,BiomassHeatValues,2),"-")</f>
        <v>-</v>
      </c>
      <c r="G16" s="25"/>
    </row>
    <row r="17" spans="3:11" ht="13" thickBot="1" x14ac:dyDescent="0.3"/>
    <row r="18" spans="3:11" ht="13.5" thickBot="1" x14ac:dyDescent="0.35">
      <c r="C18" s="22" t="s">
        <v>19</v>
      </c>
      <c r="D18" s="23"/>
      <c r="E18" s="23"/>
      <c r="F18" s="24"/>
    </row>
    <row r="19" spans="3:11" x14ac:dyDescent="0.25">
      <c r="C19" s="26"/>
      <c r="D19" s="27" t="s">
        <v>20</v>
      </c>
      <c r="E19" s="35"/>
      <c r="F19" s="36"/>
      <c r="H19" s="267" t="s">
        <v>24</v>
      </c>
      <c r="I19" s="268"/>
      <c r="J19" s="268"/>
      <c r="K19" s="269"/>
    </row>
    <row r="20" spans="3:11" x14ac:dyDescent="0.25">
      <c r="C20" s="26"/>
      <c r="D20" s="37" t="s">
        <v>102</v>
      </c>
      <c r="E20" s="51"/>
      <c r="F20" s="28" t="s">
        <v>99</v>
      </c>
      <c r="H20" s="270"/>
      <c r="I20" s="271"/>
      <c r="J20" s="271"/>
      <c r="K20" s="272"/>
    </row>
    <row r="21" spans="3:11" x14ac:dyDescent="0.25">
      <c r="C21" s="26"/>
      <c r="D21" s="38" t="s">
        <v>21</v>
      </c>
      <c r="E21" s="51"/>
      <c r="F21" s="28" t="s">
        <v>99</v>
      </c>
      <c r="H21" s="270"/>
      <c r="I21" s="271"/>
      <c r="J21" s="271"/>
      <c r="K21" s="272"/>
    </row>
    <row r="22" spans="3:11" ht="13" thickBot="1" x14ac:dyDescent="0.3">
      <c r="C22" s="26"/>
      <c r="D22" s="27" t="s">
        <v>22</v>
      </c>
      <c r="E22" s="39" t="s">
        <v>23</v>
      </c>
      <c r="F22" s="40"/>
      <c r="H22" s="273"/>
      <c r="I22" s="274"/>
      <c r="J22" s="274"/>
      <c r="K22" s="275"/>
    </row>
    <row r="23" spans="3:11" ht="13" thickBot="1" x14ac:dyDescent="0.3">
      <c r="C23" s="31"/>
      <c r="D23" s="41" t="s">
        <v>25</v>
      </c>
      <c r="E23" s="52"/>
      <c r="F23" s="42" t="s">
        <v>100</v>
      </c>
    </row>
    <row r="24" spans="3:11" ht="13" thickBot="1" x14ac:dyDescent="0.3"/>
    <row r="25" spans="3:11" ht="13" x14ac:dyDescent="0.3">
      <c r="C25" s="22" t="s">
        <v>26</v>
      </c>
      <c r="D25" s="23"/>
      <c r="E25" s="23"/>
      <c r="F25" s="24"/>
      <c r="H25" s="267" t="s">
        <v>31</v>
      </c>
      <c r="I25" s="268"/>
      <c r="J25" s="268"/>
      <c r="K25" s="269"/>
    </row>
    <row r="26" spans="3:11" x14ac:dyDescent="0.25">
      <c r="C26" s="26"/>
      <c r="D26" s="27" t="s">
        <v>27</v>
      </c>
      <c r="E26" s="39" t="s">
        <v>28</v>
      </c>
      <c r="F26" s="40"/>
      <c r="H26" s="270"/>
      <c r="I26" s="271"/>
      <c r="J26" s="271"/>
      <c r="K26" s="272"/>
    </row>
    <row r="27" spans="3:11" x14ac:dyDescent="0.25">
      <c r="C27" s="26"/>
      <c r="D27" s="27" t="s">
        <v>29</v>
      </c>
      <c r="E27" s="50"/>
      <c r="F27" s="40" t="s">
        <v>30</v>
      </c>
      <c r="H27" s="270"/>
      <c r="I27" s="271"/>
      <c r="J27" s="271"/>
      <c r="K27" s="272"/>
    </row>
    <row r="28" spans="3:11" ht="13" thickBot="1" x14ac:dyDescent="0.3">
      <c r="C28" s="31"/>
      <c r="D28" s="41" t="s">
        <v>32</v>
      </c>
      <c r="E28" s="52"/>
      <c r="F28" s="42" t="s">
        <v>101</v>
      </c>
      <c r="H28" s="273"/>
      <c r="I28" s="274"/>
      <c r="J28" s="274"/>
      <c r="K28" s="275"/>
    </row>
    <row r="30" spans="3:11" ht="13" thickBot="1" x14ac:dyDescent="0.3"/>
    <row r="31" spans="3:11" ht="13" x14ac:dyDescent="0.3">
      <c r="C31" s="22" t="s">
        <v>33</v>
      </c>
      <c r="D31" s="23"/>
      <c r="E31" s="23"/>
      <c r="F31" s="24"/>
    </row>
    <row r="32" spans="3:11" x14ac:dyDescent="0.25">
      <c r="C32" s="26"/>
      <c r="D32" s="27" t="s">
        <v>34</v>
      </c>
      <c r="E32" s="43" t="str">
        <f>IFERROR(IF(F15="BTU/lb",E15*E16*2000/3412000,E15*E16/3412000),"-")</f>
        <v>-</v>
      </c>
      <c r="F32" s="40" t="s">
        <v>35</v>
      </c>
    </row>
    <row r="33" spans="3:6" x14ac:dyDescent="0.25">
      <c r="C33" s="26"/>
      <c r="D33" s="27" t="s">
        <v>36</v>
      </c>
      <c r="E33" s="43">
        <f>E20</f>
        <v>0</v>
      </c>
      <c r="F33" s="40" t="s">
        <v>37</v>
      </c>
    </row>
    <row r="34" spans="3:6" x14ac:dyDescent="0.25">
      <c r="C34" s="26"/>
      <c r="D34" s="27" t="s">
        <v>38</v>
      </c>
      <c r="E34" s="43">
        <f>E21</f>
        <v>0</v>
      </c>
      <c r="F34" s="40" t="s">
        <v>37</v>
      </c>
    </row>
    <row r="35" spans="3:6" x14ac:dyDescent="0.25">
      <c r="C35" s="26"/>
      <c r="D35" s="27" t="s">
        <v>39</v>
      </c>
      <c r="E35" s="43">
        <f>E23*1000/3412</f>
        <v>0</v>
      </c>
      <c r="F35" s="40" t="s">
        <v>40</v>
      </c>
    </row>
    <row r="36" spans="3:6" ht="13" thickBot="1" x14ac:dyDescent="0.3">
      <c r="C36" s="31"/>
      <c r="D36" s="41" t="s">
        <v>41</v>
      </c>
      <c r="E36" s="44">
        <f>E27*E28/3412000</f>
        <v>0</v>
      </c>
      <c r="F36" s="45" t="s">
        <v>42</v>
      </c>
    </row>
    <row r="37" spans="3:6" ht="13" thickBot="1" x14ac:dyDescent="0.3"/>
    <row r="38" spans="3:6" ht="13.5" thickBot="1" x14ac:dyDescent="0.35">
      <c r="C38" s="46" t="s">
        <v>43</v>
      </c>
      <c r="D38" s="47"/>
      <c r="E38" s="48" t="str">
        <f>IFERROR((E33/(1-0.06)+E34+E35+E36)/E32,"-")</f>
        <v>-</v>
      </c>
      <c r="F38" s="49"/>
    </row>
  </sheetData>
  <sheetProtection algorithmName="SHA-512" hashValue="3ejj8FFWxUpdv/KWuZJdf/jl8KwqT0d+3Cm2+rmFgf5Hrf0p8Zuk8IWTq601EhTKIX1efecnga+1HxxKgoAerw==" saltValue="f7A6AHDdGtze/1DJZQ3cGw==" spinCount="100000" sheet="1" objects="1" scenarios="1"/>
  <protectedRanges>
    <protectedRange sqref="E14 E20:E21 E23 E27:E28 H19 H25" name="Range1"/>
    <protectedRange sqref="E9" name="Range1_1"/>
    <protectedRange sqref="E16" name="Range1_2"/>
  </protectedRanges>
  <mergeCells count="8">
    <mergeCell ref="H19:K22"/>
    <mergeCell ref="H25:K28"/>
    <mergeCell ref="C2:F2"/>
    <mergeCell ref="C3:F3"/>
    <mergeCell ref="C4:F4"/>
    <mergeCell ref="C5:F5"/>
    <mergeCell ref="B9:D9"/>
    <mergeCell ref="E9:F9"/>
  </mergeCells>
  <conditionalFormatting sqref="E33:E36">
    <cfRule type="cellIs" dxfId="54" priority="2" operator="equal">
      <formula>0</formula>
    </cfRule>
  </conditionalFormatting>
  <conditionalFormatting sqref="E9:F9">
    <cfRule type="cellIs" dxfId="53" priority="1" operator="equal">
      <formula>0</formula>
    </cfRule>
  </conditionalFormatting>
  <dataValidations count="2">
    <dataValidation type="decimal" allowBlank="1" showInputMessage="1" showErrorMessage="1" sqref="E20:E21 E23 E27:E28" xr:uid="{00000000-0002-0000-0600-000000000000}">
      <formula1>0</formula1>
      <formula2>1000000</formula2>
    </dataValidation>
    <dataValidation type="list" allowBlank="1" showInputMessage="1" showErrorMessage="1" sqref="E14" xr:uid="{00000000-0002-0000-0600-000001000000}">
      <formula1>BiomassFuels</formula1>
    </dataValidation>
  </dataValidations>
  <pageMargins left="0.75" right="0.75" top="1" bottom="1" header="0.5" footer="0.5"/>
  <pageSetup orientation="portrait"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3" tint="0.39997558519241921"/>
  </sheetPr>
  <dimension ref="B1:K38"/>
  <sheetViews>
    <sheetView zoomScaleNormal="100" workbookViewId="0"/>
  </sheetViews>
  <sheetFormatPr defaultColWidth="9.1796875" defaultRowHeight="12.5" x14ac:dyDescent="0.25"/>
  <cols>
    <col min="1" max="2" width="2.54296875" style="16" customWidth="1"/>
    <col min="3" max="3" width="9.7265625" style="16" customWidth="1"/>
    <col min="4" max="4" width="32.81640625" style="16" customWidth="1"/>
    <col min="5" max="5" width="28.54296875" style="16" customWidth="1"/>
    <col min="6" max="6" width="24.7265625" style="16" customWidth="1"/>
    <col min="7" max="7" width="3.26953125" style="16" customWidth="1"/>
    <col min="8" max="16384" width="9.1796875" style="16"/>
  </cols>
  <sheetData>
    <row r="1" spans="2:8" ht="13" thickBot="1" x14ac:dyDescent="0.3"/>
    <row r="2" spans="2:8" ht="13" x14ac:dyDescent="0.3">
      <c r="B2" s="17"/>
      <c r="C2" s="276" t="s">
        <v>10</v>
      </c>
      <c r="D2" s="277"/>
      <c r="E2" s="277"/>
      <c r="F2" s="278"/>
    </row>
    <row r="3" spans="2:8" ht="13" x14ac:dyDescent="0.3">
      <c r="B3" s="17"/>
      <c r="C3" s="279" t="s">
        <v>208</v>
      </c>
      <c r="D3" s="280"/>
      <c r="E3" s="280"/>
      <c r="F3" s="281"/>
    </row>
    <row r="4" spans="2:8" ht="13" x14ac:dyDescent="0.3">
      <c r="B4" s="17"/>
      <c r="C4" s="279"/>
      <c r="D4" s="280"/>
      <c r="E4" s="280"/>
      <c r="F4" s="281"/>
    </row>
    <row r="5" spans="2:8" ht="13.5" thickBot="1" x14ac:dyDescent="0.35">
      <c r="B5" s="17"/>
      <c r="C5" s="282" t="s">
        <v>11</v>
      </c>
      <c r="D5" s="283"/>
      <c r="E5" s="283"/>
      <c r="F5" s="284"/>
    </row>
    <row r="8" spans="2:8" ht="13" thickBot="1" x14ac:dyDescent="0.3">
      <c r="H8" s="25"/>
    </row>
    <row r="9" spans="2:8" ht="13.5" thickBot="1" x14ac:dyDescent="0.35">
      <c r="B9" s="250" t="s">
        <v>97</v>
      </c>
      <c r="C9" s="250"/>
      <c r="D9" s="251"/>
      <c r="E9" s="264">
        <f>Certification!C12</f>
        <v>0</v>
      </c>
      <c r="F9" s="285"/>
      <c r="H9" s="53" t="s">
        <v>13</v>
      </c>
    </row>
    <row r="10" spans="2:8" x14ac:dyDescent="0.25">
      <c r="H10" s="20"/>
    </row>
    <row r="11" spans="2:8" ht="13" x14ac:dyDescent="0.3">
      <c r="B11" s="21" t="s">
        <v>103</v>
      </c>
    </row>
    <row r="12" spans="2:8" ht="13" thickBot="1" x14ac:dyDescent="0.3"/>
    <row r="13" spans="2:8" ht="13" x14ac:dyDescent="0.3">
      <c r="C13" s="22" t="s">
        <v>14</v>
      </c>
      <c r="D13" s="23"/>
      <c r="E13" s="23"/>
      <c r="F13" s="24"/>
      <c r="G13" s="25"/>
    </row>
    <row r="14" spans="2:8" x14ac:dyDescent="0.25">
      <c r="C14" s="26"/>
      <c r="D14" s="27" t="s">
        <v>15</v>
      </c>
      <c r="E14" s="29">
        <f>'Overall Efficiency - Quarter 1'!E14</f>
        <v>0</v>
      </c>
      <c r="F14" s="54"/>
      <c r="G14" s="25"/>
    </row>
    <row r="15" spans="2:8" x14ac:dyDescent="0.25">
      <c r="C15" s="26"/>
      <c r="D15" s="27" t="s">
        <v>18</v>
      </c>
      <c r="E15" s="29" t="str">
        <f>IFERROR(VLOOKUP(E14,BiomassHeatValues,3),"-")</f>
        <v>-</v>
      </c>
      <c r="F15" s="30" t="str">
        <f>IFERROR(VLOOKUP(E14,BiomassHeatValues,4),"-")</f>
        <v>-</v>
      </c>
      <c r="G15" s="25"/>
    </row>
    <row r="16" spans="2:8" ht="13" thickBot="1" x14ac:dyDescent="0.3">
      <c r="C16" s="31"/>
      <c r="D16" s="32" t="s">
        <v>114</v>
      </c>
      <c r="E16" s="33" t="str">
        <f>IF(('Fuel Report'!H11+'Fuel Report'!H12+'Fuel Report'!H13+'Fuel Report'!H14)=0,"-",'Fuel Report'!H11+'Fuel Report'!H12+'Fuel Report'!H13+'Fuel Report'!H14)</f>
        <v>-</v>
      </c>
      <c r="F16" s="34" t="str">
        <f>IFERROR(VLOOKUP(E14,BiomassHeatValues,2),"-")</f>
        <v>-</v>
      </c>
      <c r="G16" s="25"/>
    </row>
    <row r="17" spans="3:11" ht="13" thickBot="1" x14ac:dyDescent="0.3">
      <c r="H17" s="25"/>
      <c r="I17" s="25"/>
      <c r="J17" s="25"/>
      <c r="K17" s="25"/>
    </row>
    <row r="18" spans="3:11" ht="13" x14ac:dyDescent="0.3">
      <c r="C18" s="22" t="s">
        <v>19</v>
      </c>
      <c r="D18" s="23"/>
      <c r="E18" s="23"/>
      <c r="F18" s="24"/>
      <c r="H18" s="25"/>
      <c r="I18" s="25"/>
      <c r="J18" s="25"/>
      <c r="K18" s="25"/>
    </row>
    <row r="19" spans="3:11" x14ac:dyDescent="0.25">
      <c r="C19" s="26"/>
      <c r="D19" s="27" t="s">
        <v>20</v>
      </c>
      <c r="E19" s="35"/>
      <c r="F19" s="36"/>
      <c r="H19" s="286"/>
      <c r="I19" s="287"/>
      <c r="J19" s="287"/>
      <c r="K19" s="287"/>
    </row>
    <row r="20" spans="3:11" x14ac:dyDescent="0.25">
      <c r="C20" s="26"/>
      <c r="D20" s="37" t="s">
        <v>102</v>
      </c>
      <c r="E20" s="43">
        <f>'Overall Efficiency - Quarter 1'!E20+'Overall Efficiency - Quarter 2'!E20+'Overall Efficiency - Quarter 3'!E20+'Overall Efficiency - Quarter 4'!E20</f>
        <v>0</v>
      </c>
      <c r="F20" s="28" t="s">
        <v>99</v>
      </c>
      <c r="H20" s="287"/>
      <c r="I20" s="287"/>
      <c r="J20" s="287"/>
      <c r="K20" s="287"/>
    </row>
    <row r="21" spans="3:11" x14ac:dyDescent="0.25">
      <c r="C21" s="26"/>
      <c r="D21" s="38" t="s">
        <v>21</v>
      </c>
      <c r="E21" s="43">
        <f>'Overall Efficiency - Quarter 1'!E21+'Overall Efficiency - Quarter 2'!E21+'Overall Efficiency - Quarter 3'!E21+'Overall Efficiency - Quarter 4'!E21</f>
        <v>0</v>
      </c>
      <c r="F21" s="28" t="s">
        <v>99</v>
      </c>
      <c r="H21" s="287"/>
      <c r="I21" s="287"/>
      <c r="J21" s="287"/>
      <c r="K21" s="287"/>
    </row>
    <row r="22" spans="3:11" x14ac:dyDescent="0.25">
      <c r="C22" s="26"/>
      <c r="D22" s="27" t="s">
        <v>22</v>
      </c>
      <c r="E22" s="55"/>
      <c r="F22" s="36"/>
      <c r="H22" s="287"/>
      <c r="I22" s="287"/>
      <c r="J22" s="287"/>
      <c r="K22" s="287"/>
    </row>
    <row r="23" spans="3:11" ht="13" thickBot="1" x14ac:dyDescent="0.3">
      <c r="C23" s="31"/>
      <c r="D23" s="41" t="s">
        <v>25</v>
      </c>
      <c r="E23" s="44">
        <f>'Overall Efficiency - Quarter 1'!E23+'Overall Efficiency - Quarter 2'!E23+'Overall Efficiency - Quarter 3'!E23+'Overall Efficiency - Quarter 4'!E23</f>
        <v>0</v>
      </c>
      <c r="F23" s="42" t="s">
        <v>100</v>
      </c>
      <c r="H23" s="25"/>
      <c r="I23" s="25"/>
      <c r="J23" s="25"/>
      <c r="K23" s="25"/>
    </row>
    <row r="24" spans="3:11" ht="13" thickBot="1" x14ac:dyDescent="0.3">
      <c r="H24" s="25"/>
      <c r="I24" s="25"/>
      <c r="J24" s="25"/>
      <c r="K24" s="25"/>
    </row>
    <row r="25" spans="3:11" ht="13" x14ac:dyDescent="0.3">
      <c r="C25" s="22" t="s">
        <v>26</v>
      </c>
      <c r="D25" s="23"/>
      <c r="E25" s="23"/>
      <c r="F25" s="24"/>
      <c r="H25" s="286"/>
      <c r="I25" s="287"/>
      <c r="J25" s="287"/>
      <c r="K25" s="287"/>
    </row>
    <row r="26" spans="3:11" x14ac:dyDescent="0.25">
      <c r="C26" s="26"/>
      <c r="D26" s="27" t="s">
        <v>27</v>
      </c>
      <c r="E26" s="55"/>
      <c r="F26" s="36"/>
      <c r="H26" s="287"/>
      <c r="I26" s="287"/>
      <c r="J26" s="287"/>
      <c r="K26" s="287"/>
    </row>
    <row r="27" spans="3:11" x14ac:dyDescent="0.25">
      <c r="C27" s="26"/>
      <c r="D27" s="27" t="s">
        <v>29</v>
      </c>
      <c r="E27" s="43">
        <f>'Overall Efficiency - Quarter 1'!E27+'Overall Efficiency - Quarter 2'!E27+'Overall Efficiency - Quarter 3'!E27+'Overall Efficiency - Quarter 4'!E27</f>
        <v>0</v>
      </c>
      <c r="F27" s="40" t="s">
        <v>30</v>
      </c>
      <c r="H27" s="287"/>
      <c r="I27" s="287"/>
      <c r="J27" s="287"/>
      <c r="K27" s="287"/>
    </row>
    <row r="28" spans="3:11" ht="13" thickBot="1" x14ac:dyDescent="0.3">
      <c r="C28" s="31"/>
      <c r="D28" s="41" t="s">
        <v>32</v>
      </c>
      <c r="E28" s="56">
        <f>'Overall Efficiency - Quarter 1'!E28+'Overall Efficiency - Quarter 2'!E28+'Overall Efficiency - Quarter 3'!E28+'Overall Efficiency - Quarter 4'!E28</f>
        <v>0</v>
      </c>
      <c r="F28" s="42" t="s">
        <v>101</v>
      </c>
      <c r="H28" s="287"/>
      <c r="I28" s="287"/>
      <c r="J28" s="287"/>
      <c r="K28" s="287"/>
    </row>
    <row r="29" spans="3:11" x14ac:dyDescent="0.25">
      <c r="H29" s="25"/>
      <c r="I29" s="25"/>
      <c r="J29" s="25"/>
      <c r="K29" s="25"/>
    </row>
    <row r="30" spans="3:11" ht="13" thickBot="1" x14ac:dyDescent="0.3">
      <c r="H30" s="25"/>
      <c r="I30" s="25"/>
      <c r="J30" s="25"/>
      <c r="K30" s="25"/>
    </row>
    <row r="31" spans="3:11" ht="13" x14ac:dyDescent="0.3">
      <c r="C31" s="22" t="s">
        <v>33</v>
      </c>
      <c r="D31" s="23"/>
      <c r="E31" s="23"/>
      <c r="F31" s="24"/>
      <c r="H31" s="25"/>
      <c r="I31" s="25"/>
      <c r="J31" s="25"/>
      <c r="K31" s="25"/>
    </row>
    <row r="32" spans="3:11" x14ac:dyDescent="0.25">
      <c r="C32" s="26"/>
      <c r="D32" s="27" t="s">
        <v>34</v>
      </c>
      <c r="E32" s="43" t="str">
        <f>IFERROR(IF(F15="BTU/lb",E15*E16*2000/3412000,E15*E16/3412000),"-")</f>
        <v>-</v>
      </c>
      <c r="F32" s="40" t="s">
        <v>35</v>
      </c>
      <c r="H32" s="25"/>
      <c r="I32" s="25"/>
      <c r="J32" s="25"/>
      <c r="K32" s="25"/>
    </row>
    <row r="33" spans="3:11" x14ac:dyDescent="0.25">
      <c r="C33" s="26"/>
      <c r="D33" s="27" t="s">
        <v>36</v>
      </c>
      <c r="E33" s="43">
        <f>E20</f>
        <v>0</v>
      </c>
      <c r="F33" s="40" t="s">
        <v>37</v>
      </c>
      <c r="H33" s="25"/>
      <c r="I33" s="25"/>
      <c r="J33" s="25"/>
      <c r="K33" s="25"/>
    </row>
    <row r="34" spans="3:11" x14ac:dyDescent="0.25">
      <c r="C34" s="26"/>
      <c r="D34" s="27" t="s">
        <v>38</v>
      </c>
      <c r="E34" s="43">
        <f>E21</f>
        <v>0</v>
      </c>
      <c r="F34" s="40" t="s">
        <v>37</v>
      </c>
      <c r="H34" s="25"/>
      <c r="I34" s="25"/>
      <c r="J34" s="25"/>
      <c r="K34" s="25"/>
    </row>
    <row r="35" spans="3:11" x14ac:dyDescent="0.25">
      <c r="C35" s="26"/>
      <c r="D35" s="27" t="s">
        <v>39</v>
      </c>
      <c r="E35" s="43">
        <f>E23*1000/3412</f>
        <v>0</v>
      </c>
      <c r="F35" s="40" t="s">
        <v>40</v>
      </c>
      <c r="H35" s="25"/>
      <c r="I35" s="25"/>
      <c r="J35" s="25"/>
      <c r="K35" s="25"/>
    </row>
    <row r="36" spans="3:11" ht="13" thickBot="1" x14ac:dyDescent="0.3">
      <c r="C36" s="31"/>
      <c r="D36" s="41" t="s">
        <v>41</v>
      </c>
      <c r="E36" s="44">
        <f>E27*E28/3412000</f>
        <v>0</v>
      </c>
      <c r="F36" s="45" t="s">
        <v>42</v>
      </c>
    </row>
    <row r="37" spans="3:11" ht="13" thickBot="1" x14ac:dyDescent="0.3"/>
    <row r="38" spans="3:11" ht="13.5" thickBot="1" x14ac:dyDescent="0.35">
      <c r="C38" s="46" t="s">
        <v>43</v>
      </c>
      <c r="D38" s="47"/>
      <c r="E38" s="48" t="str">
        <f>IFERROR((E33/(1-0.06)+E34+E35+E36)/E32,"-")</f>
        <v>-</v>
      </c>
      <c r="F38" s="49"/>
    </row>
  </sheetData>
  <sheetProtection algorithmName="SHA-512" hashValue="+SjNL/PCLdC+is9aNgOIdGzI/bBLgqkMfvtT9JPHZDB5BrO2pHvx5FrrSqe4AdtgDhj1A/hPiJp6j8JUM9lHZg==" saltValue="i+md1fkVU57JzlTz8E81kQ==" spinCount="100000" sheet="1" objects="1" scenarios="1"/>
  <protectedRanges>
    <protectedRange sqref="E14 E16 H19 H25 E20:E21 E23 E27:E28" name="Range1"/>
    <protectedRange sqref="E9" name="Range1_1"/>
  </protectedRanges>
  <mergeCells count="8">
    <mergeCell ref="H19:K22"/>
    <mergeCell ref="H25:K28"/>
    <mergeCell ref="C2:F2"/>
    <mergeCell ref="C3:F3"/>
    <mergeCell ref="C4:F4"/>
    <mergeCell ref="C5:F5"/>
    <mergeCell ref="B9:D9"/>
    <mergeCell ref="E9:F9"/>
  </mergeCells>
  <conditionalFormatting sqref="E33:E36">
    <cfRule type="cellIs" dxfId="52" priority="14" operator="equal">
      <formula>0</formula>
    </cfRule>
  </conditionalFormatting>
  <conditionalFormatting sqref="E9:F9">
    <cfRule type="cellIs" dxfId="51" priority="13" operator="equal">
      <formula>0</formula>
    </cfRule>
  </conditionalFormatting>
  <conditionalFormatting sqref="E14">
    <cfRule type="cellIs" dxfId="50" priority="12" operator="equal">
      <formula>0</formula>
    </cfRule>
  </conditionalFormatting>
  <conditionalFormatting sqref="E20">
    <cfRule type="cellIs" dxfId="49" priority="11" operator="equal">
      <formula>0</formula>
    </cfRule>
  </conditionalFormatting>
  <conditionalFormatting sqref="E21">
    <cfRule type="cellIs" dxfId="48" priority="6" operator="equal">
      <formula>0</formula>
    </cfRule>
  </conditionalFormatting>
  <conditionalFormatting sqref="E23">
    <cfRule type="cellIs" dxfId="47" priority="5" operator="equal">
      <formula>0</formula>
    </cfRule>
  </conditionalFormatting>
  <conditionalFormatting sqref="E27">
    <cfRule type="cellIs" dxfId="46" priority="4" operator="equal">
      <formula>0</formula>
    </cfRule>
  </conditionalFormatting>
  <conditionalFormatting sqref="E28">
    <cfRule type="cellIs" dxfId="45" priority="3" operator="equal">
      <formula>0</formula>
    </cfRule>
  </conditionalFormatting>
  <conditionalFormatting sqref="E32">
    <cfRule type="cellIs" dxfId="44" priority="1" operator="equal">
      <formula>"-"</formula>
    </cfRule>
  </conditionalFormatting>
  <pageMargins left="0.75" right="0.75" top="1" bottom="1" header="0.5" footer="0.5"/>
  <pageSetup orientation="portrait" horizontalDpi="200"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99"/>
    <pageSetUpPr fitToPage="1"/>
  </sheetPr>
  <dimension ref="B1:O46"/>
  <sheetViews>
    <sheetView workbookViewId="0"/>
  </sheetViews>
  <sheetFormatPr defaultColWidth="9.1796875" defaultRowHeight="12.5" x14ac:dyDescent="0.25"/>
  <cols>
    <col min="1" max="1" width="2.54296875" style="73" customWidth="1"/>
    <col min="2" max="2" width="5.453125" style="73" customWidth="1"/>
    <col min="3" max="3" width="10.81640625" style="73" customWidth="1"/>
    <col min="4" max="4" width="27.1796875" style="73" customWidth="1"/>
    <col min="5" max="5" width="28" style="73" customWidth="1"/>
    <col min="6" max="6" width="38.26953125" style="73" customWidth="1"/>
    <col min="7" max="7" width="2.54296875" style="73" customWidth="1"/>
    <col min="8" max="8" width="12" style="73" bestFit="1" customWidth="1"/>
    <col min="9" max="10" width="9.1796875" style="73"/>
    <col min="11" max="11" width="9.81640625" style="73" customWidth="1"/>
    <col min="12" max="16384" width="9.1796875" style="73"/>
  </cols>
  <sheetData>
    <row r="1" spans="2:8" ht="13" thickBot="1" x14ac:dyDescent="0.3"/>
    <row r="2" spans="2:8" ht="13" x14ac:dyDescent="0.3">
      <c r="C2" s="288" t="s">
        <v>10</v>
      </c>
      <c r="D2" s="289"/>
      <c r="E2" s="289"/>
      <c r="F2" s="290"/>
      <c r="G2" s="74"/>
    </row>
    <row r="3" spans="2:8" ht="13" x14ac:dyDescent="0.3">
      <c r="C3" s="279" t="s">
        <v>208</v>
      </c>
      <c r="D3" s="280"/>
      <c r="E3" s="280"/>
      <c r="F3" s="281"/>
      <c r="G3" s="74"/>
    </row>
    <row r="4" spans="2:8" ht="13" x14ac:dyDescent="0.3">
      <c r="C4" s="291"/>
      <c r="D4" s="292"/>
      <c r="E4" s="292"/>
      <c r="F4" s="293"/>
      <c r="G4" s="74"/>
    </row>
    <row r="5" spans="2:8" ht="13.5" thickBot="1" x14ac:dyDescent="0.35">
      <c r="C5" s="294" t="s">
        <v>189</v>
      </c>
      <c r="D5" s="295"/>
      <c r="E5" s="295"/>
      <c r="F5" s="296"/>
      <c r="G5" s="74"/>
    </row>
    <row r="7" spans="2:8" x14ac:dyDescent="0.25">
      <c r="H7" s="75" t="s">
        <v>12</v>
      </c>
    </row>
    <row r="8" spans="2:8" ht="13" thickBot="1" x14ac:dyDescent="0.3">
      <c r="H8" s="76" t="s">
        <v>13</v>
      </c>
    </row>
    <row r="9" spans="2:8" ht="13.5" thickBot="1" x14ac:dyDescent="0.35">
      <c r="B9" s="297" t="s">
        <v>97</v>
      </c>
      <c r="C9" s="297"/>
      <c r="D9" s="298"/>
      <c r="E9" s="299">
        <f>Certification!C12</f>
        <v>0</v>
      </c>
      <c r="F9" s="300"/>
      <c r="H9" s="77"/>
    </row>
    <row r="10" spans="2:8" x14ac:dyDescent="0.25">
      <c r="H10" s="77"/>
    </row>
    <row r="11" spans="2:8" ht="13" x14ac:dyDescent="0.3">
      <c r="C11" s="78" t="s">
        <v>161</v>
      </c>
      <c r="H11" s="79"/>
    </row>
    <row r="12" spans="2:8" ht="13" thickBot="1" x14ac:dyDescent="0.3">
      <c r="H12" s="77"/>
    </row>
    <row r="13" spans="2:8" ht="13" x14ac:dyDescent="0.3">
      <c r="C13" s="80" t="s">
        <v>162</v>
      </c>
      <c r="D13" s="81"/>
      <c r="E13" s="81"/>
      <c r="F13" s="82"/>
    </row>
    <row r="14" spans="2:8" x14ac:dyDescent="0.25">
      <c r="C14" s="83"/>
      <c r="D14" s="310" t="s">
        <v>163</v>
      </c>
      <c r="E14" s="84">
        <f>'Overall Efficiency - Quarter 1'!E14</f>
        <v>0</v>
      </c>
      <c r="F14" s="85" t="s">
        <v>15</v>
      </c>
    </row>
    <row r="15" spans="2:8" x14ac:dyDescent="0.25">
      <c r="C15" s="83"/>
      <c r="D15" s="310"/>
      <c r="E15" s="86" t="str">
        <f>'Overall Efficiency - Quarter 1'!E16</f>
        <v>-</v>
      </c>
      <c r="F15" s="85" t="str">
        <f>'Overall Efficiency - Quarter 1'!F16</f>
        <v>-</v>
      </c>
    </row>
    <row r="16" spans="2:8" x14ac:dyDescent="0.25">
      <c r="C16" s="83"/>
      <c r="D16" s="310"/>
      <c r="E16" s="86" t="str">
        <f>IFERROR('Overall Efficiency - Quarter 1'!E15/1000000*'Overall Efficiency - Quarter 1'!E16*2000,"-")</f>
        <v>-</v>
      </c>
      <c r="F16" s="85" t="s">
        <v>164</v>
      </c>
    </row>
    <row r="17" spans="3:11" ht="39" customHeight="1" x14ac:dyDescent="0.25">
      <c r="C17" s="83"/>
      <c r="D17" s="310" t="s">
        <v>165</v>
      </c>
      <c r="E17" s="312" t="s">
        <v>166</v>
      </c>
      <c r="F17" s="313"/>
    </row>
    <row r="18" spans="3:11" ht="14.5" x14ac:dyDescent="0.35">
      <c r="C18" s="83"/>
      <c r="D18" s="310"/>
      <c r="E18" s="87"/>
      <c r="F18" s="88" t="s">
        <v>167</v>
      </c>
    </row>
    <row r="19" spans="3:11" x14ac:dyDescent="0.25">
      <c r="C19" s="83"/>
      <c r="D19" s="310" t="s">
        <v>168</v>
      </c>
      <c r="E19" s="89">
        <f>Parameters!D11</f>
        <v>216.39947175000003</v>
      </c>
      <c r="F19" s="85" t="s">
        <v>169</v>
      </c>
    </row>
    <row r="20" spans="3:11" ht="13" thickBot="1" x14ac:dyDescent="0.3">
      <c r="C20" s="90"/>
      <c r="D20" s="314"/>
      <c r="E20" s="91">
        <f>IFERROR((E19*(1-E18))/2000*E16,0)</f>
        <v>0</v>
      </c>
      <c r="F20" s="92" t="s">
        <v>170</v>
      </c>
    </row>
    <row r="21" spans="3:11" ht="13" thickBot="1" x14ac:dyDescent="0.3"/>
    <row r="22" spans="3:11" ht="13" x14ac:dyDescent="0.3">
      <c r="C22" s="80" t="s">
        <v>171</v>
      </c>
      <c r="D22" s="81"/>
      <c r="E22" s="81"/>
      <c r="F22" s="82"/>
    </row>
    <row r="23" spans="3:11" x14ac:dyDescent="0.25">
      <c r="C23" s="83"/>
      <c r="D23" s="310" t="s">
        <v>172</v>
      </c>
      <c r="E23" s="93"/>
      <c r="F23" s="88" t="s">
        <v>17</v>
      </c>
    </row>
    <row r="24" spans="3:11" x14ac:dyDescent="0.25">
      <c r="C24" s="83"/>
      <c r="D24" s="310"/>
      <c r="E24" s="165">
        <f>'Overall Efficiency - Quarter 1'!E20/(1-0.06)+'Overall Efficiency - Quarter 1'!E21</f>
        <v>0</v>
      </c>
      <c r="F24" s="85" t="s">
        <v>173</v>
      </c>
    </row>
    <row r="25" spans="3:11" x14ac:dyDescent="0.25">
      <c r="C25" s="83"/>
      <c r="D25" s="310"/>
      <c r="E25" s="94" t="str">
        <f>IFERROR(VLOOKUP(E23,Parameters!B20:C21,2),"-")</f>
        <v>-</v>
      </c>
      <c r="F25" s="85" t="s">
        <v>174</v>
      </c>
    </row>
    <row r="26" spans="3:11" x14ac:dyDescent="0.25">
      <c r="C26" s="83"/>
      <c r="D26" s="310"/>
      <c r="E26" s="94" t="str">
        <f>IFERROR((E25/2000)*E24,"-")</f>
        <v>-</v>
      </c>
      <c r="F26" s="85" t="s">
        <v>170</v>
      </c>
    </row>
    <row r="27" spans="3:11" ht="25.5" customHeight="1" thickBot="1" x14ac:dyDescent="0.3">
      <c r="C27" s="83"/>
      <c r="D27" s="310" t="s">
        <v>175</v>
      </c>
      <c r="E27" s="95"/>
      <c r="F27" s="96" t="s">
        <v>176</v>
      </c>
    </row>
    <row r="28" spans="3:11" x14ac:dyDescent="0.25">
      <c r="C28" s="83"/>
      <c r="D28" s="310"/>
      <c r="E28" s="84">
        <f>'Overall Efficiency - Quarter 1'!E23</f>
        <v>0</v>
      </c>
      <c r="F28" s="85" t="s">
        <v>177</v>
      </c>
      <c r="H28" s="301" t="s">
        <v>178</v>
      </c>
      <c r="I28" s="302"/>
      <c r="J28" s="302"/>
      <c r="K28" s="303"/>
    </row>
    <row r="29" spans="3:11" x14ac:dyDescent="0.25">
      <c r="C29" s="83"/>
      <c r="D29" s="310"/>
      <c r="E29" s="97" t="str">
        <f>IFERROR(VLOOKUP(E27,Parameters!B12:D16,2),"-")</f>
        <v>-</v>
      </c>
      <c r="F29" s="88" t="s">
        <v>179</v>
      </c>
      <c r="H29" s="304"/>
      <c r="I29" s="305"/>
      <c r="J29" s="305"/>
      <c r="K29" s="306"/>
    </row>
    <row r="30" spans="3:11" ht="14.5" x14ac:dyDescent="0.35">
      <c r="C30" s="83"/>
      <c r="D30" s="310"/>
      <c r="E30" s="87"/>
      <c r="F30" s="88" t="s">
        <v>180</v>
      </c>
      <c r="H30" s="304"/>
      <c r="I30" s="305"/>
      <c r="J30" s="305"/>
      <c r="K30" s="306"/>
    </row>
    <row r="31" spans="3:11" ht="13" thickBot="1" x14ac:dyDescent="0.3">
      <c r="C31" s="83"/>
      <c r="D31" s="310"/>
      <c r="E31" s="94" t="str">
        <f>IFERROR(IF(OR(E30="",E30=0),E28/E29,E28/E30),"-")</f>
        <v>-</v>
      </c>
      <c r="F31" s="85" t="s">
        <v>181</v>
      </c>
      <c r="H31" s="307"/>
      <c r="I31" s="308"/>
      <c r="J31" s="308"/>
      <c r="K31" s="309"/>
    </row>
    <row r="32" spans="3:11" x14ac:dyDescent="0.25">
      <c r="C32" s="83"/>
      <c r="D32" s="310"/>
      <c r="E32" s="98" t="str">
        <f>IFERROR(VLOOKUP(E27,Parameters!B12:D16,3),"-")</f>
        <v>-</v>
      </c>
      <c r="F32" s="85" t="s">
        <v>182</v>
      </c>
    </row>
    <row r="33" spans="3:15" ht="13" thickBot="1" x14ac:dyDescent="0.3">
      <c r="C33" s="90"/>
      <c r="D33" s="314"/>
      <c r="E33" s="99" t="str">
        <f>IFERROR(E31*(E32/2000),"-")</f>
        <v>-</v>
      </c>
      <c r="F33" s="92" t="s">
        <v>170</v>
      </c>
    </row>
    <row r="34" spans="3:15" ht="13" thickBot="1" x14ac:dyDescent="0.3"/>
    <row r="35" spans="3:15" ht="13" x14ac:dyDescent="0.3">
      <c r="C35" s="80" t="s">
        <v>183</v>
      </c>
      <c r="D35" s="81"/>
      <c r="E35" s="81"/>
      <c r="F35" s="82"/>
    </row>
    <row r="36" spans="3:15" x14ac:dyDescent="0.25">
      <c r="C36" s="83"/>
      <c r="D36" s="310" t="s">
        <v>121</v>
      </c>
      <c r="E36" s="94" t="str">
        <f>IFERROR(E20-E26-E33,"-")</f>
        <v>-</v>
      </c>
      <c r="F36" s="85" t="s">
        <v>170</v>
      </c>
      <c r="L36" s="77"/>
      <c r="M36" s="77"/>
      <c r="N36" s="77"/>
      <c r="O36" s="77"/>
    </row>
    <row r="37" spans="3:15" x14ac:dyDescent="0.25">
      <c r="C37" s="83"/>
      <c r="D37" s="310"/>
      <c r="E37" s="100" t="str">
        <f>IFERROR(E36/E20,"-")</f>
        <v>-</v>
      </c>
      <c r="F37" s="85" t="s">
        <v>184</v>
      </c>
      <c r="K37" s="77"/>
      <c r="L37" s="77"/>
      <c r="M37" s="77"/>
      <c r="N37" s="77"/>
      <c r="O37" s="77"/>
    </row>
    <row r="38" spans="3:15" x14ac:dyDescent="0.25">
      <c r="C38" s="83"/>
      <c r="D38" s="101"/>
      <c r="E38" s="102"/>
      <c r="F38" s="103"/>
      <c r="K38" s="77"/>
      <c r="L38" s="77"/>
      <c r="M38" s="77"/>
      <c r="N38" s="77"/>
      <c r="O38" s="77"/>
    </row>
    <row r="39" spans="3:15" ht="13" x14ac:dyDescent="0.25">
      <c r="C39" s="83"/>
      <c r="D39" s="104" t="s">
        <v>185</v>
      </c>
      <c r="E39" s="105"/>
      <c r="F39" s="103"/>
      <c r="H39" s="77"/>
      <c r="I39" s="77"/>
      <c r="J39" s="77"/>
      <c r="K39" s="77"/>
      <c r="L39" s="77"/>
      <c r="M39" s="77"/>
      <c r="N39" s="77"/>
      <c r="O39" s="77"/>
    </row>
    <row r="40" spans="3:15" ht="12.75" customHeight="1" x14ac:dyDescent="0.25">
      <c r="C40" s="83"/>
      <c r="D40" s="215" t="s">
        <v>201</v>
      </c>
      <c r="E40" s="167" t="str">
        <f>IFERROR('Fuel Report'!D11/('Fuel Report'!$D$11+'Fuel Report'!$D$12+'Fuel Report'!$D$13+'Fuel Report'!$D$14),"-")</f>
        <v>-</v>
      </c>
      <c r="F40" s="88" t="s">
        <v>186</v>
      </c>
      <c r="H40" s="311"/>
      <c r="I40" s="311"/>
      <c r="J40" s="311"/>
      <c r="K40" s="311"/>
      <c r="L40" s="106"/>
      <c r="M40" s="106"/>
      <c r="N40" s="106"/>
      <c r="O40" s="106"/>
    </row>
    <row r="41" spans="3:15" ht="12.75" customHeight="1" x14ac:dyDescent="0.25">
      <c r="C41" s="83"/>
      <c r="D41" s="215" t="s">
        <v>202</v>
      </c>
      <c r="E41" s="167" t="str">
        <f>IFERROR('Fuel Report'!D12/('Fuel Report'!$D$11+'Fuel Report'!$D$12+'Fuel Report'!$D$13+'Fuel Report'!$D$14),"-")</f>
        <v>-</v>
      </c>
      <c r="F41" s="88" t="s">
        <v>186</v>
      </c>
      <c r="H41" s="311"/>
      <c r="I41" s="311"/>
      <c r="J41" s="311"/>
      <c r="K41" s="311"/>
      <c r="L41" s="106"/>
      <c r="M41" s="106"/>
      <c r="N41" s="106"/>
      <c r="O41" s="106"/>
    </row>
    <row r="42" spans="3:15" ht="12.75" customHeight="1" x14ac:dyDescent="0.25">
      <c r="C42" s="83"/>
      <c r="D42" s="215" t="s">
        <v>200</v>
      </c>
      <c r="E42" s="167" t="str">
        <f>IFERROR('Fuel Report'!D13/('Fuel Report'!$D$11+'Fuel Report'!$D$12+'Fuel Report'!$D$13+'Fuel Report'!$D$14),"-")</f>
        <v>-</v>
      </c>
      <c r="F42" s="88" t="s">
        <v>186</v>
      </c>
      <c r="H42" s="311"/>
      <c r="I42" s="311"/>
      <c r="J42" s="311"/>
      <c r="K42" s="311"/>
      <c r="L42" s="106"/>
      <c r="M42" s="106"/>
      <c r="N42" s="106"/>
      <c r="O42" s="106"/>
    </row>
    <row r="43" spans="3:15" ht="14.5" x14ac:dyDescent="0.25">
      <c r="C43" s="83"/>
      <c r="D43" s="215" t="s">
        <v>187</v>
      </c>
      <c r="E43" s="167" t="str">
        <f>IFERROR(1-E40-E41-E42,"-")</f>
        <v>-</v>
      </c>
      <c r="F43" s="88" t="s">
        <v>186</v>
      </c>
      <c r="H43" s="311"/>
      <c r="I43" s="311"/>
      <c r="J43" s="311"/>
      <c r="K43" s="311"/>
      <c r="L43" s="106"/>
      <c r="M43" s="106"/>
      <c r="N43" s="106"/>
      <c r="O43" s="106"/>
    </row>
    <row r="44" spans="3:15" ht="14.5" x14ac:dyDescent="0.35">
      <c r="C44" s="83"/>
      <c r="D44" s="107"/>
      <c r="E44" s="108"/>
      <c r="F44" s="109"/>
      <c r="H44" s="311"/>
      <c r="I44" s="311"/>
      <c r="J44" s="311"/>
      <c r="K44" s="311"/>
      <c r="L44" s="106"/>
      <c r="M44" s="106"/>
      <c r="N44" s="106"/>
      <c r="O44" s="106"/>
    </row>
    <row r="45" spans="3:15" ht="13" x14ac:dyDescent="0.25">
      <c r="C45" s="83"/>
      <c r="D45" s="110" t="s">
        <v>188</v>
      </c>
      <c r="E45" s="77"/>
      <c r="F45" s="103"/>
      <c r="H45" s="311"/>
      <c r="I45" s="311"/>
      <c r="J45" s="311"/>
      <c r="K45" s="311"/>
      <c r="L45" s="106"/>
      <c r="M45" s="106"/>
      <c r="N45" s="106"/>
      <c r="O45" s="106"/>
    </row>
    <row r="46" spans="3:15" ht="27.75" customHeight="1" thickBot="1" x14ac:dyDescent="0.3">
      <c r="C46" s="111"/>
      <c r="D46" s="112" t="s">
        <v>204</v>
      </c>
      <c r="E46" s="113" t="str">
        <f>IFERROR(1+('GHG Model - Forest Residues'!E36*E40)+('GHG Model - Non-Forest Residues'!E36*E41)+('GHG Model - Forest Salvage'!E36*E42)+('GHG Model - Forest Thinnings'!E35*$E$43),"-")</f>
        <v>-</v>
      </c>
      <c r="F46" s="114" t="s">
        <v>203</v>
      </c>
      <c r="L46" s="106"/>
      <c r="M46" s="106"/>
      <c r="N46" s="106"/>
      <c r="O46" s="106"/>
    </row>
  </sheetData>
  <sheetProtection algorithmName="SHA-512" hashValue="sDVV1TcRc+T9q0q0dEtVA4kPgtAKg3Fw2qoGEVnSJ77u4EoAXCjnWHS7vjRK1oo/MAwFsKfWCYYCpYlkfoKksA==" saltValue="cnL0nnIv0+6PhhXNceBk/Q==" spinCount="100000" sheet="1" objects="1" scenarios="1"/>
  <protectedRanges>
    <protectedRange sqref="E18 E23 E27 E30 H28 H40:H42 E40:E42" name="Range1"/>
  </protectedRanges>
  <mergeCells count="15">
    <mergeCell ref="H28:K31"/>
    <mergeCell ref="D36:D37"/>
    <mergeCell ref="H40:K45"/>
    <mergeCell ref="D14:D16"/>
    <mergeCell ref="D17:D18"/>
    <mergeCell ref="E17:F17"/>
    <mergeCell ref="D19:D20"/>
    <mergeCell ref="D23:D26"/>
    <mergeCell ref="D27:D33"/>
    <mergeCell ref="C2:F2"/>
    <mergeCell ref="C3:F3"/>
    <mergeCell ref="C4:F4"/>
    <mergeCell ref="C5:F5"/>
    <mergeCell ref="B9:D9"/>
    <mergeCell ref="E9:F9"/>
  </mergeCells>
  <conditionalFormatting sqref="E9:F9">
    <cfRule type="cellIs" dxfId="43" priority="8" operator="equal">
      <formula>0</formula>
    </cfRule>
  </conditionalFormatting>
  <conditionalFormatting sqref="E15">
    <cfRule type="cellIs" dxfId="42" priority="6" operator="equal">
      <formula>0</formula>
    </cfRule>
  </conditionalFormatting>
  <conditionalFormatting sqref="E14">
    <cfRule type="cellIs" dxfId="41" priority="7" operator="equal">
      <formula>0</formula>
    </cfRule>
  </conditionalFormatting>
  <conditionalFormatting sqref="E26">
    <cfRule type="cellIs" dxfId="40" priority="5" operator="equal">
      <formula>0</formula>
    </cfRule>
  </conditionalFormatting>
  <conditionalFormatting sqref="E20">
    <cfRule type="cellIs" dxfId="39" priority="4" operator="equal">
      <formula>0</formula>
    </cfRule>
  </conditionalFormatting>
  <conditionalFormatting sqref="E16">
    <cfRule type="cellIs" dxfId="38" priority="3" operator="equal">
      <formula>0</formula>
    </cfRule>
  </conditionalFormatting>
  <conditionalFormatting sqref="E24">
    <cfRule type="cellIs" dxfId="37" priority="2" operator="equal">
      <formula>0</formula>
    </cfRule>
  </conditionalFormatting>
  <conditionalFormatting sqref="E28">
    <cfRule type="cellIs" dxfId="36" priority="1" operator="equal">
      <formula>0</formula>
    </cfRule>
  </conditionalFormatting>
  <dataValidations count="3">
    <dataValidation type="decimal" allowBlank="1" showInputMessage="1" showErrorMessage="1" sqref="E18 E30" xr:uid="{00000000-0002-0000-0800-000000000000}">
      <formula1>0</formula1>
      <formula2>0.999</formula2>
    </dataValidation>
    <dataValidation type="list" allowBlank="1" showInputMessage="1" showErrorMessage="1" sqref="E23" xr:uid="{00000000-0002-0000-0800-000001000000}">
      <formula1>ElectricGeneration</formula1>
    </dataValidation>
    <dataValidation type="list" allowBlank="1" showInputMessage="1" showErrorMessage="1" sqref="E27" xr:uid="{00000000-0002-0000-0800-000002000000}">
      <formula1>ConventionalFuelList</formula1>
    </dataValidation>
  </dataValidations>
  <printOptions horizontalCentered="1"/>
  <pageMargins left="0.32" right="0.33" top="1" bottom="1" header="0.5" footer="0.5"/>
  <pageSetup scale="53"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BAC21C12425F74D99F494F4DBFD9559" ma:contentTypeVersion="7" ma:contentTypeDescription="Create a new document." ma:contentTypeScope="" ma:versionID="be3b330dcda1e48634e2523a06c11cd0">
  <xsd:schema xmlns:xsd="http://www.w3.org/2001/XMLSchema" xmlns:xs="http://www.w3.org/2001/XMLSchema" xmlns:p="http://schemas.microsoft.com/office/2006/metadata/properties" xmlns:ns2="2faba9cb-4d41-40e0-aeca-46929bac230a" targetNamespace="http://schemas.microsoft.com/office/2006/metadata/properties" ma:root="true" ma:fieldsID="a825e24a29242b2740abbb1a80b5611e" ns2:_="">
    <xsd:import namespace="2faba9cb-4d41-40e0-aeca-46929bac230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ba9cb-4d41-40e0-aeca-46929bac23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3BD08B-C27A-4EC8-AE65-E085AFC491A7}">
  <ds:schemaRefs>
    <ds:schemaRef ds:uri="http://schemas.microsoft.com/sharepoint/v3/contenttype/forms"/>
  </ds:schemaRefs>
</ds:datastoreItem>
</file>

<file path=customXml/itemProps2.xml><?xml version="1.0" encoding="utf-8"?>
<ds:datastoreItem xmlns:ds="http://schemas.openxmlformats.org/officeDocument/2006/customXml" ds:itemID="{61F00924-2B50-4FDD-AEFD-497C4F432D20}">
  <ds:schemaRefs>
    <ds:schemaRef ds:uri="http://purl.org/dc/elements/1.1/"/>
    <ds:schemaRef ds:uri="http://schemas.microsoft.com/office/2006/metadata/properties"/>
    <ds:schemaRef ds:uri="2faba9cb-4d41-40e0-aeca-46929bac230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06D6C09-4103-49A2-A368-4340A06131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aba9cb-4d41-40e0-aeca-46929bac23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5</vt:i4>
      </vt:variant>
    </vt:vector>
  </HeadingPairs>
  <TitlesOfParts>
    <vt:vector size="25" baseType="lpstr">
      <vt:lpstr>Instructions</vt:lpstr>
      <vt:lpstr>Certification</vt:lpstr>
      <vt:lpstr>Fuel Report</vt:lpstr>
      <vt:lpstr>Overall Efficiency - Quarter 1</vt:lpstr>
      <vt:lpstr>Overall Efficiency - Quarter 2</vt:lpstr>
      <vt:lpstr>Overall Efficiency - Quarter 3</vt:lpstr>
      <vt:lpstr>Overall Efficiency - Quarter 4</vt:lpstr>
      <vt:lpstr>Overall Efficiency - Annual</vt:lpstr>
      <vt:lpstr>GHG Analysis - Quarter 1</vt:lpstr>
      <vt:lpstr>GHG Analysis - Quarter 2</vt:lpstr>
      <vt:lpstr>GHG Analysis - Quarter 3</vt:lpstr>
      <vt:lpstr>GHG Analysis - Quarter 4</vt:lpstr>
      <vt:lpstr>GHG Analysis - Annual</vt:lpstr>
      <vt:lpstr>Parameters</vt:lpstr>
      <vt:lpstr>GHG Model - Forest Residues</vt:lpstr>
      <vt:lpstr>GHG Model - Non-Forest Residues</vt:lpstr>
      <vt:lpstr>GHG Model - Forest Salvage</vt:lpstr>
      <vt:lpstr>GHG Model - Forest Thinnings</vt:lpstr>
      <vt:lpstr>Carbon Deficit Analyses</vt:lpstr>
      <vt:lpstr>Data</vt:lpstr>
      <vt:lpstr>BiomassFuels</vt:lpstr>
      <vt:lpstr>BiomassHeatValues</vt:lpstr>
      <vt:lpstr>ConventionalFuelList</vt:lpstr>
      <vt:lpstr>ElectricGeneration</vt:lpstr>
      <vt:lpstr>TypeOfFuel</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Rizzo</dc:creator>
  <cp:lastModifiedBy>DOER</cp:lastModifiedBy>
  <cp:lastPrinted>2012-04-26T12:12:02Z</cp:lastPrinted>
  <dcterms:created xsi:type="dcterms:W3CDTF">2010-10-05T19:31:28Z</dcterms:created>
  <dcterms:modified xsi:type="dcterms:W3CDTF">2022-06-23T21:19:07Z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0x0101004BAC21C12425F74D99F494F4DBFD9559</vt:lpwstr>
  </property>
  <property fmtid="{D5CDD505-2E9C-101B-9397-08002B2CF9AE}" pid="3" name="Order">
    <vt:r8>23773800</vt:r8>
  </property>
</Properties>
</file>