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9495" windowHeight="9240" tabRatio="697"/>
  </bookViews>
  <sheets>
    <sheet name="Instructions" sheetId="20" r:id="rId1"/>
    <sheet name="Certification" sheetId="42" r:id="rId2"/>
    <sheet name="Fuel Report" sheetId="40" r:id="rId3"/>
    <sheet name="Overall Efficiency - Quarter 1" sheetId="60" r:id="rId4"/>
    <sheet name="Overall Efficiency - Quarter 2" sheetId="62" r:id="rId5"/>
    <sheet name="Overall Efficiency - Quarter 3" sheetId="63" r:id="rId6"/>
    <sheet name="Overall Efficiency - Quarter 4" sheetId="64" r:id="rId7"/>
    <sheet name="Overall Efficiency - Annual" sheetId="61" r:id="rId8"/>
    <sheet name="GHG Analysis - Quarter 1" sheetId="69" r:id="rId9"/>
    <sheet name="GHG Analysis - Quarter 2" sheetId="75" r:id="rId10"/>
    <sheet name="GHG Analysis - Quarter 3" sheetId="76" r:id="rId11"/>
    <sheet name="GHG Analysis - Quarter 4" sheetId="77" r:id="rId12"/>
    <sheet name="GHG Analysis - Annual" sheetId="78" r:id="rId13"/>
    <sheet name="Parameters" sheetId="71" r:id="rId14"/>
    <sheet name="GHG Model - Residues" sheetId="72" r:id="rId15"/>
    <sheet name="GHG Model - Forest Thinnings" sheetId="73" r:id="rId16"/>
    <sheet name="Carbon Deficit Analyses" sheetId="74" r:id="rId17"/>
    <sheet name="Data" sheetId="41" state="hidden" r:id="rId18"/>
  </sheets>
  <definedNames>
    <definedName name="BiomassFuels">Parameters!$B$5:$B$7</definedName>
    <definedName name="BiomassHeatValues">Parameters!$B$5:$E$7</definedName>
    <definedName name="ConventionalFuelList">Parameters!$B$12:$B$16</definedName>
    <definedName name="ElectricGeneration">Parameters!$B$20:$B$21</definedName>
    <definedName name="TypeOfFuel">Parameters!$B$5:$B$6</definedName>
  </definedNames>
  <calcPr calcId="145621"/>
  <customWorkbookViews>
    <customWorkbookView name="Dwayne Breger - Personal View" guid="{69FA38BC-F160-4CAA-BF85-C52CE8C53F2C}" mergeInterval="0" personalView="1" maximized="1" xWindow="1" yWindow="1" windowWidth="1184" windowHeight="738" tabRatio="853" activeSheetId="20"/>
  </customWorkbookViews>
</workbook>
</file>

<file path=xl/calcChain.xml><?xml version="1.0" encoding="utf-8"?>
<calcChain xmlns="http://schemas.openxmlformats.org/spreadsheetml/2006/main">
  <c r="E30" i="78" l="1"/>
  <c r="E27" i="78"/>
  <c r="E32" i="78" s="1"/>
  <c r="E25" i="78"/>
  <c r="E23" i="78"/>
  <c r="E16" i="61"/>
  <c r="E18" i="78"/>
  <c r="H11" i="40"/>
  <c r="W45" i="73"/>
  <c r="W44" i="73"/>
  <c r="W43" i="73"/>
  <c r="W42" i="73"/>
  <c r="W41" i="73"/>
  <c r="W40" i="73"/>
  <c r="W39" i="73"/>
  <c r="W38" i="73"/>
  <c r="W37" i="73"/>
  <c r="W36" i="73"/>
  <c r="W35" i="73"/>
  <c r="W34" i="73"/>
  <c r="W33" i="73"/>
  <c r="W32" i="73"/>
  <c r="W31" i="73"/>
  <c r="W30" i="73"/>
  <c r="W29" i="73"/>
  <c r="W28" i="73"/>
  <c r="W27" i="73"/>
  <c r="W26" i="73"/>
  <c r="W25" i="73"/>
  <c r="W24" i="73"/>
  <c r="W23" i="73"/>
  <c r="W22" i="73"/>
  <c r="W21" i="73"/>
  <c r="W20" i="73"/>
  <c r="W19" i="73"/>
  <c r="W18" i="73"/>
  <c r="W17" i="73"/>
  <c r="W16" i="73"/>
  <c r="E15" i="64"/>
  <c r="E16" i="64"/>
  <c r="F16" i="60"/>
  <c r="F15" i="77" s="1"/>
  <c r="E9" i="78"/>
  <c r="E16" i="62"/>
  <c r="E15" i="62"/>
  <c r="E24" i="75"/>
  <c r="E25" i="75"/>
  <c r="E26" i="75" s="1"/>
  <c r="E28" i="75"/>
  <c r="E29" i="75"/>
  <c r="E31" i="75" s="1"/>
  <c r="E33" i="75" s="1"/>
  <c r="E32" i="75"/>
  <c r="E25" i="76"/>
  <c r="E26" i="76" s="1"/>
  <c r="E24" i="76"/>
  <c r="E29" i="76"/>
  <c r="E31" i="76" s="1"/>
  <c r="E33" i="76" s="1"/>
  <c r="E28" i="76"/>
  <c r="E32" i="76"/>
  <c r="E16" i="63"/>
  <c r="E15" i="63"/>
  <c r="E16" i="76" s="1"/>
  <c r="E25" i="77"/>
  <c r="E26" i="77" s="1"/>
  <c r="E24" i="77"/>
  <c r="E29" i="77"/>
  <c r="E31" i="77" s="1"/>
  <c r="E33" i="77" s="1"/>
  <c r="E28" i="77"/>
  <c r="E32" i="77"/>
  <c r="E40" i="77"/>
  <c r="E41" i="77" s="1"/>
  <c r="E40" i="76"/>
  <c r="E41" i="76"/>
  <c r="E40" i="75"/>
  <c r="E41" i="75" s="1"/>
  <c r="E16" i="60"/>
  <c r="E15" i="60"/>
  <c r="E24" i="69"/>
  <c r="E25" i="69"/>
  <c r="E28" i="69"/>
  <c r="E29" i="69"/>
  <c r="E32" i="69"/>
  <c r="E40" i="69"/>
  <c r="E41" i="69" s="1"/>
  <c r="R45" i="73"/>
  <c r="R44" i="73"/>
  <c r="R43" i="73"/>
  <c r="R42" i="73"/>
  <c r="R41" i="73"/>
  <c r="R40" i="73"/>
  <c r="R39" i="73"/>
  <c r="R38" i="73"/>
  <c r="R37" i="73"/>
  <c r="R36" i="73"/>
  <c r="R35" i="73"/>
  <c r="R34" i="73"/>
  <c r="R33" i="73"/>
  <c r="R32" i="73"/>
  <c r="R31" i="73"/>
  <c r="R30" i="73"/>
  <c r="R29" i="73"/>
  <c r="R28" i="73"/>
  <c r="R27" i="73"/>
  <c r="R26" i="73"/>
  <c r="R25" i="73"/>
  <c r="R24" i="73"/>
  <c r="R23" i="73"/>
  <c r="R22" i="73"/>
  <c r="R21" i="73"/>
  <c r="R20" i="73"/>
  <c r="R19" i="73"/>
  <c r="R18" i="73"/>
  <c r="R17" i="73"/>
  <c r="R16" i="73"/>
  <c r="M45" i="73"/>
  <c r="M44" i="73"/>
  <c r="M43" i="73"/>
  <c r="M42" i="73"/>
  <c r="M41" i="73"/>
  <c r="M40" i="73"/>
  <c r="M39" i="73"/>
  <c r="M38" i="73"/>
  <c r="M37" i="73"/>
  <c r="M36" i="73"/>
  <c r="M35" i="73"/>
  <c r="M34" i="73"/>
  <c r="M33" i="73"/>
  <c r="M32" i="73"/>
  <c r="M31" i="73"/>
  <c r="M30" i="73"/>
  <c r="M29" i="73"/>
  <c r="M28" i="73"/>
  <c r="M27" i="73"/>
  <c r="M26" i="73"/>
  <c r="M25" i="73"/>
  <c r="M24" i="73"/>
  <c r="M23" i="73"/>
  <c r="M22" i="73"/>
  <c r="M21" i="73"/>
  <c r="M20" i="73"/>
  <c r="M19" i="73"/>
  <c r="M18" i="73"/>
  <c r="M17" i="73"/>
  <c r="M16" i="73"/>
  <c r="H45" i="73"/>
  <c r="H44" i="73"/>
  <c r="H43" i="73"/>
  <c r="H42" i="73"/>
  <c r="H41" i="73"/>
  <c r="H40" i="73"/>
  <c r="H39" i="73"/>
  <c r="H38" i="73"/>
  <c r="H37" i="73"/>
  <c r="H36" i="73"/>
  <c r="H35" i="73"/>
  <c r="H34" i="73"/>
  <c r="H33" i="73"/>
  <c r="H32" i="73"/>
  <c r="H31" i="73"/>
  <c r="H30" i="73"/>
  <c r="H29" i="73"/>
  <c r="H28" i="73"/>
  <c r="H27" i="73"/>
  <c r="H26" i="73"/>
  <c r="H25" i="73"/>
  <c r="H24" i="73"/>
  <c r="H23" i="73"/>
  <c r="H22" i="73"/>
  <c r="H21" i="73"/>
  <c r="H20" i="73"/>
  <c r="H19" i="73"/>
  <c r="H18" i="73"/>
  <c r="H17" i="73"/>
  <c r="H16" i="73"/>
  <c r="C16" i="73"/>
  <c r="C45" i="73"/>
  <c r="C44" i="73"/>
  <c r="C43" i="73"/>
  <c r="C42" i="73"/>
  <c r="C41" i="73"/>
  <c r="C40" i="73"/>
  <c r="C39" i="73"/>
  <c r="C38" i="73"/>
  <c r="C37" i="73"/>
  <c r="C36" i="73"/>
  <c r="C35" i="73"/>
  <c r="C34" i="73"/>
  <c r="C33" i="73"/>
  <c r="C32" i="73"/>
  <c r="C31" i="73"/>
  <c r="C30" i="73"/>
  <c r="C29" i="73"/>
  <c r="C28" i="73"/>
  <c r="C27" i="73"/>
  <c r="C26" i="73"/>
  <c r="C25" i="73"/>
  <c r="C24" i="73"/>
  <c r="C23" i="73"/>
  <c r="C22" i="73"/>
  <c r="C21" i="73"/>
  <c r="C20" i="73"/>
  <c r="C19" i="73"/>
  <c r="C18" i="73"/>
  <c r="C17" i="73"/>
  <c r="D6" i="72"/>
  <c r="D7" i="72" s="1"/>
  <c r="R17" i="72" s="1"/>
  <c r="E15" i="77"/>
  <c r="E14" i="77"/>
  <c r="E9" i="77"/>
  <c r="E15" i="76"/>
  <c r="E14" i="76"/>
  <c r="E9" i="76"/>
  <c r="D14" i="40"/>
  <c r="D15" i="40" s="1"/>
  <c r="E14" i="40"/>
  <c r="E15" i="40" s="1"/>
  <c r="E15" i="75"/>
  <c r="E14" i="75"/>
  <c r="E9" i="75"/>
  <c r="M50" i="74"/>
  <c r="I130" i="74"/>
  <c r="H37" i="74"/>
  <c r="G130" i="74"/>
  <c r="I32" i="74"/>
  <c r="F130" i="74"/>
  <c r="I129" i="74"/>
  <c r="G129" i="74"/>
  <c r="F129" i="74"/>
  <c r="I128" i="74"/>
  <c r="G128" i="74"/>
  <c r="F128" i="74"/>
  <c r="I127" i="74"/>
  <c r="G127" i="74"/>
  <c r="F127" i="74"/>
  <c r="I126" i="74"/>
  <c r="G126" i="74"/>
  <c r="F126" i="74"/>
  <c r="I125" i="74"/>
  <c r="G125" i="74"/>
  <c r="F125" i="74"/>
  <c r="I124" i="74"/>
  <c r="G124" i="74"/>
  <c r="F124" i="74"/>
  <c r="I123" i="74"/>
  <c r="G123" i="74"/>
  <c r="F123" i="74"/>
  <c r="I122" i="74"/>
  <c r="G122" i="74"/>
  <c r="F122" i="74"/>
  <c r="I121" i="74"/>
  <c r="G121" i="74"/>
  <c r="F121" i="74"/>
  <c r="I120" i="74"/>
  <c r="G120" i="74"/>
  <c r="F120" i="74"/>
  <c r="I119" i="74"/>
  <c r="G119" i="74"/>
  <c r="F119" i="74"/>
  <c r="I118" i="74"/>
  <c r="G118" i="74"/>
  <c r="F118" i="74"/>
  <c r="I117" i="74"/>
  <c r="G117" i="74"/>
  <c r="F117" i="74"/>
  <c r="I116" i="74"/>
  <c r="G116" i="74"/>
  <c r="F116" i="74"/>
  <c r="I115" i="74"/>
  <c r="G115" i="74"/>
  <c r="F115" i="74"/>
  <c r="I114" i="74"/>
  <c r="G114" i="74"/>
  <c r="F114" i="74"/>
  <c r="I113" i="74"/>
  <c r="G113" i="74"/>
  <c r="F113" i="74"/>
  <c r="I112" i="74"/>
  <c r="G112" i="74"/>
  <c r="F112" i="74"/>
  <c r="I111" i="74"/>
  <c r="G111" i="74"/>
  <c r="F111" i="74"/>
  <c r="I110" i="74"/>
  <c r="G110" i="74"/>
  <c r="F110" i="74"/>
  <c r="I109" i="74"/>
  <c r="G109" i="74"/>
  <c r="F109" i="74"/>
  <c r="I108" i="74"/>
  <c r="G108" i="74"/>
  <c r="F108" i="74"/>
  <c r="I107" i="74"/>
  <c r="G107" i="74"/>
  <c r="F107" i="74"/>
  <c r="I106" i="74"/>
  <c r="G106" i="74"/>
  <c r="F106" i="74"/>
  <c r="I105" i="74"/>
  <c r="G105" i="74"/>
  <c r="F105" i="74"/>
  <c r="I104" i="74"/>
  <c r="G104" i="74"/>
  <c r="F104" i="74"/>
  <c r="I103" i="74"/>
  <c r="G103" i="74"/>
  <c r="F103" i="74"/>
  <c r="I102" i="74"/>
  <c r="G102" i="74"/>
  <c r="F102" i="74"/>
  <c r="I101" i="74"/>
  <c r="G101" i="74"/>
  <c r="F101" i="74"/>
  <c r="I100" i="74"/>
  <c r="G100" i="74"/>
  <c r="F100" i="74"/>
  <c r="J25" i="74"/>
  <c r="J26" i="74"/>
  <c r="J30" i="74"/>
  <c r="E100" i="74"/>
  <c r="I99" i="74"/>
  <c r="G99" i="74"/>
  <c r="F99" i="74"/>
  <c r="I98" i="74"/>
  <c r="G98" i="74"/>
  <c r="F98" i="74"/>
  <c r="I97" i="74"/>
  <c r="G97" i="74"/>
  <c r="F97" i="74"/>
  <c r="I96" i="74"/>
  <c r="G96" i="74"/>
  <c r="F96" i="74"/>
  <c r="I95" i="74"/>
  <c r="G95" i="74"/>
  <c r="F95" i="74"/>
  <c r="I94" i="74"/>
  <c r="G94" i="74"/>
  <c r="F94" i="74"/>
  <c r="I93" i="74"/>
  <c r="G93" i="74"/>
  <c r="F93" i="74"/>
  <c r="I92" i="74"/>
  <c r="G92" i="74"/>
  <c r="F92" i="74"/>
  <c r="I91" i="74"/>
  <c r="G91" i="74"/>
  <c r="F91" i="74"/>
  <c r="I90" i="74"/>
  <c r="G90" i="74"/>
  <c r="F90" i="74"/>
  <c r="I25" i="74"/>
  <c r="I26" i="74"/>
  <c r="I30" i="74"/>
  <c r="E90" i="74"/>
  <c r="I89" i="74"/>
  <c r="G89" i="74"/>
  <c r="F89" i="74"/>
  <c r="I88" i="74"/>
  <c r="G88" i="74"/>
  <c r="F88" i="74"/>
  <c r="I87" i="74"/>
  <c r="G87" i="74"/>
  <c r="F87" i="74"/>
  <c r="I86" i="74"/>
  <c r="G86" i="74"/>
  <c r="F86" i="74"/>
  <c r="I85" i="74"/>
  <c r="G85" i="74"/>
  <c r="F85" i="74"/>
  <c r="I84" i="74"/>
  <c r="G84" i="74"/>
  <c r="F84" i="74"/>
  <c r="I83" i="74"/>
  <c r="G83" i="74"/>
  <c r="F83" i="74"/>
  <c r="I82" i="74"/>
  <c r="G82" i="74"/>
  <c r="F82" i="74"/>
  <c r="I81" i="74"/>
  <c r="G81" i="74"/>
  <c r="F81" i="74"/>
  <c r="I80" i="74"/>
  <c r="G80" i="74"/>
  <c r="F80" i="74"/>
  <c r="H25" i="74"/>
  <c r="H26" i="74"/>
  <c r="H30" i="74"/>
  <c r="E80" i="74"/>
  <c r="I79" i="74"/>
  <c r="G79" i="74"/>
  <c r="F79" i="74"/>
  <c r="I78" i="74"/>
  <c r="G78" i="74"/>
  <c r="F78" i="74"/>
  <c r="I77" i="74"/>
  <c r="G77" i="74"/>
  <c r="F77" i="74"/>
  <c r="I76" i="74"/>
  <c r="G76" i="74"/>
  <c r="F76" i="74"/>
  <c r="I75" i="74"/>
  <c r="G75" i="74"/>
  <c r="F75" i="74"/>
  <c r="I74" i="74"/>
  <c r="G74" i="74"/>
  <c r="F74" i="74"/>
  <c r="I73" i="74"/>
  <c r="G73" i="74"/>
  <c r="F73" i="74"/>
  <c r="I72" i="74"/>
  <c r="G72" i="74"/>
  <c r="F72" i="74"/>
  <c r="I71" i="74"/>
  <c r="G71" i="74"/>
  <c r="F71" i="74"/>
  <c r="I70" i="74"/>
  <c r="G70" i="74"/>
  <c r="F70" i="74"/>
  <c r="G25" i="74"/>
  <c r="G26" i="74"/>
  <c r="G30" i="74"/>
  <c r="E70" i="74"/>
  <c r="I69" i="74"/>
  <c r="G69" i="74"/>
  <c r="F69" i="74"/>
  <c r="I68" i="74"/>
  <c r="G68" i="74"/>
  <c r="F68" i="74"/>
  <c r="I67" i="74"/>
  <c r="G67" i="74"/>
  <c r="F67" i="74"/>
  <c r="I66" i="74"/>
  <c r="G66" i="74"/>
  <c r="F66" i="74"/>
  <c r="I65" i="74"/>
  <c r="G65" i="74"/>
  <c r="F65" i="74"/>
  <c r="I64" i="74"/>
  <c r="G64" i="74"/>
  <c r="F64" i="74"/>
  <c r="I63" i="74"/>
  <c r="G63" i="74"/>
  <c r="F63" i="74"/>
  <c r="I62" i="74"/>
  <c r="G62" i="74"/>
  <c r="F62" i="74"/>
  <c r="I61" i="74"/>
  <c r="G61" i="74"/>
  <c r="F61" i="74"/>
  <c r="I60" i="74"/>
  <c r="G60" i="74"/>
  <c r="F60" i="74"/>
  <c r="F25" i="74"/>
  <c r="F26" i="74"/>
  <c r="F30" i="74"/>
  <c r="E60" i="74"/>
  <c r="I59" i="74"/>
  <c r="G59" i="74"/>
  <c r="F59" i="74"/>
  <c r="I58" i="74"/>
  <c r="G58" i="74"/>
  <c r="F58" i="74"/>
  <c r="I57" i="74"/>
  <c r="G57" i="74"/>
  <c r="F57" i="74"/>
  <c r="I56" i="74"/>
  <c r="G56" i="74"/>
  <c r="F56" i="74"/>
  <c r="I55" i="74"/>
  <c r="G55" i="74"/>
  <c r="F55" i="74"/>
  <c r="I54" i="74"/>
  <c r="G54" i="74"/>
  <c r="F54" i="74"/>
  <c r="I53" i="74"/>
  <c r="G53" i="74"/>
  <c r="F53" i="74"/>
  <c r="I52" i="74"/>
  <c r="G52" i="74"/>
  <c r="F52" i="74"/>
  <c r="I51" i="74"/>
  <c r="G51" i="74"/>
  <c r="F51" i="74"/>
  <c r="E25" i="74"/>
  <c r="E26" i="74"/>
  <c r="E30" i="74"/>
  <c r="E51" i="74"/>
  <c r="J22" i="74"/>
  <c r="J23" i="74"/>
  <c r="J29" i="74"/>
  <c r="I22" i="74"/>
  <c r="I23" i="74"/>
  <c r="I29" i="74"/>
  <c r="H22" i="74"/>
  <c r="H23" i="74"/>
  <c r="H29" i="74"/>
  <c r="G22" i="74"/>
  <c r="G23" i="74"/>
  <c r="G29" i="74"/>
  <c r="F22" i="74"/>
  <c r="F23" i="74"/>
  <c r="F29" i="74"/>
  <c r="E22" i="74"/>
  <c r="E23" i="74"/>
  <c r="E29" i="74"/>
  <c r="J20" i="74"/>
  <c r="I20" i="74"/>
  <c r="H20" i="74"/>
  <c r="G20" i="74"/>
  <c r="F20" i="74"/>
  <c r="E20" i="74"/>
  <c r="J19" i="74"/>
  <c r="I19" i="74"/>
  <c r="H19" i="74"/>
  <c r="G19" i="74"/>
  <c r="F19" i="74"/>
  <c r="E19" i="74"/>
  <c r="C31" i="72"/>
  <c r="F29" i="71"/>
  <c r="H29" i="71" s="1"/>
  <c r="D14" i="71" s="1"/>
  <c r="F28" i="71"/>
  <c r="H28" i="71" s="1"/>
  <c r="D13" i="71" s="1"/>
  <c r="F27" i="71"/>
  <c r="H27" i="71" s="1"/>
  <c r="D12" i="71" s="1"/>
  <c r="F26" i="71"/>
  <c r="H26" i="71" s="1"/>
  <c r="D11" i="71" s="1"/>
  <c r="C20" i="71"/>
  <c r="D16" i="71"/>
  <c r="F15" i="69"/>
  <c r="E9" i="69"/>
  <c r="E14" i="69"/>
  <c r="E14" i="61"/>
  <c r="E15" i="61" s="1"/>
  <c r="E28" i="61"/>
  <c r="E27" i="61"/>
  <c r="E23" i="61"/>
  <c r="E35" i="61" s="1"/>
  <c r="E21" i="61"/>
  <c r="E34" i="61" s="1"/>
  <c r="E20" i="61"/>
  <c r="E33" i="61" s="1"/>
  <c r="E33" i="64"/>
  <c r="E34" i="64"/>
  <c r="E35" i="64"/>
  <c r="E36" i="64"/>
  <c r="F15" i="64"/>
  <c r="E32" i="64" s="1"/>
  <c r="E38" i="64" s="1"/>
  <c r="F16" i="64"/>
  <c r="E9" i="64"/>
  <c r="E33" i="63"/>
  <c r="E34" i="63"/>
  <c r="E35" i="63"/>
  <c r="E36" i="63"/>
  <c r="F15" i="63"/>
  <c r="E32" i="63" s="1"/>
  <c r="E38" i="63" s="1"/>
  <c r="F16" i="63"/>
  <c r="E9" i="63"/>
  <c r="F15" i="62"/>
  <c r="E32" i="62" s="1"/>
  <c r="E38" i="62" s="1"/>
  <c r="E33" i="62"/>
  <c r="E34" i="62"/>
  <c r="E35" i="62"/>
  <c r="E36" i="62"/>
  <c r="F16" i="62"/>
  <c r="E9" i="62"/>
  <c r="E7" i="40"/>
  <c r="F14" i="40"/>
  <c r="F15" i="40" s="1"/>
  <c r="G14" i="40"/>
  <c r="H12" i="40"/>
  <c r="H13" i="40"/>
  <c r="G15" i="40"/>
  <c r="E36" i="61"/>
  <c r="E9" i="61"/>
  <c r="E33" i="60"/>
  <c r="E34" i="60"/>
  <c r="E35" i="60"/>
  <c r="E36" i="60"/>
  <c r="F15" i="60"/>
  <c r="E9" i="60"/>
  <c r="E101" i="74"/>
  <c r="E102" i="74"/>
  <c r="E103" i="74"/>
  <c r="E104" i="74"/>
  <c r="E105" i="74"/>
  <c r="E106" i="74"/>
  <c r="E107" i="74"/>
  <c r="E108" i="74"/>
  <c r="E109" i="74"/>
  <c r="E110" i="74"/>
  <c r="E111" i="74"/>
  <c r="E112" i="74"/>
  <c r="E113" i="74"/>
  <c r="E114" i="74"/>
  <c r="E115" i="74"/>
  <c r="E116" i="74"/>
  <c r="E117" i="74"/>
  <c r="E118" i="74"/>
  <c r="E119" i="74"/>
  <c r="E120" i="74"/>
  <c r="E121" i="74"/>
  <c r="E122" i="74"/>
  <c r="E123" i="74"/>
  <c r="E124" i="74"/>
  <c r="E125" i="74"/>
  <c r="E126" i="74"/>
  <c r="E127" i="74"/>
  <c r="E128" i="74"/>
  <c r="E129" i="74"/>
  <c r="E130" i="74"/>
  <c r="C27" i="72" l="1"/>
  <c r="C43" i="72"/>
  <c r="H29" i="72"/>
  <c r="M31" i="72"/>
  <c r="E26" i="69"/>
  <c r="H41" i="72"/>
  <c r="M39" i="72"/>
  <c r="C19" i="72"/>
  <c r="C35" i="72"/>
  <c r="H21" i="72"/>
  <c r="H45" i="72"/>
  <c r="M43" i="72"/>
  <c r="C23" i="72"/>
  <c r="C39" i="72"/>
  <c r="H25" i="72"/>
  <c r="M23" i="72"/>
  <c r="H37" i="72"/>
  <c r="M27" i="72"/>
  <c r="E16" i="69"/>
  <c r="E20" i="69" s="1"/>
  <c r="E19" i="75"/>
  <c r="E19" i="78"/>
  <c r="E19" i="69"/>
  <c r="E19" i="77"/>
  <c r="E19" i="76"/>
  <c r="E20" i="76" s="1"/>
  <c r="E36" i="76" s="1"/>
  <c r="E37" i="76" s="1"/>
  <c r="D15" i="71"/>
  <c r="W43" i="72"/>
  <c r="W39" i="72"/>
  <c r="W35" i="72"/>
  <c r="W31" i="72"/>
  <c r="W27" i="72"/>
  <c r="W23" i="72"/>
  <c r="W19" i="72"/>
  <c r="R46" i="72"/>
  <c r="R42" i="72"/>
  <c r="R38" i="72"/>
  <c r="R34" i="72"/>
  <c r="R30" i="72"/>
  <c r="R26" i="72"/>
  <c r="R22" i="72"/>
  <c r="R18" i="72"/>
  <c r="M44" i="72"/>
  <c r="M40" i="72"/>
  <c r="M36" i="72"/>
  <c r="M32" i="72"/>
  <c r="M28" i="72"/>
  <c r="M24" i="72"/>
  <c r="M20" i="72"/>
  <c r="H46" i="72"/>
  <c r="H42" i="72"/>
  <c r="H38" i="72"/>
  <c r="H34" i="72"/>
  <c r="H30" i="72"/>
  <c r="H26" i="72"/>
  <c r="H22" i="72"/>
  <c r="H18" i="72"/>
  <c r="C44" i="72"/>
  <c r="C40" i="72"/>
  <c r="C36" i="72"/>
  <c r="C32" i="72"/>
  <c r="C28" i="72"/>
  <c r="C24" i="72"/>
  <c r="C20" i="72"/>
  <c r="W46" i="72"/>
  <c r="W42" i="72"/>
  <c r="W38" i="72"/>
  <c r="W34" i="72"/>
  <c r="W30" i="72"/>
  <c r="W26" i="72"/>
  <c r="W22" i="72"/>
  <c r="W18" i="72"/>
  <c r="H17" i="72"/>
  <c r="R45" i="72"/>
  <c r="R37" i="72"/>
  <c r="R33" i="72"/>
  <c r="R25" i="72"/>
  <c r="W45" i="72"/>
  <c r="W41" i="72"/>
  <c r="W37" i="72"/>
  <c r="W33" i="72"/>
  <c r="W29" i="72"/>
  <c r="W25" i="72"/>
  <c r="W21" i="72"/>
  <c r="W17" i="72"/>
  <c r="C17" i="72"/>
  <c r="R44" i="72"/>
  <c r="R40" i="72"/>
  <c r="R36" i="72"/>
  <c r="R32" i="72"/>
  <c r="R28" i="72"/>
  <c r="R24" i="72"/>
  <c r="R20" i="72"/>
  <c r="M46" i="72"/>
  <c r="M42" i="72"/>
  <c r="M38" i="72"/>
  <c r="M34" i="72"/>
  <c r="M30" i="72"/>
  <c r="M26" i="72"/>
  <c r="M22" i="72"/>
  <c r="M18" i="72"/>
  <c r="H44" i="72"/>
  <c r="H40" i="72"/>
  <c r="H36" i="72"/>
  <c r="H32" i="72"/>
  <c r="H28" i="72"/>
  <c r="H24" i="72"/>
  <c r="H20" i="72"/>
  <c r="C46" i="72"/>
  <c r="C42" i="72"/>
  <c r="C38" i="72"/>
  <c r="C34" i="72"/>
  <c r="C30" i="72"/>
  <c r="C26" i="72"/>
  <c r="C22" i="72"/>
  <c r="C18" i="72"/>
  <c r="W44" i="72"/>
  <c r="W40" i="72"/>
  <c r="W36" i="72"/>
  <c r="W32" i="72"/>
  <c r="W28" i="72"/>
  <c r="W24" i="72"/>
  <c r="W20" i="72"/>
  <c r="R43" i="72"/>
  <c r="R39" i="72"/>
  <c r="R35" i="72"/>
  <c r="R31" i="72"/>
  <c r="R27" i="72"/>
  <c r="R23" i="72"/>
  <c r="R19" i="72"/>
  <c r="M45" i="72"/>
  <c r="M41" i="72"/>
  <c r="M37" i="72"/>
  <c r="M33" i="72"/>
  <c r="M29" i="72"/>
  <c r="M25" i="72"/>
  <c r="M21" i="72"/>
  <c r="M17" i="72"/>
  <c r="H43" i="72"/>
  <c r="H39" i="72"/>
  <c r="H35" i="72"/>
  <c r="H31" i="72"/>
  <c r="H27" i="72"/>
  <c r="H23" i="72"/>
  <c r="H19" i="72"/>
  <c r="C45" i="72"/>
  <c r="C41" i="72"/>
  <c r="C37" i="72"/>
  <c r="C33" i="72"/>
  <c r="C29" i="72"/>
  <c r="C25" i="72"/>
  <c r="C21" i="72"/>
  <c r="R41" i="72"/>
  <c r="R29" i="72"/>
  <c r="H33" i="72"/>
  <c r="M19" i="72"/>
  <c r="M35" i="72"/>
  <c r="R21" i="72"/>
  <c r="E16" i="75"/>
  <c r="E20" i="75" s="1"/>
  <c r="E36" i="75" s="1"/>
  <c r="E37" i="75" s="1"/>
  <c r="I8" i="73" s="1"/>
  <c r="I10" i="73" s="1"/>
  <c r="E16" i="77"/>
  <c r="E20" i="77" s="1"/>
  <c r="E36" i="77" s="1"/>
  <c r="E37" i="77" s="1"/>
  <c r="Q9" i="72" s="1"/>
  <c r="Q11" i="72" s="1"/>
  <c r="E31" i="69"/>
  <c r="E33" i="69" s="1"/>
  <c r="E28" i="78"/>
  <c r="E24" i="78"/>
  <c r="E26" i="78" s="1"/>
  <c r="F15" i="61"/>
  <c r="E32" i="61" s="1"/>
  <c r="E38" i="61" s="1"/>
  <c r="F15" i="78"/>
  <c r="E14" i="78"/>
  <c r="F15" i="75"/>
  <c r="F15" i="76"/>
  <c r="F16" i="61"/>
  <c r="E29" i="78"/>
  <c r="H14" i="40"/>
  <c r="H15" i="40" s="1"/>
  <c r="E15" i="78"/>
  <c r="E16" i="78"/>
  <c r="E20" i="78" s="1"/>
  <c r="E15" i="69"/>
  <c r="E40" i="78"/>
  <c r="E41" i="78" s="1"/>
  <c r="E32" i="60"/>
  <c r="E38" i="60" s="1"/>
  <c r="G9" i="72" l="1"/>
  <c r="G11" i="72" s="1"/>
  <c r="I27" i="72" s="1"/>
  <c r="J27" i="72" s="1"/>
  <c r="E36" i="69"/>
  <c r="E37" i="69" s="1"/>
  <c r="D9" i="72" s="1"/>
  <c r="D11" i="72" s="1"/>
  <c r="D17" i="72" s="1"/>
  <c r="E17" i="72" s="1"/>
  <c r="N8" i="73"/>
  <c r="N10" i="73" s="1"/>
  <c r="N26" i="73" s="1"/>
  <c r="L9" i="72"/>
  <c r="L11" i="72" s="1"/>
  <c r="N27" i="72" s="1"/>
  <c r="O27" i="72" s="1"/>
  <c r="S8" i="73"/>
  <c r="S10" i="73" s="1"/>
  <c r="S40" i="73" s="1"/>
  <c r="T40" i="73" s="1"/>
  <c r="E31" i="78"/>
  <c r="E33" i="78" s="1"/>
  <c r="E36" i="78" s="1"/>
  <c r="E37" i="78" s="1"/>
  <c r="V9" i="72" s="1"/>
  <c r="V11" i="72" s="1"/>
  <c r="S46" i="72"/>
  <c r="T46" i="72" s="1"/>
  <c r="S44" i="72"/>
  <c r="T44" i="72" s="1"/>
  <c r="S42" i="72"/>
  <c r="T42" i="72" s="1"/>
  <c r="S40" i="72"/>
  <c r="T40" i="72" s="1"/>
  <c r="S38" i="72"/>
  <c r="T38" i="72" s="1"/>
  <c r="S36" i="72"/>
  <c r="T36" i="72" s="1"/>
  <c r="S34" i="72"/>
  <c r="T34" i="72" s="1"/>
  <c r="S32" i="72"/>
  <c r="T32" i="72" s="1"/>
  <c r="S30" i="72"/>
  <c r="T30" i="72" s="1"/>
  <c r="S28" i="72"/>
  <c r="T28" i="72" s="1"/>
  <c r="S26" i="72"/>
  <c r="T26" i="72" s="1"/>
  <c r="S24" i="72"/>
  <c r="T24" i="72" s="1"/>
  <c r="S22" i="72"/>
  <c r="T22" i="72" s="1"/>
  <c r="S20" i="72"/>
  <c r="T20" i="72" s="1"/>
  <c r="S18" i="72"/>
  <c r="T18" i="72" s="1"/>
  <c r="S27" i="72"/>
  <c r="T27" i="72" s="1"/>
  <c r="S45" i="72"/>
  <c r="S41" i="72"/>
  <c r="S37" i="72"/>
  <c r="S33" i="72"/>
  <c r="S29" i="72"/>
  <c r="S25" i="72"/>
  <c r="S21" i="72"/>
  <c r="S17" i="72"/>
  <c r="T45" i="72"/>
  <c r="T41" i="72"/>
  <c r="T37" i="72"/>
  <c r="T33" i="72"/>
  <c r="T29" i="72"/>
  <c r="T25" i="72"/>
  <c r="T21" i="72"/>
  <c r="T17" i="72"/>
  <c r="S43" i="72"/>
  <c r="T43" i="72" s="1"/>
  <c r="S39" i="72"/>
  <c r="T39" i="72" s="1"/>
  <c r="S35" i="72"/>
  <c r="T35" i="72" s="1"/>
  <c r="S31" i="72"/>
  <c r="T31" i="72" s="1"/>
  <c r="S23" i="72"/>
  <c r="T23" i="72" s="1"/>
  <c r="S19" i="72"/>
  <c r="T19" i="72" s="1"/>
  <c r="N31" i="73"/>
  <c r="I34" i="73"/>
  <c r="J34" i="73" s="1"/>
  <c r="I32" i="73"/>
  <c r="J32" i="73" s="1"/>
  <c r="I44" i="73"/>
  <c r="J44" i="73" s="1"/>
  <c r="I42" i="73"/>
  <c r="J42" i="73" s="1"/>
  <c r="I40" i="73"/>
  <c r="J40" i="73" s="1"/>
  <c r="I38" i="73"/>
  <c r="J38" i="73" s="1"/>
  <c r="I37" i="73"/>
  <c r="J37" i="73" s="1"/>
  <c r="I45" i="73"/>
  <c r="J45" i="73" s="1"/>
  <c r="I36" i="73"/>
  <c r="J36" i="73" s="1"/>
  <c r="I33" i="73"/>
  <c r="J33" i="73" s="1"/>
  <c r="I31" i="73"/>
  <c r="J31" i="73" s="1"/>
  <c r="I35" i="73"/>
  <c r="J35" i="73" s="1"/>
  <c r="I29" i="73"/>
  <c r="J29" i="73" s="1"/>
  <c r="I27" i="73"/>
  <c r="J27" i="73" s="1"/>
  <c r="I25" i="73"/>
  <c r="J25" i="73" s="1"/>
  <c r="I23" i="73"/>
  <c r="J23" i="73" s="1"/>
  <c r="I21" i="73"/>
  <c r="J21" i="73" s="1"/>
  <c r="I19" i="73"/>
  <c r="J19" i="73" s="1"/>
  <c r="I17" i="73"/>
  <c r="J17" i="73" s="1"/>
  <c r="I41" i="73"/>
  <c r="J41" i="73" s="1"/>
  <c r="I30" i="73"/>
  <c r="J30" i="73" s="1"/>
  <c r="I26" i="73"/>
  <c r="J26" i="73" s="1"/>
  <c r="I22" i="73"/>
  <c r="I18" i="73"/>
  <c r="J18" i="73" s="1"/>
  <c r="I43" i="73"/>
  <c r="J43" i="73" s="1"/>
  <c r="I39" i="73"/>
  <c r="J39" i="73" s="1"/>
  <c r="J22" i="73"/>
  <c r="I28" i="73"/>
  <c r="J28" i="73" s="1"/>
  <c r="I24" i="73"/>
  <c r="J24" i="73" s="1"/>
  <c r="I20" i="73"/>
  <c r="J20" i="73" s="1"/>
  <c r="I16" i="73"/>
  <c r="J16" i="73" s="1"/>
  <c r="I22" i="72"/>
  <c r="I18" i="72"/>
  <c r="I46" i="72"/>
  <c r="J46" i="72" s="1"/>
  <c r="I25" i="72"/>
  <c r="J25" i="72" s="1"/>
  <c r="I23" i="72"/>
  <c r="J23" i="72" s="1"/>
  <c r="I19" i="72"/>
  <c r="J19" i="72" s="1"/>
  <c r="I43" i="72"/>
  <c r="J43" i="72" s="1"/>
  <c r="I41" i="72"/>
  <c r="J41" i="72" s="1"/>
  <c r="I39" i="72"/>
  <c r="J39" i="72" s="1"/>
  <c r="I35" i="72"/>
  <c r="J35" i="72" s="1"/>
  <c r="I33" i="72"/>
  <c r="J33" i="72" s="1"/>
  <c r="I31" i="72"/>
  <c r="I26" i="72"/>
  <c r="J26" i="72" s="1"/>
  <c r="I21" i="72"/>
  <c r="J21" i="72" s="1"/>
  <c r="J22" i="72"/>
  <c r="J18" i="72"/>
  <c r="I44" i="72"/>
  <c r="J44" i="72" s="1"/>
  <c r="I42" i="72"/>
  <c r="J42" i="72" s="1"/>
  <c r="I40" i="72"/>
  <c r="J40" i="72" s="1"/>
  <c r="I36" i="72"/>
  <c r="J36" i="72" s="1"/>
  <c r="I34" i="72"/>
  <c r="I32" i="72"/>
  <c r="J32" i="72" s="1"/>
  <c r="I28" i="72"/>
  <c r="J28" i="72" s="1"/>
  <c r="I24" i="72"/>
  <c r="J24" i="72" s="1"/>
  <c r="I17" i="72"/>
  <c r="J17" i="72" s="1"/>
  <c r="S44" i="73"/>
  <c r="T44" i="73" s="1"/>
  <c r="S42" i="73"/>
  <c r="T42" i="73" s="1"/>
  <c r="S38" i="73"/>
  <c r="T38" i="73" s="1"/>
  <c r="S36" i="73"/>
  <c r="T36" i="73" s="1"/>
  <c r="S34" i="73"/>
  <c r="T34" i="73" s="1"/>
  <c r="S30" i="73"/>
  <c r="T30" i="73" s="1"/>
  <c r="S28" i="73"/>
  <c r="T28" i="73" s="1"/>
  <c r="S26" i="73"/>
  <c r="T26" i="73" s="1"/>
  <c r="S22" i="73"/>
  <c r="T22" i="73" s="1"/>
  <c r="S20" i="73"/>
  <c r="T20" i="73" s="1"/>
  <c r="S18" i="73"/>
  <c r="T18" i="73" s="1"/>
  <c r="S43" i="73"/>
  <c r="T43" i="73" s="1"/>
  <c r="S39" i="73"/>
  <c r="T39" i="73" s="1"/>
  <c r="S37" i="73"/>
  <c r="T37" i="73" s="1"/>
  <c r="S35" i="73"/>
  <c r="T35" i="73" s="1"/>
  <c r="S31" i="73"/>
  <c r="T31" i="73" s="1"/>
  <c r="S29" i="73"/>
  <c r="S27" i="73"/>
  <c r="T27" i="73" s="1"/>
  <c r="T29" i="73"/>
  <c r="S25" i="73"/>
  <c r="T25" i="73" s="1"/>
  <c r="S23" i="73"/>
  <c r="T23" i="73" s="1"/>
  <c r="S21" i="73"/>
  <c r="T21" i="73" s="1"/>
  <c r="S19" i="73"/>
  <c r="T19" i="73" s="1"/>
  <c r="N29" i="72"/>
  <c r="O29" i="72" s="1"/>
  <c r="N25" i="72"/>
  <c r="N21" i="72"/>
  <c r="O21" i="72" s="1"/>
  <c r="N17" i="72"/>
  <c r="O17" i="72" s="1"/>
  <c r="N42" i="72"/>
  <c r="O42" i="72" s="1"/>
  <c r="N40" i="72"/>
  <c r="N38" i="72"/>
  <c r="O38" i="72" s="1"/>
  <c r="N46" i="72"/>
  <c r="O46" i="72" s="1"/>
  <c r="N22" i="72"/>
  <c r="O22" i="72" s="1"/>
  <c r="N18" i="72"/>
  <c r="O18" i="72" s="1"/>
  <c r="N30" i="72"/>
  <c r="O30" i="72" s="1"/>
  <c r="N26" i="72"/>
  <c r="O26" i="72" s="1"/>
  <c r="N19" i="72"/>
  <c r="O19" i="72" s="1"/>
  <c r="N39" i="72"/>
  <c r="O39" i="72" s="1"/>
  <c r="O25" i="72"/>
  <c r="N24" i="72"/>
  <c r="O24" i="72" s="1"/>
  <c r="N28" i="72"/>
  <c r="O28" i="72" s="1"/>
  <c r="N23" i="72"/>
  <c r="O23" i="72" s="1"/>
  <c r="N41" i="72"/>
  <c r="O41" i="72" s="1"/>
  <c r="N37" i="72"/>
  <c r="O37" i="72" s="1"/>
  <c r="N20" i="72"/>
  <c r="O20" i="72" s="1"/>
  <c r="O40" i="72"/>
  <c r="N32" i="72"/>
  <c r="O32" i="72" s="1"/>
  <c r="D8" i="73" l="1"/>
  <c r="D10" i="73" s="1"/>
  <c r="D44" i="73" s="1"/>
  <c r="E44" i="73" s="1"/>
  <c r="N18" i="73"/>
  <c r="O18" i="73" s="1"/>
  <c r="S17" i="73"/>
  <c r="T17" i="73" s="1"/>
  <c r="S45" i="73"/>
  <c r="T45" i="73" s="1"/>
  <c r="S33" i="73"/>
  <c r="T33" i="73" s="1"/>
  <c r="S41" i="73"/>
  <c r="T41" i="73" s="1"/>
  <c r="S16" i="73"/>
  <c r="T16" i="73" s="1"/>
  <c r="S24" i="73"/>
  <c r="T24" i="73" s="1"/>
  <c r="S32" i="73"/>
  <c r="T32" i="73" s="1"/>
  <c r="J34" i="72"/>
  <c r="I30" i="72"/>
  <c r="J30" i="72" s="1"/>
  <c r="I38" i="72"/>
  <c r="J38" i="72" s="1"/>
  <c r="I20" i="72"/>
  <c r="J20" i="72" s="1"/>
  <c r="J31" i="72"/>
  <c r="I29" i="72"/>
  <c r="J29" i="72" s="1"/>
  <c r="I37" i="72"/>
  <c r="J37" i="72" s="1"/>
  <c r="I45" i="72"/>
  <c r="J45" i="72" s="1"/>
  <c r="N22" i="73"/>
  <c r="O22" i="73" s="1"/>
  <c r="N20" i="73"/>
  <c r="O20" i="73" s="1"/>
  <c r="N33" i="72"/>
  <c r="O33" i="72" s="1"/>
  <c r="N31" i="72"/>
  <c r="O31" i="72" s="1"/>
  <c r="N45" i="72"/>
  <c r="O45" i="72" s="1"/>
  <c r="N34" i="72"/>
  <c r="O34" i="72" s="1"/>
  <c r="N43" i="72"/>
  <c r="O43" i="72" s="1"/>
  <c r="N35" i="72"/>
  <c r="O35" i="72" s="1"/>
  <c r="N36" i="72"/>
  <c r="O36" i="72" s="1"/>
  <c r="N44" i="72"/>
  <c r="O44" i="72" s="1"/>
  <c r="N24" i="73"/>
  <c r="O24" i="73" s="1"/>
  <c r="N28" i="73"/>
  <c r="O28" i="73" s="1"/>
  <c r="N39" i="73"/>
  <c r="O39" i="73" s="1"/>
  <c r="O31" i="73"/>
  <c r="N32" i="73"/>
  <c r="O32" i="73" s="1"/>
  <c r="O26" i="73"/>
  <c r="N45" i="73"/>
  <c r="O45" i="73" s="1"/>
  <c r="E44" i="76" s="1"/>
  <c r="N27" i="73"/>
  <c r="O27" i="73" s="1"/>
  <c r="N17" i="73"/>
  <c r="O17" i="73" s="1"/>
  <c r="N33" i="73"/>
  <c r="O33" i="73" s="1"/>
  <c r="N41" i="73"/>
  <c r="O41" i="73" s="1"/>
  <c r="N30" i="73"/>
  <c r="O30" i="73" s="1"/>
  <c r="N40" i="73"/>
  <c r="O40" i="73" s="1"/>
  <c r="N36" i="73"/>
  <c r="O36" i="73" s="1"/>
  <c r="N44" i="73"/>
  <c r="O44" i="73" s="1"/>
  <c r="N34" i="73"/>
  <c r="O34" i="73" s="1"/>
  <c r="N23" i="73"/>
  <c r="O23" i="73" s="1"/>
  <c r="N29" i="73"/>
  <c r="O29" i="73" s="1"/>
  <c r="N19" i="73"/>
  <c r="O19" i="73" s="1"/>
  <c r="N35" i="73"/>
  <c r="O35" i="73" s="1"/>
  <c r="N43" i="73"/>
  <c r="O43" i="73" s="1"/>
  <c r="N42" i="73"/>
  <c r="O42" i="73" s="1"/>
  <c r="N16" i="73"/>
  <c r="O16" i="73" s="1"/>
  <c r="N38" i="73"/>
  <c r="O38" i="73" s="1"/>
  <c r="N25" i="73"/>
  <c r="O25" i="73" s="1"/>
  <c r="N21" i="73"/>
  <c r="O21" i="73" s="1"/>
  <c r="N37" i="73"/>
  <c r="O37" i="73" s="1"/>
  <c r="D30" i="72"/>
  <c r="E30" i="72" s="1"/>
  <c r="D35" i="72"/>
  <c r="E35" i="72" s="1"/>
  <c r="D36" i="72"/>
  <c r="E36" i="72" s="1"/>
  <c r="D31" i="72"/>
  <c r="E31" i="72" s="1"/>
  <c r="D37" i="72"/>
  <c r="E37" i="72" s="1"/>
  <c r="D39" i="72"/>
  <c r="E39" i="72" s="1"/>
  <c r="D28" i="72"/>
  <c r="E28" i="72" s="1"/>
  <c r="D29" i="72"/>
  <c r="E29" i="72" s="1"/>
  <c r="D19" i="72"/>
  <c r="E19" i="72" s="1"/>
  <c r="D18" i="72"/>
  <c r="E18" i="72" s="1"/>
  <c r="D46" i="72"/>
  <c r="E46" i="72" s="1"/>
  <c r="X8" i="73"/>
  <c r="X10" i="73" s="1"/>
  <c r="X17" i="73" s="1"/>
  <c r="Y17" i="73" s="1"/>
  <c r="D32" i="72"/>
  <c r="E32" i="72" s="1"/>
  <c r="D33" i="72"/>
  <c r="E33" i="72" s="1"/>
  <c r="D34" i="72"/>
  <c r="E34" i="72" s="1"/>
  <c r="D20" i="72"/>
  <c r="E20" i="72" s="1"/>
  <c r="D38" i="72"/>
  <c r="E38" i="72" s="1"/>
  <c r="D22" i="72"/>
  <c r="E22" i="72" s="1"/>
  <c r="D40" i="72"/>
  <c r="E40" i="72" s="1"/>
  <c r="D23" i="72"/>
  <c r="E23" i="72" s="1"/>
  <c r="D41" i="72"/>
  <c r="E41" i="72" s="1"/>
  <c r="D21" i="72"/>
  <c r="E21" i="72" s="1"/>
  <c r="D42" i="72"/>
  <c r="E42" i="72" s="1"/>
  <c r="D25" i="72"/>
  <c r="E25" i="72" s="1"/>
  <c r="D43" i="72"/>
  <c r="E43" i="72" s="1"/>
  <c r="D27" i="72"/>
  <c r="E27" i="72" s="1"/>
  <c r="D45" i="72"/>
  <c r="E45" i="72" s="1"/>
  <c r="D26" i="72"/>
  <c r="E26" i="72" s="1"/>
  <c r="D44" i="72"/>
  <c r="E44" i="72" s="1"/>
  <c r="D24" i="72"/>
  <c r="E24" i="72" s="1"/>
  <c r="E44" i="75"/>
  <c r="E44" i="77"/>
  <c r="X46" i="72"/>
  <c r="Y46" i="72" s="1"/>
  <c r="X45" i="72"/>
  <c r="Y45" i="72" s="1"/>
  <c r="X42" i="72"/>
  <c r="Y42" i="72" s="1"/>
  <c r="X37" i="72"/>
  <c r="Y37" i="72" s="1"/>
  <c r="X34" i="72"/>
  <c r="Y34" i="72" s="1"/>
  <c r="X29" i="72"/>
  <c r="Y29" i="72" s="1"/>
  <c r="X26" i="72"/>
  <c r="Y26" i="72" s="1"/>
  <c r="X21" i="72"/>
  <c r="Y21" i="72" s="1"/>
  <c r="X18" i="72"/>
  <c r="Y18" i="72" s="1"/>
  <c r="X44" i="72"/>
  <c r="X39" i="72"/>
  <c r="Y39" i="72" s="1"/>
  <c r="X36" i="72"/>
  <c r="Y36" i="72" s="1"/>
  <c r="X31" i="72"/>
  <c r="Y31" i="72" s="1"/>
  <c r="X28" i="72"/>
  <c r="Y28" i="72" s="1"/>
  <c r="X23" i="72"/>
  <c r="Y23" i="72" s="1"/>
  <c r="X20" i="72"/>
  <c r="Y20" i="72" s="1"/>
  <c r="Y44" i="72"/>
  <c r="X41" i="72"/>
  <c r="Y41" i="72" s="1"/>
  <c r="X38" i="72"/>
  <c r="Y38" i="72" s="1"/>
  <c r="X33" i="72"/>
  <c r="Y33" i="72" s="1"/>
  <c r="X30" i="72"/>
  <c r="Y30" i="72" s="1"/>
  <c r="X25" i="72"/>
  <c r="Y25" i="72" s="1"/>
  <c r="X22" i="72"/>
  <c r="Y22" i="72" s="1"/>
  <c r="X17" i="72"/>
  <c r="Y17" i="72" s="1"/>
  <c r="X43" i="72"/>
  <c r="Y43" i="72" s="1"/>
  <c r="X40" i="72"/>
  <c r="Y40" i="72" s="1"/>
  <c r="X35" i="72"/>
  <c r="Y35" i="72" s="1"/>
  <c r="X32" i="72"/>
  <c r="Y32" i="72" s="1"/>
  <c r="X27" i="72"/>
  <c r="Y27" i="72" s="1"/>
  <c r="X24" i="72"/>
  <c r="Y24" i="72" s="1"/>
  <c r="X19" i="72"/>
  <c r="Y19" i="72" s="1"/>
  <c r="D31" i="73" l="1"/>
  <c r="E31" i="73" s="1"/>
  <c r="D25" i="73"/>
  <c r="E25" i="73" s="1"/>
  <c r="D20" i="73"/>
  <c r="E20" i="73" s="1"/>
  <c r="D38" i="73"/>
  <c r="E38" i="73" s="1"/>
  <c r="D32" i="73"/>
  <c r="E32" i="73" s="1"/>
  <c r="D33" i="73"/>
  <c r="E33" i="73" s="1"/>
  <c r="D19" i="73"/>
  <c r="E19" i="73" s="1"/>
  <c r="D16" i="73"/>
  <c r="E16" i="73" s="1"/>
  <c r="D28" i="73"/>
  <c r="E28" i="73" s="1"/>
  <c r="D24" i="73"/>
  <c r="E24" i="73" s="1"/>
  <c r="D23" i="73"/>
  <c r="E23" i="73" s="1"/>
  <c r="D41" i="73"/>
  <c r="E41" i="73" s="1"/>
  <c r="D29" i="73"/>
  <c r="E29" i="73" s="1"/>
  <c r="D18" i="73"/>
  <c r="E18" i="73" s="1"/>
  <c r="D45" i="73"/>
  <c r="E45" i="73" s="1"/>
  <c r="E44" i="69" s="1"/>
  <c r="D21" i="73"/>
  <c r="E21" i="73" s="1"/>
  <c r="D42" i="73"/>
  <c r="E42" i="73" s="1"/>
  <c r="D17" i="73"/>
  <c r="E17" i="73" s="1"/>
  <c r="D37" i="73"/>
  <c r="E37" i="73" s="1"/>
  <c r="D30" i="73"/>
  <c r="E30" i="73" s="1"/>
  <c r="D22" i="73"/>
  <c r="E22" i="73" s="1"/>
  <c r="D39" i="73"/>
  <c r="E39" i="73" s="1"/>
  <c r="D36" i="73"/>
  <c r="E36" i="73" s="1"/>
  <c r="D35" i="73"/>
  <c r="E35" i="73" s="1"/>
  <c r="D34" i="73"/>
  <c r="E34" i="73" s="1"/>
  <c r="D26" i="73"/>
  <c r="E26" i="73" s="1"/>
  <c r="D43" i="73"/>
  <c r="E43" i="73" s="1"/>
  <c r="D27" i="73"/>
  <c r="E27" i="73" s="1"/>
  <c r="D40" i="73"/>
  <c r="E40" i="73" s="1"/>
  <c r="X38" i="73"/>
  <c r="Y38" i="73" s="1"/>
  <c r="X23" i="73"/>
  <c r="Y23" i="73" s="1"/>
  <c r="X40" i="73"/>
  <c r="Y40" i="73" s="1"/>
  <c r="X24" i="73"/>
  <c r="Y24" i="73" s="1"/>
  <c r="X31" i="73"/>
  <c r="Y31" i="73" s="1"/>
  <c r="X22" i="73"/>
  <c r="Y22" i="73" s="1"/>
  <c r="X39" i="73"/>
  <c r="Y39" i="73" s="1"/>
  <c r="X28" i="73"/>
  <c r="Y28" i="73" s="1"/>
  <c r="X26" i="73"/>
  <c r="Y26" i="73" s="1"/>
  <c r="X32" i="73"/>
  <c r="Y32" i="73" s="1"/>
  <c r="X18" i="73"/>
  <c r="Y18" i="73" s="1"/>
  <c r="X30" i="73"/>
  <c r="Y30" i="73" s="1"/>
  <c r="X19" i="73"/>
  <c r="Y19" i="73" s="1"/>
  <c r="X27" i="73"/>
  <c r="Y27" i="73" s="1"/>
  <c r="X35" i="73"/>
  <c r="Y35" i="73" s="1"/>
  <c r="X43" i="73"/>
  <c r="Y43" i="73" s="1"/>
  <c r="X20" i="73"/>
  <c r="Y20" i="73" s="1"/>
  <c r="X36" i="73"/>
  <c r="Y36" i="73" s="1"/>
  <c r="X16" i="73"/>
  <c r="Y16" i="73" s="1"/>
  <c r="X34" i="73"/>
  <c r="Y34" i="73" s="1"/>
  <c r="X21" i="73"/>
  <c r="Y21" i="73" s="1"/>
  <c r="X29" i="73"/>
  <c r="Y29" i="73" s="1"/>
  <c r="X37" i="73"/>
  <c r="Y37" i="73" s="1"/>
  <c r="X45" i="73"/>
  <c r="Y45" i="73" s="1"/>
  <c r="E44" i="78" s="1"/>
  <c r="X33" i="73"/>
  <c r="Y33" i="73" s="1"/>
  <c r="X44" i="73"/>
  <c r="Y44" i="73" s="1"/>
  <c r="X42" i="73"/>
  <c r="Y42" i="73" s="1"/>
  <c r="X25" i="73"/>
  <c r="Y25" i="73" s="1"/>
  <c r="X41" i="73"/>
  <c r="Y41" i="73" s="1"/>
</calcChain>
</file>

<file path=xl/comments1.xml><?xml version="1.0" encoding="utf-8"?>
<comments xmlns="http://schemas.openxmlformats.org/spreadsheetml/2006/main">
  <authors>
    <author>DOER</author>
  </authors>
  <commentList>
    <comment ref="D5" authorId="0">
      <text>
        <r>
          <rPr>
            <b/>
            <sz val="9"/>
            <color indexed="81"/>
            <rFont val="Tahoma"/>
            <family val="2"/>
          </rPr>
          <t>DOER:</t>
        </r>
        <r>
          <rPr>
            <sz val="9"/>
            <color indexed="81"/>
            <rFont val="Tahoma"/>
            <family val="2"/>
          </rPr>
          <t xml:space="preserve">
assumes 20% MC</t>
        </r>
      </text>
    </comment>
    <comment ref="D6" authorId="0">
      <text>
        <r>
          <rPr>
            <b/>
            <sz val="9"/>
            <color indexed="81"/>
            <rFont val="Tahoma"/>
            <family val="2"/>
          </rPr>
          <t>DOER:</t>
        </r>
        <r>
          <rPr>
            <sz val="9"/>
            <color indexed="81"/>
            <rFont val="Tahoma"/>
            <family val="2"/>
          </rPr>
          <t xml:space="preserve">
assumes 50% MC</t>
        </r>
      </text>
    </comment>
    <comment ref="D7" authorId="0">
      <text>
        <r>
          <rPr>
            <b/>
            <sz val="9"/>
            <color indexed="81"/>
            <rFont val="Tahoma"/>
            <family val="2"/>
          </rPr>
          <t>DOER:</t>
        </r>
        <r>
          <rPr>
            <sz val="9"/>
            <color indexed="81"/>
            <rFont val="Tahoma"/>
            <family val="2"/>
          </rPr>
          <t xml:space="preserve">
minimum heating value for PFI Premium Standard</t>
        </r>
      </text>
    </comment>
  </commentList>
</comments>
</file>

<file path=xl/sharedStrings.xml><?xml version="1.0" encoding="utf-8"?>
<sst xmlns="http://schemas.openxmlformats.org/spreadsheetml/2006/main" count="674" uniqueCount="205">
  <si>
    <t>Renewable Energy Portfolio Standard - 225 CMR 14.00</t>
  </si>
  <si>
    <t>Q1</t>
  </si>
  <si>
    <t>Q2</t>
  </si>
  <si>
    <t>Q3</t>
  </si>
  <si>
    <t>Q4</t>
  </si>
  <si>
    <t>Fuel Type</t>
  </si>
  <si>
    <t>Commonwealth of Massachusetts</t>
  </si>
  <si>
    <t>Executive Office of Energy and Environmental Affairs</t>
  </si>
  <si>
    <t>Department of Energy Resources (DOER)</t>
  </si>
  <si>
    <t>`</t>
  </si>
  <si>
    <t>Biomass Fuel Report- Quarterly</t>
  </si>
  <si>
    <t>Massachusetts Department of Energy Resources</t>
  </si>
  <si>
    <t>Worksheet for the Calculation of Overall Efficiency - Annual</t>
  </si>
  <si>
    <t>input</t>
  </si>
  <si>
    <t>result</t>
  </si>
  <si>
    <t>Biomass Fuel Input</t>
  </si>
  <si>
    <t>Type of Biomass Fuel input to Unit</t>
  </si>
  <si>
    <t>Wood Chips (dry)</t>
  </si>
  <si>
    <t>choose from drop-down list</t>
  </si>
  <si>
    <t>Higher Heating Value</t>
  </si>
  <si>
    <t>Energy Output</t>
  </si>
  <si>
    <t>Renewable Electricity Generated</t>
  </si>
  <si>
    <t>Delivered to ISO-NE Grid</t>
  </si>
  <si>
    <t>Useful Thermal Load</t>
  </si>
  <si>
    <t>Describe Load in Text Box</t>
  </si>
  <si>
    <t>Thermal Load Description:</t>
  </si>
  <si>
    <t>Useful Thermal Energy delivered</t>
  </si>
  <si>
    <t>Merchantable Bio-Products (if applicable)</t>
  </si>
  <si>
    <t>Bio-Product Description</t>
  </si>
  <si>
    <t>Describe Bio-Product in Text Box</t>
  </si>
  <si>
    <t>Enthalpy of Reaction of Bio-Product</t>
  </si>
  <si>
    <t>BTU/lb</t>
  </si>
  <si>
    <t>Bio-Product Description:</t>
  </si>
  <si>
    <t>Annual Production/Sales</t>
  </si>
  <si>
    <t>Calculation of Overall Efficiency</t>
  </si>
  <si>
    <t>Biomass Input Heat Content</t>
  </si>
  <si>
    <t>MWh_fuel</t>
  </si>
  <si>
    <t>RE Elect - "Behind-the-Meter"</t>
  </si>
  <si>
    <t>MWh_elec</t>
  </si>
  <si>
    <t>RE Elect - delivered to Grid</t>
  </si>
  <si>
    <t>Useful Thermal Energy</t>
  </si>
  <si>
    <t>MWh_therm</t>
  </si>
  <si>
    <t>Merchantable Bio-Products</t>
  </si>
  <si>
    <t>MWh_chem</t>
  </si>
  <si>
    <t>OVERALL EFFICIENCY</t>
  </si>
  <si>
    <t>Parametric Data</t>
  </si>
  <si>
    <t>Biomass Heating Values</t>
  </si>
  <si>
    <t>Input Units</t>
  </si>
  <si>
    <t>Higher Heating Value (HHV)</t>
  </si>
  <si>
    <t>dry tons</t>
  </si>
  <si>
    <t>Wood Chips (green)</t>
  </si>
  <si>
    <t>green tons</t>
  </si>
  <si>
    <t>Wood Pellets</t>
  </si>
  <si>
    <t>Fuel Carbon Intensities</t>
  </si>
  <si>
    <t>Assumed Boiler Efficiency</t>
  </si>
  <si>
    <t>Lifecycle Carbon Intensity, lbs CO2 per MMBTU_input</t>
  </si>
  <si>
    <t>Biomass</t>
  </si>
  <si>
    <t>n/a</t>
  </si>
  <si>
    <t>Source:  Manomet Exhibit 6.6 (adjusted in Table below)</t>
  </si>
  <si>
    <t>Fuel Oil #2</t>
  </si>
  <si>
    <t>Fuel Oil #6</t>
  </si>
  <si>
    <t>Natural Gas</t>
  </si>
  <si>
    <t>Natural Gas, new</t>
  </si>
  <si>
    <t>Propane</t>
  </si>
  <si>
    <t>Source: (EIA data, adjusted for indirect emissions as average between Manomet oil and gas)</t>
  </si>
  <si>
    <t>Electric Generation List</t>
  </si>
  <si>
    <t>Lifecycle Carbon Intensity, lbs CO2/MWh</t>
  </si>
  <si>
    <t>Natural Gas - Combined Cycle</t>
  </si>
  <si>
    <t>Source:  Manomet Exhibit 6.6 (based on 136 kgC/MWh coverted to lbsCO2/MWh)</t>
  </si>
  <si>
    <t>Other</t>
  </si>
  <si>
    <t>contact DOER</t>
  </si>
  <si>
    <t>Parametric Data on Lifecycle (total) Carbon Emissions derived from Manomet Study, Exhibit 6.6 (first data column below)</t>
  </si>
  <si>
    <t>Fuel Source</t>
  </si>
  <si>
    <t>Carbon Emissions per Output Energy</t>
  </si>
  <si>
    <t>Assumed Efficiency</t>
  </si>
  <si>
    <t>Calculated Emissions per Input Energy</t>
  </si>
  <si>
    <t>CO2 Emission Parameter</t>
  </si>
  <si>
    <t>kgC/MWh</t>
  </si>
  <si>
    <t>lbCO2/MMBTU</t>
  </si>
  <si>
    <t>Oil #2</t>
  </si>
  <si>
    <t>kgC/MMBTU</t>
  </si>
  <si>
    <t>Oil #6</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</si>
  <si>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</si>
  <si>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</si>
  <si>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r>
      <t xml:space="preserve">Biomass from </t>
    </r>
    <r>
      <rPr>
        <b/>
        <u/>
        <sz val="10"/>
        <rFont val="Arial"/>
        <family val="2"/>
      </rPr>
      <t>Residues</t>
    </r>
  </si>
  <si>
    <t>Decay Rate Half Life, years</t>
  </si>
  <si>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Deficit Analys"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14.00 regulation.</t>
    </r>
  </si>
  <si>
    <r>
      <t xml:space="preserve">Biomass from </t>
    </r>
    <r>
      <rPr>
        <b/>
        <u/>
        <sz val="10"/>
        <rFont val="Arial"/>
        <family val="2"/>
      </rPr>
      <t>Thinnings</t>
    </r>
  </si>
  <si>
    <t>Trendline</t>
  </si>
  <si>
    <t>Coefficient</t>
  </si>
  <si>
    <t>Exponent</t>
  </si>
  <si>
    <t>Worksheet for the Calculation of Overall Efficiency - Quarter 1</t>
  </si>
  <si>
    <t>Worksheet for the Calculation of Overall Efficiency - Quarter 2</t>
  </si>
  <si>
    <t>Worksheet for the Calculation of Overall Efficiency - Quarter 3</t>
  </si>
  <si>
    <t>Worksheet for the Calculation of Overall Efficiency - Quarter 4</t>
  </si>
  <si>
    <t xml:space="preserve">Generation Unit Name: </t>
  </si>
  <si>
    <t xml:space="preserve">Generation Unit RPS ID Number:  </t>
  </si>
  <si>
    <t xml:space="preserve">Generation Unit Location (Town, State): </t>
  </si>
  <si>
    <t xml:space="preserve">Quarter: </t>
  </si>
  <si>
    <t xml:space="preserve">Year: </t>
  </si>
  <si>
    <t xml:space="preserve">Generation Unit Name:   </t>
  </si>
  <si>
    <t>Quarterly Operation</t>
  </si>
  <si>
    <t>MWh</t>
  </si>
  <si>
    <t>million BTUs</t>
  </si>
  <si>
    <t>lbs</t>
  </si>
  <si>
    <t>Used "Behind-the-Meter"</t>
  </si>
  <si>
    <t>Annual Operation</t>
  </si>
  <si>
    <t>Ineligible Biomass</t>
  </si>
  <si>
    <t>Eligible Biomass (%)</t>
  </si>
  <si>
    <t>Quarter 1</t>
  </si>
  <si>
    <t>Quarter 2</t>
  </si>
  <si>
    <t>Quarter 3</t>
  </si>
  <si>
    <t>Quarter 4</t>
  </si>
  <si>
    <t>Annual</t>
  </si>
  <si>
    <t>Worksheet Biomass Fuel Delivered</t>
  </si>
  <si>
    <r>
      <rPr>
        <b/>
        <sz val="10"/>
        <color rgb="FF000000"/>
        <rFont val="Arial"/>
        <family val="2"/>
      </rPr>
      <t xml:space="preserve">Tons </t>
    </r>
    <r>
      <rPr>
        <b/>
        <u/>
        <sz val="10"/>
        <color rgb="FF000000"/>
        <rFont val="Arial"/>
        <family val="2"/>
      </rPr>
      <t>Delivered</t>
    </r>
    <r>
      <rPr>
        <b/>
        <sz val="10"/>
        <color rgb="FF000000"/>
        <rFont val="Arial"/>
        <family val="2"/>
      </rPr>
      <t xml:space="preserve"> to Unit</t>
    </r>
  </si>
  <si>
    <t>Eligible Fuel Used for this Quarter</t>
  </si>
  <si>
    <t>Eligible Fuel Used for this year</t>
  </si>
  <si>
    <t>Biomass Energy - Debt-Dividend GHG Analysis</t>
  </si>
  <si>
    <t>Non-Forest Residues</t>
  </si>
  <si>
    <t>Parameters</t>
  </si>
  <si>
    <t>Half Life</t>
  </si>
  <si>
    <t>years</t>
  </si>
  <si>
    <t>Decay Rate</t>
  </si>
  <si>
    <t>Carbon Debt</t>
  </si>
  <si>
    <t>Fossil Emissions</t>
  </si>
  <si>
    <t>(normalized)</t>
  </si>
  <si>
    <t>Biomass Emissions</t>
  </si>
  <si>
    <t>(calculated)</t>
  </si>
  <si>
    <t>Single Year Operation</t>
  </si>
  <si>
    <t>Year</t>
  </si>
  <si>
    <t>Decay Function</t>
  </si>
  <si>
    <t>Residue Decay</t>
  </si>
  <si>
    <t>Net Biomass</t>
  </si>
  <si>
    <t>Forest Thinnings</t>
  </si>
  <si>
    <t>Deficit Function</t>
  </si>
  <si>
    <t>Biomass Recovery</t>
  </si>
  <si>
    <t>Forest Derived Biomass Deficit Analysis - Thinnings and Residues Only Curves from Manomet Report</t>
  </si>
  <si>
    <t>Total Stand Carbon</t>
  </si>
  <si>
    <t>(from Manomet Exhibit 6-12; Scenarios 1 and 2 only)</t>
  </si>
  <si>
    <t>Year after Harvest</t>
  </si>
  <si>
    <t>Raw Data</t>
  </si>
  <si>
    <t>Original</t>
  </si>
  <si>
    <t>BAU 32% - BA60</t>
  </si>
  <si>
    <t>BAU 32% - Bio40%</t>
  </si>
  <si>
    <t>Thinnings only</t>
  </si>
  <si>
    <t>Tops and Limbs Only</t>
  </si>
  <si>
    <t>Converted to Carbon Deficit</t>
  </si>
  <si>
    <t>Averaging</t>
  </si>
  <si>
    <t>Thinnings Only</t>
  </si>
  <si>
    <t>Residues Only</t>
  </si>
  <si>
    <t>Thinnings Trendline</t>
  </si>
  <si>
    <t>Non-Forest Derived Eligible Biomass Deficit Analysis - Residue (Alternative Fate) Decay Rate</t>
  </si>
  <si>
    <t>Biomass from Non-Forest Residues - Alternative Fate Decay Rate</t>
  </si>
  <si>
    <t xml:space="preserve"> Half Life, years</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</si>
  <si>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</si>
  <si>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Sample References on Forest Residue Decay Rates</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</si>
  <si>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</si>
  <si>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</si>
  <si>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Mattson, et al., Decomposition of woody debris in a regenerating, clear-cut forest in the Southern Appalachians, Canadian Journal of Forest Research, 1987.</t>
  </si>
  <si>
    <t>Morris, Biomass Energy Production in California:  The Case for a Biomass Policy Initiative, NREL, 2000.</t>
  </si>
  <si>
    <t>Summary/Consolidation of Carbon Deficit Functions - Residues and Thinnings</t>
  </si>
  <si>
    <t>Residues - Forest and Non-Forest Consolidated Deficit Function</t>
  </si>
  <si>
    <t>Biomass Carbon Deficit Functions (Summary)</t>
  </si>
  <si>
    <t>Forest Residues</t>
  </si>
  <si>
    <t>Residues (Consolidated)</t>
  </si>
  <si>
    <t>Life Cycle Greenhouse Gas Analysis</t>
  </si>
  <si>
    <t>Biomass Lifecycle Stack Emissions from Generation Unit</t>
  </si>
  <si>
    <t>Fuel Input</t>
  </si>
  <si>
    <t>MMBTU_input annually</t>
  </si>
  <si>
    <t>Bio-Product Credit</t>
  </si>
  <si>
    <t>If Merchantable Bio-Products, provide under separate cover, a documentation of the embedded proportion and permanence of the input biomass fuel carbon in the Bio-Product.</t>
  </si>
  <si>
    <t>% input carbon permanently embedded</t>
  </si>
  <si>
    <t>CO2 Emissions</t>
  </si>
  <si>
    <t>lbs CO2/MMBTU_input</t>
  </si>
  <si>
    <t>tons CO2 annually</t>
  </si>
  <si>
    <t>Conventional Lifecycle Stack Emissions Displaced</t>
  </si>
  <si>
    <t>Electric Generation</t>
  </si>
  <si>
    <t>MWh annually</t>
  </si>
  <si>
    <t>lbs CO2/MWh</t>
  </si>
  <si>
    <t>Thermal Boiler</t>
  </si>
  <si>
    <t>chose from drop-down list</t>
  </si>
  <si>
    <t>MMBTU_out</t>
  </si>
  <si>
    <t>Boiler Efficiency (justificaiton if not Standard Assumption):</t>
  </si>
  <si>
    <t>Boiler Efficiency (standard assumption)</t>
  </si>
  <si>
    <t>Boiler Efficiency (optional user input)</t>
  </si>
  <si>
    <t>MMBTU_in</t>
  </si>
  <si>
    <t>lbs CO2/MMBTU</t>
  </si>
  <si>
    <t>Carbon Debt/Dividend Analysis</t>
  </si>
  <si>
    <t>carbon debt, %</t>
  </si>
  <si>
    <t xml:space="preserve">Biomass Supply Information </t>
  </si>
  <si>
    <t>Residues</t>
  </si>
  <si>
    <t>% of supply</t>
  </si>
  <si>
    <t>Forest Derived Thinnings</t>
  </si>
  <si>
    <t>Net CO2 Emission Reductions</t>
  </si>
  <si>
    <t>Applicant must demonstrate at least a 50% reduction by Yr 30</t>
  </si>
  <si>
    <t>% reduction in Year 30</t>
  </si>
  <si>
    <t>Worksheet for the Calculation of Lifecycle GHG Analysis - Quarter 1</t>
  </si>
  <si>
    <t>Worksheet for the Calculation of Lifecycle GHG Analysis - Quarter 2</t>
  </si>
  <si>
    <t>Worksheet for the Calculation of Lifecycle GHG Analysis - Quarter 3</t>
  </si>
  <si>
    <t>Worksheet for the Calculation of Lifecycle GHG Analysis - Quarter 4</t>
  </si>
  <si>
    <t>Worksheet for the Calculation of Lifecycle GHG Analysis - Annual</t>
  </si>
  <si>
    <t>(A) Eligible Residues</t>
  </si>
  <si>
    <t>(B) Eligible Thinnings</t>
  </si>
  <si>
    <t>(C) Total Biomass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</si>
</sst>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000"/>
    <numFmt numFmtId="167" formatCode="0.000"/>
    <numFmt numFmtId="168" formatCode="0.000000000000000"/>
    <numFmt numFmtId="169" formatCode="0.00000000000000"/>
  </numFmts>
  <fonts count="34" x14ac:knownFonts="1">
    <font>
      <sz val="11"/>
      <color theme="1"/>
      <name val="Calibri"/>
      <family val="2"/>
      <scheme val="minor"/>
    </font>
    <font>
      <b/>
      <sz val="11"/>
      <color rgb="FFFF0000"/>
      <name val="Calibri"/>
      <family val="2"/>
      <scheme val="minor"/>
    </font>
    <font>
      <b/>
      <sz val="11"/>
      <color rgb="FF000000"/>
      <name val="Calibri"/>
      <family val="2"/>
    </font>
    <font>
      <sz val="10"/>
      <name val="Arial"/>
      <family val="2"/>
    </font>
    <font>
      <sz val="9"/>
      <color indexed="81"/>
      <name val="Tahoma"/>
      <family val="2"/>
    </font>
    <font>
      <b/>
      <sz val="9"/>
      <color indexed="81"/>
      <name val="Tahoma"/>
      <family val="2"/>
    </font>
    <font>
      <sz val="11"/>
      <color theme="1"/>
      <name val="Calibri"/>
      <family val="2"/>
      <scheme val="minor"/>
    </font>
    <font>
      <sz val="10"/>
      <name val="Arial"/>
    </font>
    <font>
      <b/>
      <sz val="10"/>
      <name val="Arial"/>
      <family val="2"/>
    </font>
    <font>
      <sz val="8"/>
      <name val="Arial"/>
      <family val="2"/>
    </font>
    <font>
      <i/>
      <sz val="10"/>
      <name val="Arial"/>
      <family val="2"/>
    </font>
    <font>
      <b/>
      <u/>
      <sz val="10"/>
      <name val="Arial"/>
      <family val="2"/>
    </font>
    <font>
      <u/>
      <sz val="8"/>
      <name val="Arial"/>
      <family val="2"/>
    </font>
    <font>
      <sz val="11"/>
      <color rgb="FF000000"/>
      <name val="Calibri"/>
      <family val="2"/>
      <scheme val="minor"/>
    </font>
    <font>
      <u/>
      <sz val="11"/>
      <color rgb="FF000000"/>
      <name val="Calibri"/>
      <family val="2"/>
      <scheme val="minor"/>
    </font>
    <font>
      <i/>
      <sz val="8"/>
      <name val="Arial"/>
      <family val="2"/>
    </font>
    <font>
      <b/>
      <sz val="10"/>
      <color rgb="FF000000"/>
      <name val="Arial"/>
      <family val="2"/>
    </font>
    <font>
      <b/>
      <u/>
      <sz val="10"/>
      <color rgb="FF000000"/>
      <name val="Arial"/>
      <family val="2"/>
    </font>
    <font>
      <sz val="10"/>
      <color rgb="FF000000"/>
      <name val="Arial"/>
      <family val="2"/>
    </font>
    <font>
      <sz val="10"/>
      <color theme="1"/>
      <name val="Arial"/>
      <family val="2"/>
    </font>
    <font>
      <b/>
      <sz val="11"/>
      <color theme="3"/>
      <name val="Calibri"/>
      <family val="2"/>
      <scheme val="minor"/>
    </font>
    <font>
      <sz val="11"/>
      <color rgb="FFFF0000"/>
      <name val="Calibri"/>
      <family val="2"/>
      <scheme val="minor"/>
    </font>
    <font>
      <b/>
      <sz val="11"/>
      <color theme="1"/>
      <name val="Calibri"/>
      <family val="2"/>
      <scheme val="minor"/>
    </font>
    <font>
      <sz val="10"/>
      <color indexed="10"/>
      <name val="Arial"/>
      <family val="2"/>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b/>
      <u/>
      <sz val="11"/>
      <color theme="1"/>
      <name val="Calibri"/>
      <family val="2"/>
      <scheme val="minor"/>
    </font>
    <font>
      <i/>
      <sz val="8"/>
      <color theme="0"/>
      <name val="Arial"/>
      <family val="2"/>
    </font>
    <font>
      <b/>
      <sz val="16"/>
      <color theme="1"/>
      <name val="Calibri"/>
      <family val="2"/>
      <scheme val="minor"/>
    </font>
    <font>
      <sz val="11"/>
      <name val="Arial"/>
      <family val="2"/>
    </font>
    <font>
      <u/>
      <sz val="1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FFFF99"/>
        <bgColor indexed="64"/>
      </patternFill>
    </fill>
    <fill>
      <patternFill patternType="solid">
        <fgColor rgb="FFFF99CC"/>
        <bgColor indexed="64"/>
      </patternFill>
    </fill>
    <fill>
      <patternFill patternType="solid">
        <fgColor theme="9"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s>
  <cellStyleXfs count="10">
    <xf numFmtId="0" fontId="0" fillId="0" borderId="0"/>
    <xf numFmtId="0" fontId="7" fillId="0" borderId="0"/>
    <xf numFmtId="0" fontId="6" fillId="0" borderId="0"/>
    <xf numFmtId="9" fontId="6" fillId="0" borderId="0" applyFont="0" applyFill="0" applyBorder="0" applyAlignment="0" applyProtection="0"/>
    <xf numFmtId="0" fontId="3" fillId="0" borderId="0"/>
    <xf numFmtId="9" fontId="3" fillId="0" borderId="0" applyFont="0" applyFill="0" applyBorder="0" applyAlignment="0" applyProtection="0"/>
    <xf numFmtId="0" fontId="6" fillId="0" borderId="0"/>
    <xf numFmtId="0" fontId="6" fillId="0" borderId="0"/>
    <xf numFmtId="0" fontId="3" fillId="0" borderId="0"/>
    <xf numFmtId="0" fontId="6" fillId="0" borderId="0"/>
  </cellStyleXfs>
  <cellXfs count="357">
    <xf numFmtId="0" fontId="0" fillId="0" borderId="0" xfId="0"/>
    <xf numFmtId="0" fontId="0" fillId="2" borderId="0" xfId="0" applyFill="1"/>
    <xf numFmtId="0" fontId="19" fillId="2" borderId="0" xfId="0" applyFont="1" applyFill="1"/>
    <xf numFmtId="0" fontId="3" fillId="2" borderId="0" xfId="1" applyFont="1" applyFill="1"/>
    <xf numFmtId="9" fontId="19" fillId="2" borderId="38" xfId="3" applyFont="1" applyFill="1" applyBorder="1" applyAlignment="1">
      <alignment horizontal="center" vertical="center"/>
    </xf>
    <xf numFmtId="0" fontId="18" fillId="2" borderId="44" xfId="0" applyFont="1" applyFill="1" applyBorder="1" applyAlignment="1">
      <alignment vertical="center" wrapText="1"/>
    </xf>
    <xf numFmtId="0" fontId="19" fillId="2" borderId="45" xfId="0" applyFont="1" applyFill="1" applyBorder="1"/>
    <xf numFmtId="0" fontId="1" fillId="2" borderId="0" xfId="0" applyFont="1" applyFill="1" applyProtection="1"/>
    <xf numFmtId="9" fontId="0" fillId="2" borderId="0" xfId="0" applyNumberFormat="1" applyFill="1" applyProtection="1"/>
    <xf numFmtId="0" fontId="0" fillId="2" borderId="0" xfId="0" applyFill="1" applyProtection="1"/>
    <xf numFmtId="0" fontId="3" fillId="2" borderId="0" xfId="0" applyFont="1" applyFill="1" applyAlignment="1" applyProtection="1">
      <alignment wrapText="1"/>
    </xf>
    <xf numFmtId="0" fontId="13" fillId="2" borderId="22" xfId="0" applyFont="1" applyFill="1" applyBorder="1" applyProtection="1"/>
    <xf numFmtId="0" fontId="13" fillId="2" borderId="25" xfId="0" applyFont="1" applyFill="1" applyBorder="1" applyProtection="1"/>
    <xf numFmtId="0" fontId="14" fillId="2" borderId="0" xfId="0" applyFont="1" applyFill="1" applyProtection="1"/>
    <xf numFmtId="0" fontId="13" fillId="2" borderId="26" xfId="0" applyFont="1" applyFill="1" applyBorder="1" applyProtection="1"/>
    <xf numFmtId="0" fontId="0" fillId="4" borderId="24" xfId="0" applyFill="1" applyBorder="1" applyProtection="1">
      <protection locked="0"/>
    </xf>
    <xf numFmtId="0" fontId="0" fillId="4" borderId="15" xfId="0" applyFill="1" applyBorder="1" applyProtection="1">
      <protection locked="0"/>
    </xf>
    <xf numFmtId="0" fontId="0" fillId="4" borderId="16" xfId="0" applyFill="1" applyBorder="1" applyProtection="1">
      <protection locked="0"/>
    </xf>
    <xf numFmtId="0" fontId="18" fillId="4" borderId="1" xfId="0" applyFont="1" applyFill="1" applyBorder="1" applyAlignment="1" applyProtection="1">
      <alignment horizontal="center" vertical="center" wrapText="1"/>
      <protection locked="0"/>
    </xf>
    <xf numFmtId="0" fontId="18" fillId="4" borderId="25" xfId="0" applyFont="1" applyFill="1" applyBorder="1" applyAlignment="1" applyProtection="1">
      <alignment horizontal="center" vertical="center" wrapText="1"/>
      <protection locked="0"/>
    </xf>
    <xf numFmtId="0" fontId="3" fillId="2" borderId="35" xfId="0" applyFont="1" applyFill="1" applyBorder="1" applyAlignment="1">
      <alignment horizontal="center" vertical="center" wrapText="1"/>
    </xf>
    <xf numFmtId="9" fontId="19" fillId="2" borderId="26" xfId="3" applyFont="1" applyFill="1" applyBorder="1" applyAlignment="1">
      <alignment horizontal="center" vertical="center"/>
    </xf>
    <xf numFmtId="9" fontId="19" fillId="0" borderId="39" xfId="3" applyFont="1" applyFill="1" applyBorder="1" applyAlignment="1">
      <alignment horizontal="center" vertical="center"/>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8" fillId="4" borderId="15" xfId="0" applyFont="1" applyFill="1" applyBorder="1" applyAlignment="1" applyProtection="1">
      <alignment horizontal="center" vertical="center" wrapText="1"/>
      <protection locked="0"/>
    </xf>
    <xf numFmtId="0" fontId="18" fillId="4" borderId="26" xfId="0" applyFont="1" applyFill="1" applyBorder="1" applyAlignment="1" applyProtection="1">
      <alignment horizontal="center" vertical="center" wrapText="1"/>
      <protection locked="0"/>
    </xf>
    <xf numFmtId="0" fontId="18" fillId="4" borderId="17" xfId="0" applyFont="1" applyFill="1" applyBorder="1" applyAlignment="1" applyProtection="1">
      <alignment horizontal="center" vertical="center" wrapText="1"/>
      <protection locked="0"/>
    </xf>
    <xf numFmtId="0" fontId="18" fillId="4" borderId="16" xfId="0" applyFont="1" applyFill="1" applyBorder="1" applyAlignment="1" applyProtection="1">
      <alignment horizontal="center" vertical="center" wrapText="1"/>
      <protection locked="0"/>
    </xf>
    <xf numFmtId="0" fontId="3" fillId="2" borderId="46"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7" fillId="2" borderId="0" xfId="1" applyFill="1" applyProtection="1"/>
    <xf numFmtId="0" fontId="8" fillId="2" borderId="0" xfId="1" applyFont="1" applyFill="1" applyBorder="1" applyAlignment="1" applyProtection="1"/>
    <xf numFmtId="0" fontId="7" fillId="4" borderId="1" xfId="1" applyFill="1" applyBorder="1" applyProtection="1"/>
    <xf numFmtId="0" fontId="7" fillId="5" borderId="13" xfId="1" applyFill="1" applyBorder="1" applyProtection="1"/>
    <xf numFmtId="0" fontId="7" fillId="2" borderId="14" xfId="1" applyFill="1" applyBorder="1" applyProtection="1"/>
    <xf numFmtId="0" fontId="8" fillId="2" borderId="0" xfId="1" applyFont="1" applyFill="1" applyProtection="1"/>
    <xf numFmtId="0" fontId="8" fillId="2" borderId="3" xfId="1" applyFont="1" applyFill="1" applyBorder="1" applyProtection="1"/>
    <xf numFmtId="0" fontId="7" fillId="2" borderId="4" xfId="1" applyFill="1" applyBorder="1" applyProtection="1"/>
    <xf numFmtId="0" fontId="7" fillId="2" borderId="5" xfId="1" applyFill="1" applyBorder="1" applyProtection="1"/>
    <xf numFmtId="0" fontId="7" fillId="2" borderId="0" xfId="1" applyFill="1" applyBorder="1" applyProtection="1"/>
    <xf numFmtId="0" fontId="7" fillId="2" borderId="6" xfId="1" applyFill="1" applyBorder="1" applyProtection="1"/>
    <xf numFmtId="0" fontId="7" fillId="2" borderId="1" xfId="1" applyFill="1" applyBorder="1" applyProtection="1"/>
    <xf numFmtId="0" fontId="3" fillId="2" borderId="15" xfId="1" applyFont="1" applyFill="1" applyBorder="1" applyProtection="1"/>
    <xf numFmtId="0" fontId="7" fillId="2" borderId="1" xfId="1" applyFill="1" applyBorder="1" applyAlignment="1" applyProtection="1">
      <alignment horizontal="center"/>
    </xf>
    <xf numFmtId="0" fontId="7" fillId="2" borderId="15" xfId="1" applyFill="1" applyBorder="1" applyAlignment="1" applyProtection="1">
      <alignment horizontal="center"/>
    </xf>
    <xf numFmtId="0" fontId="7" fillId="2" borderId="8" xfId="1" applyFill="1" applyBorder="1" applyProtection="1"/>
    <xf numFmtId="0" fontId="3" fillId="2" borderId="17" xfId="1" applyFont="1" applyFill="1" applyBorder="1" applyProtection="1"/>
    <xf numFmtId="0" fontId="7" fillId="2" borderId="17" xfId="1" applyFill="1" applyBorder="1" applyAlignment="1" applyProtection="1">
      <alignment horizontal="center"/>
    </xf>
    <xf numFmtId="0" fontId="7" fillId="2" borderId="16" xfId="1" applyFill="1" applyBorder="1" applyAlignment="1" applyProtection="1">
      <alignment horizontal="center"/>
    </xf>
    <xf numFmtId="0" fontId="7" fillId="2" borderId="0" xfId="1" applyFill="1" applyBorder="1" applyAlignment="1" applyProtection="1">
      <alignment horizontal="center"/>
    </xf>
    <xf numFmtId="0" fontId="7" fillId="2" borderId="7" xfId="1" applyFill="1" applyBorder="1" applyProtection="1"/>
    <xf numFmtId="0" fontId="3" fillId="2" borderId="1" xfId="1" applyFont="1" applyFill="1" applyBorder="1" applyAlignment="1" applyProtection="1">
      <alignment horizontal="right"/>
    </xf>
    <xf numFmtId="0" fontId="7" fillId="2" borderId="1" xfId="1" applyFill="1" applyBorder="1" applyAlignment="1" applyProtection="1">
      <alignment horizontal="right"/>
    </xf>
    <xf numFmtId="0" fontId="9" fillId="2" borderId="1" xfId="1" applyFont="1" applyFill="1" applyBorder="1" applyAlignment="1" applyProtection="1">
      <alignment horizontal="center"/>
    </xf>
    <xf numFmtId="0" fontId="7" fillId="2" borderId="15" xfId="1" applyFill="1" applyBorder="1" applyProtection="1"/>
    <xf numFmtId="0" fontId="7" fillId="2" borderId="17" xfId="1" applyFill="1" applyBorder="1" applyProtection="1"/>
    <xf numFmtId="0" fontId="3" fillId="2" borderId="16" xfId="1" applyFont="1" applyFill="1" applyBorder="1" applyProtection="1"/>
    <xf numFmtId="1" fontId="7" fillId="2" borderId="1" xfId="1" applyNumberFormat="1" applyFill="1" applyBorder="1" applyAlignment="1" applyProtection="1">
      <alignment horizontal="center"/>
    </xf>
    <xf numFmtId="1" fontId="7" fillId="2" borderId="17" xfId="1" applyNumberFormat="1" applyFill="1" applyBorder="1" applyAlignment="1" applyProtection="1">
      <alignment horizontal="center"/>
    </xf>
    <xf numFmtId="0" fontId="7" fillId="2" borderId="16" xfId="1" applyFill="1" applyBorder="1" applyProtection="1"/>
    <xf numFmtId="0" fontId="8" fillId="2" borderId="11" xfId="1" applyFont="1" applyFill="1" applyBorder="1" applyProtection="1"/>
    <xf numFmtId="0" fontId="15" fillId="2" borderId="18" xfId="1" applyFont="1" applyFill="1" applyBorder="1" applyAlignment="1" applyProtection="1">
      <alignment horizontal="center" vertical="center" wrapText="1"/>
    </xf>
    <xf numFmtId="164" fontId="8" fillId="5" borderId="18" xfId="1" applyNumberFormat="1" applyFont="1" applyFill="1" applyBorder="1" applyAlignment="1" applyProtection="1">
      <alignment horizontal="center"/>
    </xf>
    <xf numFmtId="0" fontId="7" fillId="2" borderId="12" xfId="1" applyFill="1" applyBorder="1" applyProtection="1"/>
    <xf numFmtId="0" fontId="7" fillId="4" borderId="1" xfId="1" applyFill="1" applyBorder="1" applyAlignment="1" applyProtection="1">
      <alignment horizontal="center"/>
      <protection locked="0"/>
    </xf>
    <xf numFmtId="1" fontId="7" fillId="4" borderId="1" xfId="1" applyNumberFormat="1" applyFill="1" applyBorder="1" applyAlignment="1" applyProtection="1">
      <alignment horizontal="center"/>
      <protection locked="0"/>
    </xf>
    <xf numFmtId="0" fontId="7" fillId="4" borderId="17" xfId="1" applyFill="1" applyBorder="1" applyAlignment="1" applyProtection="1">
      <alignment horizontal="center"/>
      <protection locked="0"/>
    </xf>
    <xf numFmtId="0" fontId="7" fillId="5" borderId="1" xfId="1" applyFill="1" applyBorder="1" applyProtection="1"/>
    <xf numFmtId="0" fontId="3" fillId="2" borderId="7" xfId="1" applyFont="1" applyFill="1" applyBorder="1" applyProtection="1"/>
    <xf numFmtId="0" fontId="9" fillId="2" borderId="0" xfId="1" applyFont="1" applyFill="1" applyBorder="1" applyAlignment="1" applyProtection="1">
      <alignment horizontal="center"/>
    </xf>
    <xf numFmtId="1" fontId="7" fillId="2" borderId="48" xfId="1" applyNumberFormat="1" applyFill="1" applyBorder="1" applyAlignment="1" applyProtection="1">
      <alignment horizontal="center"/>
    </xf>
    <xf numFmtId="0" fontId="6" fillId="0" borderId="0" xfId="2"/>
    <xf numFmtId="0" fontId="22" fillId="0" borderId="0" xfId="2" applyFont="1"/>
    <xf numFmtId="0" fontId="24" fillId="0" borderId="0" xfId="2" applyFont="1"/>
    <xf numFmtId="0" fontId="26" fillId="0" borderId="0" xfId="2" applyFont="1"/>
    <xf numFmtId="0" fontId="21" fillId="0" borderId="0" xfId="2" applyFont="1"/>
    <xf numFmtId="0" fontId="6" fillId="0" borderId="0" xfId="2" applyFont="1"/>
    <xf numFmtId="0" fontId="27" fillId="0" borderId="0" xfId="2" applyFont="1"/>
    <xf numFmtId="0" fontId="20" fillId="0" borderId="0" xfId="2" applyFont="1"/>
    <xf numFmtId="0" fontId="6" fillId="0" borderId="0" xfId="2" applyFont="1" applyAlignment="1">
      <alignment horizontal="right"/>
    </xf>
    <xf numFmtId="0" fontId="28" fillId="0" borderId="0" xfId="2" applyFont="1"/>
    <xf numFmtId="0" fontId="30" fillId="0" borderId="0" xfId="2" applyFont="1"/>
    <xf numFmtId="0" fontId="22" fillId="0" borderId="34" xfId="2" applyFont="1" applyBorder="1"/>
    <xf numFmtId="0" fontId="22" fillId="0" borderId="49" xfId="2" applyFont="1" applyBorder="1" applyAlignment="1">
      <alignment horizontal="right"/>
    </xf>
    <xf numFmtId="0" fontId="22" fillId="0" borderId="49" xfId="2" applyFont="1" applyBorder="1"/>
    <xf numFmtId="166" fontId="22" fillId="0" borderId="49" xfId="2" applyNumberFormat="1" applyFont="1" applyBorder="1" applyAlignment="1">
      <alignment horizontal="right"/>
    </xf>
    <xf numFmtId="166" fontId="22" fillId="0" borderId="36" xfId="2" applyNumberFormat="1" applyFont="1" applyBorder="1"/>
    <xf numFmtId="167" fontId="22" fillId="0" borderId="36" xfId="2" applyNumberFormat="1" applyFont="1" applyBorder="1"/>
    <xf numFmtId="0" fontId="8" fillId="0" borderId="0" xfId="8" applyFont="1" applyProtection="1"/>
    <xf numFmtId="0" fontId="3" fillId="0" borderId="0" xfId="8" applyProtection="1"/>
    <xf numFmtId="0" fontId="3" fillId="0" borderId="0" xfId="8" applyFill="1" applyProtection="1"/>
    <xf numFmtId="0" fontId="3" fillId="0" borderId="0" xfId="8" applyAlignment="1" applyProtection="1">
      <alignment horizontal="right"/>
    </xf>
    <xf numFmtId="165" fontId="23" fillId="6" borderId="1" xfId="8" applyNumberFormat="1" applyFont="1" applyFill="1" applyBorder="1" applyProtection="1"/>
    <xf numFmtId="0" fontId="23" fillId="0" borderId="0" xfId="8" applyFont="1" applyProtection="1"/>
    <xf numFmtId="166" fontId="3" fillId="0" borderId="0" xfId="8" applyNumberFormat="1" applyFont="1" applyProtection="1"/>
    <xf numFmtId="9" fontId="23" fillId="6" borderId="1" xfId="8" applyNumberFormat="1" applyFont="1" applyFill="1" applyBorder="1" applyProtection="1"/>
    <xf numFmtId="0" fontId="3" fillId="0" borderId="0" xfId="8" applyFont="1" applyAlignment="1" applyProtection="1">
      <alignment horizontal="right"/>
    </xf>
    <xf numFmtId="0" fontId="3" fillId="0" borderId="0" xfId="8" applyFont="1" applyProtection="1"/>
    <xf numFmtId="2" fontId="3" fillId="0" borderId="0" xfId="8" applyNumberFormat="1" applyProtection="1"/>
    <xf numFmtId="0" fontId="3" fillId="0" borderId="0" xfId="8" applyFont="1" applyAlignment="1" applyProtection="1">
      <alignment horizontal="center" vertical="center" wrapText="1"/>
    </xf>
    <xf numFmtId="0" fontId="3" fillId="0" borderId="0" xfId="8" applyAlignment="1" applyProtection="1">
      <alignment horizontal="center" vertical="center" wrapText="1"/>
    </xf>
    <xf numFmtId="166" fontId="3" fillId="0" borderId="0" xfId="8" applyNumberFormat="1" applyProtection="1"/>
    <xf numFmtId="166" fontId="3" fillId="0" borderId="0" xfId="8" applyNumberFormat="1" applyFill="1" applyProtection="1"/>
    <xf numFmtId="167" fontId="3" fillId="0" borderId="0" xfId="8" applyNumberFormat="1" applyProtection="1"/>
    <xf numFmtId="0" fontId="3" fillId="0" borderId="0" xfId="8" applyAlignment="1">
      <alignment horizontal="right"/>
    </xf>
    <xf numFmtId="166" fontId="3" fillId="0" borderId="0" xfId="8" applyNumberFormat="1" applyFont="1"/>
    <xf numFmtId="0" fontId="9" fillId="0" borderId="0" xfId="8" applyFont="1" applyBorder="1" applyAlignment="1">
      <alignment vertical="top" wrapText="1"/>
    </xf>
    <xf numFmtId="0" fontId="32" fillId="0" borderId="0" xfId="8" applyFont="1" applyAlignment="1">
      <alignment horizontal="left" indent="1"/>
    </xf>
    <xf numFmtId="0" fontId="3" fillId="0" borderId="0" xfId="8"/>
    <xf numFmtId="0" fontId="3" fillId="0" borderId="0" xfId="8" applyFont="1" applyAlignment="1">
      <alignment horizontal="left" indent="1"/>
    </xf>
    <xf numFmtId="0" fontId="25" fillId="0" borderId="22" xfId="8" applyFont="1" applyFill="1" applyBorder="1" applyAlignment="1">
      <alignment horizontal="center" vertical="center" wrapText="1"/>
    </xf>
    <xf numFmtId="0" fontId="3" fillId="0" borderId="26" xfId="8" applyFill="1" applyBorder="1" applyAlignment="1">
      <alignment horizontal="right"/>
    </xf>
    <xf numFmtId="0" fontId="3" fillId="0" borderId="0" xfId="8" applyFont="1" applyFill="1" applyBorder="1" applyAlignment="1">
      <alignment vertical="center" wrapText="1"/>
    </xf>
    <xf numFmtId="0" fontId="3" fillId="0" borderId="30" xfId="8" applyFill="1" applyBorder="1"/>
    <xf numFmtId="167" fontId="3" fillId="0" borderId="2" xfId="8" applyNumberFormat="1" applyFill="1" applyBorder="1"/>
    <xf numFmtId="166" fontId="3" fillId="0" borderId="31" xfId="8" applyNumberFormat="1" applyFill="1" applyBorder="1"/>
    <xf numFmtId="166" fontId="3" fillId="0" borderId="50" xfId="8" applyNumberFormat="1" applyFill="1" applyBorder="1"/>
    <xf numFmtId="0" fontId="3" fillId="0" borderId="25" xfId="8" applyFill="1" applyBorder="1"/>
    <xf numFmtId="167" fontId="3" fillId="0" borderId="1" xfId="8" applyNumberFormat="1" applyFill="1" applyBorder="1"/>
    <xf numFmtId="166" fontId="3" fillId="0" borderId="15" xfId="8" applyNumberFormat="1" applyFill="1" applyBorder="1"/>
    <xf numFmtId="0" fontId="3" fillId="0" borderId="26" xfId="8" applyFill="1" applyBorder="1"/>
    <xf numFmtId="167" fontId="3" fillId="0" borderId="17" xfId="8" applyNumberFormat="1" applyFill="1" applyBorder="1"/>
    <xf numFmtId="166" fontId="3" fillId="0" borderId="16" xfId="8" applyNumberFormat="1" applyFill="1" applyBorder="1"/>
    <xf numFmtId="166" fontId="3" fillId="0" borderId="51" xfId="8" applyNumberFormat="1" applyFill="1" applyBorder="1"/>
    <xf numFmtId="0" fontId="3" fillId="2" borderId="0" xfId="8" applyFill="1" applyProtection="1"/>
    <xf numFmtId="0" fontId="8" fillId="2" borderId="0" xfId="8" applyFont="1" applyFill="1" applyBorder="1" applyAlignment="1" applyProtection="1"/>
    <xf numFmtId="0" fontId="3" fillId="4" borderId="1" xfId="8" applyFill="1" applyBorder="1" applyProtection="1"/>
    <xf numFmtId="0" fontId="3" fillId="5" borderId="1" xfId="8" applyFill="1" applyBorder="1" applyProtection="1"/>
    <xf numFmtId="0" fontId="3" fillId="2" borderId="0" xfId="8" applyFill="1" applyBorder="1" applyProtection="1"/>
    <xf numFmtId="0" fontId="8" fillId="2" borderId="0" xfId="8" applyFont="1" applyFill="1" applyProtection="1"/>
    <xf numFmtId="0" fontId="3" fillId="2" borderId="0" xfId="8" applyFont="1" applyFill="1" applyBorder="1" applyProtection="1"/>
    <xf numFmtId="0" fontId="8" fillId="2" borderId="3" xfId="8" applyFont="1" applyFill="1" applyBorder="1" applyProtection="1"/>
    <xf numFmtId="0" fontId="3" fillId="2" borderId="4" xfId="8" applyFill="1" applyBorder="1" applyProtection="1"/>
    <xf numFmtId="0" fontId="3" fillId="2" borderId="5" xfId="8" applyFill="1" applyBorder="1" applyProtection="1"/>
    <xf numFmtId="0" fontId="3" fillId="2" borderId="6" xfId="8" applyFill="1" applyBorder="1" applyProtection="1"/>
    <xf numFmtId="0" fontId="3" fillId="2" borderId="1" xfId="8" applyFill="1" applyBorder="1" applyAlignment="1" applyProtection="1">
      <alignment horizontal="center"/>
    </xf>
    <xf numFmtId="0" fontId="3" fillId="2" borderId="15" xfId="8" applyFill="1" applyBorder="1" applyProtection="1"/>
    <xf numFmtId="0" fontId="3" fillId="2" borderId="1" xfId="8" applyFill="1" applyBorder="1" applyAlignment="1" applyProtection="1">
      <alignment horizontal="right"/>
    </xf>
    <xf numFmtId="9" fontId="0" fillId="4" borderId="1" xfId="5" applyFont="1" applyFill="1" applyBorder="1" applyProtection="1">
      <protection locked="0"/>
    </xf>
    <xf numFmtId="0" fontId="3" fillId="2" borderId="15" xfId="8" applyFont="1" applyFill="1" applyBorder="1" applyProtection="1"/>
    <xf numFmtId="165" fontId="3" fillId="2" borderId="1" xfId="8" applyNumberFormat="1" applyFill="1" applyBorder="1" applyProtection="1"/>
    <xf numFmtId="0" fontId="3" fillId="2" borderId="8" xfId="8" applyFill="1" applyBorder="1" applyProtection="1"/>
    <xf numFmtId="1" fontId="3" fillId="2" borderId="17" xfId="8" applyNumberFormat="1" applyFill="1" applyBorder="1" applyAlignment="1" applyProtection="1">
      <alignment horizontal="right" vertical="center"/>
    </xf>
    <xf numFmtId="0" fontId="3" fillId="2" borderId="16" xfId="8" applyFill="1" applyBorder="1" applyProtection="1"/>
    <xf numFmtId="0" fontId="3" fillId="4" borderId="1" xfId="8" applyFont="1" applyFill="1" applyBorder="1" applyAlignment="1" applyProtection="1">
      <alignment horizontal="center"/>
      <protection locked="0"/>
    </xf>
    <xf numFmtId="1" fontId="3" fillId="2" borderId="1" xfId="8" applyNumberFormat="1" applyFill="1" applyBorder="1" applyAlignment="1" applyProtection="1">
      <alignment horizontal="center" vertical="center"/>
    </xf>
    <xf numFmtId="0" fontId="3" fillId="4" borderId="1" xfId="8" applyFill="1" applyBorder="1" applyAlignment="1" applyProtection="1">
      <alignment horizontal="center" vertical="center"/>
      <protection locked="0"/>
    </xf>
    <xf numFmtId="0" fontId="3" fillId="2" borderId="15" xfId="8" applyFont="1" applyFill="1" applyBorder="1" applyAlignment="1" applyProtection="1">
      <alignment vertical="center" wrapText="1"/>
    </xf>
    <xf numFmtId="9" fontId="3" fillId="2" borderId="1" xfId="8" applyNumberFormat="1" applyFill="1" applyBorder="1" applyAlignment="1" applyProtection="1">
      <alignment horizontal="center" vertical="center"/>
    </xf>
    <xf numFmtId="165" fontId="3" fillId="2" borderId="1" xfId="8" applyNumberFormat="1" applyFill="1" applyBorder="1" applyAlignment="1" applyProtection="1">
      <alignment horizontal="center" vertical="center"/>
    </xf>
    <xf numFmtId="1" fontId="3" fillId="2" borderId="17" xfId="8" applyNumberFormat="1" applyFill="1" applyBorder="1" applyAlignment="1" applyProtection="1">
      <alignment horizontal="center" vertical="center"/>
    </xf>
    <xf numFmtId="164" fontId="3" fillId="2" borderId="1" xfId="8" applyNumberFormat="1" applyFill="1" applyBorder="1" applyAlignment="1" applyProtection="1">
      <alignment horizontal="center" vertical="center"/>
    </xf>
    <xf numFmtId="0" fontId="3" fillId="2" borderId="0" xfId="8" applyFill="1" applyBorder="1" applyAlignment="1" applyProtection="1">
      <alignment horizontal="center" vertical="center"/>
    </xf>
    <xf numFmtId="164" fontId="3" fillId="2" borderId="0" xfId="8" applyNumberFormat="1" applyFill="1" applyBorder="1" applyAlignment="1" applyProtection="1">
      <alignment horizontal="center" vertical="center"/>
    </xf>
    <xf numFmtId="0" fontId="3" fillId="2" borderId="7" xfId="8" applyFill="1" applyBorder="1" applyProtection="1"/>
    <xf numFmtId="0" fontId="8" fillId="2" borderId="0" xfId="8" applyFont="1" applyFill="1" applyBorder="1" applyAlignment="1" applyProtection="1">
      <alignment horizontal="center" vertical="center"/>
    </xf>
    <xf numFmtId="164" fontId="3" fillId="2" borderId="0" xfId="8" applyNumberFormat="1" applyFill="1" applyBorder="1" applyProtection="1"/>
    <xf numFmtId="0" fontId="3" fillId="2" borderId="1" xfId="8" applyFont="1" applyFill="1" applyBorder="1" applyAlignment="1" applyProtection="1">
      <alignment horizontal="right" vertical="center"/>
    </xf>
    <xf numFmtId="0" fontId="3" fillId="2" borderId="0" xfId="8" applyFill="1" applyBorder="1" applyAlignment="1" applyProtection="1">
      <alignment vertical="top" wrapText="1"/>
    </xf>
    <xf numFmtId="0" fontId="3" fillId="2" borderId="0" xfId="8" applyFont="1" applyFill="1" applyBorder="1" applyAlignment="1" applyProtection="1">
      <alignment horizontal="right" vertical="center"/>
    </xf>
    <xf numFmtId="9" fontId="0" fillId="2" borderId="0" xfId="5" applyFont="1" applyFill="1" applyBorder="1" applyProtection="1"/>
    <xf numFmtId="0" fontId="3" fillId="2" borderId="7" xfId="8" applyFont="1" applyFill="1" applyBorder="1" applyProtection="1"/>
    <xf numFmtId="0" fontId="8" fillId="2" borderId="0" xfId="8" applyFont="1" applyFill="1" applyBorder="1" applyAlignment="1" applyProtection="1">
      <alignment vertical="center"/>
    </xf>
    <xf numFmtId="0" fontId="29" fillId="2" borderId="40" xfId="8" applyFont="1" applyFill="1" applyBorder="1" applyAlignment="1" applyProtection="1">
      <alignment horizontal="center" vertical="center" wrapText="1"/>
    </xf>
    <xf numFmtId="0" fontId="3" fillId="2" borderId="17" xfId="8" applyFont="1" applyFill="1" applyBorder="1" applyAlignment="1" applyProtection="1">
      <alignment vertical="center" wrapText="1"/>
    </xf>
    <xf numFmtId="164" fontId="3" fillId="5" borderId="17" xfId="8" applyNumberFormat="1" applyFill="1" applyBorder="1" applyAlignment="1" applyProtection="1">
      <alignment horizontal="center" vertical="center"/>
    </xf>
    <xf numFmtId="0" fontId="3" fillId="2" borderId="16" xfId="8" applyFont="1" applyFill="1" applyBorder="1" applyProtection="1"/>
    <xf numFmtId="0" fontId="8" fillId="0" borderId="19" xfId="8" applyFont="1" applyBorder="1" applyAlignment="1" applyProtection="1">
      <alignment horizontal="center" vertical="center"/>
    </xf>
    <xf numFmtId="0" fontId="3" fillId="0" borderId="20" xfId="8" applyBorder="1" applyAlignment="1" applyProtection="1">
      <alignment horizontal="center"/>
    </xf>
    <xf numFmtId="0" fontId="3" fillId="0" borderId="25" xfId="8" applyFont="1" applyBorder="1" applyProtection="1"/>
    <xf numFmtId="0" fontId="3" fillId="0" borderId="1" xfId="8" applyBorder="1" applyProtection="1"/>
    <xf numFmtId="0" fontId="3" fillId="3" borderId="1" xfId="8" applyFill="1" applyBorder="1" applyProtection="1"/>
    <xf numFmtId="0" fontId="3" fillId="0" borderId="15" xfId="8" applyBorder="1" applyProtection="1"/>
    <xf numFmtId="0" fontId="3" fillId="0" borderId="26" xfId="8" applyBorder="1" applyProtection="1"/>
    <xf numFmtId="0" fontId="3" fillId="0" borderId="17" xfId="8" applyBorder="1" applyProtection="1"/>
    <xf numFmtId="0" fontId="3" fillId="3" borderId="17" xfId="8" applyFill="1" applyBorder="1" applyProtection="1"/>
    <xf numFmtId="0" fontId="3" fillId="0" borderId="16" xfId="8" applyBorder="1" applyProtection="1"/>
    <xf numFmtId="0" fontId="8" fillId="0" borderId="27" xfId="8" applyFont="1" applyBorder="1" applyAlignment="1" applyProtection="1">
      <alignment horizontal="center" vertical="center" wrapText="1"/>
    </xf>
    <xf numFmtId="0" fontId="3" fillId="0" borderId="28" xfId="8" applyFont="1" applyBorder="1" applyAlignment="1" applyProtection="1">
      <alignment horizontal="center" vertical="center" wrapText="1"/>
    </xf>
    <xf numFmtId="0" fontId="3" fillId="0" borderId="29" xfId="8" applyFont="1" applyBorder="1" applyAlignment="1" applyProtection="1">
      <alignment horizontal="center" vertical="center" wrapText="1"/>
    </xf>
    <xf numFmtId="0" fontId="3" fillId="0" borderId="30" xfId="8" applyBorder="1" applyProtection="1"/>
    <xf numFmtId="2" fontId="3" fillId="3" borderId="2" xfId="8" applyNumberFormat="1" applyFill="1" applyBorder="1" applyAlignment="1" applyProtection="1">
      <alignment horizontal="right"/>
    </xf>
    <xf numFmtId="165" fontId="3" fillId="3" borderId="31" xfId="8" applyNumberFormat="1" applyFill="1" applyBorder="1" applyProtection="1"/>
    <xf numFmtId="0" fontId="3" fillId="0" borderId="0" xfId="8" applyFont="1" applyAlignment="1" applyProtection="1">
      <alignment horizontal="left"/>
    </xf>
    <xf numFmtId="0" fontId="3" fillId="0" borderId="25" xfId="8" applyBorder="1" applyProtection="1"/>
    <xf numFmtId="2" fontId="3" fillId="3" borderId="1" xfId="8" applyNumberFormat="1" applyFill="1" applyBorder="1" applyProtection="1"/>
    <xf numFmtId="165" fontId="3" fillId="3" borderId="15" xfId="8" applyNumberFormat="1" applyFill="1" applyBorder="1" applyProtection="1"/>
    <xf numFmtId="2" fontId="3" fillId="3" borderId="17" xfId="8" applyNumberFormat="1" applyFill="1" applyBorder="1" applyProtection="1"/>
    <xf numFmtId="165" fontId="3" fillId="3" borderId="16" xfId="8" applyNumberFormat="1" applyFill="1" applyBorder="1" applyProtection="1"/>
    <xf numFmtId="1" fontId="3" fillId="0" borderId="0" xfId="8" applyNumberFormat="1" applyFont="1" applyAlignment="1" applyProtection="1">
      <alignment horizontal="left"/>
    </xf>
    <xf numFmtId="0" fontId="3" fillId="0" borderId="29" xfId="8" applyBorder="1" applyAlignment="1" applyProtection="1">
      <alignment horizontal="center" vertical="center" wrapText="1"/>
    </xf>
    <xf numFmtId="1" fontId="3" fillId="3" borderId="31" xfId="8" applyNumberFormat="1" applyFill="1" applyBorder="1" applyProtection="1"/>
    <xf numFmtId="0" fontId="3" fillId="3" borderId="16" xfId="8" applyFill="1" applyBorder="1" applyAlignment="1" applyProtection="1">
      <alignment horizontal="right"/>
    </xf>
    <xf numFmtId="0" fontId="3" fillId="0" borderId="0" xfId="8" applyBorder="1" applyProtection="1"/>
    <xf numFmtId="0" fontId="3" fillId="0" borderId="0" xfId="8" applyFill="1" applyBorder="1" applyAlignment="1" applyProtection="1">
      <alignment horizontal="right"/>
    </xf>
    <xf numFmtId="0" fontId="3" fillId="0" borderId="27" xfId="8" applyBorder="1" applyAlignment="1" applyProtection="1">
      <alignment wrapText="1"/>
    </xf>
    <xf numFmtId="0" fontId="3" fillId="0" borderId="28" xfId="8" applyBorder="1" applyAlignment="1" applyProtection="1">
      <alignment wrapText="1"/>
    </xf>
    <xf numFmtId="0" fontId="3" fillId="0" borderId="32" xfId="8" applyBorder="1" applyProtection="1"/>
    <xf numFmtId="0" fontId="3" fillId="0" borderId="33" xfId="8" applyBorder="1" applyProtection="1"/>
    <xf numFmtId="0" fontId="3" fillId="0" borderId="2" xfId="8" applyBorder="1" applyAlignment="1" applyProtection="1">
      <alignment horizontal="center"/>
    </xf>
    <xf numFmtId="165" fontId="3" fillId="0" borderId="34" xfId="8" applyNumberFormat="1" applyBorder="1" applyProtection="1"/>
    <xf numFmtId="0" fontId="3" fillId="0" borderId="35" xfId="8" applyBorder="1" applyProtection="1"/>
    <xf numFmtId="0" fontId="3" fillId="0" borderId="34" xfId="8" applyBorder="1" applyProtection="1"/>
    <xf numFmtId="0" fontId="3" fillId="0" borderId="36" xfId="8" applyBorder="1" applyProtection="1"/>
    <xf numFmtId="0" fontId="3" fillId="0" borderId="1" xfId="8" applyBorder="1" applyAlignment="1" applyProtection="1">
      <alignment horizontal="center"/>
    </xf>
    <xf numFmtId="0" fontId="3" fillId="0" borderId="37" xfId="8" applyBorder="1" applyProtection="1"/>
    <xf numFmtId="0" fontId="3" fillId="0" borderId="38" xfId="8" applyBorder="1" applyProtection="1"/>
    <xf numFmtId="0" fontId="3" fillId="0" borderId="17" xfId="8" applyBorder="1" applyAlignment="1" applyProtection="1">
      <alignment horizontal="center"/>
    </xf>
    <xf numFmtId="165" fontId="3" fillId="0" borderId="37" xfId="8" applyNumberFormat="1" applyBorder="1" applyProtection="1"/>
    <xf numFmtId="0" fontId="3" fillId="0" borderId="39" xfId="8" applyBorder="1" applyProtection="1"/>
    <xf numFmtId="0" fontId="9" fillId="0" borderId="6" xfId="8" applyFont="1" applyBorder="1" applyAlignment="1" applyProtection="1">
      <alignment vertical="top" wrapText="1"/>
    </xf>
    <xf numFmtId="0" fontId="9" fillId="0" borderId="0" xfId="8" applyFont="1" applyBorder="1" applyAlignment="1" applyProtection="1">
      <alignment vertical="top" wrapText="1"/>
    </xf>
    <xf numFmtId="0" fontId="3" fillId="3" borderId="41" xfId="8" applyFill="1" applyBorder="1" applyProtection="1"/>
    <xf numFmtId="0" fontId="3" fillId="0" borderId="0" xfId="8" applyFill="1" applyBorder="1" applyProtection="1"/>
    <xf numFmtId="0" fontId="12" fillId="0" borderId="0" xfId="8" applyFont="1" applyAlignment="1" applyProtection="1">
      <alignment horizontal="left" indent="1"/>
    </xf>
    <xf numFmtId="0" fontId="3" fillId="0" borderId="1" xfId="8" applyFont="1" applyBorder="1" applyAlignment="1" applyProtection="1">
      <alignment horizontal="center" vertical="center" wrapText="1"/>
    </xf>
    <xf numFmtId="0" fontId="3" fillId="0" borderId="15" xfId="8" applyFont="1" applyBorder="1" applyAlignment="1" applyProtection="1">
      <alignment horizontal="center" vertical="center" wrapText="1"/>
    </xf>
    <xf numFmtId="0" fontId="3" fillId="3" borderId="16" xfId="8" applyFill="1" applyBorder="1" applyProtection="1"/>
    <xf numFmtId="0" fontId="9" fillId="0" borderId="0" xfId="8" applyFont="1" applyAlignment="1" applyProtection="1">
      <alignment horizontal="left" indent="1"/>
    </xf>
    <xf numFmtId="1" fontId="3" fillId="2" borderId="1" xfId="8" applyNumberFormat="1" applyFill="1" applyBorder="1" applyAlignment="1" applyProtection="1">
      <alignment horizontal="center"/>
    </xf>
    <xf numFmtId="9" fontId="0" fillId="0" borderId="1" xfId="5" applyFont="1" applyFill="1" applyBorder="1" applyProtection="1"/>
    <xf numFmtId="9" fontId="0" fillId="0" borderId="1" xfId="5" applyFont="1" applyFill="1" applyBorder="1" applyAlignment="1" applyProtection="1">
      <alignment horizontal="center" vertical="center"/>
    </xf>
    <xf numFmtId="9" fontId="0" fillId="2" borderId="1" xfId="5" applyFont="1" applyFill="1" applyBorder="1" applyAlignment="1" applyProtection="1">
      <alignment horizontal="center" vertical="center"/>
    </xf>
    <xf numFmtId="0" fontId="3" fillId="0" borderId="0" xfId="8" applyNumberFormat="1" applyFill="1" applyProtection="1"/>
    <xf numFmtId="168" fontId="3" fillId="0" borderId="0" xfId="8" applyNumberFormat="1" applyFill="1" applyProtection="1"/>
    <xf numFmtId="0" fontId="3" fillId="0" borderId="0" xfId="8" applyNumberFormat="1" applyProtection="1"/>
    <xf numFmtId="169" fontId="3" fillId="0" borderId="0" xfId="8" applyNumberFormat="1" applyProtection="1"/>
    <xf numFmtId="0" fontId="3" fillId="0" borderId="1" xfId="8" applyFont="1" applyFill="1" applyBorder="1" applyAlignment="1" applyProtection="1">
      <alignment horizontal="center"/>
    </xf>
    <xf numFmtId="0" fontId="3" fillId="0" borderId="1" xfId="8" applyFill="1" applyBorder="1" applyAlignment="1" applyProtection="1">
      <alignment horizontal="center" vertical="center"/>
    </xf>
    <xf numFmtId="0" fontId="18" fillId="2" borderId="52" xfId="0" applyFont="1" applyFill="1" applyBorder="1" applyAlignment="1">
      <alignment vertical="center" wrapText="1"/>
    </xf>
    <xf numFmtId="0" fontId="16" fillId="2" borderId="53"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8" fillId="4" borderId="22" xfId="0" applyFont="1" applyFill="1" applyBorder="1" applyAlignment="1" applyProtection="1">
      <alignment horizontal="center" vertical="center" wrapText="1"/>
      <protection locked="0"/>
    </xf>
    <xf numFmtId="0" fontId="18" fillId="4" borderId="23" xfId="0" applyFont="1" applyFill="1" applyBorder="1" applyAlignment="1" applyProtection="1">
      <alignment horizontal="center" vertical="center" wrapText="1"/>
      <protection locked="0"/>
    </xf>
    <xf numFmtId="0" fontId="18" fillId="4" borderId="24"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0" fillId="2" borderId="8" xfId="0" applyFill="1" applyBorder="1" applyAlignment="1" applyProtection="1">
      <alignment horizontal="center"/>
    </xf>
    <xf numFmtId="0" fontId="0" fillId="2" borderId="10" xfId="0" applyFill="1" applyBorder="1" applyAlignment="1" applyProtection="1">
      <alignment horizontal="center"/>
    </xf>
    <xf numFmtId="0" fontId="0" fillId="2" borderId="3" xfId="0" applyFill="1" applyBorder="1" applyAlignment="1" applyProtection="1">
      <alignment horizontal="center"/>
    </xf>
    <xf numFmtId="0" fontId="0" fillId="2" borderId="5" xfId="0" applyFill="1" applyBorder="1" applyAlignment="1" applyProtection="1">
      <alignment horizontal="center"/>
    </xf>
    <xf numFmtId="0" fontId="16" fillId="2" borderId="43"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8" fillId="2" borderId="0" xfId="1" applyFont="1" applyFill="1" applyAlignment="1" applyProtection="1">
      <alignment horizontal="right"/>
    </xf>
    <xf numFmtId="0" fontId="8" fillId="2" borderId="7" xfId="1" applyFont="1" applyFill="1" applyBorder="1" applyAlignment="1" applyProtection="1">
      <alignment horizontal="right"/>
    </xf>
    <xf numFmtId="0" fontId="8" fillId="2" borderId="3" xfId="1" applyFont="1" applyFill="1" applyBorder="1" applyAlignment="1">
      <alignment horizontal="center"/>
    </xf>
    <xf numFmtId="0" fontId="8" fillId="2" borderId="4" xfId="1" applyFont="1" applyFill="1" applyBorder="1" applyAlignment="1">
      <alignment horizontal="center"/>
    </xf>
    <xf numFmtId="0" fontId="8" fillId="2" borderId="5" xfId="1" applyFont="1" applyFill="1" applyBorder="1" applyAlignment="1">
      <alignment horizontal="center"/>
    </xf>
    <xf numFmtId="0" fontId="8" fillId="2" borderId="6" xfId="1" applyFont="1" applyFill="1" applyBorder="1" applyAlignment="1">
      <alignment horizontal="center"/>
    </xf>
    <xf numFmtId="0" fontId="8" fillId="2" borderId="0" xfId="1" applyFont="1" applyFill="1" applyBorder="1" applyAlignment="1">
      <alignment horizontal="center"/>
    </xf>
    <xf numFmtId="0" fontId="8" fillId="2" borderId="7" xfId="1" applyFont="1" applyFill="1" applyBorder="1" applyAlignment="1">
      <alignment horizontal="center"/>
    </xf>
    <xf numFmtId="0" fontId="3" fillId="2" borderId="6" xfId="1" applyFont="1" applyFill="1" applyBorder="1" applyAlignment="1">
      <alignment horizontal="center"/>
    </xf>
    <xf numFmtId="0" fontId="3" fillId="2" borderId="0" xfId="1" applyFont="1" applyFill="1" applyBorder="1" applyAlignment="1">
      <alignment horizontal="center"/>
    </xf>
    <xf numFmtId="0" fontId="3" fillId="2" borderId="7" xfId="1" applyFont="1" applyFill="1" applyBorder="1" applyAlignment="1">
      <alignment horizontal="center"/>
    </xf>
    <xf numFmtId="0" fontId="8" fillId="2" borderId="8" xfId="1" applyFont="1" applyFill="1" applyBorder="1" applyAlignment="1">
      <alignment horizontal="center"/>
    </xf>
    <xf numFmtId="0" fontId="8" fillId="2" borderId="9" xfId="1" applyFont="1" applyFill="1" applyBorder="1" applyAlignment="1">
      <alignment horizontal="center"/>
    </xf>
    <xf numFmtId="0" fontId="8" fillId="2" borderId="10" xfId="1" applyFont="1" applyFill="1" applyBorder="1" applyAlignment="1">
      <alignment horizontal="center"/>
    </xf>
    <xf numFmtId="0" fontId="3" fillId="2" borderId="11" xfId="1" applyFont="1" applyFill="1" applyBorder="1" applyAlignment="1" applyProtection="1">
      <alignment horizontal="center"/>
    </xf>
    <xf numFmtId="0" fontId="3" fillId="2" borderId="47" xfId="1" applyFont="1" applyFill="1" applyBorder="1" applyAlignment="1" applyProtection="1">
      <alignment horizontal="center"/>
    </xf>
    <xf numFmtId="0" fontId="3" fillId="2" borderId="12" xfId="1" applyFont="1" applyFill="1" applyBorder="1" applyAlignment="1" applyProtection="1">
      <alignment horizontal="center"/>
    </xf>
    <xf numFmtId="0" fontId="9" fillId="4" borderId="3" xfId="1" applyFont="1" applyFill="1" applyBorder="1" applyAlignment="1" applyProtection="1">
      <alignment vertical="top" wrapText="1"/>
      <protection locked="0"/>
    </xf>
    <xf numFmtId="0" fontId="7" fillId="4" borderId="4" xfId="1" applyFill="1" applyBorder="1" applyAlignment="1" applyProtection="1">
      <alignment vertical="top" wrapText="1"/>
      <protection locked="0"/>
    </xf>
    <xf numFmtId="0" fontId="7" fillId="4" borderId="5" xfId="1" applyFill="1" applyBorder="1" applyAlignment="1" applyProtection="1">
      <alignment vertical="top" wrapText="1"/>
      <protection locked="0"/>
    </xf>
    <xf numFmtId="0" fontId="7" fillId="4" borderId="6" xfId="1" applyFill="1" applyBorder="1" applyAlignment="1" applyProtection="1">
      <alignment vertical="top" wrapText="1"/>
      <protection locked="0"/>
    </xf>
    <xf numFmtId="0" fontId="7" fillId="4" borderId="0" xfId="1" applyFill="1" applyBorder="1" applyAlignment="1" applyProtection="1">
      <alignment vertical="top" wrapText="1"/>
      <protection locked="0"/>
    </xf>
    <xf numFmtId="0" fontId="7" fillId="4" borderId="7" xfId="1" applyFill="1" applyBorder="1" applyAlignment="1" applyProtection="1">
      <alignment vertical="top" wrapText="1"/>
      <protection locked="0"/>
    </xf>
    <xf numFmtId="0" fontId="7" fillId="4" borderId="8" xfId="1" applyFill="1" applyBorder="1" applyAlignment="1" applyProtection="1">
      <alignment vertical="top" wrapText="1"/>
      <protection locked="0"/>
    </xf>
    <xf numFmtId="0" fontId="7" fillId="4" borderId="9" xfId="1" applyFill="1" applyBorder="1" applyAlignment="1" applyProtection="1">
      <alignment vertical="top" wrapText="1"/>
      <protection locked="0"/>
    </xf>
    <xf numFmtId="0" fontId="7" fillId="4" borderId="10" xfId="1" applyFill="1" applyBorder="1" applyAlignment="1" applyProtection="1">
      <alignment vertical="top" wrapText="1"/>
      <protection locked="0"/>
    </xf>
    <xf numFmtId="0" fontId="8" fillId="2" borderId="3" xfId="1" applyFont="1" applyFill="1" applyBorder="1" applyAlignment="1" applyProtection="1">
      <alignment horizontal="center"/>
    </xf>
    <xf numFmtId="0" fontId="8" fillId="2" borderId="4" xfId="1" applyFont="1" applyFill="1" applyBorder="1" applyAlignment="1" applyProtection="1">
      <alignment horizontal="center"/>
    </xf>
    <xf numFmtId="0" fontId="8" fillId="2" borderId="5" xfId="1" applyFont="1" applyFill="1" applyBorder="1" applyAlignment="1" applyProtection="1">
      <alignment horizontal="center"/>
    </xf>
    <xf numFmtId="0" fontId="8" fillId="2" borderId="6" xfId="1" applyFont="1" applyFill="1" applyBorder="1" applyAlignment="1" applyProtection="1">
      <alignment horizontal="center"/>
    </xf>
    <xf numFmtId="0" fontId="8" fillId="2" borderId="0" xfId="1" applyFont="1" applyFill="1" applyBorder="1" applyAlignment="1" applyProtection="1">
      <alignment horizontal="center"/>
    </xf>
    <xf numFmtId="0" fontId="8" fillId="2" borderId="7" xfId="1" applyFont="1" applyFill="1" applyBorder="1" applyAlignment="1" applyProtection="1">
      <alignment horizontal="center"/>
    </xf>
    <xf numFmtId="0" fontId="8" fillId="2" borderId="8" xfId="1" applyFont="1" applyFill="1" applyBorder="1" applyAlignment="1" applyProtection="1">
      <alignment horizontal="center"/>
    </xf>
    <xf numFmtId="0" fontId="8" fillId="2" borderId="9" xfId="1" applyFont="1" applyFill="1" applyBorder="1" applyAlignment="1" applyProtection="1">
      <alignment horizontal="center"/>
    </xf>
    <xf numFmtId="0" fontId="8" fillId="2" borderId="10" xfId="1" applyFont="1" applyFill="1" applyBorder="1" applyAlignment="1" applyProtection="1">
      <alignment horizontal="center"/>
    </xf>
    <xf numFmtId="0" fontId="7" fillId="2" borderId="12" xfId="1" applyFill="1" applyBorder="1" applyAlignment="1" applyProtection="1">
      <alignment horizontal="center"/>
    </xf>
    <xf numFmtId="0" fontId="9" fillId="2" borderId="0" xfId="1" applyFont="1" applyFill="1" applyBorder="1" applyAlignment="1" applyProtection="1">
      <alignment vertical="top" wrapText="1"/>
    </xf>
    <xf numFmtId="0" fontId="7" fillId="2" borderId="0" xfId="1" applyFill="1" applyBorder="1" applyAlignment="1" applyProtection="1">
      <alignment vertical="top" wrapText="1"/>
    </xf>
    <xf numFmtId="0" fontId="8" fillId="2" borderId="3" xfId="8" applyFont="1" applyFill="1" applyBorder="1" applyAlignment="1" applyProtection="1">
      <alignment horizontal="center"/>
    </xf>
    <xf numFmtId="0" fontId="8" fillId="2" borderId="4" xfId="8" applyFont="1" applyFill="1" applyBorder="1" applyAlignment="1" applyProtection="1">
      <alignment horizontal="center"/>
    </xf>
    <xf numFmtId="0" fontId="8" fillId="2" borderId="5" xfId="8" applyFont="1" applyFill="1" applyBorder="1" applyAlignment="1" applyProtection="1">
      <alignment horizontal="center"/>
    </xf>
    <xf numFmtId="0" fontId="8" fillId="2" borderId="6" xfId="8" applyFont="1" applyFill="1" applyBorder="1" applyAlignment="1" applyProtection="1">
      <alignment horizontal="center"/>
    </xf>
    <xf numFmtId="0" fontId="8" fillId="2" borderId="0" xfId="8" applyFont="1" applyFill="1" applyBorder="1" applyAlignment="1" applyProtection="1">
      <alignment horizontal="center"/>
    </xf>
    <xf numFmtId="0" fontId="8" fillId="2" borderId="7" xfId="8" applyFont="1" applyFill="1" applyBorder="1" applyAlignment="1" applyProtection="1">
      <alignment horizontal="center"/>
    </xf>
    <xf numFmtId="0" fontId="8" fillId="2" borderId="8" xfId="8" applyFont="1" applyFill="1" applyBorder="1" applyAlignment="1" applyProtection="1">
      <alignment horizontal="center"/>
    </xf>
    <xf numFmtId="0" fontId="8" fillId="2" borderId="9" xfId="8" applyFont="1" applyFill="1" applyBorder="1" applyAlignment="1" applyProtection="1">
      <alignment horizontal="center"/>
    </xf>
    <xf numFmtId="0" fontId="8" fillId="2" borderId="10" xfId="8" applyFont="1" applyFill="1" applyBorder="1" applyAlignment="1" applyProtection="1">
      <alignment horizontal="center"/>
    </xf>
    <xf numFmtId="0" fontId="8" fillId="2" borderId="0" xfId="8" applyFont="1" applyFill="1" applyAlignment="1" applyProtection="1">
      <alignment horizontal="right"/>
    </xf>
    <xf numFmtId="0" fontId="8" fillId="2" borderId="7" xfId="8" applyFont="1" applyFill="1" applyBorder="1" applyAlignment="1" applyProtection="1">
      <alignment horizontal="right"/>
    </xf>
    <xf numFmtId="0" fontId="3" fillId="2" borderId="11" xfId="8" applyFill="1" applyBorder="1" applyAlignment="1" applyProtection="1">
      <alignment horizontal="center"/>
    </xf>
    <xf numFmtId="0" fontId="3" fillId="2" borderId="12" xfId="8" applyFill="1" applyBorder="1" applyAlignment="1" applyProtection="1">
      <alignment horizontal="center"/>
    </xf>
    <xf numFmtId="0" fontId="9" fillId="4" borderId="3" xfId="8" applyFont="1" applyFill="1" applyBorder="1" applyAlignment="1" applyProtection="1">
      <alignment vertical="top" wrapText="1"/>
      <protection locked="0"/>
    </xf>
    <xf numFmtId="0" fontId="3" fillId="4" borderId="4" xfId="8" applyFill="1" applyBorder="1" applyAlignment="1" applyProtection="1">
      <alignment vertical="top" wrapText="1"/>
      <protection locked="0"/>
    </xf>
    <xf numFmtId="0" fontId="3" fillId="4" borderId="5" xfId="8" applyFill="1" applyBorder="1" applyAlignment="1" applyProtection="1">
      <alignment vertical="top" wrapText="1"/>
      <protection locked="0"/>
    </xf>
    <xf numFmtId="0" fontId="3" fillId="4" borderId="6" xfId="8" applyFill="1" applyBorder="1" applyAlignment="1" applyProtection="1">
      <alignment vertical="top" wrapText="1"/>
      <protection locked="0"/>
    </xf>
    <xf numFmtId="0" fontId="3" fillId="4" borderId="0" xfId="8" applyFill="1" applyBorder="1" applyAlignment="1" applyProtection="1">
      <alignment vertical="top" wrapText="1"/>
      <protection locked="0"/>
    </xf>
    <xf numFmtId="0" fontId="3" fillId="4" borderId="7" xfId="8" applyFill="1" applyBorder="1" applyAlignment="1" applyProtection="1">
      <alignment vertical="top" wrapText="1"/>
      <protection locked="0"/>
    </xf>
    <xf numFmtId="0" fontId="3" fillId="4" borderId="8" xfId="8" applyFill="1" applyBorder="1" applyAlignment="1" applyProtection="1">
      <alignment vertical="top" wrapText="1"/>
      <protection locked="0"/>
    </xf>
    <xf numFmtId="0" fontId="3" fillId="4" borderId="9" xfId="8" applyFill="1" applyBorder="1" applyAlignment="1" applyProtection="1">
      <alignment vertical="top" wrapText="1"/>
      <protection locked="0"/>
    </xf>
    <xf numFmtId="0" fontId="3" fillId="4" borderId="10" xfId="8" applyFill="1" applyBorder="1" applyAlignment="1" applyProtection="1">
      <alignment vertical="top" wrapText="1"/>
      <protection locked="0"/>
    </xf>
    <xf numFmtId="0" fontId="3" fillId="2" borderId="1" xfId="8" applyFill="1" applyBorder="1" applyAlignment="1" applyProtection="1">
      <alignment horizontal="center" vertical="center"/>
    </xf>
    <xf numFmtId="0" fontId="9" fillId="2" borderId="0" xfId="8" applyFont="1" applyFill="1" applyBorder="1" applyAlignment="1" applyProtection="1">
      <alignment horizontal="left" vertical="top" wrapText="1"/>
    </xf>
    <xf numFmtId="0" fontId="3" fillId="2" borderId="1" xfId="8" applyFill="1" applyBorder="1" applyAlignment="1" applyProtection="1">
      <alignment vertical="center" wrapText="1"/>
    </xf>
    <xf numFmtId="0" fontId="3" fillId="2" borderId="15" xfId="8" applyFill="1" applyBorder="1" applyAlignment="1" applyProtection="1">
      <alignment vertical="center" wrapText="1"/>
    </xf>
    <xf numFmtId="0" fontId="3" fillId="2" borderId="17" xfId="8" applyFill="1" applyBorder="1" applyAlignment="1" applyProtection="1">
      <alignment horizontal="center" vertical="center"/>
    </xf>
    <xf numFmtId="0" fontId="9" fillId="0" borderId="3" xfId="8" applyFont="1" applyFill="1" applyBorder="1" applyAlignment="1" applyProtection="1">
      <alignment vertical="top" wrapText="1"/>
    </xf>
    <xf numFmtId="0" fontId="3" fillId="0" borderId="4" xfId="8" applyFill="1" applyBorder="1" applyAlignment="1" applyProtection="1">
      <alignment vertical="top" wrapText="1"/>
    </xf>
    <xf numFmtId="0" fontId="3" fillId="0" borderId="5" xfId="8" applyFill="1" applyBorder="1" applyAlignment="1" applyProtection="1">
      <alignment vertical="top" wrapText="1"/>
    </xf>
    <xf numFmtId="0" fontId="3" fillId="0" borderId="6" xfId="8" applyFill="1" applyBorder="1" applyAlignment="1" applyProtection="1">
      <alignment vertical="top" wrapText="1"/>
    </xf>
    <xf numFmtId="0" fontId="3" fillId="0" borderId="0" xfId="8" applyFill="1" applyBorder="1" applyAlignment="1" applyProtection="1">
      <alignment vertical="top" wrapText="1"/>
    </xf>
    <xf numFmtId="0" fontId="3" fillId="0" borderId="7" xfId="8" applyFill="1" applyBorder="1" applyAlignment="1" applyProtection="1">
      <alignment vertical="top" wrapText="1"/>
    </xf>
    <xf numFmtId="0" fontId="3" fillId="0" borderId="8" xfId="8" applyFill="1" applyBorder="1" applyAlignment="1" applyProtection="1">
      <alignment vertical="top" wrapText="1"/>
    </xf>
    <xf numFmtId="0" fontId="3" fillId="0" borderId="9" xfId="8" applyFill="1" applyBorder="1" applyAlignment="1" applyProtection="1">
      <alignment vertical="top" wrapText="1"/>
    </xf>
    <xf numFmtId="0" fontId="3" fillId="0" borderId="10" xfId="8" applyFill="1" applyBorder="1" applyAlignment="1" applyProtection="1">
      <alignment vertical="top" wrapText="1"/>
    </xf>
    <xf numFmtId="0" fontId="3" fillId="0" borderId="21" xfId="8" applyBorder="1" applyAlignment="1" applyProtection="1">
      <alignment horizontal="center" vertical="center" wrapText="1"/>
    </xf>
    <xf numFmtId="0" fontId="3" fillId="0" borderId="5" xfId="8" applyBorder="1" applyAlignment="1" applyProtection="1">
      <alignment horizontal="center" vertical="center" wrapText="1"/>
    </xf>
    <xf numFmtId="0" fontId="3" fillId="0" borderId="28" xfId="8" applyBorder="1" applyAlignment="1" applyProtection="1">
      <alignment horizontal="center" wrapText="1"/>
    </xf>
    <xf numFmtId="0" fontId="3" fillId="0" borderId="29" xfId="8" applyBorder="1" applyAlignment="1" applyProtection="1">
      <alignment horizontal="center" wrapText="1"/>
    </xf>
    <xf numFmtId="0" fontId="8" fillId="0" borderId="19" xfId="8" applyFont="1" applyBorder="1" applyAlignment="1" applyProtection="1">
      <alignment horizontal="center" vertical="center" wrapText="1"/>
    </xf>
    <xf numFmtId="0" fontId="8" fillId="0" borderId="40" xfId="8" applyFont="1" applyBorder="1" applyAlignment="1" applyProtection="1">
      <alignment horizontal="center" vertical="center" wrapText="1"/>
    </xf>
    <xf numFmtId="0" fontId="9" fillId="0" borderId="0" xfId="8" applyFont="1" applyBorder="1" applyAlignment="1" applyProtection="1">
      <alignment horizontal="left" vertical="center" wrapText="1" indent="1"/>
    </xf>
    <xf numFmtId="0" fontId="8" fillId="0" borderId="42" xfId="8" applyFont="1" applyBorder="1" applyAlignment="1" applyProtection="1">
      <alignment horizontal="center" vertical="center" wrapText="1"/>
    </xf>
    <xf numFmtId="0" fontId="3" fillId="0" borderId="23" xfId="8" applyFont="1" applyBorder="1" applyAlignment="1" applyProtection="1">
      <alignment horizontal="center" vertical="center" wrapText="1"/>
    </xf>
    <xf numFmtId="0" fontId="3" fillId="0" borderId="24" xfId="8" applyFont="1" applyBorder="1" applyAlignment="1" applyProtection="1">
      <alignment horizontal="center" vertical="center" wrapText="1"/>
    </xf>
    <xf numFmtId="0" fontId="22" fillId="0" borderId="34" xfId="2" applyFont="1" applyBorder="1" applyAlignment="1">
      <alignment horizontal="right"/>
    </xf>
    <xf numFmtId="0" fontId="22" fillId="0" borderId="49" xfId="2" applyFont="1" applyBorder="1" applyAlignment="1">
      <alignment horizontal="right"/>
    </xf>
    <xf numFmtId="0" fontId="22" fillId="0" borderId="36" xfId="2" applyFont="1" applyBorder="1" applyAlignment="1">
      <alignment horizontal="right"/>
    </xf>
    <xf numFmtId="0" fontId="33" fillId="0" borderId="3" xfId="8" applyFont="1" applyBorder="1" applyAlignment="1">
      <alignment horizontal="center" vertical="center" wrapText="1"/>
    </xf>
    <xf numFmtId="0" fontId="33" fillId="0" borderId="5" xfId="8" applyFont="1" applyBorder="1" applyAlignment="1">
      <alignment horizontal="center" vertical="center" wrapText="1"/>
    </xf>
    <xf numFmtId="0" fontId="33" fillId="0" borderId="8" xfId="8" applyFont="1" applyBorder="1" applyAlignment="1">
      <alignment horizontal="center" vertical="center" wrapText="1"/>
    </xf>
    <xf numFmtId="0" fontId="33" fillId="0" borderId="10" xfId="8" applyFont="1" applyBorder="1" applyAlignment="1">
      <alignment horizontal="center" vertical="center" wrapText="1"/>
    </xf>
    <xf numFmtId="0" fontId="31" fillId="0" borderId="11" xfId="8" applyFont="1" applyBorder="1" applyAlignment="1">
      <alignment horizontal="center" vertical="center" wrapText="1"/>
    </xf>
    <xf numFmtId="0" fontId="31" fillId="0" borderId="12" xfId="8" applyFont="1" applyBorder="1" applyAlignment="1">
      <alignment horizontal="center" vertical="center" wrapText="1"/>
    </xf>
    <xf numFmtId="0" fontId="3" fillId="0" borderId="6" xfId="8" applyFont="1" applyBorder="1" applyAlignment="1">
      <alignment horizontal="left" vertical="center" wrapText="1" indent="1"/>
    </xf>
    <xf numFmtId="0" fontId="3" fillId="0" borderId="0" xfId="8" applyFont="1" applyBorder="1" applyAlignment="1">
      <alignment horizontal="left" vertical="center" wrapText="1" indent="1"/>
    </xf>
    <xf numFmtId="0" fontId="33" fillId="2" borderId="11" xfId="8" applyFont="1" applyFill="1" applyBorder="1" applyAlignment="1">
      <alignment horizontal="center"/>
    </xf>
    <xf numFmtId="0" fontId="33" fillId="2" borderId="12" xfId="8" applyFont="1" applyFill="1" applyBorder="1" applyAlignment="1">
      <alignment horizontal="center"/>
    </xf>
    <xf numFmtId="166" fontId="33" fillId="2" borderId="11" xfId="8" applyNumberFormat="1" applyFont="1" applyFill="1" applyBorder="1" applyAlignment="1">
      <alignment horizontal="center"/>
    </xf>
    <xf numFmtId="166" fontId="33" fillId="2" borderId="12" xfId="8" applyNumberFormat="1" applyFont="1" applyFill="1" applyBorder="1" applyAlignment="1">
      <alignment horizontal="center"/>
    </xf>
    <xf numFmtId="0" fontId="8" fillId="0" borderId="11" xfId="8" applyFont="1" applyFill="1" applyBorder="1" applyAlignment="1">
      <alignment horizontal="center" vertical="center" wrapText="1"/>
    </xf>
    <xf numFmtId="0" fontId="8" fillId="0" borderId="47" xfId="8" applyFont="1" applyFill="1" applyBorder="1" applyAlignment="1">
      <alignment horizontal="center" vertical="center" wrapText="1"/>
    </xf>
    <xf numFmtId="0" fontId="8" fillId="0" borderId="12" xfId="8" applyFont="1" applyFill="1" applyBorder="1" applyAlignment="1">
      <alignment horizontal="center" vertical="center" wrapText="1"/>
    </xf>
    <xf numFmtId="0" fontId="3" fillId="0" borderId="23" xfId="8" applyFont="1" applyFill="1" applyBorder="1" applyAlignment="1">
      <alignment horizontal="center" vertical="center" wrapText="1"/>
    </xf>
    <xf numFmtId="0" fontId="3" fillId="0" borderId="17" xfId="8" applyFont="1" applyFill="1" applyBorder="1" applyAlignment="1">
      <alignment horizontal="center" vertical="center" wrapText="1"/>
    </xf>
    <xf numFmtId="0" fontId="3" fillId="0" borderId="24" xfId="8" applyFont="1" applyFill="1" applyBorder="1" applyAlignment="1">
      <alignment horizontal="center" vertical="center" wrapText="1"/>
    </xf>
    <xf numFmtId="0" fontId="3" fillId="0" borderId="16" xfId="8" applyFont="1" applyFill="1" applyBorder="1" applyAlignment="1">
      <alignment horizontal="center" vertical="center" wrapText="1"/>
    </xf>
    <xf numFmtId="0" fontId="3" fillId="0" borderId="50" xfId="8" applyFont="1" applyFill="1" applyBorder="1" applyAlignment="1">
      <alignment horizontal="center" vertical="center" wrapText="1"/>
    </xf>
    <xf numFmtId="0" fontId="3" fillId="0" borderId="45" xfId="8" applyFont="1" applyFill="1" applyBorder="1" applyAlignment="1">
      <alignment horizontal="center" vertical="center" wrapText="1"/>
    </xf>
    <xf numFmtId="0" fontId="31" fillId="0" borderId="8" xfId="8" applyFont="1" applyBorder="1" applyAlignment="1">
      <alignment horizontal="center" vertical="center" wrapText="1"/>
    </xf>
    <xf numFmtId="0" fontId="31" fillId="0" borderId="10" xfId="8" applyFont="1" applyBorder="1" applyAlignment="1">
      <alignment horizontal="center" vertical="center" wrapText="1"/>
    </xf>
  </cellXfs>
  <cellStyles count="10">
    <cellStyle name="Normal" xfId="0" builtinId="0"/>
    <cellStyle name="Normal 2" xfId="1"/>
    <cellStyle name="Normal 2 2" xfId="8"/>
    <cellStyle name="Normal 2 3" xfId="6"/>
    <cellStyle name="Normal 3" xfId="2"/>
    <cellStyle name="Normal 3 2" xfId="9"/>
    <cellStyle name="Normal 4" xfId="7"/>
    <cellStyle name="Normal 5" xfId="4"/>
    <cellStyle name="Percent" xfId="3" builtinId="5"/>
    <cellStyle name="Percent 2" xfId="5"/>
  </cellStyles>
  <dxfs count="67">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s>
  <tableStyles count="0" defaultTableStyle="TableStyleMedium9" defaultPivotStyle="PivotStyleLight16"/>
  <colors>
    <mruColors>
      <color rgb="FF3366FF"/>
      <color rgb="FFFFFF99"/>
      <color rgb="FFCCFFFF"/>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Deficit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strRef>
              <c:f>'Carbon Deficit Analyses'!$D$29</c:f>
              <c:strCache>
                <c:ptCount val="1"/>
                <c:pt idx="0">
                  <c:v>Thinnings Only</c:v>
                </c:pt>
              </c:strCache>
            </c:strRef>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Analyses'!$E$29:$N$29</c:f>
              <c:numCache>
                <c:formatCode>General</c:formatCode>
                <c:ptCount val="10"/>
                <c:pt idx="0">
                  <c:v>1</c:v>
                </c:pt>
                <c:pt idx="1">
                  <c:v>1.105</c:v>
                </c:pt>
                <c:pt idx="2">
                  <c:v>0.96500000000000008</c:v>
                </c:pt>
                <c:pt idx="3">
                  <c:v>0.7649999999999999</c:v>
                </c:pt>
                <c:pt idx="4">
                  <c:v>0.65500000000000003</c:v>
                </c:pt>
                <c:pt idx="5">
                  <c:v>0.61499999999999999</c:v>
                </c:pt>
              </c:numCache>
            </c:numRef>
          </c:yVal>
          <c:smooth val="1"/>
        </c:ser>
        <c:ser>
          <c:idx val="1"/>
          <c:order val="1"/>
          <c:tx>
            <c:strRef>
              <c:f>'Carbon Deficit Analyses'!$D$30</c:f>
              <c:strCache>
                <c:ptCount val="1"/>
                <c:pt idx="0">
                  <c:v>Residues Only</c:v>
                </c:pt>
              </c:strCache>
            </c:strRef>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layout/>
              <c:numFmt formatCode="General" sourceLinked="0"/>
            </c:trendlineLbl>
          </c:trendline>
          <c:trendline>
            <c:trendlineType val="power"/>
            <c:dispRSqr val="0"/>
            <c:dispEq val="1"/>
            <c:trendlineLbl>
              <c:layout/>
              <c:numFmt formatCode="General" sourceLinked="0"/>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Analyses'!$E$30:$N$30</c:f>
              <c:numCache>
                <c:formatCode>General</c:formatCode>
                <c:ptCount val="10"/>
                <c:pt idx="0">
                  <c:v>1</c:v>
                </c:pt>
                <c:pt idx="1">
                  <c:v>0.31999999999999995</c:v>
                </c:pt>
                <c:pt idx="2">
                  <c:v>0.13</c:v>
                </c:pt>
                <c:pt idx="3">
                  <c:v>6.9999999999999951E-2</c:v>
                </c:pt>
                <c:pt idx="4">
                  <c:v>4.0000000000000036E-2</c:v>
                </c:pt>
                <c:pt idx="5">
                  <c:v>3.0000000000000027E-2</c:v>
                </c:pt>
              </c:numCache>
            </c:numRef>
          </c:yVal>
          <c:smooth val="1"/>
        </c:ser>
        <c:dLbls>
          <c:showLegendKey val="0"/>
          <c:showVal val="0"/>
          <c:showCatName val="0"/>
          <c:showSerName val="0"/>
          <c:showPercent val="0"/>
          <c:showBubbleSize val="0"/>
        </c:dLbls>
        <c:axId val="106245504"/>
        <c:axId val="106259968"/>
      </c:scatterChart>
      <c:valAx>
        <c:axId val="106245504"/>
        <c:scaling>
          <c:orientation val="minMax"/>
          <c:max val="100"/>
          <c:min val="0"/>
        </c:scaling>
        <c:delete val="0"/>
        <c:axPos val="b"/>
        <c:title>
          <c:tx>
            <c:rich>
              <a:bodyPr/>
              <a:lstStyle/>
              <a:p>
                <a:pPr>
                  <a:defRPr sz="1200"/>
                </a:pPr>
                <a:r>
                  <a:rPr lang="en-US" sz="1200"/>
                  <a:t>Year after Harvest</a:t>
                </a:r>
              </a:p>
            </c:rich>
          </c:tx>
          <c:layout/>
          <c:overlay val="0"/>
        </c:title>
        <c:numFmt formatCode="General" sourceLinked="1"/>
        <c:majorTickMark val="out"/>
        <c:minorTickMark val="none"/>
        <c:tickLblPos val="nextTo"/>
        <c:crossAx val="106259968"/>
        <c:crosses val="autoZero"/>
        <c:crossBetween val="midCat"/>
        <c:majorUnit val="10"/>
      </c:valAx>
      <c:valAx>
        <c:axId val="106259968"/>
        <c:scaling>
          <c:orientation val="minMax"/>
        </c:scaling>
        <c:delete val="0"/>
        <c:axPos val="l"/>
        <c:majorGridlines/>
        <c:title>
          <c:tx>
            <c:rich>
              <a:bodyPr rot="-5400000" vert="horz"/>
              <a:lstStyle/>
              <a:p>
                <a:pPr>
                  <a:defRPr sz="1200"/>
                </a:pPr>
                <a:r>
                  <a:rPr lang="en-US" sz="1200"/>
                  <a:t>Carbon Deficit</a:t>
                </a:r>
              </a:p>
            </c:rich>
          </c:tx>
          <c:layout/>
          <c:overlay val="0"/>
        </c:title>
        <c:numFmt formatCode="General" sourceLinked="1"/>
        <c:majorTickMark val="out"/>
        <c:minorTickMark val="none"/>
        <c:tickLblPos val="nextTo"/>
        <c:crossAx val="106245504"/>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Deficit Functions</a:t>
            </a:r>
            <a:r>
              <a:rPr lang="en-US" sz="1200" baseline="0"/>
              <a:t> </a:t>
            </a:r>
            <a:r>
              <a:rPr lang="en-US" sz="1200"/>
              <a:t>for Biomass</a:t>
            </a:r>
            <a:r>
              <a:rPr lang="en-US" sz="1200" baseline="0"/>
              <a:t> Harvests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strRef>
              <c:f>'Carbon Deficit Analyses'!$F$49:$F$50</c:f>
              <c:strCache>
                <c:ptCount val="1"/>
                <c:pt idx="0">
                  <c:v>Forest Thinnings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Analyses'!$F$51:$F$130</c:f>
              <c:numCache>
                <c:formatCode>0.000</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Cache>
            </c:numRef>
          </c:yVal>
          <c:smooth val="0"/>
        </c:ser>
        <c:ser>
          <c:idx val="0"/>
          <c:order val="1"/>
          <c:tx>
            <c:strRef>
              <c:f>'Carbon Deficit Analyses'!$E$49:$E$50</c:f>
              <c:strCache>
                <c:ptCount val="1"/>
                <c:pt idx="0">
                  <c:v>Forest Residues</c:v>
                </c:pt>
              </c:strCache>
            </c:strRef>
          </c:tx>
          <c:marker>
            <c:symbol val="none"/>
          </c:marker>
          <c:xVal>
            <c:numRef>
              <c:f>('Carbon Deficit Analyses'!$D$51,'Carbon Deficit Analyses'!$D$60,'Carbon Deficit Analyses'!$D$70,'Carbon Deficit Analyses'!$D$80,'Carbon Deficit Analyses'!$D$90,'Carbon Deficit Analyses'!$D$100:$D$130)</c:f>
              <c:numCache>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Cache>
            </c:numRef>
          </c:xVal>
          <c:yVal>
            <c:numRef>
              <c:f>('Carbon Deficit Analyses'!$E$51,'Carbon Deficit Analyses'!$E$60,'Carbon Deficit Analyses'!$E$70,'Carbon Deficit Analyses'!$E$80,'Carbon Deficit Analyses'!$E$90,'Carbon Deficit Analyses'!$E$100:$E$130)</c:f>
              <c:numCache>
                <c:formatCode>0.000</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Cache>
            </c:numRef>
          </c:yVal>
          <c:smooth val="1"/>
        </c:ser>
        <c:ser>
          <c:idx val="2"/>
          <c:order val="2"/>
          <c:tx>
            <c:strRef>
              <c:f>'Carbon Deficit Analyses'!$G$49:$G$50</c:f>
              <c:strCache>
                <c:ptCount val="1"/>
                <c:pt idx="0">
                  <c:v>Non-Forest Residues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Analyses'!$G$51:$G$130</c:f>
              <c:numCache>
                <c:formatCode>0.0000</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Cache>
            </c:numRef>
          </c:yVal>
          <c:smooth val="0"/>
        </c:ser>
        <c:ser>
          <c:idx val="3"/>
          <c:order val="3"/>
          <c:tx>
            <c:strRef>
              <c:f>'Carbon Deficit Analyses'!$I$49:$I$50</c:f>
              <c:strCache>
                <c:ptCount val="1"/>
                <c:pt idx="0">
                  <c:v>Residues (Consolidated)</c:v>
                </c:pt>
              </c:strCache>
            </c:strRef>
          </c:tx>
          <c:spPr>
            <a:ln>
              <a:solidFill>
                <a:schemeClr val="tx1"/>
              </a:solidFill>
              <a:prstDash val="dash"/>
            </a:ln>
          </c:spPr>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Analyses'!$I$51:$I$130</c:f>
              <c:numCache>
                <c:formatCode>0.0000</c:formatCode>
                <c:ptCount val="80"/>
                <c:pt idx="0">
                  <c:v>0.93893091066170631</c:v>
                </c:pt>
                <c:pt idx="1">
                  <c:v>0.82775327988481073</c:v>
                </c:pt>
                <c:pt idx="2">
                  <c:v>0.72974005284072307</c:v>
                </c:pt>
                <c:pt idx="3">
                  <c:v>0.64333244900471587</c:v>
                </c:pt>
                <c:pt idx="4">
                  <c:v>0.56715626109773132</c:v>
                </c:pt>
                <c:pt idx="5">
                  <c:v>0.49999999999999994</c:v>
                </c:pt>
                <c:pt idx="6">
                  <c:v>0.4407956274980106</c:v>
                </c:pt>
                <c:pt idx="7">
                  <c:v>0.3886015704427298</c:v>
                </c:pt>
                <c:pt idx="8">
                  <c:v>0.34258774618003091</c:v>
                </c:pt>
                <c:pt idx="9">
                  <c:v>0.3020223611011118</c:v>
                </c:pt>
                <c:pt idx="10">
                  <c:v>0.26626027235999067</c:v>
                </c:pt>
                <c:pt idx="11">
                  <c:v>0.23473272766542655</c:v>
                </c:pt>
                <c:pt idx="12">
                  <c:v>0.20693831997120268</c:v>
                </c:pt>
                <c:pt idx="13">
                  <c:v>0.18243501321018074</c:v>
                </c:pt>
                <c:pt idx="14">
                  <c:v>0.16083311225117897</c:v>
                </c:pt>
                <c:pt idx="15">
                  <c:v>0.1417890652744328</c:v>
                </c:pt>
                <c:pt idx="16">
                  <c:v>0.12499999999999997</c:v>
                </c:pt>
                <c:pt idx="17">
                  <c:v>0.11019890687450264</c:v>
                </c:pt>
                <c:pt idx="18">
                  <c:v>9.7150392610682451E-2</c:v>
                </c:pt>
                <c:pt idx="19">
                  <c:v>8.564693654500774E-2</c:v>
                </c:pt>
                <c:pt idx="20">
                  <c:v>7.5505590275277937E-2</c:v>
                </c:pt>
                <c:pt idx="21">
                  <c:v>6.6565068089997653E-2</c:v>
                </c:pt>
                <c:pt idx="22">
                  <c:v>5.8683181916356644E-2</c:v>
                </c:pt>
                <c:pt idx="23">
                  <c:v>5.1734579992800671E-2</c:v>
                </c:pt>
                <c:pt idx="24">
                  <c:v>4.5608753302545178E-2</c:v>
                </c:pt>
                <c:pt idx="25">
                  <c:v>4.0208278062794735E-2</c:v>
                </c:pt>
                <c:pt idx="26">
                  <c:v>3.54472663186082E-2</c:v>
                </c:pt>
                <c:pt idx="27">
                  <c:v>3.125E-2</c:v>
                </c:pt>
                <c:pt idx="28">
                  <c:v>2.7549726718625652E-2</c:v>
                </c:pt>
                <c:pt idx="29">
                  <c:v>2.4287598152670609E-2</c:v>
                </c:pt>
                <c:pt idx="30">
                  <c:v>2.1411734136251932E-2</c:v>
                </c:pt>
                <c:pt idx="31">
                  <c:v>1.8876397568819488E-2</c:v>
                </c:pt>
                <c:pt idx="32">
                  <c:v>1.664126702249941E-2</c:v>
                </c:pt>
                <c:pt idx="33">
                  <c:v>1.4670795479089165E-2</c:v>
                </c:pt>
                <c:pt idx="34">
                  <c:v>1.2933644998200166E-2</c:v>
                </c:pt>
                <c:pt idx="35">
                  <c:v>1.1402188325636293E-2</c:v>
                </c:pt>
                <c:pt idx="36">
                  <c:v>1.0052069515698687E-2</c:v>
                </c:pt>
                <c:pt idx="37">
                  <c:v>8.8618165796520484E-3</c:v>
                </c:pt>
                <c:pt idx="38">
                  <c:v>7.8124999999999948E-3</c:v>
                </c:pt>
                <c:pt idx="39">
                  <c:v>6.8874316796564148E-3</c:v>
                </c:pt>
                <c:pt idx="40">
                  <c:v>6.0718995381676515E-3</c:v>
                </c:pt>
                <c:pt idx="41">
                  <c:v>5.3529335340629838E-3</c:v>
                </c:pt>
                <c:pt idx="42">
                  <c:v>4.719099392204871E-3</c:v>
                </c:pt>
                <c:pt idx="43">
                  <c:v>4.1603167556248516E-3</c:v>
                </c:pt>
                <c:pt idx="44">
                  <c:v>3.6676988697722907E-3</c:v>
                </c:pt>
                <c:pt idx="45">
                  <c:v>3.2334112495500411E-3</c:v>
                </c:pt>
                <c:pt idx="46">
                  <c:v>2.8505470814090728E-3</c:v>
                </c:pt>
                <c:pt idx="47">
                  <c:v>2.5130173789246714E-3</c:v>
                </c:pt>
                <c:pt idx="48">
                  <c:v>2.2154541449130117E-3</c:v>
                </c:pt>
                <c:pt idx="49">
                  <c:v>1.953125E-3</c:v>
                </c:pt>
                <c:pt idx="50">
                  <c:v>1.7218579199141035E-3</c:v>
                </c:pt>
                <c:pt idx="51">
                  <c:v>1.5179748845419124E-3</c:v>
                </c:pt>
                <c:pt idx="52">
                  <c:v>1.3382333835157457E-3</c:v>
                </c:pt>
                <c:pt idx="53">
                  <c:v>1.1797748480512175E-3</c:v>
                </c:pt>
                <c:pt idx="54">
                  <c:v>1.0400791889062129E-3</c:v>
                </c:pt>
                <c:pt idx="55">
                  <c:v>9.1692471744307246E-4</c:v>
                </c:pt>
                <c:pt idx="56">
                  <c:v>8.0835281238751005E-4</c:v>
                </c:pt>
                <c:pt idx="57">
                  <c:v>7.1263677035226874E-4</c:v>
                </c:pt>
                <c:pt idx="58">
                  <c:v>6.2825434473116773E-4</c:v>
                </c:pt>
                <c:pt idx="59">
                  <c:v>5.5386353622825291E-4</c:v>
                </c:pt>
                <c:pt idx="60">
                  <c:v>4.8828124999999995E-4</c:v>
                </c:pt>
                <c:pt idx="61">
                  <c:v>4.3046447997852581E-4</c:v>
                </c:pt>
                <c:pt idx="62">
                  <c:v>3.7949372113547805E-4</c:v>
                </c:pt>
                <c:pt idx="63">
                  <c:v>3.3455834587893638E-4</c:v>
                </c:pt>
                <c:pt idx="64">
                  <c:v>2.9494371201280433E-4</c:v>
                </c:pt>
                <c:pt idx="65">
                  <c:v>2.6001979722655317E-4</c:v>
                </c:pt>
                <c:pt idx="66">
                  <c:v>2.2923117936076787E-4</c:v>
                </c:pt>
                <c:pt idx="67">
                  <c:v>2.0208820309687767E-4</c:v>
                </c:pt>
                <c:pt idx="68">
                  <c:v>1.7815919258806713E-4</c:v>
                </c:pt>
                <c:pt idx="69">
                  <c:v>1.5706358618279191E-4</c:v>
                </c:pt>
                <c:pt idx="70">
                  <c:v>1.384658840570632E-4</c:v>
                </c:pt>
                <c:pt idx="71">
                  <c:v>1.2207031249999986E-4</c:v>
                </c:pt>
                <c:pt idx="72">
                  <c:v>1.0761611999463152E-4</c:v>
                </c:pt>
                <c:pt idx="73">
                  <c:v>9.4873430283869581E-5</c:v>
                </c:pt>
                <c:pt idx="74">
                  <c:v>8.3639586469734081E-5</c:v>
                </c:pt>
                <c:pt idx="75">
                  <c:v>7.3735928003201083E-5</c:v>
                </c:pt>
                <c:pt idx="76">
                  <c:v>6.5004949306638279E-5</c:v>
                </c:pt>
                <c:pt idx="77">
                  <c:v>5.7307794840192063E-5</c:v>
                </c:pt>
                <c:pt idx="78">
                  <c:v>5.0522050774219405E-5</c:v>
                </c:pt>
                <c:pt idx="79">
                  <c:v>4.4539798147016776E-5</c:v>
                </c:pt>
              </c:numCache>
            </c:numRef>
          </c:yVal>
          <c:smooth val="0"/>
        </c:ser>
        <c:dLbls>
          <c:showLegendKey val="0"/>
          <c:showVal val="0"/>
          <c:showCatName val="0"/>
          <c:showSerName val="0"/>
          <c:showPercent val="0"/>
          <c:showBubbleSize val="0"/>
        </c:dLbls>
        <c:axId val="108022784"/>
        <c:axId val="108037248"/>
      </c:scatterChart>
      <c:valAx>
        <c:axId val="108022784"/>
        <c:scaling>
          <c:orientation val="minMax"/>
        </c:scaling>
        <c:delete val="0"/>
        <c:axPos val="b"/>
        <c:title>
          <c:tx>
            <c:rich>
              <a:bodyPr/>
              <a:lstStyle/>
              <a:p>
                <a:pPr>
                  <a:defRPr/>
                </a:pPr>
                <a:r>
                  <a:rPr lang="en-US"/>
                  <a:t>Year after</a:t>
                </a:r>
                <a:r>
                  <a:rPr lang="en-US" baseline="0"/>
                  <a:t> Harvest</a:t>
                </a:r>
                <a:endParaRPr lang="en-US"/>
              </a:p>
            </c:rich>
          </c:tx>
          <c:layout>
            <c:manualLayout>
              <c:xMode val="edge"/>
              <c:yMode val="edge"/>
              <c:x val="0.42938648293963927"/>
              <c:y val="0.90182852143482062"/>
            </c:manualLayout>
          </c:layout>
          <c:overlay val="0"/>
        </c:title>
        <c:numFmt formatCode="General" sourceLinked="1"/>
        <c:majorTickMark val="none"/>
        <c:minorTickMark val="none"/>
        <c:tickLblPos val="nextTo"/>
        <c:crossAx val="108037248"/>
        <c:crosses val="autoZero"/>
        <c:crossBetween val="midCat"/>
      </c:valAx>
      <c:valAx>
        <c:axId val="108037248"/>
        <c:scaling>
          <c:orientation val="minMax"/>
          <c:max val="1.2"/>
          <c:min val="0"/>
        </c:scaling>
        <c:delete val="0"/>
        <c:axPos val="l"/>
        <c:majorGridlines/>
        <c:title>
          <c:tx>
            <c:rich>
              <a:bodyPr/>
              <a:lstStyle/>
              <a:p>
                <a:pPr>
                  <a:defRPr/>
                </a:pPr>
                <a:r>
                  <a:rPr lang="en-US"/>
                  <a:t>Net Forest Carbon Deficit</a:t>
                </a:r>
              </a:p>
            </c:rich>
          </c:tx>
          <c:overlay val="0"/>
        </c:title>
        <c:numFmt formatCode="0.0" sourceLinked="0"/>
        <c:majorTickMark val="none"/>
        <c:minorTickMark val="none"/>
        <c:tickLblPos val="nextTo"/>
        <c:spPr>
          <a:ln w="6350"/>
        </c:spPr>
        <c:crossAx val="108022784"/>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171450</xdr:rowOff>
    </xdr:from>
    <xdr:to>
      <xdr:col>14</xdr:col>
      <xdr:colOff>0</xdr:colOff>
      <xdr:row>35</xdr:row>
      <xdr:rowOff>142875</xdr:rowOff>
    </xdr:to>
    <xdr:sp macro="" textlink="">
      <xdr:nvSpPr>
        <xdr:cNvPr id="2" name="TextBox 1"/>
        <xdr:cNvSpPr txBox="1"/>
      </xdr:nvSpPr>
      <xdr:spPr>
        <a:xfrm>
          <a:off x="190500" y="171450"/>
          <a:ext cx="7696200" cy="663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ctr"/>
          <a:r>
            <a:rPr lang="en-US" sz="1100" b="1"/>
            <a:t>Commonwealth of Massachusetts</a:t>
          </a:r>
        </a:p>
        <a:p>
          <a:pPr algn="ctr"/>
          <a:r>
            <a:rPr lang="en-US" sz="1100" b="1"/>
            <a:t>Executive Office of Energy and Environmental Affairs</a:t>
          </a:r>
          <a:endParaRPr lang="en-US"/>
        </a:p>
        <a:p>
          <a:pPr algn="ctr"/>
          <a:r>
            <a:rPr lang="en-US" sz="1100" b="1"/>
            <a:t>DEPARTMENT</a:t>
          </a:r>
          <a:r>
            <a:rPr lang="en-US" sz="1100" b="1" baseline="0"/>
            <a:t> OF ENERGY RESOURCES (DOER)</a:t>
          </a:r>
          <a:endParaRPr lang="en-US"/>
        </a:p>
        <a:p>
          <a:pPr algn="ctr"/>
          <a:r>
            <a:rPr lang="en-US" sz="1100" b="1"/>
            <a:t>Renewable Energy Portfolio Standard - 225 CMR 14.00</a:t>
          </a:r>
          <a:endParaRPr lang="en-US"/>
        </a:p>
        <a:p>
          <a:pPr algn="ctr"/>
          <a:r>
            <a:rPr lang="en-US" sz="1100" b="1"/>
            <a:t> </a:t>
          </a:r>
          <a:endParaRPr lang="en-US"/>
        </a:p>
        <a:p>
          <a:pPr algn="ctr"/>
          <a:r>
            <a:rPr lang="en-US" sz="1100" b="1"/>
            <a:t>Guideline</a:t>
          </a:r>
          <a:r>
            <a:rPr lang="en-US" sz="1100" b="1" baseline="0"/>
            <a:t> on Biomass Fuel Report</a:t>
          </a:r>
          <a:endParaRPr lang="en-US"/>
        </a:p>
        <a:p>
          <a:pPr algn="ct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cap="small">
              <a:solidFill>
                <a:schemeClr val="dk1"/>
              </a:solidFill>
              <a:latin typeface="+mn-lt"/>
              <a:ea typeface="+mn-ea"/>
              <a:cs typeface="+mn-cs"/>
            </a:rPr>
            <a:t>overview and instructions</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a:solidFill>
                <a:schemeClr val="dk1"/>
              </a:solidFill>
              <a:effectLst/>
              <a:latin typeface="+mn-lt"/>
              <a:ea typeface="+mn-ea"/>
              <a:cs typeface="+mn-cs"/>
            </a:rPr>
            <a:t>For any Generation Unit utilizing Eligible Biomass Woody Fuel</a:t>
          </a:r>
          <a:r>
            <a:rPr lang="en-US" sz="1100" baseline="0">
              <a:solidFill>
                <a:schemeClr val="dk1"/>
              </a:solidFill>
              <a:effectLst/>
              <a:latin typeface="+mn-lt"/>
              <a:ea typeface="+mn-ea"/>
              <a:cs typeface="+mn-cs"/>
            </a:rPr>
            <a:t> o</a:t>
          </a:r>
          <a:r>
            <a:rPr lang="en-US" sz="1100">
              <a:solidFill>
                <a:schemeClr val="dk1"/>
              </a:solidFill>
              <a:effectLst/>
              <a:latin typeface="+mn-lt"/>
              <a:ea typeface="+mn-ea"/>
              <a:cs typeface="+mn-cs"/>
            </a:rPr>
            <a:t>r Manufactured Biomass Fuel a Biomass Fuel Report must be completed, signed, and submitted to the Department of Energy Resources no later than thirty (30) days after the end of each</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quarter. Each Report specifies the fuel supply for the normal operation of the Unit during a calendar quarter. For this purpose and to be consistent with the Biomass Registry, the Report is to be based on fuel </a:t>
          </a:r>
          <a:r>
            <a:rPr lang="en-US" sz="1100" i="1">
              <a:solidFill>
                <a:schemeClr val="dk1"/>
              </a:solidFill>
              <a:effectLst/>
              <a:latin typeface="+mn-lt"/>
              <a:ea typeface="+mn-ea"/>
              <a:cs typeface="+mn-cs"/>
            </a:rPr>
            <a:t>delivered</a:t>
          </a:r>
          <a:r>
            <a:rPr lang="en-US" sz="1100">
              <a:solidFill>
                <a:schemeClr val="dk1"/>
              </a:solidFill>
              <a:effectLst/>
              <a:latin typeface="+mn-lt"/>
              <a:ea typeface="+mn-ea"/>
              <a:cs typeface="+mn-cs"/>
            </a:rPr>
            <a:t> to the Unit during the calendar quarter.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Generation Unit reporting to the NEPOOL Generation Information System (NEPOOL GIS) shall continue unchanged.  Upon receipt and review of the Biomass Fuel Report, the Department will report to the NEPOOL GIS the percentage of the wood-fueled electrical energy output of the Unit that is qualified as Massachusetts RPS Class I Renewable Generation during the quarter.  The NEPOOL GIS will multiply the MWh of metered/reported generation attributable to wood (and, if applicable, in excess of the Unit’s Historic Generation Rate) by this percentage to mint the appropriate quantity of Massachusetts Class I Renewable Energy Certificates (RECs) for the quarter.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As a result of this procedure, the MWh of Class I RECs each quarter would be calculated thus: </a:t>
          </a:r>
          <a:endParaRPr lang="en-US">
            <a:effectLst/>
          </a:endParaRPr>
        </a:p>
        <a:p>
          <a:r>
            <a:rPr lang="en-US" sz="1100">
              <a:solidFill>
                <a:schemeClr val="dk1"/>
              </a:solidFill>
              <a:effectLst/>
              <a:latin typeface="+mn-lt"/>
              <a:ea typeface="+mn-ea"/>
              <a:cs typeface="+mn-cs"/>
            </a:rPr>
            <a:t>MWh of reported biomass/wood-attributed generation * [A + B] / C, where</a:t>
          </a:r>
          <a:endParaRPr lang="en-US">
            <a:effectLst/>
          </a:endParaRPr>
        </a:p>
        <a:p>
          <a:r>
            <a:rPr lang="en-US" sz="1100">
              <a:solidFill>
                <a:schemeClr val="dk1"/>
              </a:solidFill>
              <a:effectLst/>
              <a:latin typeface="+mn-lt"/>
              <a:ea typeface="+mn-ea"/>
              <a:cs typeface="+mn-cs"/>
            </a:rPr>
            <a:t>A = Total tons of biomass delivered to the Unit that were Eligible Residues</a:t>
          </a:r>
          <a:endParaRPr lang="en-US">
            <a:effectLst/>
          </a:endParaRPr>
        </a:p>
        <a:p>
          <a:r>
            <a:rPr lang="en-US" sz="1100">
              <a:solidFill>
                <a:schemeClr val="dk1"/>
              </a:solidFill>
              <a:effectLst/>
              <a:latin typeface="+mn-lt"/>
              <a:ea typeface="+mn-ea"/>
              <a:cs typeface="+mn-cs"/>
            </a:rPr>
            <a:t>B = Total tons of biomass delivered to the Unit that were Eligible Thinnings</a:t>
          </a:r>
          <a:endParaRPr lang="en-US">
            <a:effectLst/>
          </a:endParaRPr>
        </a:p>
        <a:p>
          <a:r>
            <a:rPr lang="en-US" sz="1100">
              <a:solidFill>
                <a:schemeClr val="dk1"/>
              </a:solidFill>
              <a:effectLst/>
              <a:latin typeface="+mn-lt"/>
              <a:ea typeface="+mn-ea"/>
              <a:cs typeface="+mn-cs"/>
            </a:rPr>
            <a:t>C = Total tons of biomass delivered to the Unit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Biomass Fuel Report must be signed by either (a) the Authorized Representative of the Owner or Operator of the Generation Unit (the person who signed the original Statement of Qualification Application or his/her successor in office) or (b) a person to whom responsibility for fuel reporting has been delegated by the Authorized Representative.  If delegated, then the Report must be accompanied by a statement of delegation signed by the Authorized Representative.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completed, signed Biomass Fuel Report must be sent electronically to </a:t>
          </a:r>
          <a:r>
            <a:rPr lang="en-US" sz="1100" u="sng">
              <a:solidFill>
                <a:schemeClr val="dk1"/>
              </a:solidFill>
              <a:effectLst/>
              <a:latin typeface="+mn-lt"/>
              <a:ea typeface="+mn-ea"/>
              <a:cs typeface="+mn-cs"/>
              <a:hlinkClick xmlns:r="http://schemas.openxmlformats.org/officeDocument/2006/relationships" r:id=""/>
            </a:rPr>
            <a:t>DOER.RPS@mass.gov</a:t>
          </a:r>
          <a:r>
            <a:rPr lang="en-US" sz="1100">
              <a:solidFill>
                <a:schemeClr val="dk1"/>
              </a:solidFill>
              <a:effectLst/>
              <a:latin typeface="+mn-lt"/>
              <a:ea typeface="+mn-ea"/>
              <a:cs typeface="+mn-cs"/>
            </a:rPr>
            <a:t>.  Include in the Subject line:  </a:t>
          </a:r>
          <a:r>
            <a:rPr lang="en-US" sz="1100" u="sng">
              <a:solidFill>
                <a:schemeClr val="dk1"/>
              </a:solidFill>
              <a:effectLst/>
              <a:latin typeface="+mn-lt"/>
              <a:ea typeface="+mn-ea"/>
              <a:cs typeface="+mn-cs"/>
            </a:rPr>
            <a:t>RPS Quarterly Biomass Fuel Report - [</a:t>
          </a:r>
          <a:r>
            <a:rPr lang="en-US" sz="1100" i="1" u="sng">
              <a:solidFill>
                <a:schemeClr val="dk1"/>
              </a:solidFill>
              <a:effectLst/>
              <a:latin typeface="+mn-lt"/>
              <a:ea typeface="+mn-ea"/>
              <a:cs typeface="+mn-cs"/>
            </a:rPr>
            <a:t>Generation Unit Name</a:t>
          </a:r>
          <a:r>
            <a:rPr lang="en-US" sz="1100" u="sng">
              <a:solidFill>
                <a:schemeClr val="dk1"/>
              </a:solidFill>
              <a:effectLst/>
              <a:latin typeface="+mn-lt"/>
              <a:ea typeface="+mn-ea"/>
              <a:cs typeface="+mn-cs"/>
            </a:rPr>
            <a:t>]</a:t>
          </a:r>
          <a:r>
            <a:rPr lang="en-US" sz="1100">
              <a:solidFill>
                <a:schemeClr val="dk1"/>
              </a:solidFill>
              <a:effectLst/>
              <a:latin typeface="+mn-lt"/>
              <a:ea typeface="+mn-ea"/>
              <a:cs typeface="+mn-cs"/>
            </a:rPr>
            <a:t>.</a:t>
          </a:r>
          <a:endParaRPr lang="en-US" sz="1100">
            <a:solidFill>
              <a:schemeClr val="dk1"/>
            </a:solidFill>
            <a:latin typeface="+mn-lt"/>
            <a:ea typeface="+mn-ea"/>
            <a:cs typeface="+mn-cs"/>
          </a:endParaRPr>
        </a:p>
        <a:p>
          <a:pPr lvl="1"/>
          <a:r>
            <a:rPr lang="en-US" sz="1100">
              <a:solidFill>
                <a:schemeClr val="dk1"/>
              </a:solidFill>
              <a:latin typeface="+mn-lt"/>
              <a:ea typeface="+mn-ea"/>
              <a:cs typeface="+mn-cs"/>
            </a:rPr>
            <a:t> </a:t>
          </a:r>
        </a:p>
        <a:p>
          <a:endParaRPr lang="en-US" sz="1100"/>
        </a:p>
        <a:p>
          <a:endParaRPr lang="en-US" sz="1100"/>
        </a:p>
        <a:p>
          <a:endParaRPr lang="en-US" sz="1100"/>
        </a:p>
        <a:p>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11204</xdr:colOff>
      <xdr:row>19</xdr:row>
      <xdr:rowOff>44823</xdr:rowOff>
    </xdr:from>
    <xdr:to>
      <xdr:col>2</xdr:col>
      <xdr:colOff>3686734</xdr:colOff>
      <xdr:row>33</xdr:row>
      <xdr:rowOff>56029</xdr:rowOff>
    </xdr:to>
    <xdr:sp macro="" textlink="">
      <xdr:nvSpPr>
        <xdr:cNvPr id="2" name="TextBox 1"/>
        <xdr:cNvSpPr txBox="1"/>
      </xdr:nvSpPr>
      <xdr:spPr>
        <a:xfrm>
          <a:off x="145675" y="4056529"/>
          <a:ext cx="7395883" cy="267820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Certification</a:t>
          </a:r>
        </a:p>
        <a:p>
          <a:r>
            <a:rPr lang="en-US" sz="1100" b="0" i="1" cap="small">
              <a:solidFill>
                <a:schemeClr val="dk1"/>
              </a:solidFill>
              <a:effectLst/>
              <a:latin typeface="+mn-lt"/>
              <a:ea typeface="+mn-ea"/>
              <a:cs typeface="+mn-cs"/>
            </a:rPr>
            <a:t>To be</a:t>
          </a:r>
          <a:r>
            <a:rPr lang="en-US" sz="1100" b="0" i="1" cap="small" baseline="0">
              <a:solidFill>
                <a:schemeClr val="dk1"/>
              </a:solidFill>
              <a:effectLst/>
              <a:latin typeface="+mn-lt"/>
              <a:ea typeface="+mn-ea"/>
              <a:cs typeface="+mn-cs"/>
            </a:rPr>
            <a:t> completed for each quarter a Biomass Fuel Report is submitted to the Department </a:t>
          </a:r>
          <a:endParaRPr lang="en-US" b="0" i="1">
            <a:effectLst/>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certify that I have, or have been granted, authority to submit this application on behalf of the biofuel</a:t>
          </a:r>
          <a:r>
            <a:rPr lang="en-US" sz="1100" baseline="0">
              <a:solidFill>
                <a:schemeClr val="dk1"/>
              </a:solidFill>
              <a:effectLst/>
              <a:latin typeface="+mn-lt"/>
              <a:ea typeface="+mn-ea"/>
              <a:cs typeface="+mn-cs"/>
            </a:rPr>
            <a:t> supplier above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Furthermore, I hereby certify, under pains and penalties of perjury that I have personally examined and am familiar with the information submitted herein, and based upon my inquiry of those individuals immediately responsible for obtaining information; I believe the information is true, accurate, and complete. I am aware that there are significant penalties, both civil and criminal, for submitting false information, including possible fines. My certification below certifies all information submitted in this application, including all required attachments. </a:t>
          </a:r>
        </a:p>
        <a:p>
          <a:r>
            <a:rPr lang="en-US" sz="1100">
              <a:solidFill>
                <a:schemeClr val="dk1"/>
              </a:solidFill>
              <a:effectLst/>
              <a:latin typeface="+mn-lt"/>
              <a:ea typeface="+mn-ea"/>
              <a:cs typeface="+mn-cs"/>
            </a:rPr>
            <a:t> </a:t>
          </a:r>
        </a:p>
        <a:p>
          <a:endParaRPr lang="en-US"/>
        </a:p>
        <a:p>
          <a:r>
            <a:rPr lang="en-US"/>
            <a:t> </a:t>
          </a:r>
          <a:r>
            <a:rPr lang="en-US" sz="1100">
              <a:solidFill>
                <a:schemeClr val="dk1"/>
              </a:solidFill>
              <a:effectLst/>
              <a:latin typeface="+mn-lt"/>
              <a:ea typeface="+mn-ea"/>
              <a:cs typeface="+mn-cs"/>
            </a:rPr>
            <a:t>Signature: </a:t>
          </a:r>
          <a:r>
            <a:rPr lang="en-US" sz="1100" u="sng">
              <a:solidFill>
                <a:schemeClr val="dk1"/>
              </a:solidFill>
              <a:effectLst/>
              <a:latin typeface="+mn-lt"/>
              <a:ea typeface="+mn-ea"/>
              <a:cs typeface="+mn-cs"/>
            </a:rPr>
            <a:t>				</a:t>
          </a:r>
          <a:r>
            <a:rPr lang="en-US" sz="1100" u="none">
              <a:solidFill>
                <a:schemeClr val="dk1"/>
              </a:solidFill>
              <a:effectLst/>
              <a:latin typeface="+mn-lt"/>
              <a:ea typeface="+mn-ea"/>
              <a:cs typeface="+mn-cs"/>
            </a:rPr>
            <a:t>	</a:t>
          </a:r>
          <a:r>
            <a:rPr lang="en-US" sz="1100">
              <a:solidFill>
                <a:schemeClr val="dk1"/>
              </a:solidFill>
              <a:effectLst/>
              <a:latin typeface="+mn-lt"/>
              <a:ea typeface="+mn-ea"/>
              <a:cs typeface="+mn-cs"/>
            </a:rPr>
            <a:t>Date:</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334736</xdr:colOff>
      <xdr:row>26</xdr:row>
      <xdr:rowOff>164650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50</xdr:row>
      <xdr:rowOff>54429</xdr:rowOff>
    </xdr:from>
    <xdr:to>
      <xdr:col>19</xdr:col>
      <xdr:colOff>598715</xdr:colOff>
      <xdr:row>75</xdr:row>
      <xdr:rowOff>95251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39997558519241921"/>
  </sheetPr>
  <dimension ref="A1"/>
  <sheetViews>
    <sheetView tabSelected="1" workbookViewId="0">
      <selection activeCell="O11" sqref="O11"/>
    </sheetView>
  </sheetViews>
  <sheetFormatPr defaultColWidth="8.85546875" defaultRowHeight="15" x14ac:dyDescent="0.25"/>
  <cols>
    <col min="1" max="1" width="3.140625" style="1" customWidth="1"/>
    <col min="2" max="16384" width="8.85546875" style="1"/>
  </cols>
  <sheetData/>
  <sheetProtection password="C24F" sheet="1" objects="1" scenarios="1" selectLockedCells="1" selectUnlockedCells="1"/>
  <customSheetViews>
    <customSheetView guid="{69FA38BC-F160-4CAA-BF85-C52CE8C53F2C}" showGridLines="0" showRowCol="0" topLeftCell="A79">
      <selection activeCell="P10" sqref="P10"/>
      <pageMargins left="0.7" right="0.7" top="0.75" bottom="0.75" header="0.3" footer="0.3"/>
      <pageSetup scale="70" orientation="portrait" verticalDpi="0" r:id="rId1"/>
    </customSheetView>
  </customSheetViews>
  <pageMargins left="0.7" right="0.7" top="0.75" bottom="0.75" header="0.3" footer="0.3"/>
  <pageSetup scale="7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99"/>
    <pageSetUpPr fitToPage="1"/>
  </sheetPr>
  <dimension ref="B1:O44"/>
  <sheetViews>
    <sheetView workbookViewId="0"/>
  </sheetViews>
  <sheetFormatPr defaultRowHeight="12.75" x14ac:dyDescent="0.2"/>
  <cols>
    <col min="1" max="1" width="2.5703125" style="125" customWidth="1"/>
    <col min="2" max="2" width="5.42578125" style="125" customWidth="1"/>
    <col min="3" max="3" width="10.85546875" style="125" customWidth="1"/>
    <col min="4" max="4" width="27.140625" style="125" customWidth="1"/>
    <col min="5" max="5" width="28" style="125" customWidth="1"/>
    <col min="6" max="6" width="38.28515625" style="125" customWidth="1"/>
    <col min="7" max="7" width="2.5703125" style="125" customWidth="1"/>
    <col min="8" max="8" width="12" style="125" bestFit="1" customWidth="1"/>
    <col min="9" max="10" width="9.140625" style="125"/>
    <col min="11" max="11" width="9.85546875" style="125" customWidth="1"/>
    <col min="12" max="16384" width="9.140625" style="125"/>
  </cols>
  <sheetData>
    <row r="1" spans="2:8" ht="13.5" thickBot="1" x14ac:dyDescent="0.25"/>
    <row r="2" spans="2:8" x14ac:dyDescent="0.2">
      <c r="C2" s="285" t="s">
        <v>11</v>
      </c>
      <c r="D2" s="286"/>
      <c r="E2" s="286"/>
      <c r="F2" s="287"/>
      <c r="G2" s="126"/>
    </row>
    <row r="3" spans="2:8" x14ac:dyDescent="0.2">
      <c r="C3" s="288" t="s">
        <v>0</v>
      </c>
      <c r="D3" s="289"/>
      <c r="E3" s="289"/>
      <c r="F3" s="290"/>
      <c r="G3" s="126"/>
    </row>
    <row r="4" spans="2:8" x14ac:dyDescent="0.2">
      <c r="C4" s="288"/>
      <c r="D4" s="289"/>
      <c r="E4" s="289"/>
      <c r="F4" s="290"/>
      <c r="G4" s="126"/>
    </row>
    <row r="5" spans="2:8" ht="13.5" thickBot="1" x14ac:dyDescent="0.25">
      <c r="C5" s="291" t="s">
        <v>198</v>
      </c>
      <c r="D5" s="292"/>
      <c r="E5" s="292"/>
      <c r="F5" s="293"/>
      <c r="G5" s="126"/>
    </row>
    <row r="7" spans="2:8" x14ac:dyDescent="0.2">
      <c r="H7" s="127" t="s">
        <v>13</v>
      </c>
    </row>
    <row r="8" spans="2:8" ht="13.5" thickBot="1" x14ac:dyDescent="0.25">
      <c r="H8" s="128" t="s">
        <v>14</v>
      </c>
    </row>
    <row r="9" spans="2:8" ht="13.5" thickBot="1" x14ac:dyDescent="0.25">
      <c r="B9" s="294" t="s">
        <v>100</v>
      </c>
      <c r="C9" s="294"/>
      <c r="D9" s="295"/>
      <c r="E9" s="296">
        <f>Certification!C12</f>
        <v>0</v>
      </c>
      <c r="F9" s="297"/>
      <c r="H9" s="129"/>
    </row>
    <row r="10" spans="2:8" x14ac:dyDescent="0.2">
      <c r="H10" s="129"/>
    </row>
    <row r="11" spans="2:8" x14ac:dyDescent="0.2">
      <c r="C11" s="130" t="s">
        <v>166</v>
      </c>
      <c r="H11" s="131"/>
    </row>
    <row r="12" spans="2:8" ht="13.5" thickBot="1" x14ac:dyDescent="0.25">
      <c r="H12" s="129"/>
    </row>
    <row r="13" spans="2:8" x14ac:dyDescent="0.2">
      <c r="C13" s="132" t="s">
        <v>167</v>
      </c>
      <c r="D13" s="133"/>
      <c r="E13" s="133"/>
      <c r="F13" s="134"/>
    </row>
    <row r="14" spans="2:8" x14ac:dyDescent="0.2">
      <c r="C14" s="135"/>
      <c r="D14" s="307" t="s">
        <v>168</v>
      </c>
      <c r="E14" s="136">
        <f>'Overall Efficiency - Quarter 2'!E14</f>
        <v>0</v>
      </c>
      <c r="F14" s="137" t="s">
        <v>16</v>
      </c>
    </row>
    <row r="15" spans="2:8" x14ac:dyDescent="0.2">
      <c r="C15" s="135"/>
      <c r="D15" s="307"/>
      <c r="E15" s="138" t="str">
        <f>'Overall Efficiency - Quarter 2'!E16</f>
        <v>-</v>
      </c>
      <c r="F15" s="137" t="str">
        <f>'Overall Efficiency - Quarter 1'!F16</f>
        <v>-</v>
      </c>
    </row>
    <row r="16" spans="2:8" x14ac:dyDescent="0.2">
      <c r="C16" s="135"/>
      <c r="D16" s="307"/>
      <c r="E16" s="138" t="str">
        <f>IFERROR('Overall Efficiency - Quarter 2'!E15/1000000*'Overall Efficiency - Quarter 2'!E16*2000,"-")</f>
        <v>-</v>
      </c>
      <c r="F16" s="137" t="s">
        <v>169</v>
      </c>
    </row>
    <row r="17" spans="3:11" ht="39" customHeight="1" x14ac:dyDescent="0.2">
      <c r="C17" s="135"/>
      <c r="D17" s="307" t="s">
        <v>170</v>
      </c>
      <c r="E17" s="309" t="s">
        <v>171</v>
      </c>
      <c r="F17" s="310"/>
    </row>
    <row r="18" spans="3:11" ht="15" x14ac:dyDescent="0.25">
      <c r="C18" s="135"/>
      <c r="D18" s="307"/>
      <c r="E18" s="139"/>
      <c r="F18" s="140" t="s">
        <v>172</v>
      </c>
    </row>
    <row r="19" spans="3:11" x14ac:dyDescent="0.2">
      <c r="C19" s="135"/>
      <c r="D19" s="307" t="s">
        <v>173</v>
      </c>
      <c r="E19" s="141">
        <f>Parameters!D11</f>
        <v>216.39947175000003</v>
      </c>
      <c r="F19" s="137" t="s">
        <v>174</v>
      </c>
    </row>
    <row r="20" spans="3:11" ht="13.5" thickBot="1" x14ac:dyDescent="0.25">
      <c r="C20" s="142"/>
      <c r="D20" s="311"/>
      <c r="E20" s="143">
        <f>IFERROR((E19*(1-E18))/2000*E16,0)</f>
        <v>0</v>
      </c>
      <c r="F20" s="144" t="s">
        <v>175</v>
      </c>
    </row>
    <row r="21" spans="3:11" ht="13.5" thickBot="1" x14ac:dyDescent="0.25"/>
    <row r="22" spans="3:11" x14ac:dyDescent="0.2">
      <c r="C22" s="132" t="s">
        <v>176</v>
      </c>
      <c r="D22" s="133"/>
      <c r="E22" s="133"/>
      <c r="F22" s="134"/>
    </row>
    <row r="23" spans="3:11" x14ac:dyDescent="0.2">
      <c r="C23" s="135"/>
      <c r="D23" s="307" t="s">
        <v>177</v>
      </c>
      <c r="E23" s="145"/>
      <c r="F23" s="140" t="s">
        <v>18</v>
      </c>
    </row>
    <row r="24" spans="3:11" x14ac:dyDescent="0.2">
      <c r="C24" s="135"/>
      <c r="D24" s="307"/>
      <c r="E24" s="220">
        <f>'Overall Efficiency - Quarter 2'!E20/(1-0.06)+'Overall Efficiency - Quarter 2'!E21</f>
        <v>0</v>
      </c>
      <c r="F24" s="137" t="s">
        <v>178</v>
      </c>
    </row>
    <row r="25" spans="3:11" x14ac:dyDescent="0.2">
      <c r="C25" s="135"/>
      <c r="D25" s="307"/>
      <c r="E25" s="146" t="str">
        <f>IFERROR(VLOOKUP(E23,Parameters!B20:C21,2),"-")</f>
        <v>-</v>
      </c>
      <c r="F25" s="137" t="s">
        <v>179</v>
      </c>
    </row>
    <row r="26" spans="3:11" x14ac:dyDescent="0.2">
      <c r="C26" s="135"/>
      <c r="D26" s="307"/>
      <c r="E26" s="146" t="str">
        <f>IFERROR((E25/2000)*E24,"-")</f>
        <v>-</v>
      </c>
      <c r="F26" s="137" t="s">
        <v>175</v>
      </c>
    </row>
    <row r="27" spans="3:11" ht="25.5" customHeight="1" thickBot="1" x14ac:dyDescent="0.25">
      <c r="C27" s="135"/>
      <c r="D27" s="307" t="s">
        <v>180</v>
      </c>
      <c r="E27" s="147"/>
      <c r="F27" s="148" t="s">
        <v>181</v>
      </c>
    </row>
    <row r="28" spans="3:11" x14ac:dyDescent="0.2">
      <c r="C28" s="135"/>
      <c r="D28" s="307"/>
      <c r="E28" s="136">
        <f>'Overall Efficiency - Quarter 2'!E23</f>
        <v>0</v>
      </c>
      <c r="F28" s="137" t="s">
        <v>182</v>
      </c>
      <c r="H28" s="298" t="s">
        <v>183</v>
      </c>
      <c r="I28" s="299"/>
      <c r="J28" s="299"/>
      <c r="K28" s="300"/>
    </row>
    <row r="29" spans="3:11" x14ac:dyDescent="0.2">
      <c r="C29" s="135"/>
      <c r="D29" s="307"/>
      <c r="E29" s="149" t="str">
        <f>IFERROR(VLOOKUP(E27,Parameters!B12:D16,2),"-")</f>
        <v>-</v>
      </c>
      <c r="F29" s="140" t="s">
        <v>184</v>
      </c>
      <c r="H29" s="301"/>
      <c r="I29" s="302"/>
      <c r="J29" s="302"/>
      <c r="K29" s="303"/>
    </row>
    <row r="30" spans="3:11" ht="15" x14ac:dyDescent="0.25">
      <c r="C30" s="135"/>
      <c r="D30" s="307"/>
      <c r="E30" s="139"/>
      <c r="F30" s="140" t="s">
        <v>185</v>
      </c>
      <c r="H30" s="301"/>
      <c r="I30" s="302"/>
      <c r="J30" s="302"/>
      <c r="K30" s="303"/>
    </row>
    <row r="31" spans="3:11" ht="13.5" thickBot="1" x14ac:dyDescent="0.25">
      <c r="C31" s="135"/>
      <c r="D31" s="307"/>
      <c r="E31" s="146" t="str">
        <f>IFERROR(IF(OR(E30="",E30=0),E28/E29,E28/E30),"-")</f>
        <v>-</v>
      </c>
      <c r="F31" s="137" t="s">
        <v>186</v>
      </c>
      <c r="H31" s="304"/>
      <c r="I31" s="305"/>
      <c r="J31" s="305"/>
      <c r="K31" s="306"/>
    </row>
    <row r="32" spans="3:11" x14ac:dyDescent="0.2">
      <c r="C32" s="135"/>
      <c r="D32" s="307"/>
      <c r="E32" s="150" t="str">
        <f>IFERROR(VLOOKUP(E27,Parameters!B12:D16,3),"-")</f>
        <v>-</v>
      </c>
      <c r="F32" s="137" t="s">
        <v>187</v>
      </c>
    </row>
    <row r="33" spans="3:15" ht="13.5" thickBot="1" x14ac:dyDescent="0.25">
      <c r="C33" s="142"/>
      <c r="D33" s="311"/>
      <c r="E33" s="151" t="str">
        <f>IFERROR(E31*(E32/2000),"-")</f>
        <v>-</v>
      </c>
      <c r="F33" s="144" t="s">
        <v>175</v>
      </c>
    </row>
    <row r="34" spans="3:15" ht="13.5" thickBot="1" x14ac:dyDescent="0.25"/>
    <row r="35" spans="3:15" x14ac:dyDescent="0.2">
      <c r="C35" s="132" t="s">
        <v>188</v>
      </c>
      <c r="D35" s="133"/>
      <c r="E35" s="133"/>
      <c r="F35" s="134"/>
    </row>
    <row r="36" spans="3:15" x14ac:dyDescent="0.2">
      <c r="C36" s="135"/>
      <c r="D36" s="307" t="s">
        <v>124</v>
      </c>
      <c r="E36" s="146" t="str">
        <f>IFERROR(E20-E26-E33,"-")</f>
        <v>-</v>
      </c>
      <c r="F36" s="137" t="s">
        <v>175</v>
      </c>
      <c r="L36" s="129"/>
      <c r="M36" s="129"/>
      <c r="N36" s="129"/>
      <c r="O36" s="129"/>
    </row>
    <row r="37" spans="3:15" x14ac:dyDescent="0.2">
      <c r="C37" s="135"/>
      <c r="D37" s="307"/>
      <c r="E37" s="152" t="str">
        <f>IFERROR(E36/E20,"-")</f>
        <v>-</v>
      </c>
      <c r="F37" s="137" t="s">
        <v>189</v>
      </c>
      <c r="K37" s="129"/>
      <c r="L37" s="129"/>
      <c r="M37" s="129"/>
      <c r="N37" s="129"/>
      <c r="O37" s="129"/>
    </row>
    <row r="38" spans="3:15" x14ac:dyDescent="0.2">
      <c r="C38" s="135"/>
      <c r="D38" s="153"/>
      <c r="E38" s="154"/>
      <c r="F38" s="155"/>
      <c r="K38" s="129"/>
      <c r="L38" s="129"/>
      <c r="M38" s="129"/>
      <c r="N38" s="129"/>
      <c r="O38" s="129"/>
    </row>
    <row r="39" spans="3:15" x14ac:dyDescent="0.2">
      <c r="C39" s="135"/>
      <c r="D39" s="156" t="s">
        <v>190</v>
      </c>
      <c r="E39" s="157"/>
      <c r="F39" s="155"/>
      <c r="H39" s="129"/>
      <c r="I39" s="129"/>
      <c r="J39" s="129"/>
      <c r="K39" s="129"/>
      <c r="L39" s="129"/>
      <c r="M39" s="129"/>
      <c r="N39" s="129"/>
      <c r="O39" s="129"/>
    </row>
    <row r="40" spans="3:15" ht="12.75" customHeight="1" x14ac:dyDescent="0.2">
      <c r="C40" s="135"/>
      <c r="D40" s="158" t="s">
        <v>191</v>
      </c>
      <c r="E40" s="222" t="str">
        <f>IFERROR('Fuel Report'!E11/('Fuel Report'!E11+'Fuel Report'!E12),"-")</f>
        <v>-</v>
      </c>
      <c r="F40" s="140" t="s">
        <v>192</v>
      </c>
      <c r="H40" s="308"/>
      <c r="I40" s="308"/>
      <c r="J40" s="308"/>
      <c r="K40" s="308"/>
      <c r="L40" s="159"/>
      <c r="M40" s="159"/>
      <c r="N40" s="159"/>
      <c r="O40" s="159"/>
    </row>
    <row r="41" spans="3:15" ht="15" x14ac:dyDescent="0.2">
      <c r="C41" s="135"/>
      <c r="D41" s="158" t="s">
        <v>193</v>
      </c>
      <c r="E41" s="223" t="str">
        <f>IFERROR(1-E40,"-")</f>
        <v>-</v>
      </c>
      <c r="F41" s="140" t="s">
        <v>192</v>
      </c>
      <c r="H41" s="308"/>
      <c r="I41" s="308"/>
      <c r="J41" s="308"/>
      <c r="K41" s="308"/>
      <c r="L41" s="159"/>
      <c r="M41" s="159"/>
      <c r="N41" s="159"/>
      <c r="O41" s="159"/>
    </row>
    <row r="42" spans="3:15" ht="15" x14ac:dyDescent="0.25">
      <c r="C42" s="135"/>
      <c r="D42" s="160"/>
      <c r="E42" s="161"/>
      <c r="F42" s="162"/>
      <c r="H42" s="308"/>
      <c r="I42" s="308"/>
      <c r="J42" s="308"/>
      <c r="K42" s="308"/>
      <c r="L42" s="159"/>
      <c r="M42" s="159"/>
      <c r="N42" s="159"/>
      <c r="O42" s="159"/>
    </row>
    <row r="43" spans="3:15" x14ac:dyDescent="0.2">
      <c r="C43" s="135"/>
      <c r="D43" s="163" t="s">
        <v>194</v>
      </c>
      <c r="E43" s="129"/>
      <c r="F43" s="155"/>
      <c r="H43" s="308"/>
      <c r="I43" s="308"/>
      <c r="J43" s="308"/>
      <c r="K43" s="308"/>
      <c r="L43" s="159"/>
      <c r="M43" s="159"/>
      <c r="N43" s="159"/>
      <c r="O43" s="159"/>
    </row>
    <row r="44" spans="3:15" ht="27.75" customHeight="1" thickBot="1" x14ac:dyDescent="0.25">
      <c r="C44" s="164"/>
      <c r="D44" s="165" t="s">
        <v>195</v>
      </c>
      <c r="E44" s="166" t="str">
        <f>IFERROR(1+('GHG Model - Residues'!J46*$E$40)+('GHG Model - Forest Thinnings'!J45*$E$41),"-")</f>
        <v>-</v>
      </c>
      <c r="F44" s="167" t="s">
        <v>196</v>
      </c>
      <c r="L44" s="159"/>
      <c r="M44" s="159"/>
      <c r="N44" s="159"/>
      <c r="O44" s="159"/>
    </row>
  </sheetData>
  <sheetProtection password="C24F" sheet="1" objects="1" scenarios="1"/>
  <protectedRanges>
    <protectedRange sqref="E18 E23 E27 E30 H28 H40" name="Range1"/>
    <protectedRange sqref="E40" name="Range1_2"/>
  </protectedRanges>
  <mergeCells count="15">
    <mergeCell ref="H28:K31"/>
    <mergeCell ref="D36:D37"/>
    <mergeCell ref="H40:K43"/>
    <mergeCell ref="D14:D16"/>
    <mergeCell ref="D17:D18"/>
    <mergeCell ref="E17:F17"/>
    <mergeCell ref="D19:D20"/>
    <mergeCell ref="D23:D26"/>
    <mergeCell ref="D27:D33"/>
    <mergeCell ref="C2:F2"/>
    <mergeCell ref="C3:F3"/>
    <mergeCell ref="C4:F4"/>
    <mergeCell ref="C5:F5"/>
    <mergeCell ref="B9:D9"/>
    <mergeCell ref="E9:F9"/>
  </mergeCells>
  <conditionalFormatting sqref="E9:F9">
    <cfRule type="cellIs" dxfId="35" priority="8" operator="equal">
      <formula>0</formula>
    </cfRule>
  </conditionalFormatting>
  <conditionalFormatting sqref="E15">
    <cfRule type="cellIs" dxfId="34" priority="6" operator="equal">
      <formula>0</formula>
    </cfRule>
  </conditionalFormatting>
  <conditionalFormatting sqref="E14">
    <cfRule type="cellIs" dxfId="33" priority="7" operator="equal">
      <formula>0</formula>
    </cfRule>
  </conditionalFormatting>
  <conditionalFormatting sqref="E26">
    <cfRule type="cellIs" dxfId="32" priority="5" operator="equal">
      <formula>0</formula>
    </cfRule>
  </conditionalFormatting>
  <conditionalFormatting sqref="E20">
    <cfRule type="cellIs" dxfId="31" priority="4" operator="equal">
      <formula>0</formula>
    </cfRule>
  </conditionalFormatting>
  <conditionalFormatting sqref="E16">
    <cfRule type="cellIs" dxfId="30" priority="3" operator="equal">
      <formula>0</formula>
    </cfRule>
  </conditionalFormatting>
  <conditionalFormatting sqref="E24">
    <cfRule type="cellIs" dxfId="29" priority="2" operator="equal">
      <formula>0</formula>
    </cfRule>
  </conditionalFormatting>
  <conditionalFormatting sqref="E28">
    <cfRule type="cellIs" dxfId="28" priority="1" operator="equal">
      <formula>0</formula>
    </cfRule>
  </conditionalFormatting>
  <dataValidations count="3">
    <dataValidation type="list" allowBlank="1" showInputMessage="1" showErrorMessage="1" sqref="E27">
      <formula1>ConventionalFuelList</formula1>
    </dataValidation>
    <dataValidation type="list" allowBlank="1" showInputMessage="1" showErrorMessage="1" sqref="E23">
      <formula1>ElectricGeneration</formula1>
    </dataValidation>
    <dataValidation type="decimal" allowBlank="1" showInputMessage="1" showErrorMessage="1" sqref="E18 E3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99"/>
    <pageSetUpPr fitToPage="1"/>
  </sheetPr>
  <dimension ref="B1:O44"/>
  <sheetViews>
    <sheetView workbookViewId="0"/>
  </sheetViews>
  <sheetFormatPr defaultRowHeight="12.75" x14ac:dyDescent="0.2"/>
  <cols>
    <col min="1" max="1" width="2.5703125" style="125" customWidth="1"/>
    <col min="2" max="2" width="5.42578125" style="125" customWidth="1"/>
    <col min="3" max="3" width="10.85546875" style="125" customWidth="1"/>
    <col min="4" max="4" width="27.140625" style="125" customWidth="1"/>
    <col min="5" max="5" width="28" style="125" customWidth="1"/>
    <col min="6" max="6" width="38.28515625" style="125" customWidth="1"/>
    <col min="7" max="7" width="2.5703125" style="125" customWidth="1"/>
    <col min="8" max="8" width="12" style="125" bestFit="1" customWidth="1"/>
    <col min="9" max="10" width="9.140625" style="125"/>
    <col min="11" max="11" width="9.85546875" style="125" customWidth="1"/>
    <col min="12" max="16384" width="9.140625" style="125"/>
  </cols>
  <sheetData>
    <row r="1" spans="2:8" ht="13.5" thickBot="1" x14ac:dyDescent="0.25"/>
    <row r="2" spans="2:8" x14ac:dyDescent="0.2">
      <c r="C2" s="285" t="s">
        <v>11</v>
      </c>
      <c r="D2" s="286"/>
      <c r="E2" s="286"/>
      <c r="F2" s="287"/>
      <c r="G2" s="126"/>
    </row>
    <row r="3" spans="2:8" x14ac:dyDescent="0.2">
      <c r="C3" s="288" t="s">
        <v>0</v>
      </c>
      <c r="D3" s="289"/>
      <c r="E3" s="289"/>
      <c r="F3" s="290"/>
      <c r="G3" s="126"/>
    </row>
    <row r="4" spans="2:8" x14ac:dyDescent="0.2">
      <c r="C4" s="288"/>
      <c r="D4" s="289"/>
      <c r="E4" s="289"/>
      <c r="F4" s="290"/>
      <c r="G4" s="126"/>
    </row>
    <row r="5" spans="2:8" ht="13.5" thickBot="1" x14ac:dyDescent="0.25">
      <c r="C5" s="291" t="s">
        <v>199</v>
      </c>
      <c r="D5" s="292"/>
      <c r="E5" s="292"/>
      <c r="F5" s="293"/>
      <c r="G5" s="126"/>
    </row>
    <row r="7" spans="2:8" x14ac:dyDescent="0.2">
      <c r="H7" s="127" t="s">
        <v>13</v>
      </c>
    </row>
    <row r="8" spans="2:8" ht="13.5" thickBot="1" x14ac:dyDescent="0.25">
      <c r="H8" s="128" t="s">
        <v>14</v>
      </c>
    </row>
    <row r="9" spans="2:8" ht="13.5" thickBot="1" x14ac:dyDescent="0.25">
      <c r="B9" s="294" t="s">
        <v>100</v>
      </c>
      <c r="C9" s="294"/>
      <c r="D9" s="295"/>
      <c r="E9" s="296">
        <f>Certification!C12</f>
        <v>0</v>
      </c>
      <c r="F9" s="297"/>
      <c r="H9" s="129"/>
    </row>
    <row r="10" spans="2:8" x14ac:dyDescent="0.2">
      <c r="H10" s="129"/>
    </row>
    <row r="11" spans="2:8" x14ac:dyDescent="0.2">
      <c r="C11" s="130" t="s">
        <v>166</v>
      </c>
      <c r="H11" s="131"/>
    </row>
    <row r="12" spans="2:8" ht="13.5" thickBot="1" x14ac:dyDescent="0.25">
      <c r="H12" s="129"/>
    </row>
    <row r="13" spans="2:8" x14ac:dyDescent="0.2">
      <c r="C13" s="132" t="s">
        <v>167</v>
      </c>
      <c r="D13" s="133"/>
      <c r="E13" s="133"/>
      <c r="F13" s="134"/>
    </row>
    <row r="14" spans="2:8" x14ac:dyDescent="0.2">
      <c r="C14" s="135"/>
      <c r="D14" s="307" t="s">
        <v>168</v>
      </c>
      <c r="E14" s="136">
        <f>'Overall Efficiency - Quarter 3'!E14</f>
        <v>0</v>
      </c>
      <c r="F14" s="137" t="s">
        <v>16</v>
      </c>
    </row>
    <row r="15" spans="2:8" x14ac:dyDescent="0.2">
      <c r="C15" s="135"/>
      <c r="D15" s="307"/>
      <c r="E15" s="138" t="str">
        <f>'Overall Efficiency - Quarter 3'!E16</f>
        <v>-</v>
      </c>
      <c r="F15" s="137" t="str">
        <f>'Overall Efficiency - Quarter 1'!F16</f>
        <v>-</v>
      </c>
    </row>
    <row r="16" spans="2:8" x14ac:dyDescent="0.2">
      <c r="C16" s="135"/>
      <c r="D16" s="307"/>
      <c r="E16" s="138" t="str">
        <f>IFERROR('Overall Efficiency - Quarter 3'!E15/1000000*'Overall Efficiency - Quarter 3'!E16*2000,"-")</f>
        <v>-</v>
      </c>
      <c r="F16" s="137" t="s">
        <v>169</v>
      </c>
    </row>
    <row r="17" spans="3:11" ht="39" customHeight="1" x14ac:dyDescent="0.2">
      <c r="C17" s="135"/>
      <c r="D17" s="307" t="s">
        <v>170</v>
      </c>
      <c r="E17" s="309" t="s">
        <v>171</v>
      </c>
      <c r="F17" s="310"/>
    </row>
    <row r="18" spans="3:11" ht="15" x14ac:dyDescent="0.25">
      <c r="C18" s="135"/>
      <c r="D18" s="307"/>
      <c r="E18" s="139"/>
      <c r="F18" s="140" t="s">
        <v>172</v>
      </c>
    </row>
    <row r="19" spans="3:11" x14ac:dyDescent="0.2">
      <c r="C19" s="135"/>
      <c r="D19" s="307" t="s">
        <v>173</v>
      </c>
      <c r="E19" s="141">
        <f>Parameters!D11</f>
        <v>216.39947175000003</v>
      </c>
      <c r="F19" s="137" t="s">
        <v>174</v>
      </c>
    </row>
    <row r="20" spans="3:11" ht="13.5" thickBot="1" x14ac:dyDescent="0.25">
      <c r="C20" s="142"/>
      <c r="D20" s="311"/>
      <c r="E20" s="143">
        <f>IFERROR((E19*(1-E18))/2000*E16,0)</f>
        <v>0</v>
      </c>
      <c r="F20" s="144" t="s">
        <v>175</v>
      </c>
    </row>
    <row r="21" spans="3:11" ht="13.5" thickBot="1" x14ac:dyDescent="0.25"/>
    <row r="22" spans="3:11" x14ac:dyDescent="0.2">
      <c r="C22" s="132" t="s">
        <v>176</v>
      </c>
      <c r="D22" s="133"/>
      <c r="E22" s="133"/>
      <c r="F22" s="134"/>
    </row>
    <row r="23" spans="3:11" x14ac:dyDescent="0.2">
      <c r="C23" s="135"/>
      <c r="D23" s="307" t="s">
        <v>177</v>
      </c>
      <c r="E23" s="145"/>
      <c r="F23" s="140" t="s">
        <v>18</v>
      </c>
    </row>
    <row r="24" spans="3:11" x14ac:dyDescent="0.2">
      <c r="C24" s="135"/>
      <c r="D24" s="307"/>
      <c r="E24" s="220">
        <f>'Overall Efficiency - Quarter 3'!E20/(1-0.06)+'Overall Efficiency - Quarter 3'!E21</f>
        <v>0</v>
      </c>
      <c r="F24" s="137" t="s">
        <v>178</v>
      </c>
    </row>
    <row r="25" spans="3:11" x14ac:dyDescent="0.2">
      <c r="C25" s="135"/>
      <c r="D25" s="307"/>
      <c r="E25" s="146" t="str">
        <f>IFERROR(VLOOKUP(E23,Parameters!B20:C21,2),"-")</f>
        <v>-</v>
      </c>
      <c r="F25" s="137" t="s">
        <v>179</v>
      </c>
    </row>
    <row r="26" spans="3:11" x14ac:dyDescent="0.2">
      <c r="C26" s="135"/>
      <c r="D26" s="307"/>
      <c r="E26" s="146" t="str">
        <f>IFERROR((E25/2000)*E24,"-")</f>
        <v>-</v>
      </c>
      <c r="F26" s="137" t="s">
        <v>175</v>
      </c>
    </row>
    <row r="27" spans="3:11" ht="25.5" customHeight="1" thickBot="1" x14ac:dyDescent="0.25">
      <c r="C27" s="135"/>
      <c r="D27" s="307" t="s">
        <v>180</v>
      </c>
      <c r="E27" s="147"/>
      <c r="F27" s="148" t="s">
        <v>181</v>
      </c>
    </row>
    <row r="28" spans="3:11" x14ac:dyDescent="0.2">
      <c r="C28" s="135"/>
      <c r="D28" s="307"/>
      <c r="E28" s="136">
        <f>'Overall Efficiency - Quarter 3'!E23</f>
        <v>0</v>
      </c>
      <c r="F28" s="137" t="s">
        <v>182</v>
      </c>
      <c r="H28" s="298" t="s">
        <v>183</v>
      </c>
      <c r="I28" s="299"/>
      <c r="J28" s="299"/>
      <c r="K28" s="300"/>
    </row>
    <row r="29" spans="3:11" x14ac:dyDescent="0.2">
      <c r="C29" s="135"/>
      <c r="D29" s="307"/>
      <c r="E29" s="149" t="str">
        <f>IFERROR(VLOOKUP(E27,Parameters!B12:D16,2),"-")</f>
        <v>-</v>
      </c>
      <c r="F29" s="140" t="s">
        <v>184</v>
      </c>
      <c r="H29" s="301"/>
      <c r="I29" s="302"/>
      <c r="J29" s="302"/>
      <c r="K29" s="303"/>
    </row>
    <row r="30" spans="3:11" ht="15" x14ac:dyDescent="0.25">
      <c r="C30" s="135"/>
      <c r="D30" s="307"/>
      <c r="E30" s="139"/>
      <c r="F30" s="140" t="s">
        <v>185</v>
      </c>
      <c r="H30" s="301"/>
      <c r="I30" s="302"/>
      <c r="J30" s="302"/>
      <c r="K30" s="303"/>
    </row>
    <row r="31" spans="3:11" ht="13.5" thickBot="1" x14ac:dyDescent="0.25">
      <c r="C31" s="135"/>
      <c r="D31" s="307"/>
      <c r="E31" s="146" t="str">
        <f>IFERROR(IF(OR(E30="",E30=0),E28/E29,E28/E30),"-")</f>
        <v>-</v>
      </c>
      <c r="F31" s="137" t="s">
        <v>186</v>
      </c>
      <c r="H31" s="304"/>
      <c r="I31" s="305"/>
      <c r="J31" s="305"/>
      <c r="K31" s="306"/>
    </row>
    <row r="32" spans="3:11" x14ac:dyDescent="0.2">
      <c r="C32" s="135"/>
      <c r="D32" s="307"/>
      <c r="E32" s="150" t="str">
        <f>IFERROR(VLOOKUP(E27,Parameters!B12:D16,3),"-")</f>
        <v>-</v>
      </c>
      <c r="F32" s="137" t="s">
        <v>187</v>
      </c>
    </row>
    <row r="33" spans="3:15" ht="13.5" thickBot="1" x14ac:dyDescent="0.25">
      <c r="C33" s="142"/>
      <c r="D33" s="311"/>
      <c r="E33" s="151" t="str">
        <f>IFERROR(E31*(E32/2000),"-")</f>
        <v>-</v>
      </c>
      <c r="F33" s="144" t="s">
        <v>175</v>
      </c>
    </row>
    <row r="34" spans="3:15" ht="13.5" thickBot="1" x14ac:dyDescent="0.25"/>
    <row r="35" spans="3:15" x14ac:dyDescent="0.2">
      <c r="C35" s="132" t="s">
        <v>188</v>
      </c>
      <c r="D35" s="133"/>
      <c r="E35" s="133"/>
      <c r="F35" s="134"/>
    </row>
    <row r="36" spans="3:15" x14ac:dyDescent="0.2">
      <c r="C36" s="135"/>
      <c r="D36" s="307" t="s">
        <v>124</v>
      </c>
      <c r="E36" s="146" t="str">
        <f>IFERROR(E20-E26-E33,"-")</f>
        <v>-</v>
      </c>
      <c r="F36" s="137" t="s">
        <v>175</v>
      </c>
      <c r="L36" s="129"/>
      <c r="M36" s="129"/>
      <c r="N36" s="129"/>
      <c r="O36" s="129"/>
    </row>
    <row r="37" spans="3:15" x14ac:dyDescent="0.2">
      <c r="C37" s="135"/>
      <c r="D37" s="307"/>
      <c r="E37" s="152" t="str">
        <f>IFERROR(E36/E20,"-")</f>
        <v>-</v>
      </c>
      <c r="F37" s="137" t="s">
        <v>189</v>
      </c>
      <c r="K37" s="129"/>
      <c r="L37" s="129"/>
      <c r="M37" s="129"/>
      <c r="N37" s="129"/>
      <c r="O37" s="129"/>
    </row>
    <row r="38" spans="3:15" x14ac:dyDescent="0.2">
      <c r="C38" s="135"/>
      <c r="D38" s="153"/>
      <c r="E38" s="154"/>
      <c r="F38" s="155"/>
      <c r="K38" s="129"/>
      <c r="L38" s="129"/>
      <c r="M38" s="129"/>
      <c r="N38" s="129"/>
      <c r="O38" s="129"/>
    </row>
    <row r="39" spans="3:15" x14ac:dyDescent="0.2">
      <c r="C39" s="135"/>
      <c r="D39" s="156" t="s">
        <v>190</v>
      </c>
      <c r="E39" s="157"/>
      <c r="F39" s="155"/>
      <c r="H39" s="129"/>
      <c r="I39" s="129"/>
      <c r="J39" s="129"/>
      <c r="K39" s="129"/>
      <c r="L39" s="129"/>
      <c r="M39" s="129"/>
      <c r="N39" s="129"/>
      <c r="O39" s="129"/>
    </row>
    <row r="40" spans="3:15" ht="12.75" customHeight="1" x14ac:dyDescent="0.2">
      <c r="C40" s="135"/>
      <c r="D40" s="158" t="s">
        <v>191</v>
      </c>
      <c r="E40" s="222" t="str">
        <f>IFERROR('Fuel Report'!F11/('Fuel Report'!F11+'Fuel Report'!F12),"-")</f>
        <v>-</v>
      </c>
      <c r="F40" s="140" t="s">
        <v>192</v>
      </c>
      <c r="H40" s="308"/>
      <c r="I40" s="308"/>
      <c r="J40" s="308"/>
      <c r="K40" s="308"/>
      <c r="L40" s="159"/>
      <c r="M40" s="159"/>
      <c r="N40" s="159"/>
      <c r="O40" s="159"/>
    </row>
    <row r="41" spans="3:15" ht="15" x14ac:dyDescent="0.2">
      <c r="C41" s="135"/>
      <c r="D41" s="158" t="s">
        <v>193</v>
      </c>
      <c r="E41" s="223" t="str">
        <f>IFERROR(1-E40,"-")</f>
        <v>-</v>
      </c>
      <c r="F41" s="140" t="s">
        <v>192</v>
      </c>
      <c r="H41" s="308"/>
      <c r="I41" s="308"/>
      <c r="J41" s="308"/>
      <c r="K41" s="308"/>
      <c r="L41" s="159"/>
      <c r="M41" s="159"/>
      <c r="N41" s="159"/>
      <c r="O41" s="159"/>
    </row>
    <row r="42" spans="3:15" ht="15" x14ac:dyDescent="0.25">
      <c r="C42" s="135"/>
      <c r="D42" s="160"/>
      <c r="E42" s="161"/>
      <c r="F42" s="162"/>
      <c r="H42" s="308"/>
      <c r="I42" s="308"/>
      <c r="J42" s="308"/>
      <c r="K42" s="308"/>
      <c r="L42" s="159"/>
      <c r="M42" s="159"/>
      <c r="N42" s="159"/>
      <c r="O42" s="159"/>
    </row>
    <row r="43" spans="3:15" x14ac:dyDescent="0.2">
      <c r="C43" s="135"/>
      <c r="D43" s="163" t="s">
        <v>194</v>
      </c>
      <c r="E43" s="129"/>
      <c r="F43" s="155"/>
      <c r="H43" s="308"/>
      <c r="I43" s="308"/>
      <c r="J43" s="308"/>
      <c r="K43" s="308"/>
      <c r="L43" s="159"/>
      <c r="M43" s="159"/>
      <c r="N43" s="159"/>
      <c r="O43" s="159"/>
    </row>
    <row r="44" spans="3:15" ht="27.75" customHeight="1" thickBot="1" x14ac:dyDescent="0.25">
      <c r="C44" s="164"/>
      <c r="D44" s="165" t="s">
        <v>195</v>
      </c>
      <c r="E44" s="166" t="str">
        <f>IFERROR(1+('GHG Model - Residues'!O46*$E$40)+('GHG Model - Forest Thinnings'!O45*$E$41),"-")</f>
        <v>-</v>
      </c>
      <c r="F44" s="167" t="s">
        <v>196</v>
      </c>
      <c r="L44" s="159"/>
      <c r="M44" s="159"/>
      <c r="N44" s="159"/>
      <c r="O44" s="159"/>
    </row>
  </sheetData>
  <sheetProtection password="C24F" sheet="1" objects="1" scenarios="1"/>
  <protectedRanges>
    <protectedRange sqref="E18 E23 E27 E30 H28 H40" name="Range1"/>
    <protectedRange sqref="E40" name="Range1_2"/>
  </protectedRanges>
  <mergeCells count="15">
    <mergeCell ref="H28:K31"/>
    <mergeCell ref="D36:D37"/>
    <mergeCell ref="H40:K43"/>
    <mergeCell ref="D14:D16"/>
    <mergeCell ref="D17:D18"/>
    <mergeCell ref="E17:F17"/>
    <mergeCell ref="D19:D20"/>
    <mergeCell ref="D23:D26"/>
    <mergeCell ref="D27:D33"/>
    <mergeCell ref="C2:F2"/>
    <mergeCell ref="C3:F3"/>
    <mergeCell ref="C4:F4"/>
    <mergeCell ref="C5:F5"/>
    <mergeCell ref="B9:D9"/>
    <mergeCell ref="E9:F9"/>
  </mergeCells>
  <conditionalFormatting sqref="E9:F9">
    <cfRule type="cellIs" dxfId="27" priority="8" operator="equal">
      <formula>0</formula>
    </cfRule>
  </conditionalFormatting>
  <conditionalFormatting sqref="E15">
    <cfRule type="cellIs" dxfId="26" priority="6" operator="equal">
      <formula>0</formula>
    </cfRule>
  </conditionalFormatting>
  <conditionalFormatting sqref="E14">
    <cfRule type="cellIs" dxfId="25" priority="7" operator="equal">
      <formula>0</formula>
    </cfRule>
  </conditionalFormatting>
  <conditionalFormatting sqref="E26">
    <cfRule type="cellIs" dxfId="24" priority="5" operator="equal">
      <formula>0</formula>
    </cfRule>
  </conditionalFormatting>
  <conditionalFormatting sqref="E20">
    <cfRule type="cellIs" dxfId="23" priority="4" operator="equal">
      <formula>0</formula>
    </cfRule>
  </conditionalFormatting>
  <conditionalFormatting sqref="E16">
    <cfRule type="cellIs" dxfId="22" priority="3" operator="equal">
      <formula>0</formula>
    </cfRule>
  </conditionalFormatting>
  <conditionalFormatting sqref="E24">
    <cfRule type="cellIs" dxfId="21" priority="2" operator="equal">
      <formula>0</formula>
    </cfRule>
  </conditionalFormatting>
  <conditionalFormatting sqref="E28">
    <cfRule type="cellIs" dxfId="20" priority="1" operator="equal">
      <formula>0</formula>
    </cfRule>
  </conditionalFormatting>
  <dataValidations count="3">
    <dataValidation type="decimal" allowBlank="1" showInputMessage="1" showErrorMessage="1" sqref="E18 E30">
      <formula1>0</formula1>
      <formula2>0.999</formula2>
    </dataValidation>
    <dataValidation type="list" allowBlank="1" showInputMessage="1" showErrorMessage="1" sqref="E23">
      <formula1>ElectricGeneration</formula1>
    </dataValidation>
    <dataValidation type="list" allowBlank="1" showInputMessage="1" showErrorMessage="1" sqref="E27">
      <formula1>ConventionalFuelList</formula1>
    </dataValidation>
  </dataValidations>
  <printOptions horizontalCentered="1"/>
  <pageMargins left="0.32" right="0.33" top="1" bottom="1" header="0.5" footer="0.5"/>
  <pageSetup scale="53"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99"/>
    <pageSetUpPr fitToPage="1"/>
  </sheetPr>
  <dimension ref="B1:O44"/>
  <sheetViews>
    <sheetView workbookViewId="0"/>
  </sheetViews>
  <sheetFormatPr defaultRowHeight="12.75" x14ac:dyDescent="0.2"/>
  <cols>
    <col min="1" max="1" width="2.5703125" style="125" customWidth="1"/>
    <col min="2" max="2" width="5.42578125" style="125" customWidth="1"/>
    <col min="3" max="3" width="10.85546875" style="125" customWidth="1"/>
    <col min="4" max="4" width="27.140625" style="125" customWidth="1"/>
    <col min="5" max="5" width="28" style="125" customWidth="1"/>
    <col min="6" max="6" width="38.28515625" style="125" customWidth="1"/>
    <col min="7" max="7" width="2.5703125" style="125" customWidth="1"/>
    <col min="8" max="8" width="12" style="125" bestFit="1" customWidth="1"/>
    <col min="9" max="10" width="9.140625" style="125"/>
    <col min="11" max="11" width="9.85546875" style="125" customWidth="1"/>
    <col min="12" max="16384" width="9.140625" style="125"/>
  </cols>
  <sheetData>
    <row r="1" spans="2:8" ht="13.5" thickBot="1" x14ac:dyDescent="0.25"/>
    <row r="2" spans="2:8" x14ac:dyDescent="0.2">
      <c r="C2" s="285" t="s">
        <v>11</v>
      </c>
      <c r="D2" s="286"/>
      <c r="E2" s="286"/>
      <c r="F2" s="287"/>
      <c r="G2" s="126"/>
    </row>
    <row r="3" spans="2:8" x14ac:dyDescent="0.2">
      <c r="C3" s="288" t="s">
        <v>0</v>
      </c>
      <c r="D3" s="289"/>
      <c r="E3" s="289"/>
      <c r="F3" s="290"/>
      <c r="G3" s="126"/>
    </row>
    <row r="4" spans="2:8" x14ac:dyDescent="0.2">
      <c r="C4" s="288"/>
      <c r="D4" s="289"/>
      <c r="E4" s="289"/>
      <c r="F4" s="290"/>
      <c r="G4" s="126"/>
    </row>
    <row r="5" spans="2:8" ht="13.5" thickBot="1" x14ac:dyDescent="0.25">
      <c r="C5" s="291" t="s">
        <v>200</v>
      </c>
      <c r="D5" s="292"/>
      <c r="E5" s="292"/>
      <c r="F5" s="293"/>
      <c r="G5" s="126"/>
    </row>
    <row r="7" spans="2:8" x14ac:dyDescent="0.2">
      <c r="H7" s="127" t="s">
        <v>13</v>
      </c>
    </row>
    <row r="8" spans="2:8" ht="13.5" thickBot="1" x14ac:dyDescent="0.25">
      <c r="H8" s="128" t="s">
        <v>14</v>
      </c>
    </row>
    <row r="9" spans="2:8" ht="13.5" thickBot="1" x14ac:dyDescent="0.25">
      <c r="B9" s="294" t="s">
        <v>100</v>
      </c>
      <c r="C9" s="294"/>
      <c r="D9" s="295"/>
      <c r="E9" s="296">
        <f>Certification!C12</f>
        <v>0</v>
      </c>
      <c r="F9" s="297"/>
      <c r="H9" s="129"/>
    </row>
    <row r="10" spans="2:8" x14ac:dyDescent="0.2">
      <c r="H10" s="129"/>
    </row>
    <row r="11" spans="2:8" x14ac:dyDescent="0.2">
      <c r="C11" s="130" t="s">
        <v>166</v>
      </c>
      <c r="H11" s="131"/>
    </row>
    <row r="12" spans="2:8" ht="13.5" thickBot="1" x14ac:dyDescent="0.25">
      <c r="H12" s="129"/>
    </row>
    <row r="13" spans="2:8" x14ac:dyDescent="0.2">
      <c r="C13" s="132" t="s">
        <v>167</v>
      </c>
      <c r="D13" s="133"/>
      <c r="E13" s="133"/>
      <c r="F13" s="134"/>
    </row>
    <row r="14" spans="2:8" x14ac:dyDescent="0.2">
      <c r="C14" s="135"/>
      <c r="D14" s="307" t="s">
        <v>168</v>
      </c>
      <c r="E14" s="136">
        <f>'Overall Efficiency - Quarter 4'!E14</f>
        <v>0</v>
      </c>
      <c r="F14" s="137" t="s">
        <v>16</v>
      </c>
    </row>
    <row r="15" spans="2:8" x14ac:dyDescent="0.2">
      <c r="C15" s="135"/>
      <c r="D15" s="307"/>
      <c r="E15" s="138" t="str">
        <f>'Overall Efficiency - Quarter 4'!E16</f>
        <v>-</v>
      </c>
      <c r="F15" s="137" t="str">
        <f>'Overall Efficiency - Quarter 1'!F16</f>
        <v>-</v>
      </c>
    </row>
    <row r="16" spans="2:8" x14ac:dyDescent="0.2">
      <c r="C16" s="135"/>
      <c r="D16" s="307"/>
      <c r="E16" s="138" t="str">
        <f>IFERROR('Overall Efficiency - Quarter 4'!E15/1000000*'Overall Efficiency - Quarter 4'!E16*2000,"-")</f>
        <v>-</v>
      </c>
      <c r="F16" s="137" t="s">
        <v>169</v>
      </c>
    </row>
    <row r="17" spans="3:11" ht="39" customHeight="1" x14ac:dyDescent="0.2">
      <c r="C17" s="135"/>
      <c r="D17" s="307" t="s">
        <v>170</v>
      </c>
      <c r="E17" s="309" t="s">
        <v>171</v>
      </c>
      <c r="F17" s="310"/>
    </row>
    <row r="18" spans="3:11" ht="15" x14ac:dyDescent="0.25">
      <c r="C18" s="135"/>
      <c r="D18" s="307"/>
      <c r="E18" s="139"/>
      <c r="F18" s="140" t="s">
        <v>172</v>
      </c>
    </row>
    <row r="19" spans="3:11" x14ac:dyDescent="0.2">
      <c r="C19" s="135"/>
      <c r="D19" s="307" t="s">
        <v>173</v>
      </c>
      <c r="E19" s="141">
        <f>Parameters!D11</f>
        <v>216.39947175000003</v>
      </c>
      <c r="F19" s="137" t="s">
        <v>174</v>
      </c>
    </row>
    <row r="20" spans="3:11" ht="13.5" thickBot="1" x14ac:dyDescent="0.25">
      <c r="C20" s="142"/>
      <c r="D20" s="311"/>
      <c r="E20" s="143">
        <f>IFERROR((E19*(1-E18))/2000*E16,0)</f>
        <v>0</v>
      </c>
      <c r="F20" s="144" t="s">
        <v>175</v>
      </c>
    </row>
    <row r="21" spans="3:11" ht="13.5" thickBot="1" x14ac:dyDescent="0.25"/>
    <row r="22" spans="3:11" x14ac:dyDescent="0.2">
      <c r="C22" s="132" t="s">
        <v>176</v>
      </c>
      <c r="D22" s="133"/>
      <c r="E22" s="133"/>
      <c r="F22" s="134"/>
    </row>
    <row r="23" spans="3:11" x14ac:dyDescent="0.2">
      <c r="C23" s="135"/>
      <c r="D23" s="307" t="s">
        <v>177</v>
      </c>
      <c r="E23" s="145"/>
      <c r="F23" s="140" t="s">
        <v>18</v>
      </c>
    </row>
    <row r="24" spans="3:11" x14ac:dyDescent="0.2">
      <c r="C24" s="135"/>
      <c r="D24" s="307"/>
      <c r="E24" s="220">
        <f>'Overall Efficiency - Quarter 4'!E20/(1-0.06)+'Overall Efficiency - Quarter 4'!E21</f>
        <v>0</v>
      </c>
      <c r="F24" s="137" t="s">
        <v>178</v>
      </c>
    </row>
    <row r="25" spans="3:11" x14ac:dyDescent="0.2">
      <c r="C25" s="135"/>
      <c r="D25" s="307"/>
      <c r="E25" s="146" t="str">
        <f>IFERROR(VLOOKUP(E23,Parameters!B20:C21,2),"-")</f>
        <v>-</v>
      </c>
      <c r="F25" s="137" t="s">
        <v>179</v>
      </c>
    </row>
    <row r="26" spans="3:11" x14ac:dyDescent="0.2">
      <c r="C26" s="135"/>
      <c r="D26" s="307"/>
      <c r="E26" s="146" t="str">
        <f>IFERROR((E25/2000)*E24,"-")</f>
        <v>-</v>
      </c>
      <c r="F26" s="137" t="s">
        <v>175</v>
      </c>
    </row>
    <row r="27" spans="3:11" ht="25.5" customHeight="1" thickBot="1" x14ac:dyDescent="0.25">
      <c r="C27" s="135"/>
      <c r="D27" s="307" t="s">
        <v>180</v>
      </c>
      <c r="E27" s="147"/>
      <c r="F27" s="148" t="s">
        <v>181</v>
      </c>
    </row>
    <row r="28" spans="3:11" x14ac:dyDescent="0.2">
      <c r="C28" s="135"/>
      <c r="D28" s="307"/>
      <c r="E28" s="136">
        <f>'Overall Efficiency - Quarter 4'!E23</f>
        <v>0</v>
      </c>
      <c r="F28" s="137" t="s">
        <v>182</v>
      </c>
      <c r="H28" s="298" t="s">
        <v>183</v>
      </c>
      <c r="I28" s="299"/>
      <c r="J28" s="299"/>
      <c r="K28" s="300"/>
    </row>
    <row r="29" spans="3:11" x14ac:dyDescent="0.2">
      <c r="C29" s="135"/>
      <c r="D29" s="307"/>
      <c r="E29" s="149" t="str">
        <f>IFERROR(VLOOKUP(E27,Parameters!B12:D16,2),"-")</f>
        <v>-</v>
      </c>
      <c r="F29" s="140" t="s">
        <v>184</v>
      </c>
      <c r="H29" s="301"/>
      <c r="I29" s="302"/>
      <c r="J29" s="302"/>
      <c r="K29" s="303"/>
    </row>
    <row r="30" spans="3:11" ht="15" x14ac:dyDescent="0.25">
      <c r="C30" s="135"/>
      <c r="D30" s="307"/>
      <c r="E30" s="139"/>
      <c r="F30" s="140" t="s">
        <v>185</v>
      </c>
      <c r="H30" s="301"/>
      <c r="I30" s="302"/>
      <c r="J30" s="302"/>
      <c r="K30" s="303"/>
    </row>
    <row r="31" spans="3:11" ht="13.5" thickBot="1" x14ac:dyDescent="0.25">
      <c r="C31" s="135"/>
      <c r="D31" s="307"/>
      <c r="E31" s="146" t="str">
        <f>IFERROR(IF(OR(E30="",E30=0),E28/E29,E28/E30),"-")</f>
        <v>-</v>
      </c>
      <c r="F31" s="137" t="s">
        <v>186</v>
      </c>
      <c r="H31" s="304"/>
      <c r="I31" s="305"/>
      <c r="J31" s="305"/>
      <c r="K31" s="306"/>
    </row>
    <row r="32" spans="3:11" x14ac:dyDescent="0.2">
      <c r="C32" s="135"/>
      <c r="D32" s="307"/>
      <c r="E32" s="150" t="str">
        <f>IFERROR(VLOOKUP(E27,Parameters!B12:D16,3),"-")</f>
        <v>-</v>
      </c>
      <c r="F32" s="137" t="s">
        <v>187</v>
      </c>
    </row>
    <row r="33" spans="3:15" ht="13.5" thickBot="1" x14ac:dyDescent="0.25">
      <c r="C33" s="142"/>
      <c r="D33" s="311"/>
      <c r="E33" s="151" t="str">
        <f>IFERROR(E31*(E32/2000),"-")</f>
        <v>-</v>
      </c>
      <c r="F33" s="144" t="s">
        <v>175</v>
      </c>
    </row>
    <row r="34" spans="3:15" ht="13.5" thickBot="1" x14ac:dyDescent="0.25"/>
    <row r="35" spans="3:15" x14ac:dyDescent="0.2">
      <c r="C35" s="132" t="s">
        <v>188</v>
      </c>
      <c r="D35" s="133"/>
      <c r="E35" s="133"/>
      <c r="F35" s="134"/>
    </row>
    <row r="36" spans="3:15" x14ac:dyDescent="0.2">
      <c r="C36" s="135"/>
      <c r="D36" s="307" t="s">
        <v>124</v>
      </c>
      <c r="E36" s="146" t="str">
        <f>IFERROR(E20-E26-E33,"-")</f>
        <v>-</v>
      </c>
      <c r="F36" s="137" t="s">
        <v>175</v>
      </c>
      <c r="L36" s="129"/>
      <c r="M36" s="129"/>
      <c r="N36" s="129"/>
      <c r="O36" s="129"/>
    </row>
    <row r="37" spans="3:15" x14ac:dyDescent="0.2">
      <c r="C37" s="135"/>
      <c r="D37" s="307"/>
      <c r="E37" s="152" t="str">
        <f>IFERROR(E36/E20,"-")</f>
        <v>-</v>
      </c>
      <c r="F37" s="137" t="s">
        <v>189</v>
      </c>
      <c r="K37" s="129"/>
      <c r="L37" s="129"/>
      <c r="M37" s="129"/>
      <c r="N37" s="129"/>
      <c r="O37" s="129"/>
    </row>
    <row r="38" spans="3:15" x14ac:dyDescent="0.2">
      <c r="C38" s="135"/>
      <c r="D38" s="153"/>
      <c r="E38" s="154"/>
      <c r="F38" s="155"/>
      <c r="K38" s="129"/>
      <c r="L38" s="129"/>
      <c r="M38" s="129"/>
      <c r="N38" s="129"/>
      <c r="O38" s="129"/>
    </row>
    <row r="39" spans="3:15" x14ac:dyDescent="0.2">
      <c r="C39" s="135"/>
      <c r="D39" s="156" t="s">
        <v>190</v>
      </c>
      <c r="E39" s="157"/>
      <c r="F39" s="155"/>
      <c r="H39" s="129"/>
      <c r="I39" s="129"/>
      <c r="J39" s="129"/>
      <c r="K39" s="129"/>
      <c r="L39" s="129"/>
      <c r="M39" s="129"/>
      <c r="N39" s="129"/>
      <c r="O39" s="129"/>
    </row>
    <row r="40" spans="3:15" ht="12.75" customHeight="1" x14ac:dyDescent="0.2">
      <c r="C40" s="135"/>
      <c r="D40" s="158" t="s">
        <v>191</v>
      </c>
      <c r="E40" s="222" t="str">
        <f>IFERROR('Fuel Report'!G11/('Fuel Report'!G11+'Fuel Report'!G12),"-")</f>
        <v>-</v>
      </c>
      <c r="F40" s="140" t="s">
        <v>192</v>
      </c>
      <c r="H40" s="308"/>
      <c r="I40" s="308"/>
      <c r="J40" s="308"/>
      <c r="K40" s="308"/>
      <c r="L40" s="159"/>
      <c r="M40" s="159"/>
      <c r="N40" s="159"/>
      <c r="O40" s="159"/>
    </row>
    <row r="41" spans="3:15" ht="15" x14ac:dyDescent="0.2">
      <c r="C41" s="135"/>
      <c r="D41" s="158" t="s">
        <v>193</v>
      </c>
      <c r="E41" s="223" t="str">
        <f>IFERROR(1-E40,"-")</f>
        <v>-</v>
      </c>
      <c r="F41" s="140" t="s">
        <v>192</v>
      </c>
      <c r="H41" s="308"/>
      <c r="I41" s="308"/>
      <c r="J41" s="308"/>
      <c r="K41" s="308"/>
      <c r="L41" s="159"/>
      <c r="M41" s="159"/>
      <c r="N41" s="159"/>
      <c r="O41" s="159"/>
    </row>
    <row r="42" spans="3:15" ht="15" x14ac:dyDescent="0.25">
      <c r="C42" s="135"/>
      <c r="D42" s="160"/>
      <c r="E42" s="161"/>
      <c r="F42" s="162"/>
      <c r="H42" s="308"/>
      <c r="I42" s="308"/>
      <c r="J42" s="308"/>
      <c r="K42" s="308"/>
      <c r="L42" s="159"/>
      <c r="M42" s="159"/>
      <c r="N42" s="159"/>
      <c r="O42" s="159"/>
    </row>
    <row r="43" spans="3:15" x14ac:dyDescent="0.2">
      <c r="C43" s="135"/>
      <c r="D43" s="163" t="s">
        <v>194</v>
      </c>
      <c r="E43" s="129"/>
      <c r="F43" s="155"/>
      <c r="H43" s="308"/>
      <c r="I43" s="308"/>
      <c r="J43" s="308"/>
      <c r="K43" s="308"/>
      <c r="L43" s="159"/>
      <c r="M43" s="159"/>
      <c r="N43" s="159"/>
      <c r="O43" s="159"/>
    </row>
    <row r="44" spans="3:15" ht="27.75" customHeight="1" thickBot="1" x14ac:dyDescent="0.25">
      <c r="C44" s="164"/>
      <c r="D44" s="165" t="s">
        <v>195</v>
      </c>
      <c r="E44" s="166" t="str">
        <f>IFERROR(1+('GHG Model - Residues'!T46*$E$40)+('GHG Model - Forest Thinnings'!T45*$E$41),"-")</f>
        <v>-</v>
      </c>
      <c r="F44" s="167" t="s">
        <v>196</v>
      </c>
      <c r="L44" s="159"/>
      <c r="M44" s="159"/>
      <c r="N44" s="159"/>
      <c r="O44" s="159"/>
    </row>
  </sheetData>
  <sheetProtection password="C24F" sheet="1" objects="1" scenarios="1"/>
  <protectedRanges>
    <protectedRange sqref="E18 E23 E27 E30 H28 H40" name="Range1"/>
    <protectedRange sqref="E40" name="Range1_2"/>
  </protectedRanges>
  <mergeCells count="15">
    <mergeCell ref="H28:K31"/>
    <mergeCell ref="D36:D37"/>
    <mergeCell ref="H40:K43"/>
    <mergeCell ref="D14:D16"/>
    <mergeCell ref="D17:D18"/>
    <mergeCell ref="E17:F17"/>
    <mergeCell ref="D19:D20"/>
    <mergeCell ref="D23:D26"/>
    <mergeCell ref="D27:D33"/>
    <mergeCell ref="C2:F2"/>
    <mergeCell ref="C3:F3"/>
    <mergeCell ref="C4:F4"/>
    <mergeCell ref="C5:F5"/>
    <mergeCell ref="B9:D9"/>
    <mergeCell ref="E9:F9"/>
  </mergeCells>
  <conditionalFormatting sqref="E9:F9">
    <cfRule type="cellIs" dxfId="19" priority="8" operator="equal">
      <formula>0</formula>
    </cfRule>
  </conditionalFormatting>
  <conditionalFormatting sqref="E15">
    <cfRule type="cellIs" dxfId="18" priority="6" operator="equal">
      <formula>0</formula>
    </cfRule>
  </conditionalFormatting>
  <conditionalFormatting sqref="E14">
    <cfRule type="cellIs" dxfId="17" priority="7" operator="equal">
      <formula>0</formula>
    </cfRule>
  </conditionalFormatting>
  <conditionalFormatting sqref="E26">
    <cfRule type="cellIs" dxfId="16" priority="5" operator="equal">
      <formula>0</formula>
    </cfRule>
  </conditionalFormatting>
  <conditionalFormatting sqref="E20">
    <cfRule type="cellIs" dxfId="15" priority="4" operator="equal">
      <formula>0</formula>
    </cfRule>
  </conditionalFormatting>
  <conditionalFormatting sqref="E16">
    <cfRule type="cellIs" dxfId="14" priority="3" operator="equal">
      <formula>0</formula>
    </cfRule>
  </conditionalFormatting>
  <conditionalFormatting sqref="E24">
    <cfRule type="cellIs" dxfId="13" priority="2" operator="equal">
      <formula>0</formula>
    </cfRule>
  </conditionalFormatting>
  <conditionalFormatting sqref="E28">
    <cfRule type="cellIs" dxfId="12" priority="1" operator="equal">
      <formula>0</formula>
    </cfRule>
  </conditionalFormatting>
  <dataValidations count="3">
    <dataValidation type="list" allowBlank="1" showInputMessage="1" showErrorMessage="1" sqref="E27">
      <formula1>ConventionalFuelList</formula1>
    </dataValidation>
    <dataValidation type="list" allowBlank="1" showInputMessage="1" showErrorMessage="1" sqref="E23">
      <formula1>ElectricGeneration</formula1>
    </dataValidation>
    <dataValidation type="decimal" allowBlank="1" showInputMessage="1" showErrorMessage="1" sqref="E18 E3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3" tint="0.39997558519241921"/>
    <pageSetUpPr fitToPage="1"/>
  </sheetPr>
  <dimension ref="B1:O44"/>
  <sheetViews>
    <sheetView workbookViewId="0"/>
  </sheetViews>
  <sheetFormatPr defaultRowHeight="12.75" x14ac:dyDescent="0.2"/>
  <cols>
    <col min="1" max="1" width="2.5703125" style="125" customWidth="1"/>
    <col min="2" max="2" width="5.42578125" style="125" customWidth="1"/>
    <col min="3" max="3" width="10.85546875" style="125" customWidth="1"/>
    <col min="4" max="4" width="27.140625" style="125" customWidth="1"/>
    <col min="5" max="5" width="28" style="125" customWidth="1"/>
    <col min="6" max="6" width="38.28515625" style="125" customWidth="1"/>
    <col min="7" max="7" width="2.5703125" style="125" customWidth="1"/>
    <col min="8" max="8" width="12" style="125" bestFit="1" customWidth="1"/>
    <col min="9" max="10" width="9.140625" style="125"/>
    <col min="11" max="11" width="9.85546875" style="125" customWidth="1"/>
    <col min="12" max="16384" width="9.140625" style="125"/>
  </cols>
  <sheetData>
    <row r="1" spans="2:8" ht="13.5" thickBot="1" x14ac:dyDescent="0.25"/>
    <row r="2" spans="2:8" x14ac:dyDescent="0.2">
      <c r="C2" s="285" t="s">
        <v>11</v>
      </c>
      <c r="D2" s="286"/>
      <c r="E2" s="286"/>
      <c r="F2" s="287"/>
      <c r="G2" s="126"/>
    </row>
    <row r="3" spans="2:8" x14ac:dyDescent="0.2">
      <c r="C3" s="288" t="s">
        <v>0</v>
      </c>
      <c r="D3" s="289"/>
      <c r="E3" s="289"/>
      <c r="F3" s="290"/>
      <c r="G3" s="126"/>
    </row>
    <row r="4" spans="2:8" x14ac:dyDescent="0.2">
      <c r="C4" s="288"/>
      <c r="D4" s="289"/>
      <c r="E4" s="289"/>
      <c r="F4" s="290"/>
      <c r="G4" s="126"/>
    </row>
    <row r="5" spans="2:8" ht="13.5" thickBot="1" x14ac:dyDescent="0.25">
      <c r="C5" s="291" t="s">
        <v>201</v>
      </c>
      <c r="D5" s="292"/>
      <c r="E5" s="292"/>
      <c r="F5" s="293"/>
      <c r="G5" s="126"/>
    </row>
    <row r="7" spans="2:8" x14ac:dyDescent="0.2">
      <c r="H7" s="214"/>
    </row>
    <row r="8" spans="2:8" ht="13.5" thickBot="1" x14ac:dyDescent="0.25">
      <c r="H8" s="128" t="s">
        <v>14</v>
      </c>
    </row>
    <row r="9" spans="2:8" ht="13.5" thickBot="1" x14ac:dyDescent="0.25">
      <c r="B9" s="294" t="s">
        <v>100</v>
      </c>
      <c r="C9" s="294"/>
      <c r="D9" s="295"/>
      <c r="E9" s="296">
        <f>Certification!C12</f>
        <v>0</v>
      </c>
      <c r="F9" s="297"/>
      <c r="H9" s="129"/>
    </row>
    <row r="10" spans="2:8" x14ac:dyDescent="0.2">
      <c r="H10" s="129"/>
    </row>
    <row r="11" spans="2:8" x14ac:dyDescent="0.2">
      <c r="C11" s="130" t="s">
        <v>166</v>
      </c>
      <c r="H11" s="131"/>
    </row>
    <row r="12" spans="2:8" ht="13.5" thickBot="1" x14ac:dyDescent="0.25">
      <c r="H12" s="129"/>
    </row>
    <row r="13" spans="2:8" x14ac:dyDescent="0.2">
      <c r="C13" s="132" t="s">
        <v>167</v>
      </c>
      <c r="D13" s="133"/>
      <c r="E13" s="133"/>
      <c r="F13" s="134"/>
    </row>
    <row r="14" spans="2:8" x14ac:dyDescent="0.2">
      <c r="C14" s="135"/>
      <c r="D14" s="307" t="s">
        <v>168</v>
      </c>
      <c r="E14" s="136">
        <f>'Overall Efficiency - Annual'!E14</f>
        <v>0</v>
      </c>
      <c r="F14" s="137" t="s">
        <v>16</v>
      </c>
    </row>
    <row r="15" spans="2:8" x14ac:dyDescent="0.2">
      <c r="C15" s="135"/>
      <c r="D15" s="307"/>
      <c r="E15" s="138" t="str">
        <f>'Overall Efficiency - Annual'!E16</f>
        <v>-</v>
      </c>
      <c r="F15" s="137" t="str">
        <f>'Overall Efficiency - Quarter 1'!F16</f>
        <v>-</v>
      </c>
    </row>
    <row r="16" spans="2:8" x14ac:dyDescent="0.2">
      <c r="C16" s="135"/>
      <c r="D16" s="307"/>
      <c r="E16" s="138" t="str">
        <f>IFERROR('Overall Efficiency - Annual'!E15/1000000*'Overall Efficiency - Annual'!E16*2000,"-")</f>
        <v>-</v>
      </c>
      <c r="F16" s="137" t="s">
        <v>169</v>
      </c>
    </row>
    <row r="17" spans="3:11" ht="39" customHeight="1" x14ac:dyDescent="0.2">
      <c r="C17" s="135"/>
      <c r="D17" s="307" t="s">
        <v>170</v>
      </c>
      <c r="E17" s="309" t="s">
        <v>171</v>
      </c>
      <c r="F17" s="310"/>
    </row>
    <row r="18" spans="3:11" ht="15" x14ac:dyDescent="0.25">
      <c r="C18" s="135"/>
      <c r="D18" s="307"/>
      <c r="E18" s="221">
        <f>AVERAGE('GHG Analysis - Quarter 1'!E18+'GHG Analysis - Quarter 2'!E18+'GHG Analysis - Quarter 3'!E18+'GHG Analysis - Quarter 4'!E18)</f>
        <v>0</v>
      </c>
      <c r="F18" s="140" t="s">
        <v>172</v>
      </c>
    </row>
    <row r="19" spans="3:11" x14ac:dyDescent="0.2">
      <c r="C19" s="135"/>
      <c r="D19" s="307" t="s">
        <v>173</v>
      </c>
      <c r="E19" s="141">
        <f>Parameters!D11</f>
        <v>216.39947175000003</v>
      </c>
      <c r="F19" s="137" t="s">
        <v>174</v>
      </c>
    </row>
    <row r="20" spans="3:11" ht="13.5" thickBot="1" x14ac:dyDescent="0.25">
      <c r="C20" s="142"/>
      <c r="D20" s="311"/>
      <c r="E20" s="143">
        <f>IFERROR((E19*(1-E18))/2000*E16,0)</f>
        <v>0</v>
      </c>
      <c r="F20" s="144" t="s">
        <v>175</v>
      </c>
    </row>
    <row r="21" spans="3:11" ht="13.5" thickBot="1" x14ac:dyDescent="0.25"/>
    <row r="22" spans="3:11" x14ac:dyDescent="0.2">
      <c r="C22" s="132" t="s">
        <v>176</v>
      </c>
      <c r="D22" s="133"/>
      <c r="E22" s="133"/>
      <c r="F22" s="134"/>
    </row>
    <row r="23" spans="3:11" x14ac:dyDescent="0.2">
      <c r="C23" s="135"/>
      <c r="D23" s="307" t="s">
        <v>177</v>
      </c>
      <c r="E23" s="228">
        <f>'GHG Analysis - Quarter 1'!E23</f>
        <v>0</v>
      </c>
      <c r="F23" s="140" t="s">
        <v>18</v>
      </c>
    </row>
    <row r="24" spans="3:11" x14ac:dyDescent="0.2">
      <c r="C24" s="135"/>
      <c r="D24" s="307"/>
      <c r="E24" s="220">
        <f>'Overall Efficiency - Annual'!E20/(1-0.06)+'Overall Efficiency - Annual'!E21</f>
        <v>0</v>
      </c>
      <c r="F24" s="137" t="s">
        <v>178</v>
      </c>
    </row>
    <row r="25" spans="3:11" x14ac:dyDescent="0.2">
      <c r="C25" s="135"/>
      <c r="D25" s="307"/>
      <c r="E25" s="146" t="str">
        <f>IFERROR(VLOOKUP(E23,Parameters!B20:C21,2),"-")</f>
        <v>-</v>
      </c>
      <c r="F25" s="137" t="s">
        <v>179</v>
      </c>
    </row>
    <row r="26" spans="3:11" x14ac:dyDescent="0.2">
      <c r="C26" s="135"/>
      <c r="D26" s="307"/>
      <c r="E26" s="146" t="str">
        <f>IFERROR((E25/2000)*E24,"-")</f>
        <v>-</v>
      </c>
      <c r="F26" s="137" t="s">
        <v>175</v>
      </c>
    </row>
    <row r="27" spans="3:11" ht="25.5" customHeight="1" thickBot="1" x14ac:dyDescent="0.25">
      <c r="C27" s="135"/>
      <c r="D27" s="307" t="s">
        <v>180</v>
      </c>
      <c r="E27" s="229">
        <f>'GHG Analysis - Quarter 1'!E27</f>
        <v>0</v>
      </c>
      <c r="F27" s="148" t="s">
        <v>181</v>
      </c>
    </row>
    <row r="28" spans="3:11" x14ac:dyDescent="0.2">
      <c r="C28" s="135"/>
      <c r="D28" s="307"/>
      <c r="E28" s="220">
        <f>'Overall Efficiency - Annual'!E23</f>
        <v>0</v>
      </c>
      <c r="F28" s="137" t="s">
        <v>182</v>
      </c>
      <c r="H28" s="312" t="s">
        <v>183</v>
      </c>
      <c r="I28" s="313"/>
      <c r="J28" s="313"/>
      <c r="K28" s="314"/>
    </row>
    <row r="29" spans="3:11" x14ac:dyDescent="0.2">
      <c r="C29" s="135"/>
      <c r="D29" s="307"/>
      <c r="E29" s="149" t="str">
        <f>IFERROR(VLOOKUP(E27,Parameters!B12:D16,2),"-")</f>
        <v>-</v>
      </c>
      <c r="F29" s="140" t="s">
        <v>184</v>
      </c>
      <c r="H29" s="315"/>
      <c r="I29" s="316"/>
      <c r="J29" s="316"/>
      <c r="K29" s="317"/>
    </row>
    <row r="30" spans="3:11" ht="15" x14ac:dyDescent="0.25">
      <c r="C30" s="135"/>
      <c r="D30" s="307"/>
      <c r="E30" s="221">
        <f>'GHG Analysis - Quarter 1'!E30</f>
        <v>0</v>
      </c>
      <c r="F30" s="140" t="s">
        <v>185</v>
      </c>
      <c r="H30" s="315"/>
      <c r="I30" s="316"/>
      <c r="J30" s="316"/>
      <c r="K30" s="317"/>
    </row>
    <row r="31" spans="3:11" ht="13.5" thickBot="1" x14ac:dyDescent="0.25">
      <c r="C31" s="135"/>
      <c r="D31" s="307"/>
      <c r="E31" s="146" t="str">
        <f>IFERROR(IF(OR(E30="",E30=0),E28/E29,E28/E30),"-")</f>
        <v>-</v>
      </c>
      <c r="F31" s="137" t="s">
        <v>186</v>
      </c>
      <c r="H31" s="318"/>
      <c r="I31" s="319"/>
      <c r="J31" s="319"/>
      <c r="K31" s="320"/>
    </row>
    <row r="32" spans="3:11" x14ac:dyDescent="0.2">
      <c r="C32" s="135"/>
      <c r="D32" s="307"/>
      <c r="E32" s="150" t="str">
        <f>IFERROR(VLOOKUP(E27,Parameters!B12:D16,3),"-")</f>
        <v>-</v>
      </c>
      <c r="F32" s="137" t="s">
        <v>187</v>
      </c>
    </row>
    <row r="33" spans="3:15" ht="13.5" thickBot="1" x14ac:dyDescent="0.25">
      <c r="C33" s="142"/>
      <c r="D33" s="311"/>
      <c r="E33" s="151" t="str">
        <f>IFERROR(E31*(E32/2000),"-")</f>
        <v>-</v>
      </c>
      <c r="F33" s="144" t="s">
        <v>175</v>
      </c>
    </row>
    <row r="34" spans="3:15" ht="13.5" thickBot="1" x14ac:dyDescent="0.25"/>
    <row r="35" spans="3:15" x14ac:dyDescent="0.2">
      <c r="C35" s="132" t="s">
        <v>188</v>
      </c>
      <c r="D35" s="133"/>
      <c r="E35" s="133"/>
      <c r="F35" s="134"/>
    </row>
    <row r="36" spans="3:15" x14ac:dyDescent="0.2">
      <c r="C36" s="135"/>
      <c r="D36" s="307" t="s">
        <v>124</v>
      </c>
      <c r="E36" s="146" t="str">
        <f>IFERROR(E20-E26-E33,"-")</f>
        <v>-</v>
      </c>
      <c r="F36" s="137" t="s">
        <v>175</v>
      </c>
      <c r="L36" s="129"/>
      <c r="M36" s="129"/>
      <c r="N36" s="129"/>
      <c r="O36" s="129"/>
    </row>
    <row r="37" spans="3:15" x14ac:dyDescent="0.2">
      <c r="C37" s="135"/>
      <c r="D37" s="307"/>
      <c r="E37" s="152" t="str">
        <f>IFERROR(E36/E20,"-")</f>
        <v>-</v>
      </c>
      <c r="F37" s="137" t="s">
        <v>189</v>
      </c>
      <c r="K37" s="129"/>
      <c r="L37" s="129"/>
      <c r="M37" s="129"/>
      <c r="N37" s="129"/>
      <c r="O37" s="129"/>
    </row>
    <row r="38" spans="3:15" x14ac:dyDescent="0.2">
      <c r="C38" s="135"/>
      <c r="D38" s="153"/>
      <c r="E38" s="154"/>
      <c r="F38" s="155"/>
      <c r="K38" s="129"/>
      <c r="L38" s="129"/>
      <c r="M38" s="129"/>
      <c r="N38" s="129"/>
      <c r="O38" s="129"/>
    </row>
    <row r="39" spans="3:15" x14ac:dyDescent="0.2">
      <c r="C39" s="135"/>
      <c r="D39" s="156" t="s">
        <v>190</v>
      </c>
      <c r="E39" s="157"/>
      <c r="F39" s="155"/>
      <c r="H39" s="129"/>
      <c r="I39" s="129"/>
      <c r="J39" s="129"/>
      <c r="K39" s="129"/>
      <c r="L39" s="129"/>
      <c r="M39" s="129"/>
      <c r="N39" s="129"/>
      <c r="O39" s="129"/>
    </row>
    <row r="40" spans="3:15" ht="12.75" customHeight="1" x14ac:dyDescent="0.2">
      <c r="C40" s="135"/>
      <c r="D40" s="158" t="s">
        <v>191</v>
      </c>
      <c r="E40" s="222" t="str">
        <f>IFERROR('Fuel Report'!H11/('Fuel Report'!H11+'Fuel Report'!H12),"-")</f>
        <v>-</v>
      </c>
      <c r="F40" s="140" t="s">
        <v>192</v>
      </c>
      <c r="H40" s="308"/>
      <c r="I40" s="308"/>
      <c r="J40" s="308"/>
      <c r="K40" s="308"/>
      <c r="L40" s="159"/>
      <c r="M40" s="159"/>
      <c r="N40" s="159"/>
      <c r="O40" s="159"/>
    </row>
    <row r="41" spans="3:15" ht="15" x14ac:dyDescent="0.2">
      <c r="C41" s="135"/>
      <c r="D41" s="158" t="s">
        <v>193</v>
      </c>
      <c r="E41" s="223" t="str">
        <f>IFERROR(1-E40,"-")</f>
        <v>-</v>
      </c>
      <c r="F41" s="140" t="s">
        <v>192</v>
      </c>
      <c r="H41" s="308"/>
      <c r="I41" s="308"/>
      <c r="J41" s="308"/>
      <c r="K41" s="308"/>
      <c r="L41" s="159"/>
      <c r="M41" s="159"/>
      <c r="N41" s="159"/>
      <c r="O41" s="159"/>
    </row>
    <row r="42" spans="3:15" ht="15" x14ac:dyDescent="0.25">
      <c r="C42" s="135"/>
      <c r="D42" s="160"/>
      <c r="E42" s="161"/>
      <c r="F42" s="162"/>
      <c r="H42" s="308"/>
      <c r="I42" s="308"/>
      <c r="J42" s="308"/>
      <c r="K42" s="308"/>
      <c r="L42" s="159"/>
      <c r="M42" s="159"/>
      <c r="N42" s="159"/>
      <c r="O42" s="159"/>
    </row>
    <row r="43" spans="3:15" x14ac:dyDescent="0.2">
      <c r="C43" s="135"/>
      <c r="D43" s="163" t="s">
        <v>194</v>
      </c>
      <c r="E43" s="129"/>
      <c r="F43" s="155"/>
      <c r="H43" s="308"/>
      <c r="I43" s="308"/>
      <c r="J43" s="308"/>
      <c r="K43" s="308"/>
      <c r="L43" s="159"/>
      <c r="M43" s="159"/>
      <c r="N43" s="159"/>
      <c r="O43" s="159"/>
    </row>
    <row r="44" spans="3:15" ht="27.75" customHeight="1" thickBot="1" x14ac:dyDescent="0.25">
      <c r="C44" s="164"/>
      <c r="D44" s="165" t="s">
        <v>195</v>
      </c>
      <c r="E44" s="166" t="str">
        <f>IFERROR(1+('GHG Model - Residues'!Y46*$E$40)+('GHG Model - Forest Thinnings'!Y45*$E$41),"-")</f>
        <v>-</v>
      </c>
      <c r="F44" s="167" t="s">
        <v>196</v>
      </c>
      <c r="L44" s="159"/>
      <c r="M44" s="159"/>
      <c r="N44" s="159"/>
      <c r="O44" s="159"/>
    </row>
  </sheetData>
  <sheetProtection password="C24F" sheet="1" objects="1" scenarios="1"/>
  <protectedRanges>
    <protectedRange sqref="E18 E23 E27 E30 H28 H40" name="Range1"/>
    <protectedRange sqref="E40" name="Range1_2"/>
  </protectedRanges>
  <mergeCells count="15">
    <mergeCell ref="H28:K31"/>
    <mergeCell ref="D36:D37"/>
    <mergeCell ref="H40:K43"/>
    <mergeCell ref="D14:D16"/>
    <mergeCell ref="D17:D18"/>
    <mergeCell ref="E17:F17"/>
    <mergeCell ref="D19:D20"/>
    <mergeCell ref="D23:D26"/>
    <mergeCell ref="D27:D33"/>
    <mergeCell ref="C2:F2"/>
    <mergeCell ref="C3:F3"/>
    <mergeCell ref="C4:F4"/>
    <mergeCell ref="C5:F5"/>
    <mergeCell ref="B9:D9"/>
    <mergeCell ref="E9:F9"/>
  </mergeCells>
  <conditionalFormatting sqref="E9:F9">
    <cfRule type="cellIs" dxfId="11" priority="12" operator="equal">
      <formula>0</formula>
    </cfRule>
  </conditionalFormatting>
  <conditionalFormatting sqref="E15">
    <cfRule type="cellIs" dxfId="10" priority="10" operator="equal">
      <formula>0</formula>
    </cfRule>
  </conditionalFormatting>
  <conditionalFormatting sqref="E14">
    <cfRule type="cellIs" dxfId="9" priority="11" operator="equal">
      <formula>0</formula>
    </cfRule>
  </conditionalFormatting>
  <conditionalFormatting sqref="E26">
    <cfRule type="cellIs" dxfId="8" priority="9" operator="equal">
      <formula>0</formula>
    </cfRule>
  </conditionalFormatting>
  <conditionalFormatting sqref="E20">
    <cfRule type="cellIs" dxfId="7" priority="8" operator="equal">
      <formula>0</formula>
    </cfRule>
  </conditionalFormatting>
  <conditionalFormatting sqref="E16">
    <cfRule type="cellIs" dxfId="6" priority="7" operator="equal">
      <formula>0</formula>
    </cfRule>
  </conditionalFormatting>
  <conditionalFormatting sqref="E24">
    <cfRule type="cellIs" dxfId="5" priority="6" operator="equal">
      <formula>0</formula>
    </cfRule>
  </conditionalFormatting>
  <conditionalFormatting sqref="E28">
    <cfRule type="cellIs" dxfId="4" priority="5" operator="equal">
      <formula>0</formula>
    </cfRule>
  </conditionalFormatting>
  <conditionalFormatting sqref="E18">
    <cfRule type="cellIs" dxfId="3" priority="4" operator="equal">
      <formula>0</formula>
    </cfRule>
  </conditionalFormatting>
  <conditionalFormatting sqref="E23">
    <cfRule type="cellIs" dxfId="2" priority="3" operator="equal">
      <formula>0</formula>
    </cfRule>
  </conditionalFormatting>
  <conditionalFormatting sqref="E27">
    <cfRule type="cellIs" dxfId="1" priority="2" operator="equal">
      <formula>0</formula>
    </cfRule>
  </conditionalFormatting>
  <conditionalFormatting sqref="E30">
    <cfRule type="cellIs" dxfId="0" priority="1" operator="equal">
      <formula>0</formula>
    </cfRule>
  </conditionalFormatting>
  <dataValidations count="1">
    <dataValidation type="decimal" allowBlank="1" showInputMessage="1" showErrorMessage="1" sqref="E18 E3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I41"/>
  <sheetViews>
    <sheetView workbookViewId="0"/>
  </sheetViews>
  <sheetFormatPr defaultRowHeight="12.75" x14ac:dyDescent="0.2"/>
  <cols>
    <col min="1" max="1" width="3.42578125" style="90" customWidth="1"/>
    <col min="2" max="2" width="27" style="90" customWidth="1"/>
    <col min="3" max="9" width="17.7109375" style="90" customWidth="1"/>
    <col min="10" max="16384" width="9.140625" style="90"/>
  </cols>
  <sheetData>
    <row r="2" spans="2:6" x14ac:dyDescent="0.2">
      <c r="B2" s="89" t="s">
        <v>45</v>
      </c>
    </row>
    <row r="3" spans="2:6" ht="13.5" thickBot="1" x14ac:dyDescent="0.25"/>
    <row r="4" spans="2:6" ht="41.25" customHeight="1" x14ac:dyDescent="0.2">
      <c r="B4" s="168" t="s">
        <v>46</v>
      </c>
      <c r="C4" s="169" t="s">
        <v>47</v>
      </c>
      <c r="D4" s="321" t="s">
        <v>48</v>
      </c>
      <c r="E4" s="322"/>
    </row>
    <row r="5" spans="2:6" x14ac:dyDescent="0.2">
      <c r="B5" s="170" t="s">
        <v>17</v>
      </c>
      <c r="C5" s="171" t="s">
        <v>49</v>
      </c>
      <c r="D5" s="172">
        <v>6800</v>
      </c>
      <c r="E5" s="173" t="s">
        <v>31</v>
      </c>
    </row>
    <row r="6" spans="2:6" x14ac:dyDescent="0.2">
      <c r="B6" s="170" t="s">
        <v>50</v>
      </c>
      <c r="C6" s="171" t="s">
        <v>51</v>
      </c>
      <c r="D6" s="172">
        <v>4250</v>
      </c>
      <c r="E6" s="173" t="s">
        <v>31</v>
      </c>
    </row>
    <row r="7" spans="2:6" ht="13.5" thickBot="1" x14ac:dyDescent="0.25">
      <c r="B7" s="174" t="s">
        <v>52</v>
      </c>
      <c r="C7" s="175" t="s">
        <v>49</v>
      </c>
      <c r="D7" s="176">
        <v>8000</v>
      </c>
      <c r="E7" s="177" t="s">
        <v>31</v>
      </c>
    </row>
    <row r="9" spans="2:6" ht="13.5" thickBot="1" x14ac:dyDescent="0.25"/>
    <row r="10" spans="2:6" ht="39" thickBot="1" x14ac:dyDescent="0.25">
      <c r="B10" s="178" t="s">
        <v>53</v>
      </c>
      <c r="C10" s="179" t="s">
        <v>54</v>
      </c>
      <c r="D10" s="180" t="s">
        <v>55</v>
      </c>
      <c r="F10" s="98"/>
    </row>
    <row r="11" spans="2:6" x14ac:dyDescent="0.2">
      <c r="B11" s="181" t="s">
        <v>56</v>
      </c>
      <c r="C11" s="182" t="s">
        <v>57</v>
      </c>
      <c r="D11" s="183">
        <f>H26</f>
        <v>216.39947175000003</v>
      </c>
      <c r="E11" s="184" t="s">
        <v>58</v>
      </c>
    </row>
    <row r="12" spans="2:6" x14ac:dyDescent="0.2">
      <c r="B12" s="185" t="s">
        <v>59</v>
      </c>
      <c r="C12" s="186">
        <v>0.75</v>
      </c>
      <c r="D12" s="187">
        <f>H27</f>
        <v>200.50800000000001</v>
      </c>
      <c r="E12" s="184" t="s">
        <v>58</v>
      </c>
    </row>
    <row r="13" spans="2:6" x14ac:dyDescent="0.2">
      <c r="B13" s="185" t="s">
        <v>60</v>
      </c>
      <c r="C13" s="186">
        <v>0.75</v>
      </c>
      <c r="D13" s="187">
        <f>H28</f>
        <v>213.44400000000002</v>
      </c>
      <c r="E13" s="184" t="s">
        <v>58</v>
      </c>
    </row>
    <row r="14" spans="2:6" x14ac:dyDescent="0.2">
      <c r="B14" s="185" t="s">
        <v>61</v>
      </c>
      <c r="C14" s="186">
        <v>0.8</v>
      </c>
      <c r="D14" s="187">
        <f>H29</f>
        <v>158.06175000000002</v>
      </c>
      <c r="E14" s="184" t="s">
        <v>58</v>
      </c>
    </row>
    <row r="15" spans="2:6" x14ac:dyDescent="0.2">
      <c r="B15" s="185" t="s">
        <v>62</v>
      </c>
      <c r="C15" s="186">
        <v>0.85</v>
      </c>
      <c r="D15" s="187">
        <f>H29</f>
        <v>158.06175000000002</v>
      </c>
      <c r="E15" s="184" t="s">
        <v>58</v>
      </c>
    </row>
    <row r="16" spans="2:6" ht="13.5" thickBot="1" x14ac:dyDescent="0.25">
      <c r="B16" s="174" t="s">
        <v>63</v>
      </c>
      <c r="C16" s="188">
        <v>0.8</v>
      </c>
      <c r="D16" s="189">
        <f>63.07*2.205*(AVERAGE(31/25,23/17))</f>
        <v>180.29932200000002</v>
      </c>
      <c r="E16" s="190" t="s">
        <v>64</v>
      </c>
    </row>
    <row r="18" spans="2:9" ht="13.5" thickBot="1" x14ac:dyDescent="0.25"/>
    <row r="19" spans="2:9" ht="39" thickBot="1" x14ac:dyDescent="0.25">
      <c r="B19" s="178" t="s">
        <v>65</v>
      </c>
      <c r="C19" s="191" t="s">
        <v>66</v>
      </c>
    </row>
    <row r="20" spans="2:9" x14ac:dyDescent="0.2">
      <c r="B20" s="181" t="s">
        <v>67</v>
      </c>
      <c r="C20" s="192">
        <f>136*2.205*(44/12)</f>
        <v>1099.56</v>
      </c>
      <c r="D20" s="184" t="s">
        <v>68</v>
      </c>
    </row>
    <row r="21" spans="2:9" ht="13.5" thickBot="1" x14ac:dyDescent="0.25">
      <c r="B21" s="174" t="s">
        <v>69</v>
      </c>
      <c r="C21" s="193" t="s">
        <v>70</v>
      </c>
    </row>
    <row r="22" spans="2:9" x14ac:dyDescent="0.2">
      <c r="B22" s="194"/>
      <c r="C22" s="195"/>
    </row>
    <row r="23" spans="2:9" x14ac:dyDescent="0.2">
      <c r="B23" s="194"/>
      <c r="C23" s="195"/>
    </row>
    <row r="24" spans="2:9" ht="13.5" thickBot="1" x14ac:dyDescent="0.25">
      <c r="B24" s="89" t="s">
        <v>71</v>
      </c>
    </row>
    <row r="25" spans="2:9" ht="13.5" thickBot="1" x14ac:dyDescent="0.25">
      <c r="B25" s="196" t="s">
        <v>72</v>
      </c>
      <c r="C25" s="323" t="s">
        <v>73</v>
      </c>
      <c r="D25" s="323"/>
      <c r="E25" s="197" t="s">
        <v>74</v>
      </c>
      <c r="F25" s="323" t="s">
        <v>75</v>
      </c>
      <c r="G25" s="323"/>
      <c r="H25" s="323" t="s">
        <v>76</v>
      </c>
      <c r="I25" s="324"/>
    </row>
    <row r="26" spans="2:9" x14ac:dyDescent="0.2">
      <c r="B26" s="181" t="s">
        <v>56</v>
      </c>
      <c r="C26" s="198">
        <v>406</v>
      </c>
      <c r="D26" s="199" t="s">
        <v>77</v>
      </c>
      <c r="E26" s="200">
        <v>0.22500000000000001</v>
      </c>
      <c r="F26" s="201">
        <f>C26*E26</f>
        <v>91.350000000000009</v>
      </c>
      <c r="G26" s="199" t="s">
        <v>77</v>
      </c>
      <c r="H26" s="201">
        <f>F26*2.205*(44/12)*0.293</f>
        <v>216.39947175000003</v>
      </c>
      <c r="I26" s="202" t="s">
        <v>78</v>
      </c>
    </row>
    <row r="27" spans="2:9" x14ac:dyDescent="0.2">
      <c r="B27" s="185" t="s">
        <v>79</v>
      </c>
      <c r="C27" s="203">
        <v>31</v>
      </c>
      <c r="D27" s="204" t="s">
        <v>80</v>
      </c>
      <c r="E27" s="205">
        <v>0.8</v>
      </c>
      <c r="F27" s="201">
        <f>C27*E27</f>
        <v>24.8</v>
      </c>
      <c r="G27" s="204" t="s">
        <v>80</v>
      </c>
      <c r="H27" s="201">
        <f>F27*2.205*(44/12)</f>
        <v>200.50800000000001</v>
      </c>
      <c r="I27" s="202" t="s">
        <v>78</v>
      </c>
    </row>
    <row r="28" spans="2:9" x14ac:dyDescent="0.2">
      <c r="B28" s="185" t="s">
        <v>81</v>
      </c>
      <c r="C28" s="203">
        <v>33</v>
      </c>
      <c r="D28" s="204" t="s">
        <v>80</v>
      </c>
      <c r="E28" s="205">
        <v>0.8</v>
      </c>
      <c r="F28" s="201">
        <f>C28*E28</f>
        <v>26.400000000000002</v>
      </c>
      <c r="G28" s="204" t="s">
        <v>80</v>
      </c>
      <c r="H28" s="201">
        <f>F28*2.205*(44/12)</f>
        <v>213.44400000000002</v>
      </c>
      <c r="I28" s="202" t="s">
        <v>78</v>
      </c>
    </row>
    <row r="29" spans="2:9" ht="13.5" thickBot="1" x14ac:dyDescent="0.25">
      <c r="B29" s="174" t="s">
        <v>61</v>
      </c>
      <c r="C29" s="206">
        <v>23</v>
      </c>
      <c r="D29" s="207" t="s">
        <v>80</v>
      </c>
      <c r="E29" s="208">
        <v>0.85</v>
      </c>
      <c r="F29" s="209">
        <f>C29*E29</f>
        <v>19.55</v>
      </c>
      <c r="G29" s="207" t="s">
        <v>80</v>
      </c>
      <c r="H29" s="209">
        <f>F29*2.205*(44/12)</f>
        <v>158.06175000000002</v>
      </c>
      <c r="I29" s="210" t="s">
        <v>78</v>
      </c>
    </row>
    <row r="32" spans="2:9" x14ac:dyDescent="0.2">
      <c r="B32" s="89" t="s">
        <v>82</v>
      </c>
    </row>
    <row r="33" spans="2:9" x14ac:dyDescent="0.2">
      <c r="B33" s="98" t="s">
        <v>83</v>
      </c>
    </row>
    <row r="34" spans="2:9" ht="13.5" thickBot="1" x14ac:dyDescent="0.25"/>
    <row r="35" spans="2:9" ht="39" customHeight="1" thickBot="1" x14ac:dyDescent="0.25">
      <c r="B35" s="325" t="s">
        <v>84</v>
      </c>
      <c r="C35" s="191" t="s">
        <v>85</v>
      </c>
      <c r="D35" s="211"/>
      <c r="E35" s="327" t="s">
        <v>86</v>
      </c>
      <c r="F35" s="327"/>
      <c r="G35" s="327"/>
      <c r="H35" s="327"/>
      <c r="I35" s="212"/>
    </row>
    <row r="36" spans="2:9" ht="13.5" thickBot="1" x14ac:dyDescent="0.25">
      <c r="B36" s="326"/>
      <c r="C36" s="213">
        <v>5.5</v>
      </c>
      <c r="D36" s="211"/>
      <c r="E36" s="327"/>
      <c r="F36" s="327"/>
      <c r="G36" s="327"/>
      <c r="H36" s="327"/>
      <c r="I36" s="212"/>
    </row>
    <row r="37" spans="2:9" ht="13.5" thickBot="1" x14ac:dyDescent="0.25">
      <c r="B37" s="194"/>
      <c r="C37" s="214"/>
      <c r="D37" s="215"/>
      <c r="E37" s="327"/>
      <c r="F37" s="327"/>
      <c r="G37" s="327"/>
      <c r="H37" s="327"/>
      <c r="I37" s="212"/>
    </row>
    <row r="38" spans="2:9" x14ac:dyDescent="0.2">
      <c r="B38" s="325" t="s">
        <v>87</v>
      </c>
      <c r="C38" s="329" t="s">
        <v>88</v>
      </c>
      <c r="D38" s="330"/>
      <c r="E38" s="327"/>
      <c r="F38" s="327"/>
      <c r="G38" s="327"/>
      <c r="H38" s="327"/>
    </row>
    <row r="39" spans="2:9" x14ac:dyDescent="0.2">
      <c r="B39" s="328"/>
      <c r="C39" s="216" t="s">
        <v>89</v>
      </c>
      <c r="D39" s="217" t="s">
        <v>90</v>
      </c>
      <c r="E39" s="327"/>
      <c r="F39" s="327"/>
      <c r="G39" s="327"/>
      <c r="H39" s="327"/>
    </row>
    <row r="40" spans="2:9" ht="13.5" thickBot="1" x14ac:dyDescent="0.25">
      <c r="B40" s="326"/>
      <c r="C40" s="176">
        <v>1.1238999999999999</v>
      </c>
      <c r="D40" s="218">
        <v>-1.2E-2</v>
      </c>
      <c r="E40" s="327"/>
      <c r="F40" s="327"/>
      <c r="G40" s="327"/>
      <c r="H40" s="327"/>
    </row>
    <row r="41" spans="2:9" x14ac:dyDescent="0.2">
      <c r="B41" s="194"/>
      <c r="D41" s="219"/>
    </row>
  </sheetData>
  <sheetProtection password="C24F" sheet="1" objects="1" scenarios="1"/>
  <mergeCells count="8">
    <mergeCell ref="D4:E4"/>
    <mergeCell ref="C25:D25"/>
    <mergeCell ref="F25:G25"/>
    <mergeCell ref="H25:I25"/>
    <mergeCell ref="B35:B36"/>
    <mergeCell ref="E35:H40"/>
    <mergeCell ref="B38:B40"/>
    <mergeCell ref="C38:D38"/>
  </mergeCells>
  <pageMargins left="0.75" right="0.75" top="1" bottom="1" header="0.5" footer="0.5"/>
  <pageSetup orientation="portrait" horizontalDpi="200" verticalDpi="200"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46"/>
  <sheetViews>
    <sheetView topLeftCell="A5" workbookViewId="0">
      <selection activeCell="A5" sqref="A5"/>
    </sheetView>
  </sheetViews>
  <sheetFormatPr defaultRowHeight="12.75" x14ac:dyDescent="0.2"/>
  <cols>
    <col min="1" max="1" width="3.85546875" style="90" customWidth="1"/>
    <col min="2" max="3" width="9.140625" style="90"/>
    <col min="4" max="6" width="9.42578125" style="90" customWidth="1"/>
    <col min="7" max="19" width="9.140625" style="90"/>
    <col min="20" max="20" width="18.42578125" style="90" bestFit="1" customWidth="1"/>
    <col min="21" max="16384" width="9.140625" style="90"/>
  </cols>
  <sheetData>
    <row r="2" spans="2:25" x14ac:dyDescent="0.2">
      <c r="B2" s="89" t="s">
        <v>118</v>
      </c>
    </row>
    <row r="3" spans="2:25" x14ac:dyDescent="0.2">
      <c r="B3" s="89" t="s">
        <v>119</v>
      </c>
    </row>
    <row r="5" spans="2:25" x14ac:dyDescent="0.2">
      <c r="B5" s="89" t="s">
        <v>120</v>
      </c>
      <c r="D5" s="91"/>
    </row>
    <row r="6" spans="2:25" x14ac:dyDescent="0.2">
      <c r="C6" s="92" t="s">
        <v>121</v>
      </c>
      <c r="D6" s="93">
        <f>Parameters!C36</f>
        <v>5.5</v>
      </c>
      <c r="E6" s="94" t="s">
        <v>122</v>
      </c>
    </row>
    <row r="7" spans="2:25" x14ac:dyDescent="0.2">
      <c r="C7" s="92" t="s">
        <v>123</v>
      </c>
      <c r="D7" s="95">
        <f>-LN(0.5)/D6</f>
        <v>0.12602676010180824</v>
      </c>
    </row>
    <row r="8" spans="2:25" x14ac:dyDescent="0.2">
      <c r="C8" s="92"/>
      <c r="D8" s="95" t="s">
        <v>1</v>
      </c>
      <c r="G8" s="90" t="s">
        <v>2</v>
      </c>
      <c r="L8" s="90" t="s">
        <v>3</v>
      </c>
      <c r="Q8" s="90" t="s">
        <v>4</v>
      </c>
      <c r="V8" s="90" t="s">
        <v>113</v>
      </c>
    </row>
    <row r="9" spans="2:25" x14ac:dyDescent="0.2">
      <c r="C9" s="92" t="s">
        <v>124</v>
      </c>
      <c r="D9" s="96" t="str">
        <f>'GHG Analysis - Quarter 1'!$E$37</f>
        <v>-</v>
      </c>
      <c r="G9" s="96" t="str">
        <f>'GHG Analysis - Quarter 2'!$E$37</f>
        <v>-</v>
      </c>
      <c r="L9" s="96" t="str">
        <f>'GHG Analysis - Quarter 3'!$E$37</f>
        <v>-</v>
      </c>
      <c r="Q9" s="96" t="str">
        <f>'GHG Analysis - Quarter 4'!$E$37</f>
        <v>-</v>
      </c>
      <c r="V9" s="96" t="str">
        <f>'GHG Analysis - Annual'!$E$37</f>
        <v>-</v>
      </c>
    </row>
    <row r="10" spans="2:25" x14ac:dyDescent="0.2">
      <c r="C10" s="97" t="s">
        <v>125</v>
      </c>
      <c r="D10" s="90">
        <v>-1</v>
      </c>
      <c r="E10" s="98" t="s">
        <v>126</v>
      </c>
      <c r="G10" s="90">
        <v>-1</v>
      </c>
      <c r="L10" s="90">
        <v>-1</v>
      </c>
      <c r="Q10" s="90">
        <v>-1</v>
      </c>
      <c r="V10" s="90">
        <v>-1</v>
      </c>
    </row>
    <row r="11" spans="2:25" x14ac:dyDescent="0.2">
      <c r="C11" s="92" t="s">
        <v>127</v>
      </c>
      <c r="D11" s="99" t="e">
        <f>-D10/(D9-1)</f>
        <v>#VALUE!</v>
      </c>
      <c r="E11" s="98" t="s">
        <v>128</v>
      </c>
      <c r="G11" s="99" t="e">
        <f>-G10/(G9-1)</f>
        <v>#VALUE!</v>
      </c>
      <c r="L11" s="99" t="e">
        <f>-L10/(L9-1)</f>
        <v>#VALUE!</v>
      </c>
      <c r="Q11" s="99" t="e">
        <f>-Q10/(Q9-1)</f>
        <v>#VALUE!</v>
      </c>
      <c r="V11" s="99" t="e">
        <f>-V10/(V9-1)</f>
        <v>#VALUE!</v>
      </c>
    </row>
    <row r="12" spans="2:25" x14ac:dyDescent="0.2">
      <c r="C12" s="92"/>
      <c r="D12" s="99"/>
    </row>
    <row r="13" spans="2:25" x14ac:dyDescent="0.2">
      <c r="B13" s="90" t="s">
        <v>1</v>
      </c>
      <c r="C13" s="92"/>
      <c r="D13" s="99"/>
      <c r="G13" s="90" t="s">
        <v>2</v>
      </c>
      <c r="H13" s="92"/>
      <c r="I13" s="99"/>
      <c r="L13" s="90" t="s">
        <v>3</v>
      </c>
      <c r="M13" s="92"/>
      <c r="N13" s="99"/>
      <c r="Q13" s="90" t="s">
        <v>4</v>
      </c>
      <c r="R13" s="92"/>
      <c r="S13" s="99"/>
      <c r="V13" s="90" t="s">
        <v>113</v>
      </c>
      <c r="W13" s="92"/>
      <c r="X13" s="99"/>
    </row>
    <row r="14" spans="2:25" x14ac:dyDescent="0.2">
      <c r="B14" s="89" t="s">
        <v>129</v>
      </c>
      <c r="G14" s="89" t="s">
        <v>129</v>
      </c>
      <c r="L14" s="89" t="s">
        <v>129</v>
      </c>
      <c r="Q14" s="89" t="s">
        <v>129</v>
      </c>
      <c r="V14" s="89" t="s">
        <v>129</v>
      </c>
    </row>
    <row r="16" spans="2:25" ht="25.5" x14ac:dyDescent="0.2">
      <c r="B16" s="100" t="s">
        <v>130</v>
      </c>
      <c r="C16" s="100" t="s">
        <v>131</v>
      </c>
      <c r="D16" s="101" t="s">
        <v>132</v>
      </c>
      <c r="E16" s="101" t="s">
        <v>133</v>
      </c>
      <c r="F16" s="101"/>
      <c r="G16" s="100" t="s">
        <v>130</v>
      </c>
      <c r="H16" s="100" t="s">
        <v>131</v>
      </c>
      <c r="I16" s="101" t="s">
        <v>132</v>
      </c>
      <c r="J16" s="101" t="s">
        <v>133</v>
      </c>
      <c r="L16" s="100" t="s">
        <v>130</v>
      </c>
      <c r="M16" s="100" t="s">
        <v>131</v>
      </c>
      <c r="N16" s="101" t="s">
        <v>132</v>
      </c>
      <c r="O16" s="101" t="s">
        <v>133</v>
      </c>
      <c r="Q16" s="100" t="s">
        <v>130</v>
      </c>
      <c r="R16" s="100" t="s">
        <v>131</v>
      </c>
      <c r="S16" s="101" t="s">
        <v>132</v>
      </c>
      <c r="T16" s="101" t="s">
        <v>133</v>
      </c>
      <c r="V16" s="100" t="s">
        <v>130</v>
      </c>
      <c r="W16" s="100" t="s">
        <v>131</v>
      </c>
      <c r="X16" s="101" t="s">
        <v>132</v>
      </c>
      <c r="Y16" s="101" t="s">
        <v>133</v>
      </c>
    </row>
    <row r="17" spans="2:25" x14ac:dyDescent="0.2">
      <c r="B17" s="90">
        <v>1</v>
      </c>
      <c r="C17" s="102">
        <f>EXP(-'GHG Model - Residues'!$D$7*(B17-0.5))</f>
        <v>0.93893091066170631</v>
      </c>
      <c r="D17" s="103" t="e">
        <f>-$D$11*(1-C17)</f>
        <v>#VALUE!</v>
      </c>
      <c r="E17" s="224" t="e">
        <f>$D$11+D17</f>
        <v>#VALUE!</v>
      </c>
      <c r="G17" s="90">
        <v>1</v>
      </c>
      <c r="H17" s="102">
        <f>EXP(-'GHG Model - Residues'!$D$7*(G17-0.5))</f>
        <v>0.93893091066170631</v>
      </c>
      <c r="I17" s="103" t="e">
        <f t="shared" ref="I17:I23" si="0">-$G$11*(1-H17)</f>
        <v>#VALUE!</v>
      </c>
      <c r="J17" s="224" t="e">
        <f>$G$11+I17</f>
        <v>#VALUE!</v>
      </c>
      <c r="L17" s="90">
        <v>1</v>
      </c>
      <c r="M17" s="102">
        <f>EXP(-'GHG Model - Residues'!$D$7*(L17-0.5))</f>
        <v>0.93893091066170631</v>
      </c>
      <c r="N17" s="103" t="e">
        <f t="shared" ref="N17:N25" si="1">-$L$11*(1-M17)</f>
        <v>#VALUE!</v>
      </c>
      <c r="O17" s="224" t="e">
        <f>$L$11+N17</f>
        <v>#VALUE!</v>
      </c>
      <c r="Q17" s="90">
        <v>1</v>
      </c>
      <c r="R17" s="102">
        <f>EXP(-'GHG Model - Residues'!$D$7*(Q17-0.5))</f>
        <v>0.93893091066170631</v>
      </c>
      <c r="S17" s="103" t="e">
        <f>-$Q$11*(1-R17)</f>
        <v>#VALUE!</v>
      </c>
      <c r="T17" s="225" t="e">
        <f>$Q$11+S17</f>
        <v>#VALUE!</v>
      </c>
      <c r="V17" s="90">
        <v>1</v>
      </c>
      <c r="W17" s="102">
        <f>EXP(-'GHG Model - Residues'!$D$7*(V17-0.5))</f>
        <v>0.93893091066170631</v>
      </c>
      <c r="X17" s="103" t="e">
        <f>-$V$11*(1-W17)</f>
        <v>#VALUE!</v>
      </c>
      <c r="Y17" s="224" t="e">
        <f>$V$11+X17</f>
        <v>#VALUE!</v>
      </c>
    </row>
    <row r="18" spans="2:25" x14ac:dyDescent="0.2">
      <c r="B18" s="90">
        <v>2</v>
      </c>
      <c r="C18" s="102">
        <f>EXP(-'GHG Model - Residues'!$D$7*(B18-0.5))</f>
        <v>0.82775327988481073</v>
      </c>
      <c r="D18" s="103" t="e">
        <f t="shared" ref="D18:D46" si="2">-$D$11*(1-C18)</f>
        <v>#VALUE!</v>
      </c>
      <c r="E18" s="224" t="e">
        <f t="shared" ref="E18:E46" si="3">$D$11+D18</f>
        <v>#VALUE!</v>
      </c>
      <c r="G18" s="90">
        <v>2</v>
      </c>
      <c r="H18" s="102">
        <f>EXP(-'GHG Model - Residues'!$D$7*(G18-0.5))</f>
        <v>0.82775327988481073</v>
      </c>
      <c r="I18" s="103" t="e">
        <f t="shared" si="0"/>
        <v>#VALUE!</v>
      </c>
      <c r="J18" s="224" t="e">
        <f t="shared" ref="J18:J46" si="4">$G$11+I18</f>
        <v>#VALUE!</v>
      </c>
      <c r="L18" s="90">
        <v>2</v>
      </c>
      <c r="M18" s="102">
        <f>EXP(-'GHG Model - Residues'!$D$7*(L18-0.5))</f>
        <v>0.82775327988481073</v>
      </c>
      <c r="N18" s="103" t="e">
        <f t="shared" si="1"/>
        <v>#VALUE!</v>
      </c>
      <c r="O18" s="224" t="e">
        <f t="shared" ref="O18:O46" si="5">$L$11+N18</f>
        <v>#VALUE!</v>
      </c>
      <c r="Q18" s="90">
        <v>2</v>
      </c>
      <c r="R18" s="102">
        <f>EXP(-'GHG Model - Residues'!$D$7*(Q18-0.5))</f>
        <v>0.82775327988481073</v>
      </c>
      <c r="S18" s="103" t="e">
        <f t="shared" ref="S18:S46" si="6">-$Q$11*(1-R18)</f>
        <v>#VALUE!</v>
      </c>
      <c r="T18" s="225" t="e">
        <f t="shared" ref="T18:T46" si="7">$Q$11+S18</f>
        <v>#VALUE!</v>
      </c>
      <c r="V18" s="90">
        <v>2</v>
      </c>
      <c r="W18" s="102">
        <f>EXP(-'GHG Model - Residues'!$D$7*(V18-0.5))</f>
        <v>0.82775327988481073</v>
      </c>
      <c r="X18" s="103" t="e">
        <f t="shared" ref="X18:X46" si="8">-$V$11*(1-W18)</f>
        <v>#VALUE!</v>
      </c>
      <c r="Y18" s="224" t="e">
        <f t="shared" ref="Y18:Y46" si="9">$V$11+X18</f>
        <v>#VALUE!</v>
      </c>
    </row>
    <row r="19" spans="2:25" x14ac:dyDescent="0.2">
      <c r="B19" s="90">
        <v>3</v>
      </c>
      <c r="C19" s="102">
        <f>EXP(-'GHG Model - Residues'!$D$7*(B19-0.5))</f>
        <v>0.72974005284072307</v>
      </c>
      <c r="D19" s="103" t="e">
        <f t="shared" si="2"/>
        <v>#VALUE!</v>
      </c>
      <c r="E19" s="224" t="e">
        <f t="shared" si="3"/>
        <v>#VALUE!</v>
      </c>
      <c r="G19" s="90">
        <v>3</v>
      </c>
      <c r="H19" s="102">
        <f>EXP(-'GHG Model - Residues'!$D$7*(G19-0.5))</f>
        <v>0.72974005284072307</v>
      </c>
      <c r="I19" s="103" t="e">
        <f t="shared" si="0"/>
        <v>#VALUE!</v>
      </c>
      <c r="J19" s="224" t="e">
        <f t="shared" si="4"/>
        <v>#VALUE!</v>
      </c>
      <c r="L19" s="90">
        <v>3</v>
      </c>
      <c r="M19" s="102">
        <f>EXP(-'GHG Model - Residues'!$D$7*(L19-0.5))</f>
        <v>0.72974005284072307</v>
      </c>
      <c r="N19" s="103" t="e">
        <f t="shared" si="1"/>
        <v>#VALUE!</v>
      </c>
      <c r="O19" s="224" t="e">
        <f t="shared" si="5"/>
        <v>#VALUE!</v>
      </c>
      <c r="Q19" s="90">
        <v>3</v>
      </c>
      <c r="R19" s="102">
        <f>EXP(-'GHG Model - Residues'!$D$7*(Q19-0.5))</f>
        <v>0.72974005284072307</v>
      </c>
      <c r="S19" s="103" t="e">
        <f t="shared" si="6"/>
        <v>#VALUE!</v>
      </c>
      <c r="T19" s="225" t="e">
        <f t="shared" si="7"/>
        <v>#VALUE!</v>
      </c>
      <c r="V19" s="90">
        <v>3</v>
      </c>
      <c r="W19" s="102">
        <f>EXP(-'GHG Model - Residues'!$D$7*(V19-0.5))</f>
        <v>0.72974005284072307</v>
      </c>
      <c r="X19" s="103" t="e">
        <f t="shared" si="8"/>
        <v>#VALUE!</v>
      </c>
      <c r="Y19" s="224" t="e">
        <f t="shared" si="9"/>
        <v>#VALUE!</v>
      </c>
    </row>
    <row r="20" spans="2:25" x14ac:dyDescent="0.2">
      <c r="B20" s="90">
        <v>4</v>
      </c>
      <c r="C20" s="102">
        <f>EXP(-'GHG Model - Residues'!$D$7*(B20-0.5))</f>
        <v>0.64333244900471587</v>
      </c>
      <c r="D20" s="103" t="e">
        <f t="shared" si="2"/>
        <v>#VALUE!</v>
      </c>
      <c r="E20" s="224" t="e">
        <f t="shared" si="3"/>
        <v>#VALUE!</v>
      </c>
      <c r="G20" s="90">
        <v>4</v>
      </c>
      <c r="H20" s="102">
        <f>EXP(-'GHG Model - Residues'!$D$7*(G20-0.5))</f>
        <v>0.64333244900471587</v>
      </c>
      <c r="I20" s="103" t="e">
        <f t="shared" si="0"/>
        <v>#VALUE!</v>
      </c>
      <c r="J20" s="224" t="e">
        <f t="shared" si="4"/>
        <v>#VALUE!</v>
      </c>
      <c r="L20" s="90">
        <v>4</v>
      </c>
      <c r="M20" s="102">
        <f>EXP(-'GHG Model - Residues'!$D$7*(L20-0.5))</f>
        <v>0.64333244900471587</v>
      </c>
      <c r="N20" s="103" t="e">
        <f t="shared" si="1"/>
        <v>#VALUE!</v>
      </c>
      <c r="O20" s="224" t="e">
        <f t="shared" si="5"/>
        <v>#VALUE!</v>
      </c>
      <c r="Q20" s="90">
        <v>4</v>
      </c>
      <c r="R20" s="102">
        <f>EXP(-'GHG Model - Residues'!$D$7*(Q20-0.5))</f>
        <v>0.64333244900471587</v>
      </c>
      <c r="S20" s="103" t="e">
        <f t="shared" si="6"/>
        <v>#VALUE!</v>
      </c>
      <c r="T20" s="225" t="e">
        <f t="shared" si="7"/>
        <v>#VALUE!</v>
      </c>
      <c r="V20" s="90">
        <v>4</v>
      </c>
      <c r="W20" s="102">
        <f>EXP(-'GHG Model - Residues'!$D$7*(V20-0.5))</f>
        <v>0.64333244900471587</v>
      </c>
      <c r="X20" s="103" t="e">
        <f t="shared" si="8"/>
        <v>#VALUE!</v>
      </c>
      <c r="Y20" s="224" t="e">
        <f t="shared" si="9"/>
        <v>#VALUE!</v>
      </c>
    </row>
    <row r="21" spans="2:25" x14ac:dyDescent="0.2">
      <c r="B21" s="90">
        <v>5</v>
      </c>
      <c r="C21" s="102">
        <f>EXP(-'GHG Model - Residues'!$D$7*(B21-0.5))</f>
        <v>0.56715626109773132</v>
      </c>
      <c r="D21" s="103" t="e">
        <f t="shared" si="2"/>
        <v>#VALUE!</v>
      </c>
      <c r="E21" s="224" t="e">
        <f t="shared" si="3"/>
        <v>#VALUE!</v>
      </c>
      <c r="G21" s="90">
        <v>5</v>
      </c>
      <c r="H21" s="102">
        <f>EXP(-'GHG Model - Residues'!$D$7*(G21-0.5))</f>
        <v>0.56715626109773132</v>
      </c>
      <c r="I21" s="103" t="e">
        <f t="shared" si="0"/>
        <v>#VALUE!</v>
      </c>
      <c r="J21" s="224" t="e">
        <f t="shared" si="4"/>
        <v>#VALUE!</v>
      </c>
      <c r="L21" s="90">
        <v>5</v>
      </c>
      <c r="M21" s="102">
        <f>EXP(-'GHG Model - Residues'!$D$7*(L21-0.5))</f>
        <v>0.56715626109773132</v>
      </c>
      <c r="N21" s="103" t="e">
        <f t="shared" si="1"/>
        <v>#VALUE!</v>
      </c>
      <c r="O21" s="224" t="e">
        <f t="shared" si="5"/>
        <v>#VALUE!</v>
      </c>
      <c r="Q21" s="90">
        <v>5</v>
      </c>
      <c r="R21" s="102">
        <f>EXP(-'GHG Model - Residues'!$D$7*(Q21-0.5))</f>
        <v>0.56715626109773132</v>
      </c>
      <c r="S21" s="103" t="e">
        <f t="shared" si="6"/>
        <v>#VALUE!</v>
      </c>
      <c r="T21" s="225" t="e">
        <f t="shared" si="7"/>
        <v>#VALUE!</v>
      </c>
      <c r="V21" s="90">
        <v>5</v>
      </c>
      <c r="W21" s="102">
        <f>EXP(-'GHG Model - Residues'!$D$7*(V21-0.5))</f>
        <v>0.56715626109773132</v>
      </c>
      <c r="X21" s="103" t="e">
        <f t="shared" si="8"/>
        <v>#VALUE!</v>
      </c>
      <c r="Y21" s="224" t="e">
        <f t="shared" si="9"/>
        <v>#VALUE!</v>
      </c>
    </row>
    <row r="22" spans="2:25" x14ac:dyDescent="0.2">
      <c r="B22" s="90">
        <v>6</v>
      </c>
      <c r="C22" s="102">
        <f>EXP(-'GHG Model - Residues'!$D$7*(B22-0.5))</f>
        <v>0.49999999999999994</v>
      </c>
      <c r="D22" s="103" t="e">
        <f t="shared" si="2"/>
        <v>#VALUE!</v>
      </c>
      <c r="E22" s="224" t="e">
        <f t="shared" si="3"/>
        <v>#VALUE!</v>
      </c>
      <c r="G22" s="90">
        <v>6</v>
      </c>
      <c r="H22" s="102">
        <f>EXP(-'GHG Model - Residues'!$D$7*(G22-0.5))</f>
        <v>0.49999999999999994</v>
      </c>
      <c r="I22" s="103" t="e">
        <f t="shared" si="0"/>
        <v>#VALUE!</v>
      </c>
      <c r="J22" s="224" t="e">
        <f t="shared" si="4"/>
        <v>#VALUE!</v>
      </c>
      <c r="L22" s="90">
        <v>6</v>
      </c>
      <c r="M22" s="102">
        <f>EXP(-'GHG Model - Residues'!$D$7*(L22-0.5))</f>
        <v>0.49999999999999994</v>
      </c>
      <c r="N22" s="103" t="e">
        <f t="shared" si="1"/>
        <v>#VALUE!</v>
      </c>
      <c r="O22" s="224" t="e">
        <f t="shared" si="5"/>
        <v>#VALUE!</v>
      </c>
      <c r="Q22" s="90">
        <v>6</v>
      </c>
      <c r="R22" s="102">
        <f>EXP(-'GHG Model - Residues'!$D$7*(Q22-0.5))</f>
        <v>0.49999999999999994</v>
      </c>
      <c r="S22" s="103" t="e">
        <f t="shared" si="6"/>
        <v>#VALUE!</v>
      </c>
      <c r="T22" s="225" t="e">
        <f t="shared" si="7"/>
        <v>#VALUE!</v>
      </c>
      <c r="V22" s="90">
        <v>6</v>
      </c>
      <c r="W22" s="102">
        <f>EXP(-'GHG Model - Residues'!$D$7*(V22-0.5))</f>
        <v>0.49999999999999994</v>
      </c>
      <c r="X22" s="103" t="e">
        <f t="shared" si="8"/>
        <v>#VALUE!</v>
      </c>
      <c r="Y22" s="224" t="e">
        <f t="shared" si="9"/>
        <v>#VALUE!</v>
      </c>
    </row>
    <row r="23" spans="2:25" x14ac:dyDescent="0.2">
      <c r="B23" s="90">
        <v>7</v>
      </c>
      <c r="C23" s="102">
        <f>EXP(-'GHG Model - Residues'!$D$7*(B23-0.5))</f>
        <v>0.4407956274980106</v>
      </c>
      <c r="D23" s="103" t="e">
        <f t="shared" si="2"/>
        <v>#VALUE!</v>
      </c>
      <c r="E23" s="224" t="e">
        <f t="shared" si="3"/>
        <v>#VALUE!</v>
      </c>
      <c r="G23" s="90">
        <v>7</v>
      </c>
      <c r="H23" s="102">
        <f>EXP(-'GHG Model - Residues'!$D$7*(G23-0.5))</f>
        <v>0.4407956274980106</v>
      </c>
      <c r="I23" s="103" t="e">
        <f t="shared" si="0"/>
        <v>#VALUE!</v>
      </c>
      <c r="J23" s="224" t="e">
        <f t="shared" si="4"/>
        <v>#VALUE!</v>
      </c>
      <c r="L23" s="90">
        <v>7</v>
      </c>
      <c r="M23" s="102">
        <f>EXP(-'GHG Model - Residues'!$D$7*(L23-0.5))</f>
        <v>0.4407956274980106</v>
      </c>
      <c r="N23" s="103" t="e">
        <f t="shared" si="1"/>
        <v>#VALUE!</v>
      </c>
      <c r="O23" s="224" t="e">
        <f t="shared" si="5"/>
        <v>#VALUE!</v>
      </c>
      <c r="Q23" s="90">
        <v>7</v>
      </c>
      <c r="R23" s="102">
        <f>EXP(-'GHG Model - Residues'!$D$7*(Q23-0.5))</f>
        <v>0.4407956274980106</v>
      </c>
      <c r="S23" s="103" t="e">
        <f t="shared" si="6"/>
        <v>#VALUE!</v>
      </c>
      <c r="T23" s="225" t="e">
        <f t="shared" si="7"/>
        <v>#VALUE!</v>
      </c>
      <c r="V23" s="90">
        <v>7</v>
      </c>
      <c r="W23" s="102">
        <f>EXP(-'GHG Model - Residues'!$D$7*(V23-0.5))</f>
        <v>0.4407956274980106</v>
      </c>
      <c r="X23" s="103" t="e">
        <f t="shared" si="8"/>
        <v>#VALUE!</v>
      </c>
      <c r="Y23" s="224" t="e">
        <f t="shared" si="9"/>
        <v>#VALUE!</v>
      </c>
    </row>
    <row r="24" spans="2:25" x14ac:dyDescent="0.2">
      <c r="B24" s="90">
        <v>8</v>
      </c>
      <c r="C24" s="102">
        <f>EXP(-'GHG Model - Residues'!$D$7*(B24-0.5))</f>
        <v>0.3886015704427298</v>
      </c>
      <c r="D24" s="103" t="e">
        <f t="shared" si="2"/>
        <v>#VALUE!</v>
      </c>
      <c r="E24" s="224" t="e">
        <f t="shared" si="3"/>
        <v>#VALUE!</v>
      </c>
      <c r="G24" s="90">
        <v>8</v>
      </c>
      <c r="H24" s="102">
        <f>EXP(-'GHG Model - Residues'!$D$7*(G24-0.5))</f>
        <v>0.3886015704427298</v>
      </c>
      <c r="I24" s="103" t="e">
        <f t="shared" ref="I24:I46" si="10">-$G$11*(1-H24)</f>
        <v>#VALUE!</v>
      </c>
      <c r="J24" s="224" t="e">
        <f>$G$11+I24</f>
        <v>#VALUE!</v>
      </c>
      <c r="L24" s="90">
        <v>8</v>
      </c>
      <c r="M24" s="102">
        <f>EXP(-'GHG Model - Residues'!$D$7*(L24-0.5))</f>
        <v>0.3886015704427298</v>
      </c>
      <c r="N24" s="103" t="e">
        <f t="shared" si="1"/>
        <v>#VALUE!</v>
      </c>
      <c r="O24" s="224" t="e">
        <f t="shared" si="5"/>
        <v>#VALUE!</v>
      </c>
      <c r="Q24" s="90">
        <v>8</v>
      </c>
      <c r="R24" s="102">
        <f>EXP(-'GHG Model - Residues'!$D$7*(Q24-0.5))</f>
        <v>0.3886015704427298</v>
      </c>
      <c r="S24" s="103" t="e">
        <f t="shared" si="6"/>
        <v>#VALUE!</v>
      </c>
      <c r="T24" s="225" t="e">
        <f t="shared" si="7"/>
        <v>#VALUE!</v>
      </c>
      <c r="V24" s="90">
        <v>8</v>
      </c>
      <c r="W24" s="102">
        <f>EXP(-'GHG Model - Residues'!$D$7*(V24-0.5))</f>
        <v>0.3886015704427298</v>
      </c>
      <c r="X24" s="103" t="e">
        <f t="shared" si="8"/>
        <v>#VALUE!</v>
      </c>
      <c r="Y24" s="224" t="e">
        <f t="shared" si="9"/>
        <v>#VALUE!</v>
      </c>
    </row>
    <row r="25" spans="2:25" x14ac:dyDescent="0.2">
      <c r="B25" s="90">
        <v>9</v>
      </c>
      <c r="C25" s="102">
        <f>EXP(-'GHG Model - Residues'!$D$7*(B25-0.5))</f>
        <v>0.34258774618003091</v>
      </c>
      <c r="D25" s="103" t="e">
        <f t="shared" si="2"/>
        <v>#VALUE!</v>
      </c>
      <c r="E25" s="224" t="e">
        <f t="shared" si="3"/>
        <v>#VALUE!</v>
      </c>
      <c r="G25" s="90">
        <v>9</v>
      </c>
      <c r="H25" s="102">
        <f>EXP(-'GHG Model - Residues'!$D$7*(G25-0.5))</f>
        <v>0.34258774618003091</v>
      </c>
      <c r="I25" s="103" t="e">
        <f t="shared" si="10"/>
        <v>#VALUE!</v>
      </c>
      <c r="J25" s="224" t="e">
        <f>$G$11+I25</f>
        <v>#VALUE!</v>
      </c>
      <c r="L25" s="90">
        <v>9</v>
      </c>
      <c r="M25" s="102">
        <f>EXP(-'GHG Model - Residues'!$D$7*(L25-0.5))</f>
        <v>0.34258774618003091</v>
      </c>
      <c r="N25" s="103" t="e">
        <f t="shared" si="1"/>
        <v>#VALUE!</v>
      </c>
      <c r="O25" s="224" t="e">
        <f t="shared" si="5"/>
        <v>#VALUE!</v>
      </c>
      <c r="Q25" s="90">
        <v>9</v>
      </c>
      <c r="R25" s="102">
        <f>EXP(-'GHG Model - Residues'!$D$7*(Q25-0.5))</f>
        <v>0.34258774618003091</v>
      </c>
      <c r="S25" s="103" t="e">
        <f t="shared" si="6"/>
        <v>#VALUE!</v>
      </c>
      <c r="T25" s="225" t="e">
        <f t="shared" si="7"/>
        <v>#VALUE!</v>
      </c>
      <c r="V25" s="90">
        <v>9</v>
      </c>
      <c r="W25" s="102">
        <f>EXP(-'GHG Model - Residues'!$D$7*(V25-0.5))</f>
        <v>0.34258774618003091</v>
      </c>
      <c r="X25" s="103" t="e">
        <f t="shared" si="8"/>
        <v>#VALUE!</v>
      </c>
      <c r="Y25" s="224" t="e">
        <f t="shared" si="9"/>
        <v>#VALUE!</v>
      </c>
    </row>
    <row r="26" spans="2:25" x14ac:dyDescent="0.2">
      <c r="B26" s="90">
        <v>10</v>
      </c>
      <c r="C26" s="102">
        <f>EXP(-'GHG Model - Residues'!$D$7*(B26-0.5))</f>
        <v>0.3020223611011118</v>
      </c>
      <c r="D26" s="103" t="e">
        <f t="shared" si="2"/>
        <v>#VALUE!</v>
      </c>
      <c r="E26" s="224" t="e">
        <f t="shared" si="3"/>
        <v>#VALUE!</v>
      </c>
      <c r="G26" s="90">
        <v>10</v>
      </c>
      <c r="H26" s="102">
        <f>EXP(-'GHG Model - Residues'!$D$7*(G26-0.5))</f>
        <v>0.3020223611011118</v>
      </c>
      <c r="I26" s="103" t="e">
        <f t="shared" si="10"/>
        <v>#VALUE!</v>
      </c>
      <c r="J26" s="224" t="e">
        <f>$G$11+I26</f>
        <v>#VALUE!</v>
      </c>
      <c r="L26" s="90">
        <v>10</v>
      </c>
      <c r="M26" s="102">
        <f>EXP(-'GHG Model - Residues'!$D$7*(L26-0.5))</f>
        <v>0.3020223611011118</v>
      </c>
      <c r="N26" s="103" t="e">
        <f t="shared" ref="N26:N46" si="11">-$L$11*(1-M26)</f>
        <v>#VALUE!</v>
      </c>
      <c r="O26" s="224" t="e">
        <f>$L$11+N26</f>
        <v>#VALUE!</v>
      </c>
      <c r="Q26" s="90">
        <v>10</v>
      </c>
      <c r="R26" s="102">
        <f>EXP(-'GHG Model - Residues'!$D$7*(Q26-0.5))</f>
        <v>0.3020223611011118</v>
      </c>
      <c r="S26" s="103" t="e">
        <f t="shared" si="6"/>
        <v>#VALUE!</v>
      </c>
      <c r="T26" s="225" t="e">
        <f t="shared" si="7"/>
        <v>#VALUE!</v>
      </c>
      <c r="V26" s="90">
        <v>10</v>
      </c>
      <c r="W26" s="102">
        <f>EXP(-'GHG Model - Residues'!$D$7*(V26-0.5))</f>
        <v>0.3020223611011118</v>
      </c>
      <c r="X26" s="103" t="e">
        <f t="shared" si="8"/>
        <v>#VALUE!</v>
      </c>
      <c r="Y26" s="224" t="e">
        <f t="shared" si="9"/>
        <v>#VALUE!</v>
      </c>
    </row>
    <row r="27" spans="2:25" x14ac:dyDescent="0.2">
      <c r="B27" s="90">
        <v>11</v>
      </c>
      <c r="C27" s="102">
        <f>EXP(-'GHG Model - Residues'!$D$7*(B27-0.5))</f>
        <v>0.26626027235999067</v>
      </c>
      <c r="D27" s="103" t="e">
        <f t="shared" si="2"/>
        <v>#VALUE!</v>
      </c>
      <c r="E27" s="224" t="e">
        <f t="shared" si="3"/>
        <v>#VALUE!</v>
      </c>
      <c r="G27" s="90">
        <v>11</v>
      </c>
      <c r="H27" s="102">
        <f>EXP(-'GHG Model - Residues'!$D$7*(G27-0.5))</f>
        <v>0.26626027235999067</v>
      </c>
      <c r="I27" s="103" t="e">
        <f t="shared" si="10"/>
        <v>#VALUE!</v>
      </c>
      <c r="J27" s="224" t="e">
        <f>$G$11+I27</f>
        <v>#VALUE!</v>
      </c>
      <c r="L27" s="90">
        <v>11</v>
      </c>
      <c r="M27" s="102">
        <f>EXP(-'GHG Model - Residues'!$D$7*(L27-0.5))</f>
        <v>0.26626027235999067</v>
      </c>
      <c r="N27" s="103" t="e">
        <f t="shared" si="11"/>
        <v>#VALUE!</v>
      </c>
      <c r="O27" s="224" t="e">
        <f>$L$11+N27</f>
        <v>#VALUE!</v>
      </c>
      <c r="Q27" s="90">
        <v>11</v>
      </c>
      <c r="R27" s="102">
        <f>EXP(-'GHG Model - Residues'!$D$7*(Q27-0.5))</f>
        <v>0.26626027235999067</v>
      </c>
      <c r="S27" s="103" t="e">
        <f t="shared" si="6"/>
        <v>#VALUE!</v>
      </c>
      <c r="T27" s="225" t="e">
        <f t="shared" si="7"/>
        <v>#VALUE!</v>
      </c>
      <c r="V27" s="90">
        <v>11</v>
      </c>
      <c r="W27" s="102">
        <f>EXP(-'GHG Model - Residues'!$D$7*(V27-0.5))</f>
        <v>0.26626027235999067</v>
      </c>
      <c r="X27" s="103" t="e">
        <f t="shared" si="8"/>
        <v>#VALUE!</v>
      </c>
      <c r="Y27" s="224" t="e">
        <f t="shared" si="9"/>
        <v>#VALUE!</v>
      </c>
    </row>
    <row r="28" spans="2:25" x14ac:dyDescent="0.2">
      <c r="B28" s="90">
        <v>12</v>
      </c>
      <c r="C28" s="102">
        <f>EXP(-'GHG Model - Residues'!$D$7*(B28-0.5))</f>
        <v>0.23473272766542655</v>
      </c>
      <c r="D28" s="103" t="e">
        <f>-$D$11*(1-C28)</f>
        <v>#VALUE!</v>
      </c>
      <c r="E28" s="224" t="e">
        <f t="shared" si="3"/>
        <v>#VALUE!</v>
      </c>
      <c r="G28" s="90">
        <v>12</v>
      </c>
      <c r="H28" s="102">
        <f>EXP(-'GHG Model - Residues'!$D$7*(G28-0.5))</f>
        <v>0.23473272766542655</v>
      </c>
      <c r="I28" s="103" t="e">
        <f t="shared" si="10"/>
        <v>#VALUE!</v>
      </c>
      <c r="J28" s="224" t="e">
        <f t="shared" si="4"/>
        <v>#VALUE!</v>
      </c>
      <c r="L28" s="90">
        <v>12</v>
      </c>
      <c r="M28" s="102">
        <f>EXP(-'GHG Model - Residues'!$D$7*(L28-0.5))</f>
        <v>0.23473272766542655</v>
      </c>
      <c r="N28" s="103" t="e">
        <f t="shared" si="11"/>
        <v>#VALUE!</v>
      </c>
      <c r="O28" s="224" t="e">
        <f>$L$11+N28</f>
        <v>#VALUE!</v>
      </c>
      <c r="Q28" s="90">
        <v>12</v>
      </c>
      <c r="R28" s="102">
        <f>EXP(-'GHG Model - Residues'!$D$7*(Q28-0.5))</f>
        <v>0.23473272766542655</v>
      </c>
      <c r="S28" s="103" t="e">
        <f t="shared" si="6"/>
        <v>#VALUE!</v>
      </c>
      <c r="T28" s="225" t="e">
        <f t="shared" si="7"/>
        <v>#VALUE!</v>
      </c>
      <c r="V28" s="90">
        <v>12</v>
      </c>
      <c r="W28" s="102">
        <f>EXP(-'GHG Model - Residues'!$D$7*(V28-0.5))</f>
        <v>0.23473272766542655</v>
      </c>
      <c r="X28" s="103" t="e">
        <f t="shared" si="8"/>
        <v>#VALUE!</v>
      </c>
      <c r="Y28" s="224" t="e">
        <f t="shared" si="9"/>
        <v>#VALUE!</v>
      </c>
    </row>
    <row r="29" spans="2:25" x14ac:dyDescent="0.2">
      <c r="B29" s="90">
        <v>13</v>
      </c>
      <c r="C29" s="102">
        <f>EXP(-'GHG Model - Residues'!$D$7*(B29-0.5))</f>
        <v>0.20693831997120268</v>
      </c>
      <c r="D29" s="103" t="e">
        <f>-$D$11*(1-C29)</f>
        <v>#VALUE!</v>
      </c>
      <c r="E29" s="224" t="e">
        <f t="shared" si="3"/>
        <v>#VALUE!</v>
      </c>
      <c r="G29" s="90">
        <v>13</v>
      </c>
      <c r="H29" s="102">
        <f>EXP(-'GHG Model - Residues'!$D$7*(G29-0.5))</f>
        <v>0.20693831997120268</v>
      </c>
      <c r="I29" s="103" t="e">
        <f t="shared" si="10"/>
        <v>#VALUE!</v>
      </c>
      <c r="J29" s="224" t="e">
        <f t="shared" si="4"/>
        <v>#VALUE!</v>
      </c>
      <c r="L29" s="90">
        <v>13</v>
      </c>
      <c r="M29" s="102">
        <f>EXP(-'GHG Model - Residues'!$D$7*(L29-0.5))</f>
        <v>0.20693831997120268</v>
      </c>
      <c r="N29" s="103" t="e">
        <f t="shared" si="11"/>
        <v>#VALUE!</v>
      </c>
      <c r="O29" s="224" t="e">
        <f>$L$11+N29</f>
        <v>#VALUE!</v>
      </c>
      <c r="Q29" s="90">
        <v>13</v>
      </c>
      <c r="R29" s="102">
        <f>EXP(-'GHG Model - Residues'!$D$7*(Q29-0.5))</f>
        <v>0.20693831997120268</v>
      </c>
      <c r="S29" s="103" t="e">
        <f t="shared" si="6"/>
        <v>#VALUE!</v>
      </c>
      <c r="T29" s="225" t="e">
        <f t="shared" si="7"/>
        <v>#VALUE!</v>
      </c>
      <c r="V29" s="90">
        <v>13</v>
      </c>
      <c r="W29" s="102">
        <f>EXP(-'GHG Model - Residues'!$D$7*(V29-0.5))</f>
        <v>0.20693831997120268</v>
      </c>
      <c r="X29" s="103" t="e">
        <f t="shared" si="8"/>
        <v>#VALUE!</v>
      </c>
      <c r="Y29" s="224" t="e">
        <f t="shared" si="9"/>
        <v>#VALUE!</v>
      </c>
    </row>
    <row r="30" spans="2:25" x14ac:dyDescent="0.2">
      <c r="B30" s="90">
        <v>14</v>
      </c>
      <c r="C30" s="102">
        <f>EXP(-'GHG Model - Residues'!$D$7*(B30-0.5))</f>
        <v>0.18243501321018074</v>
      </c>
      <c r="D30" s="103" t="e">
        <f>-$D$11*(1-C30)</f>
        <v>#VALUE!</v>
      </c>
      <c r="E30" s="224" t="e">
        <f t="shared" si="3"/>
        <v>#VALUE!</v>
      </c>
      <c r="G30" s="90">
        <v>14</v>
      </c>
      <c r="H30" s="102">
        <f>EXP(-'GHG Model - Residues'!$D$7*(G30-0.5))</f>
        <v>0.18243501321018074</v>
      </c>
      <c r="I30" s="103" t="e">
        <f t="shared" si="10"/>
        <v>#VALUE!</v>
      </c>
      <c r="J30" s="224" t="e">
        <f t="shared" si="4"/>
        <v>#VALUE!</v>
      </c>
      <c r="L30" s="90">
        <v>14</v>
      </c>
      <c r="M30" s="102">
        <f>EXP(-'GHG Model - Residues'!$D$7*(L30-0.5))</f>
        <v>0.18243501321018074</v>
      </c>
      <c r="N30" s="103" t="e">
        <f t="shared" si="11"/>
        <v>#VALUE!</v>
      </c>
      <c r="O30" s="224" t="e">
        <f>$L$11+N30</f>
        <v>#VALUE!</v>
      </c>
      <c r="Q30" s="90">
        <v>14</v>
      </c>
      <c r="R30" s="102">
        <f>EXP(-'GHG Model - Residues'!$D$7*(Q30-0.5))</f>
        <v>0.18243501321018074</v>
      </c>
      <c r="S30" s="103" t="e">
        <f t="shared" si="6"/>
        <v>#VALUE!</v>
      </c>
      <c r="T30" s="225" t="e">
        <f t="shared" si="7"/>
        <v>#VALUE!</v>
      </c>
      <c r="V30" s="90">
        <v>14</v>
      </c>
      <c r="W30" s="102">
        <f>EXP(-'GHG Model - Residues'!$D$7*(V30-0.5))</f>
        <v>0.18243501321018074</v>
      </c>
      <c r="X30" s="103" t="e">
        <f t="shared" si="8"/>
        <v>#VALUE!</v>
      </c>
      <c r="Y30" s="224" t="e">
        <f t="shared" si="9"/>
        <v>#VALUE!</v>
      </c>
    </row>
    <row r="31" spans="2:25" x14ac:dyDescent="0.2">
      <c r="B31" s="90">
        <v>15</v>
      </c>
      <c r="C31" s="102">
        <f>EXP(-'GHG Model - Residues'!$D$7*(B31-0.5))</f>
        <v>0.16083311225117897</v>
      </c>
      <c r="D31" s="103" t="e">
        <f>-$D$11*(1-C31)</f>
        <v>#VALUE!</v>
      </c>
      <c r="E31" s="224" t="e">
        <f t="shared" si="3"/>
        <v>#VALUE!</v>
      </c>
      <c r="G31" s="90">
        <v>15</v>
      </c>
      <c r="H31" s="102">
        <f>EXP(-'GHG Model - Residues'!$D$7*(G31-0.5))</f>
        <v>0.16083311225117897</v>
      </c>
      <c r="I31" s="103" t="e">
        <f t="shared" si="10"/>
        <v>#VALUE!</v>
      </c>
      <c r="J31" s="224" t="e">
        <f t="shared" si="4"/>
        <v>#VALUE!</v>
      </c>
      <c r="L31" s="90">
        <v>15</v>
      </c>
      <c r="M31" s="102">
        <f>EXP(-'GHG Model - Residues'!$D$7*(L31-0.5))</f>
        <v>0.16083311225117897</v>
      </c>
      <c r="N31" s="103" t="e">
        <f t="shared" si="11"/>
        <v>#VALUE!</v>
      </c>
      <c r="O31" s="224" t="e">
        <f t="shared" si="5"/>
        <v>#VALUE!</v>
      </c>
      <c r="Q31" s="90">
        <v>15</v>
      </c>
      <c r="R31" s="102">
        <f>EXP(-'GHG Model - Residues'!$D$7*(Q31-0.5))</f>
        <v>0.16083311225117897</v>
      </c>
      <c r="S31" s="103" t="e">
        <f t="shared" si="6"/>
        <v>#VALUE!</v>
      </c>
      <c r="T31" s="225" t="e">
        <f t="shared" si="7"/>
        <v>#VALUE!</v>
      </c>
      <c r="V31" s="90">
        <v>15</v>
      </c>
      <c r="W31" s="102">
        <f>EXP(-'GHG Model - Residues'!$D$7*(V31-0.5))</f>
        <v>0.16083311225117897</v>
      </c>
      <c r="X31" s="103" t="e">
        <f t="shared" si="8"/>
        <v>#VALUE!</v>
      </c>
      <c r="Y31" s="224" t="e">
        <f t="shared" si="9"/>
        <v>#VALUE!</v>
      </c>
    </row>
    <row r="32" spans="2:25" x14ac:dyDescent="0.2">
      <c r="B32" s="90">
        <v>16</v>
      </c>
      <c r="C32" s="102">
        <f>EXP(-'GHG Model - Residues'!$D$7*(B32-0.5))</f>
        <v>0.1417890652744328</v>
      </c>
      <c r="D32" s="103" t="e">
        <f t="shared" si="2"/>
        <v>#VALUE!</v>
      </c>
      <c r="E32" s="224" t="e">
        <f t="shared" si="3"/>
        <v>#VALUE!</v>
      </c>
      <c r="G32" s="90">
        <v>16</v>
      </c>
      <c r="H32" s="102">
        <f>EXP(-'GHG Model - Residues'!$D$7*(G32-0.5))</f>
        <v>0.1417890652744328</v>
      </c>
      <c r="I32" s="103" t="e">
        <f t="shared" si="10"/>
        <v>#VALUE!</v>
      </c>
      <c r="J32" s="224" t="e">
        <f t="shared" si="4"/>
        <v>#VALUE!</v>
      </c>
      <c r="L32" s="90">
        <v>16</v>
      </c>
      <c r="M32" s="102">
        <f>EXP(-'GHG Model - Residues'!$D$7*(L32-0.5))</f>
        <v>0.1417890652744328</v>
      </c>
      <c r="N32" s="103" t="e">
        <f t="shared" si="11"/>
        <v>#VALUE!</v>
      </c>
      <c r="O32" s="224" t="e">
        <f t="shared" si="5"/>
        <v>#VALUE!</v>
      </c>
      <c r="Q32" s="90">
        <v>16</v>
      </c>
      <c r="R32" s="102">
        <f>EXP(-'GHG Model - Residues'!$D$7*(Q32-0.5))</f>
        <v>0.1417890652744328</v>
      </c>
      <c r="S32" s="103" t="e">
        <f t="shared" si="6"/>
        <v>#VALUE!</v>
      </c>
      <c r="T32" s="225" t="e">
        <f t="shared" si="7"/>
        <v>#VALUE!</v>
      </c>
      <c r="V32" s="90">
        <v>16</v>
      </c>
      <c r="W32" s="102">
        <f>EXP(-'GHG Model - Residues'!$D$7*(V32-0.5))</f>
        <v>0.1417890652744328</v>
      </c>
      <c r="X32" s="103" t="e">
        <f t="shared" si="8"/>
        <v>#VALUE!</v>
      </c>
      <c r="Y32" s="224" t="e">
        <f t="shared" si="9"/>
        <v>#VALUE!</v>
      </c>
    </row>
    <row r="33" spans="2:25" x14ac:dyDescent="0.2">
      <c r="B33" s="90">
        <v>17</v>
      </c>
      <c r="C33" s="102">
        <f>EXP(-'GHG Model - Residues'!$D$7*(B33-0.5))</f>
        <v>0.12499999999999997</v>
      </c>
      <c r="D33" s="103" t="e">
        <f t="shared" si="2"/>
        <v>#VALUE!</v>
      </c>
      <c r="E33" s="224" t="e">
        <f t="shared" si="3"/>
        <v>#VALUE!</v>
      </c>
      <c r="G33" s="90">
        <v>17</v>
      </c>
      <c r="H33" s="102">
        <f>EXP(-'GHG Model - Residues'!$D$7*(G33-0.5))</f>
        <v>0.12499999999999997</v>
      </c>
      <c r="I33" s="103" t="e">
        <f t="shared" si="10"/>
        <v>#VALUE!</v>
      </c>
      <c r="J33" s="224" t="e">
        <f t="shared" si="4"/>
        <v>#VALUE!</v>
      </c>
      <c r="L33" s="90">
        <v>17</v>
      </c>
      <c r="M33" s="102">
        <f>EXP(-'GHG Model - Residues'!$D$7*(L33-0.5))</f>
        <v>0.12499999999999997</v>
      </c>
      <c r="N33" s="103" t="e">
        <f t="shared" si="11"/>
        <v>#VALUE!</v>
      </c>
      <c r="O33" s="224" t="e">
        <f t="shared" si="5"/>
        <v>#VALUE!</v>
      </c>
      <c r="Q33" s="90">
        <v>17</v>
      </c>
      <c r="R33" s="102">
        <f>EXP(-'GHG Model - Residues'!$D$7*(Q33-0.5))</f>
        <v>0.12499999999999997</v>
      </c>
      <c r="S33" s="103" t="e">
        <f t="shared" si="6"/>
        <v>#VALUE!</v>
      </c>
      <c r="T33" s="225" t="e">
        <f t="shared" si="7"/>
        <v>#VALUE!</v>
      </c>
      <c r="V33" s="90">
        <v>17</v>
      </c>
      <c r="W33" s="102">
        <f>EXP(-'GHG Model - Residues'!$D$7*(V33-0.5))</f>
        <v>0.12499999999999997</v>
      </c>
      <c r="X33" s="103" t="e">
        <f t="shared" si="8"/>
        <v>#VALUE!</v>
      </c>
      <c r="Y33" s="224" t="e">
        <f t="shared" si="9"/>
        <v>#VALUE!</v>
      </c>
    </row>
    <row r="34" spans="2:25" x14ac:dyDescent="0.2">
      <c r="B34" s="90">
        <v>18</v>
      </c>
      <c r="C34" s="102">
        <f>EXP(-'GHG Model - Residues'!$D$7*(B34-0.5))</f>
        <v>0.11019890687450264</v>
      </c>
      <c r="D34" s="103" t="e">
        <f t="shared" si="2"/>
        <v>#VALUE!</v>
      </c>
      <c r="E34" s="224" t="e">
        <f t="shared" si="3"/>
        <v>#VALUE!</v>
      </c>
      <c r="G34" s="90">
        <v>18</v>
      </c>
      <c r="H34" s="102">
        <f>EXP(-'GHG Model - Residues'!$D$7*(G34-0.5))</f>
        <v>0.11019890687450264</v>
      </c>
      <c r="I34" s="103" t="e">
        <f t="shared" si="10"/>
        <v>#VALUE!</v>
      </c>
      <c r="J34" s="224" t="e">
        <f t="shared" si="4"/>
        <v>#VALUE!</v>
      </c>
      <c r="L34" s="90">
        <v>18</v>
      </c>
      <c r="M34" s="102">
        <f>EXP(-'GHG Model - Residues'!$D$7*(L34-0.5))</f>
        <v>0.11019890687450264</v>
      </c>
      <c r="N34" s="103" t="e">
        <f t="shared" si="11"/>
        <v>#VALUE!</v>
      </c>
      <c r="O34" s="224" t="e">
        <f t="shared" si="5"/>
        <v>#VALUE!</v>
      </c>
      <c r="Q34" s="90">
        <v>18</v>
      </c>
      <c r="R34" s="102">
        <f>EXP(-'GHG Model - Residues'!$D$7*(Q34-0.5))</f>
        <v>0.11019890687450264</v>
      </c>
      <c r="S34" s="103" t="e">
        <f t="shared" si="6"/>
        <v>#VALUE!</v>
      </c>
      <c r="T34" s="225" t="e">
        <f t="shared" si="7"/>
        <v>#VALUE!</v>
      </c>
      <c r="V34" s="90">
        <v>18</v>
      </c>
      <c r="W34" s="102">
        <f>EXP(-'GHG Model - Residues'!$D$7*(V34-0.5))</f>
        <v>0.11019890687450264</v>
      </c>
      <c r="X34" s="103" t="e">
        <f t="shared" si="8"/>
        <v>#VALUE!</v>
      </c>
      <c r="Y34" s="224" t="e">
        <f t="shared" si="9"/>
        <v>#VALUE!</v>
      </c>
    </row>
    <row r="35" spans="2:25" x14ac:dyDescent="0.2">
      <c r="B35" s="90">
        <v>19</v>
      </c>
      <c r="C35" s="102">
        <f>EXP(-'GHG Model - Residues'!$D$7*(B35-0.5))</f>
        <v>9.7150392610682451E-2</v>
      </c>
      <c r="D35" s="103" t="e">
        <f t="shared" si="2"/>
        <v>#VALUE!</v>
      </c>
      <c r="E35" s="224" t="e">
        <f t="shared" si="3"/>
        <v>#VALUE!</v>
      </c>
      <c r="G35" s="90">
        <v>19</v>
      </c>
      <c r="H35" s="102">
        <f>EXP(-'GHG Model - Residues'!$D$7*(G35-0.5))</f>
        <v>9.7150392610682451E-2</v>
      </c>
      <c r="I35" s="103" t="e">
        <f t="shared" si="10"/>
        <v>#VALUE!</v>
      </c>
      <c r="J35" s="224" t="e">
        <f t="shared" si="4"/>
        <v>#VALUE!</v>
      </c>
      <c r="L35" s="90">
        <v>19</v>
      </c>
      <c r="M35" s="102">
        <f>EXP(-'GHG Model - Residues'!$D$7*(L35-0.5))</f>
        <v>9.7150392610682451E-2</v>
      </c>
      <c r="N35" s="103" t="e">
        <f t="shared" si="11"/>
        <v>#VALUE!</v>
      </c>
      <c r="O35" s="224" t="e">
        <f t="shared" si="5"/>
        <v>#VALUE!</v>
      </c>
      <c r="Q35" s="90">
        <v>19</v>
      </c>
      <c r="R35" s="102">
        <f>EXP(-'GHG Model - Residues'!$D$7*(Q35-0.5))</f>
        <v>9.7150392610682451E-2</v>
      </c>
      <c r="S35" s="103" t="e">
        <f t="shared" si="6"/>
        <v>#VALUE!</v>
      </c>
      <c r="T35" s="225" t="e">
        <f t="shared" si="7"/>
        <v>#VALUE!</v>
      </c>
      <c r="V35" s="90">
        <v>19</v>
      </c>
      <c r="W35" s="102">
        <f>EXP(-'GHG Model - Residues'!$D$7*(V35-0.5))</f>
        <v>9.7150392610682451E-2</v>
      </c>
      <c r="X35" s="103" t="e">
        <f t="shared" si="8"/>
        <v>#VALUE!</v>
      </c>
      <c r="Y35" s="224" t="e">
        <f t="shared" si="9"/>
        <v>#VALUE!</v>
      </c>
    </row>
    <row r="36" spans="2:25" x14ac:dyDescent="0.2">
      <c r="B36" s="90">
        <v>20</v>
      </c>
      <c r="C36" s="102">
        <f>EXP(-'GHG Model - Residues'!$D$7*(B36-0.5))</f>
        <v>8.564693654500774E-2</v>
      </c>
      <c r="D36" s="103" t="e">
        <f t="shared" si="2"/>
        <v>#VALUE!</v>
      </c>
      <c r="E36" s="224" t="e">
        <f t="shared" si="3"/>
        <v>#VALUE!</v>
      </c>
      <c r="G36" s="90">
        <v>20</v>
      </c>
      <c r="H36" s="102">
        <f>EXP(-'GHG Model - Residues'!$D$7*(G36-0.5))</f>
        <v>8.564693654500774E-2</v>
      </c>
      <c r="I36" s="103" t="e">
        <f t="shared" si="10"/>
        <v>#VALUE!</v>
      </c>
      <c r="J36" s="224" t="e">
        <f t="shared" si="4"/>
        <v>#VALUE!</v>
      </c>
      <c r="L36" s="90">
        <v>20</v>
      </c>
      <c r="M36" s="102">
        <f>EXP(-'GHG Model - Residues'!$D$7*(L36-0.5))</f>
        <v>8.564693654500774E-2</v>
      </c>
      <c r="N36" s="103" t="e">
        <f t="shared" si="11"/>
        <v>#VALUE!</v>
      </c>
      <c r="O36" s="224" t="e">
        <f t="shared" si="5"/>
        <v>#VALUE!</v>
      </c>
      <c r="Q36" s="90">
        <v>20</v>
      </c>
      <c r="R36" s="102">
        <f>EXP(-'GHG Model - Residues'!$D$7*(Q36-0.5))</f>
        <v>8.564693654500774E-2</v>
      </c>
      <c r="S36" s="103" t="e">
        <f t="shared" si="6"/>
        <v>#VALUE!</v>
      </c>
      <c r="T36" s="225" t="e">
        <f t="shared" si="7"/>
        <v>#VALUE!</v>
      </c>
      <c r="V36" s="90">
        <v>20</v>
      </c>
      <c r="W36" s="102">
        <f>EXP(-'GHG Model - Residues'!$D$7*(V36-0.5))</f>
        <v>8.564693654500774E-2</v>
      </c>
      <c r="X36" s="103" t="e">
        <f t="shared" si="8"/>
        <v>#VALUE!</v>
      </c>
      <c r="Y36" s="224" t="e">
        <f t="shared" si="9"/>
        <v>#VALUE!</v>
      </c>
    </row>
    <row r="37" spans="2:25" x14ac:dyDescent="0.2">
      <c r="B37" s="90">
        <v>21</v>
      </c>
      <c r="C37" s="102">
        <f>EXP(-'GHG Model - Residues'!$D$7*(B37-0.5))</f>
        <v>7.5505590275277937E-2</v>
      </c>
      <c r="D37" s="103" t="e">
        <f t="shared" si="2"/>
        <v>#VALUE!</v>
      </c>
      <c r="E37" s="224" t="e">
        <f t="shared" si="3"/>
        <v>#VALUE!</v>
      </c>
      <c r="G37" s="90">
        <v>21</v>
      </c>
      <c r="H37" s="102">
        <f>EXP(-'GHG Model - Residues'!$D$7*(G37-0.5))</f>
        <v>7.5505590275277937E-2</v>
      </c>
      <c r="I37" s="103" t="e">
        <f t="shared" si="10"/>
        <v>#VALUE!</v>
      </c>
      <c r="J37" s="224" t="e">
        <f t="shared" si="4"/>
        <v>#VALUE!</v>
      </c>
      <c r="L37" s="90">
        <v>21</v>
      </c>
      <c r="M37" s="102">
        <f>EXP(-'GHG Model - Residues'!$D$7*(L37-0.5))</f>
        <v>7.5505590275277937E-2</v>
      </c>
      <c r="N37" s="103" t="e">
        <f t="shared" si="11"/>
        <v>#VALUE!</v>
      </c>
      <c r="O37" s="224" t="e">
        <f t="shared" si="5"/>
        <v>#VALUE!</v>
      </c>
      <c r="Q37" s="90">
        <v>21</v>
      </c>
      <c r="R37" s="102">
        <f>EXP(-'GHG Model - Residues'!$D$7*(Q37-0.5))</f>
        <v>7.5505590275277937E-2</v>
      </c>
      <c r="S37" s="103" t="e">
        <f t="shared" si="6"/>
        <v>#VALUE!</v>
      </c>
      <c r="T37" s="225" t="e">
        <f t="shared" si="7"/>
        <v>#VALUE!</v>
      </c>
      <c r="V37" s="90">
        <v>21</v>
      </c>
      <c r="W37" s="102">
        <f>EXP(-'GHG Model - Residues'!$D$7*(V37-0.5))</f>
        <v>7.5505590275277937E-2</v>
      </c>
      <c r="X37" s="103" t="e">
        <f t="shared" si="8"/>
        <v>#VALUE!</v>
      </c>
      <c r="Y37" s="224" t="e">
        <f t="shared" si="9"/>
        <v>#VALUE!</v>
      </c>
    </row>
    <row r="38" spans="2:25" x14ac:dyDescent="0.2">
      <c r="B38" s="90">
        <v>22</v>
      </c>
      <c r="C38" s="102">
        <f>EXP(-'GHG Model - Residues'!$D$7*(B38-0.5))</f>
        <v>6.6565068089997653E-2</v>
      </c>
      <c r="D38" s="103" t="e">
        <f t="shared" si="2"/>
        <v>#VALUE!</v>
      </c>
      <c r="E38" s="224" t="e">
        <f t="shared" si="3"/>
        <v>#VALUE!</v>
      </c>
      <c r="G38" s="90">
        <v>22</v>
      </c>
      <c r="H38" s="102">
        <f>EXP(-'GHG Model - Residues'!$D$7*(G38-0.5))</f>
        <v>6.6565068089997653E-2</v>
      </c>
      <c r="I38" s="103" t="e">
        <f t="shared" si="10"/>
        <v>#VALUE!</v>
      </c>
      <c r="J38" s="224" t="e">
        <f t="shared" si="4"/>
        <v>#VALUE!</v>
      </c>
      <c r="L38" s="90">
        <v>22</v>
      </c>
      <c r="M38" s="102">
        <f>EXP(-'GHG Model - Residues'!$D$7*(L38-0.5))</f>
        <v>6.6565068089997653E-2</v>
      </c>
      <c r="N38" s="103" t="e">
        <f t="shared" si="11"/>
        <v>#VALUE!</v>
      </c>
      <c r="O38" s="224" t="e">
        <f t="shared" si="5"/>
        <v>#VALUE!</v>
      </c>
      <c r="Q38" s="90">
        <v>22</v>
      </c>
      <c r="R38" s="102">
        <f>EXP(-'GHG Model - Residues'!$D$7*(Q38-0.5))</f>
        <v>6.6565068089997653E-2</v>
      </c>
      <c r="S38" s="103" t="e">
        <f t="shared" si="6"/>
        <v>#VALUE!</v>
      </c>
      <c r="T38" s="225" t="e">
        <f t="shared" si="7"/>
        <v>#VALUE!</v>
      </c>
      <c r="V38" s="90">
        <v>22</v>
      </c>
      <c r="W38" s="102">
        <f>EXP(-'GHG Model - Residues'!$D$7*(V38-0.5))</f>
        <v>6.6565068089997653E-2</v>
      </c>
      <c r="X38" s="103" t="e">
        <f t="shared" si="8"/>
        <v>#VALUE!</v>
      </c>
      <c r="Y38" s="224" t="e">
        <f t="shared" si="9"/>
        <v>#VALUE!</v>
      </c>
    </row>
    <row r="39" spans="2:25" x14ac:dyDescent="0.2">
      <c r="B39" s="90">
        <v>23</v>
      </c>
      <c r="C39" s="102">
        <f>EXP(-'GHG Model - Residues'!$D$7*(B39-0.5))</f>
        <v>5.8683181916356644E-2</v>
      </c>
      <c r="D39" s="103" t="e">
        <f t="shared" si="2"/>
        <v>#VALUE!</v>
      </c>
      <c r="E39" s="224" t="e">
        <f t="shared" si="3"/>
        <v>#VALUE!</v>
      </c>
      <c r="G39" s="90">
        <v>23</v>
      </c>
      <c r="H39" s="102">
        <f>EXP(-'GHG Model - Residues'!$D$7*(G39-0.5))</f>
        <v>5.8683181916356644E-2</v>
      </c>
      <c r="I39" s="103" t="e">
        <f t="shared" si="10"/>
        <v>#VALUE!</v>
      </c>
      <c r="J39" s="224" t="e">
        <f t="shared" si="4"/>
        <v>#VALUE!</v>
      </c>
      <c r="L39" s="90">
        <v>23</v>
      </c>
      <c r="M39" s="102">
        <f>EXP(-'GHG Model - Residues'!$D$7*(L39-0.5))</f>
        <v>5.8683181916356644E-2</v>
      </c>
      <c r="N39" s="103" t="e">
        <f t="shared" si="11"/>
        <v>#VALUE!</v>
      </c>
      <c r="O39" s="224" t="e">
        <f t="shared" si="5"/>
        <v>#VALUE!</v>
      </c>
      <c r="Q39" s="90">
        <v>23</v>
      </c>
      <c r="R39" s="102">
        <f>EXP(-'GHG Model - Residues'!$D$7*(Q39-0.5))</f>
        <v>5.8683181916356644E-2</v>
      </c>
      <c r="S39" s="103" t="e">
        <f t="shared" si="6"/>
        <v>#VALUE!</v>
      </c>
      <c r="T39" s="225" t="e">
        <f t="shared" si="7"/>
        <v>#VALUE!</v>
      </c>
      <c r="V39" s="90">
        <v>23</v>
      </c>
      <c r="W39" s="102">
        <f>EXP(-'GHG Model - Residues'!$D$7*(V39-0.5))</f>
        <v>5.8683181916356644E-2</v>
      </c>
      <c r="X39" s="103" t="e">
        <f t="shared" si="8"/>
        <v>#VALUE!</v>
      </c>
      <c r="Y39" s="224" t="e">
        <f t="shared" si="9"/>
        <v>#VALUE!</v>
      </c>
    </row>
    <row r="40" spans="2:25" x14ac:dyDescent="0.2">
      <c r="B40" s="90">
        <v>24</v>
      </c>
      <c r="C40" s="102">
        <f>EXP(-'GHG Model - Residues'!$D$7*(B40-0.5))</f>
        <v>5.1734579992800671E-2</v>
      </c>
      <c r="D40" s="103" t="e">
        <f t="shared" si="2"/>
        <v>#VALUE!</v>
      </c>
      <c r="E40" s="224" t="e">
        <f t="shared" si="3"/>
        <v>#VALUE!</v>
      </c>
      <c r="G40" s="90">
        <v>24</v>
      </c>
      <c r="H40" s="102">
        <f>EXP(-'GHG Model - Residues'!$D$7*(G40-0.5))</f>
        <v>5.1734579992800671E-2</v>
      </c>
      <c r="I40" s="103" t="e">
        <f t="shared" si="10"/>
        <v>#VALUE!</v>
      </c>
      <c r="J40" s="224" t="e">
        <f t="shared" si="4"/>
        <v>#VALUE!</v>
      </c>
      <c r="L40" s="90">
        <v>24</v>
      </c>
      <c r="M40" s="102">
        <f>EXP(-'GHG Model - Residues'!$D$7*(L40-0.5))</f>
        <v>5.1734579992800671E-2</v>
      </c>
      <c r="N40" s="103" t="e">
        <f t="shared" si="11"/>
        <v>#VALUE!</v>
      </c>
      <c r="O40" s="224" t="e">
        <f t="shared" si="5"/>
        <v>#VALUE!</v>
      </c>
      <c r="Q40" s="90">
        <v>24</v>
      </c>
      <c r="R40" s="102">
        <f>EXP(-'GHG Model - Residues'!$D$7*(Q40-0.5))</f>
        <v>5.1734579992800671E-2</v>
      </c>
      <c r="S40" s="103" t="e">
        <f t="shared" si="6"/>
        <v>#VALUE!</v>
      </c>
      <c r="T40" s="225" t="e">
        <f t="shared" si="7"/>
        <v>#VALUE!</v>
      </c>
      <c r="V40" s="90">
        <v>24</v>
      </c>
      <c r="W40" s="102">
        <f>EXP(-'GHG Model - Residues'!$D$7*(V40-0.5))</f>
        <v>5.1734579992800671E-2</v>
      </c>
      <c r="X40" s="103" t="e">
        <f t="shared" si="8"/>
        <v>#VALUE!</v>
      </c>
      <c r="Y40" s="224" t="e">
        <f t="shared" si="9"/>
        <v>#VALUE!</v>
      </c>
    </row>
    <row r="41" spans="2:25" x14ac:dyDescent="0.2">
      <c r="B41" s="90">
        <v>25</v>
      </c>
      <c r="C41" s="102">
        <f>EXP(-'GHG Model - Residues'!$D$7*(B41-0.5))</f>
        <v>4.5608753302545178E-2</v>
      </c>
      <c r="D41" s="103" t="e">
        <f t="shared" si="2"/>
        <v>#VALUE!</v>
      </c>
      <c r="E41" s="224" t="e">
        <f t="shared" si="3"/>
        <v>#VALUE!</v>
      </c>
      <c r="G41" s="90">
        <v>25</v>
      </c>
      <c r="H41" s="102">
        <f>EXP(-'GHG Model - Residues'!$D$7*(G41-0.5))</f>
        <v>4.5608753302545178E-2</v>
      </c>
      <c r="I41" s="103" t="e">
        <f t="shared" si="10"/>
        <v>#VALUE!</v>
      </c>
      <c r="J41" s="224" t="e">
        <f t="shared" si="4"/>
        <v>#VALUE!</v>
      </c>
      <c r="L41" s="90">
        <v>25</v>
      </c>
      <c r="M41" s="102">
        <f>EXP(-'GHG Model - Residues'!$D$7*(L41-0.5))</f>
        <v>4.5608753302545178E-2</v>
      </c>
      <c r="N41" s="103" t="e">
        <f t="shared" si="11"/>
        <v>#VALUE!</v>
      </c>
      <c r="O41" s="224" t="e">
        <f t="shared" si="5"/>
        <v>#VALUE!</v>
      </c>
      <c r="Q41" s="90">
        <v>25</v>
      </c>
      <c r="R41" s="102">
        <f>EXP(-'GHG Model - Residues'!$D$7*(Q41-0.5))</f>
        <v>4.5608753302545178E-2</v>
      </c>
      <c r="S41" s="103" t="e">
        <f t="shared" si="6"/>
        <v>#VALUE!</v>
      </c>
      <c r="T41" s="225" t="e">
        <f t="shared" si="7"/>
        <v>#VALUE!</v>
      </c>
      <c r="V41" s="90">
        <v>25</v>
      </c>
      <c r="W41" s="102">
        <f>EXP(-'GHG Model - Residues'!$D$7*(V41-0.5))</f>
        <v>4.5608753302545178E-2</v>
      </c>
      <c r="X41" s="103" t="e">
        <f t="shared" si="8"/>
        <v>#VALUE!</v>
      </c>
      <c r="Y41" s="224" t="e">
        <f t="shared" si="9"/>
        <v>#VALUE!</v>
      </c>
    </row>
    <row r="42" spans="2:25" x14ac:dyDescent="0.2">
      <c r="B42" s="90">
        <v>26</v>
      </c>
      <c r="C42" s="102">
        <f>EXP(-'GHG Model - Residues'!$D$7*(B42-0.5))</f>
        <v>4.0208278062794735E-2</v>
      </c>
      <c r="D42" s="103" t="e">
        <f t="shared" si="2"/>
        <v>#VALUE!</v>
      </c>
      <c r="E42" s="224" t="e">
        <f t="shared" si="3"/>
        <v>#VALUE!</v>
      </c>
      <c r="G42" s="90">
        <v>26</v>
      </c>
      <c r="H42" s="102">
        <f>EXP(-'GHG Model - Residues'!$D$7*(G42-0.5))</f>
        <v>4.0208278062794735E-2</v>
      </c>
      <c r="I42" s="103" t="e">
        <f t="shared" si="10"/>
        <v>#VALUE!</v>
      </c>
      <c r="J42" s="224" t="e">
        <f t="shared" si="4"/>
        <v>#VALUE!</v>
      </c>
      <c r="L42" s="90">
        <v>26</v>
      </c>
      <c r="M42" s="102">
        <f>EXP(-'GHG Model - Residues'!$D$7*(L42-0.5))</f>
        <v>4.0208278062794735E-2</v>
      </c>
      <c r="N42" s="103" t="e">
        <f t="shared" si="11"/>
        <v>#VALUE!</v>
      </c>
      <c r="O42" s="224" t="e">
        <f t="shared" si="5"/>
        <v>#VALUE!</v>
      </c>
      <c r="Q42" s="90">
        <v>26</v>
      </c>
      <c r="R42" s="102">
        <f>EXP(-'GHG Model - Residues'!$D$7*(Q42-0.5))</f>
        <v>4.0208278062794735E-2</v>
      </c>
      <c r="S42" s="103" t="e">
        <f t="shared" si="6"/>
        <v>#VALUE!</v>
      </c>
      <c r="T42" s="225" t="e">
        <f t="shared" si="7"/>
        <v>#VALUE!</v>
      </c>
      <c r="V42" s="90">
        <v>26</v>
      </c>
      <c r="W42" s="102">
        <f>EXP(-'GHG Model - Residues'!$D$7*(V42-0.5))</f>
        <v>4.0208278062794735E-2</v>
      </c>
      <c r="X42" s="103" t="e">
        <f t="shared" si="8"/>
        <v>#VALUE!</v>
      </c>
      <c r="Y42" s="224" t="e">
        <f t="shared" si="9"/>
        <v>#VALUE!</v>
      </c>
    </row>
    <row r="43" spans="2:25" x14ac:dyDescent="0.2">
      <c r="B43" s="90">
        <v>27</v>
      </c>
      <c r="C43" s="102">
        <f>EXP(-'GHG Model - Residues'!$D$7*(B43-0.5))</f>
        <v>3.54472663186082E-2</v>
      </c>
      <c r="D43" s="103" t="e">
        <f t="shared" si="2"/>
        <v>#VALUE!</v>
      </c>
      <c r="E43" s="224" t="e">
        <f t="shared" si="3"/>
        <v>#VALUE!</v>
      </c>
      <c r="G43" s="90">
        <v>27</v>
      </c>
      <c r="H43" s="102">
        <f>EXP(-'GHG Model - Residues'!$D$7*(G43-0.5))</f>
        <v>3.54472663186082E-2</v>
      </c>
      <c r="I43" s="103" t="e">
        <f t="shared" si="10"/>
        <v>#VALUE!</v>
      </c>
      <c r="J43" s="224" t="e">
        <f t="shared" si="4"/>
        <v>#VALUE!</v>
      </c>
      <c r="L43" s="90">
        <v>27</v>
      </c>
      <c r="M43" s="102">
        <f>EXP(-'GHG Model - Residues'!$D$7*(L43-0.5))</f>
        <v>3.54472663186082E-2</v>
      </c>
      <c r="N43" s="103" t="e">
        <f t="shared" si="11"/>
        <v>#VALUE!</v>
      </c>
      <c r="O43" s="224" t="e">
        <f t="shared" si="5"/>
        <v>#VALUE!</v>
      </c>
      <c r="Q43" s="90">
        <v>27</v>
      </c>
      <c r="R43" s="102">
        <f>EXP(-'GHG Model - Residues'!$D$7*(Q43-0.5))</f>
        <v>3.54472663186082E-2</v>
      </c>
      <c r="S43" s="103" t="e">
        <f t="shared" si="6"/>
        <v>#VALUE!</v>
      </c>
      <c r="T43" s="225" t="e">
        <f t="shared" si="7"/>
        <v>#VALUE!</v>
      </c>
      <c r="V43" s="90">
        <v>27</v>
      </c>
      <c r="W43" s="102">
        <f>EXP(-'GHG Model - Residues'!$D$7*(V43-0.5))</f>
        <v>3.54472663186082E-2</v>
      </c>
      <c r="X43" s="103" t="e">
        <f t="shared" si="8"/>
        <v>#VALUE!</v>
      </c>
      <c r="Y43" s="224" t="e">
        <f t="shared" si="9"/>
        <v>#VALUE!</v>
      </c>
    </row>
    <row r="44" spans="2:25" x14ac:dyDescent="0.2">
      <c r="B44" s="90">
        <v>28</v>
      </c>
      <c r="C44" s="102">
        <f>EXP(-'GHG Model - Residues'!$D$7*(B44-0.5))</f>
        <v>3.125E-2</v>
      </c>
      <c r="D44" s="103" t="e">
        <f t="shared" si="2"/>
        <v>#VALUE!</v>
      </c>
      <c r="E44" s="224" t="e">
        <f t="shared" si="3"/>
        <v>#VALUE!</v>
      </c>
      <c r="G44" s="90">
        <v>28</v>
      </c>
      <c r="H44" s="102">
        <f>EXP(-'GHG Model - Residues'!$D$7*(G44-0.5))</f>
        <v>3.125E-2</v>
      </c>
      <c r="I44" s="103" t="e">
        <f t="shared" si="10"/>
        <v>#VALUE!</v>
      </c>
      <c r="J44" s="224" t="e">
        <f t="shared" si="4"/>
        <v>#VALUE!</v>
      </c>
      <c r="L44" s="90">
        <v>28</v>
      </c>
      <c r="M44" s="102">
        <f>EXP(-'GHG Model - Residues'!$D$7*(L44-0.5))</f>
        <v>3.125E-2</v>
      </c>
      <c r="N44" s="103" t="e">
        <f t="shared" si="11"/>
        <v>#VALUE!</v>
      </c>
      <c r="O44" s="224" t="e">
        <f t="shared" si="5"/>
        <v>#VALUE!</v>
      </c>
      <c r="Q44" s="90">
        <v>28</v>
      </c>
      <c r="R44" s="102">
        <f>EXP(-'GHG Model - Residues'!$D$7*(Q44-0.5))</f>
        <v>3.125E-2</v>
      </c>
      <c r="S44" s="103" t="e">
        <f t="shared" si="6"/>
        <v>#VALUE!</v>
      </c>
      <c r="T44" s="225" t="e">
        <f t="shared" si="7"/>
        <v>#VALUE!</v>
      </c>
      <c r="V44" s="90">
        <v>28</v>
      </c>
      <c r="W44" s="102">
        <f>EXP(-'GHG Model - Residues'!$D$7*(V44-0.5))</f>
        <v>3.125E-2</v>
      </c>
      <c r="X44" s="103" t="e">
        <f t="shared" si="8"/>
        <v>#VALUE!</v>
      </c>
      <c r="Y44" s="224" t="e">
        <f t="shared" si="9"/>
        <v>#VALUE!</v>
      </c>
    </row>
    <row r="45" spans="2:25" x14ac:dyDescent="0.2">
      <c r="B45" s="90">
        <v>29</v>
      </c>
      <c r="C45" s="102">
        <f>EXP(-'GHG Model - Residues'!$D$7*(B45-0.5))</f>
        <v>2.7549726718625652E-2</v>
      </c>
      <c r="D45" s="103" t="e">
        <f t="shared" si="2"/>
        <v>#VALUE!</v>
      </c>
      <c r="E45" s="224" t="e">
        <f t="shared" si="3"/>
        <v>#VALUE!</v>
      </c>
      <c r="G45" s="90">
        <v>29</v>
      </c>
      <c r="H45" s="102">
        <f>EXP(-'GHG Model - Residues'!$D$7*(G45-0.5))</f>
        <v>2.7549726718625652E-2</v>
      </c>
      <c r="I45" s="103" t="e">
        <f t="shared" si="10"/>
        <v>#VALUE!</v>
      </c>
      <c r="J45" s="224" t="e">
        <f t="shared" si="4"/>
        <v>#VALUE!</v>
      </c>
      <c r="L45" s="90">
        <v>29</v>
      </c>
      <c r="M45" s="102">
        <f>EXP(-'GHG Model - Residues'!$D$7*(L45-0.5))</f>
        <v>2.7549726718625652E-2</v>
      </c>
      <c r="N45" s="103" t="e">
        <f t="shared" si="11"/>
        <v>#VALUE!</v>
      </c>
      <c r="O45" s="224" t="e">
        <f t="shared" si="5"/>
        <v>#VALUE!</v>
      </c>
      <c r="Q45" s="90">
        <v>29</v>
      </c>
      <c r="R45" s="102">
        <f>EXP(-'GHG Model - Residues'!$D$7*(Q45-0.5))</f>
        <v>2.7549726718625652E-2</v>
      </c>
      <c r="S45" s="103" t="e">
        <f t="shared" si="6"/>
        <v>#VALUE!</v>
      </c>
      <c r="T45" s="225" t="e">
        <f t="shared" si="7"/>
        <v>#VALUE!</v>
      </c>
      <c r="V45" s="90">
        <v>29</v>
      </c>
      <c r="W45" s="102">
        <f>EXP(-'GHG Model - Residues'!$D$7*(V45-0.5))</f>
        <v>2.7549726718625652E-2</v>
      </c>
      <c r="X45" s="103" t="e">
        <f t="shared" si="8"/>
        <v>#VALUE!</v>
      </c>
      <c r="Y45" s="224" t="e">
        <f t="shared" si="9"/>
        <v>#VALUE!</v>
      </c>
    </row>
    <row r="46" spans="2:25" x14ac:dyDescent="0.2">
      <c r="B46" s="90">
        <v>30</v>
      </c>
      <c r="C46" s="102">
        <f>EXP(-'GHG Model - Residues'!$D$7*(B46-0.5))</f>
        <v>2.4287598152670609E-2</v>
      </c>
      <c r="D46" s="103" t="e">
        <f t="shared" si="2"/>
        <v>#VALUE!</v>
      </c>
      <c r="E46" s="224" t="e">
        <f t="shared" si="3"/>
        <v>#VALUE!</v>
      </c>
      <c r="G46" s="90">
        <v>30</v>
      </c>
      <c r="H46" s="102">
        <f>EXP(-'GHG Model - Residues'!$D$7*(G46-0.5))</f>
        <v>2.4287598152670609E-2</v>
      </c>
      <c r="I46" s="103" t="e">
        <f t="shared" si="10"/>
        <v>#VALUE!</v>
      </c>
      <c r="J46" s="224" t="e">
        <f t="shared" si="4"/>
        <v>#VALUE!</v>
      </c>
      <c r="L46" s="90">
        <v>30</v>
      </c>
      <c r="M46" s="102">
        <f>EXP(-'GHG Model - Residues'!$D$7*(L46-0.5))</f>
        <v>2.4287598152670609E-2</v>
      </c>
      <c r="N46" s="103" t="e">
        <f t="shared" si="11"/>
        <v>#VALUE!</v>
      </c>
      <c r="O46" s="224" t="e">
        <f t="shared" si="5"/>
        <v>#VALUE!</v>
      </c>
      <c r="Q46" s="90">
        <v>30</v>
      </c>
      <c r="R46" s="102">
        <f>EXP(-'GHG Model - Residues'!$D$7*(Q46-0.5))</f>
        <v>2.4287598152670609E-2</v>
      </c>
      <c r="S46" s="103" t="e">
        <f t="shared" si="6"/>
        <v>#VALUE!</v>
      </c>
      <c r="T46" s="225" t="e">
        <f t="shared" si="7"/>
        <v>#VALUE!</v>
      </c>
      <c r="V46" s="90">
        <v>30</v>
      </c>
      <c r="W46" s="102">
        <f>EXP(-'GHG Model - Residues'!$D$7*(V46-0.5))</f>
        <v>2.4287598152670609E-2</v>
      </c>
      <c r="X46" s="103" t="e">
        <f t="shared" si="8"/>
        <v>#VALUE!</v>
      </c>
      <c r="Y46" s="224" t="e">
        <f t="shared" si="9"/>
        <v>#VALUE!</v>
      </c>
    </row>
  </sheetData>
  <sheetProtection password="C24F" sheet="1" objects="1" scenarios="1"/>
  <pageMargins left="0.75" right="0.75" top="1" bottom="1" header="0.5" footer="0.5"/>
  <pageSetup orientation="portrait" horizontalDpi="4294967293"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45"/>
  <sheetViews>
    <sheetView topLeftCell="A5" workbookViewId="0">
      <selection activeCell="A5" sqref="A5"/>
    </sheetView>
  </sheetViews>
  <sheetFormatPr defaultRowHeight="12.75" x14ac:dyDescent="0.2"/>
  <cols>
    <col min="1" max="1" width="3.85546875" style="90" customWidth="1"/>
    <col min="2" max="3" width="9.140625" style="90"/>
    <col min="4" max="5" width="9.140625" style="90" customWidth="1"/>
    <col min="6" max="19" width="9.140625" style="90"/>
    <col min="20" max="20" width="17.42578125" style="90" bestFit="1" customWidth="1"/>
    <col min="21" max="16384" width="9.140625" style="90"/>
  </cols>
  <sheetData>
    <row r="2" spans="2:25" x14ac:dyDescent="0.2">
      <c r="B2" s="89" t="s">
        <v>118</v>
      </c>
    </row>
    <row r="3" spans="2:25" x14ac:dyDescent="0.2">
      <c r="B3" s="89" t="s">
        <v>134</v>
      </c>
    </row>
    <row r="5" spans="2:25" x14ac:dyDescent="0.2">
      <c r="B5" s="89" t="s">
        <v>120</v>
      </c>
    </row>
    <row r="7" spans="2:25" x14ac:dyDescent="0.2">
      <c r="D7" s="90" t="s">
        <v>1</v>
      </c>
      <c r="E7" s="98"/>
      <c r="I7" s="90" t="s">
        <v>2</v>
      </c>
      <c r="J7" s="98"/>
      <c r="N7" s="90" t="s">
        <v>3</v>
      </c>
      <c r="O7" s="98"/>
      <c r="S7" s="90" t="s">
        <v>4</v>
      </c>
      <c r="T7" s="98"/>
      <c r="X7" s="90" t="s">
        <v>4</v>
      </c>
      <c r="Y7" s="98"/>
    </row>
    <row r="8" spans="2:25" x14ac:dyDescent="0.2">
      <c r="C8" s="92" t="s">
        <v>124</v>
      </c>
      <c r="D8" s="96" t="str">
        <f>'GHG Analysis - Quarter 1'!E37</f>
        <v>-</v>
      </c>
      <c r="H8" s="92" t="s">
        <v>124</v>
      </c>
      <c r="I8" s="96" t="str">
        <f>'GHG Analysis - Quarter 2'!E37</f>
        <v>-</v>
      </c>
      <c r="M8" s="92" t="s">
        <v>124</v>
      </c>
      <c r="N8" s="96" t="str">
        <f>'GHG Analysis - Quarter 3'!E37</f>
        <v>-</v>
      </c>
      <c r="R8" s="92" t="s">
        <v>124</v>
      </c>
      <c r="S8" s="96" t="str">
        <f>'GHG Analysis - Quarter 4'!E37</f>
        <v>-</v>
      </c>
      <c r="W8" s="92" t="s">
        <v>124</v>
      </c>
      <c r="X8" s="96" t="str">
        <f>'GHG Analysis - Annual'!E37</f>
        <v>-</v>
      </c>
    </row>
    <row r="9" spans="2:25" x14ac:dyDescent="0.2">
      <c r="C9" s="97" t="s">
        <v>125</v>
      </c>
      <c r="D9" s="90">
        <v>-1</v>
      </c>
      <c r="H9" s="97" t="s">
        <v>125</v>
      </c>
      <c r="I9" s="90">
        <v>-1</v>
      </c>
      <c r="M9" s="97" t="s">
        <v>125</v>
      </c>
      <c r="N9" s="90">
        <v>-1</v>
      </c>
      <c r="R9" s="97" t="s">
        <v>125</v>
      </c>
      <c r="S9" s="90">
        <v>-1</v>
      </c>
      <c r="W9" s="97" t="s">
        <v>125</v>
      </c>
      <c r="X9" s="90">
        <v>-1</v>
      </c>
    </row>
    <row r="10" spans="2:25" x14ac:dyDescent="0.2">
      <c r="C10" s="92" t="s">
        <v>127</v>
      </c>
      <c r="D10" s="99" t="e">
        <f>-D9/(D8-1)</f>
        <v>#VALUE!</v>
      </c>
      <c r="H10" s="92" t="s">
        <v>127</v>
      </c>
      <c r="I10" s="99" t="e">
        <f>-I9/(I8-1)</f>
        <v>#VALUE!</v>
      </c>
      <c r="M10" s="92" t="s">
        <v>127</v>
      </c>
      <c r="N10" s="99" t="e">
        <f>-N9/(N8-1)</f>
        <v>#VALUE!</v>
      </c>
      <c r="R10" s="92" t="s">
        <v>127</v>
      </c>
      <c r="S10" s="99" t="e">
        <f>-S9/(S8-1)</f>
        <v>#VALUE!</v>
      </c>
      <c r="W10" s="92" t="s">
        <v>127</v>
      </c>
      <c r="X10" s="99" t="e">
        <f>-X9/(X8-1)</f>
        <v>#VALUE!</v>
      </c>
    </row>
    <row r="12" spans="2:25" x14ac:dyDescent="0.2">
      <c r="B12" s="92" t="s">
        <v>1</v>
      </c>
      <c r="G12" s="92" t="s">
        <v>2</v>
      </c>
      <c r="L12" s="92" t="s">
        <v>3</v>
      </c>
      <c r="Q12" s="92" t="s">
        <v>4</v>
      </c>
      <c r="V12" s="92" t="s">
        <v>4</v>
      </c>
    </row>
    <row r="13" spans="2:25" x14ac:dyDescent="0.2">
      <c r="B13" s="89" t="s">
        <v>129</v>
      </c>
      <c r="G13" s="89" t="s">
        <v>129</v>
      </c>
      <c r="L13" s="89" t="s">
        <v>129</v>
      </c>
      <c r="Q13" s="89" t="s">
        <v>129</v>
      </c>
      <c r="V13" s="89" t="s">
        <v>129</v>
      </c>
    </row>
    <row r="14" spans="2:25" x14ac:dyDescent="0.2">
      <c r="B14" s="92"/>
      <c r="G14" s="92"/>
      <c r="L14" s="92"/>
      <c r="Q14" s="92"/>
      <c r="V14" s="92"/>
    </row>
    <row r="15" spans="2:25" ht="25.5" x14ac:dyDescent="0.2">
      <c r="B15" s="100" t="s">
        <v>130</v>
      </c>
      <c r="C15" s="100" t="s">
        <v>135</v>
      </c>
      <c r="D15" s="101" t="s">
        <v>136</v>
      </c>
      <c r="E15" s="101" t="s">
        <v>133</v>
      </c>
      <c r="F15" s="101"/>
      <c r="G15" s="100" t="s">
        <v>130</v>
      </c>
      <c r="H15" s="100" t="s">
        <v>135</v>
      </c>
      <c r="I15" s="101" t="s">
        <v>136</v>
      </c>
      <c r="J15" s="101" t="s">
        <v>133</v>
      </c>
      <c r="L15" s="100" t="s">
        <v>130</v>
      </c>
      <c r="M15" s="100" t="s">
        <v>135</v>
      </c>
      <c r="N15" s="101" t="s">
        <v>136</v>
      </c>
      <c r="O15" s="101" t="s">
        <v>133</v>
      </c>
      <c r="Q15" s="100" t="s">
        <v>130</v>
      </c>
      <c r="R15" s="100" t="s">
        <v>135</v>
      </c>
      <c r="S15" s="101" t="s">
        <v>136</v>
      </c>
      <c r="T15" s="101" t="s">
        <v>133</v>
      </c>
      <c r="V15" s="100" t="s">
        <v>130</v>
      </c>
      <c r="W15" s="100" t="s">
        <v>135</v>
      </c>
      <c r="X15" s="101" t="s">
        <v>136</v>
      </c>
      <c r="Y15" s="101" t="s">
        <v>133</v>
      </c>
    </row>
    <row r="16" spans="2:25" x14ac:dyDescent="0.2">
      <c r="B16" s="90">
        <v>1</v>
      </c>
      <c r="C16" s="104">
        <f>Parameters!$C$40*EXP(Parameters!$D$40*B16)</f>
        <v>1.1104937980855236</v>
      </c>
      <c r="D16" s="102" t="e">
        <f>-$D$10*(1-C16)</f>
        <v>#VALUE!</v>
      </c>
      <c r="E16" s="226" t="e">
        <f>$D$10+D16</f>
        <v>#VALUE!</v>
      </c>
      <c r="G16" s="90">
        <v>1</v>
      </c>
      <c r="H16" s="104">
        <f>Parameters!$C$40*EXP(Parameters!$D$40*G16)</f>
        <v>1.1104937980855236</v>
      </c>
      <c r="I16" s="102" t="e">
        <f>-$I$10*(1-H16)</f>
        <v>#VALUE!</v>
      </c>
      <c r="J16" s="226" t="e">
        <f>$I$10+I16</f>
        <v>#VALUE!</v>
      </c>
      <c r="L16" s="90">
        <v>1</v>
      </c>
      <c r="M16" s="104">
        <f>Parameters!$C$40*EXP(Parameters!$D$40*L16)</f>
        <v>1.1104937980855236</v>
      </c>
      <c r="N16" s="102" t="e">
        <f>-$N$10*(1-M16)</f>
        <v>#VALUE!</v>
      </c>
      <c r="O16" s="226" t="e">
        <f>$N$10+N16</f>
        <v>#VALUE!</v>
      </c>
      <c r="Q16" s="90">
        <v>1</v>
      </c>
      <c r="R16" s="104">
        <f>Parameters!$C$40*EXP(Parameters!$D$40*Q16)</f>
        <v>1.1104937980855236</v>
      </c>
      <c r="S16" s="102" t="e">
        <f>-$S$10*(1-R16)</f>
        <v>#VALUE!</v>
      </c>
      <c r="T16" s="227" t="e">
        <f>$S$10+S16</f>
        <v>#VALUE!</v>
      </c>
      <c r="V16" s="90">
        <v>1</v>
      </c>
      <c r="W16" s="104">
        <f>Parameters!$C$40*EXP(Parameters!$D$40*V16)</f>
        <v>1.1104937980855236</v>
      </c>
      <c r="X16" s="102" t="e">
        <f>-$X$10*(1-W16)</f>
        <v>#VALUE!</v>
      </c>
      <c r="Y16" s="226" t="e">
        <f>$X$10+X16</f>
        <v>#VALUE!</v>
      </c>
    </row>
    <row r="17" spans="2:25" x14ac:dyDescent="0.2">
      <c r="B17" s="90">
        <v>2</v>
      </c>
      <c r="C17" s="104">
        <f>Parameters!$C$40*EXP(Parameters!$D$40*B17)</f>
        <v>1.0972475091969141</v>
      </c>
      <c r="D17" s="102" t="e">
        <f>-$D$10*(1-C17)</f>
        <v>#VALUE!</v>
      </c>
      <c r="E17" s="102" t="e">
        <f t="shared" ref="E17:E45" si="0">$D$10+D17</f>
        <v>#VALUE!</v>
      </c>
      <c r="G17" s="90">
        <v>2</v>
      </c>
      <c r="H17" s="104">
        <f>Parameters!$C$40*EXP(Parameters!$D$40*G17)</f>
        <v>1.0972475091969141</v>
      </c>
      <c r="I17" s="102" t="e">
        <f t="shared" ref="I17:I45" si="1">-$I$10*(1-H17)</f>
        <v>#VALUE!</v>
      </c>
      <c r="J17" s="226" t="e">
        <f t="shared" ref="J17:J45" si="2">$I$10+I17</f>
        <v>#VALUE!</v>
      </c>
      <c r="L17" s="90">
        <v>2</v>
      </c>
      <c r="M17" s="104">
        <f>Parameters!$C$40*EXP(Parameters!$D$40*L17)</f>
        <v>1.0972475091969141</v>
      </c>
      <c r="N17" s="102" t="e">
        <f t="shared" ref="N17:N45" si="3">-$N$10*(1-M17)</f>
        <v>#VALUE!</v>
      </c>
      <c r="O17" s="226" t="e">
        <f t="shared" ref="O17:O45" si="4">$N$10+N17</f>
        <v>#VALUE!</v>
      </c>
      <c r="Q17" s="90">
        <v>2</v>
      </c>
      <c r="R17" s="104">
        <f>Parameters!$C$40*EXP(Parameters!$D$40*Q17)</f>
        <v>1.0972475091969141</v>
      </c>
      <c r="S17" s="102" t="e">
        <f t="shared" ref="S17:S45" si="5">-$S$10*(1-R17)</f>
        <v>#VALUE!</v>
      </c>
      <c r="T17" s="227" t="e">
        <f t="shared" ref="T17:T45" si="6">$S$10+S17</f>
        <v>#VALUE!</v>
      </c>
      <c r="V17" s="90">
        <v>2</v>
      </c>
      <c r="W17" s="104">
        <f>Parameters!$C$40*EXP(Parameters!$D$40*V17)</f>
        <v>1.0972475091969141</v>
      </c>
      <c r="X17" s="102" t="e">
        <f t="shared" ref="X17:X45" si="7">-$X$10*(1-W17)</f>
        <v>#VALUE!</v>
      </c>
      <c r="Y17" s="226" t="e">
        <f t="shared" ref="Y17:Y45" si="8">$X$10+X17</f>
        <v>#VALUE!</v>
      </c>
    </row>
    <row r="18" spans="2:25" x14ac:dyDescent="0.2">
      <c r="B18" s="90">
        <v>3</v>
      </c>
      <c r="C18" s="104">
        <f>Parameters!$C$40*EXP(Parameters!$D$40*B18)</f>
        <v>1.084159225845682</v>
      </c>
      <c r="D18" s="102" t="e">
        <f>-$D$10*(1-C18)</f>
        <v>#VALUE!</v>
      </c>
      <c r="E18" s="102" t="e">
        <f t="shared" si="0"/>
        <v>#VALUE!</v>
      </c>
      <c r="G18" s="90">
        <v>3</v>
      </c>
      <c r="H18" s="104">
        <f>Parameters!$C$40*EXP(Parameters!$D$40*G18)</f>
        <v>1.084159225845682</v>
      </c>
      <c r="I18" s="102" t="e">
        <f t="shared" si="1"/>
        <v>#VALUE!</v>
      </c>
      <c r="J18" s="226" t="e">
        <f t="shared" si="2"/>
        <v>#VALUE!</v>
      </c>
      <c r="L18" s="90">
        <v>3</v>
      </c>
      <c r="M18" s="104">
        <f>Parameters!$C$40*EXP(Parameters!$D$40*L18)</f>
        <v>1.084159225845682</v>
      </c>
      <c r="N18" s="102" t="e">
        <f t="shared" si="3"/>
        <v>#VALUE!</v>
      </c>
      <c r="O18" s="226" t="e">
        <f t="shared" si="4"/>
        <v>#VALUE!</v>
      </c>
      <c r="Q18" s="90">
        <v>3</v>
      </c>
      <c r="R18" s="104">
        <f>Parameters!$C$40*EXP(Parameters!$D$40*Q18)</f>
        <v>1.084159225845682</v>
      </c>
      <c r="S18" s="102" t="e">
        <f t="shared" si="5"/>
        <v>#VALUE!</v>
      </c>
      <c r="T18" s="227" t="e">
        <f t="shared" si="6"/>
        <v>#VALUE!</v>
      </c>
      <c r="V18" s="90">
        <v>3</v>
      </c>
      <c r="W18" s="104">
        <f>Parameters!$C$40*EXP(Parameters!$D$40*V18)</f>
        <v>1.084159225845682</v>
      </c>
      <c r="X18" s="102" t="e">
        <f t="shared" si="7"/>
        <v>#VALUE!</v>
      </c>
      <c r="Y18" s="226" t="e">
        <f t="shared" si="8"/>
        <v>#VALUE!</v>
      </c>
    </row>
    <row r="19" spans="2:25" x14ac:dyDescent="0.2">
      <c r="B19" s="90">
        <v>4</v>
      </c>
      <c r="C19" s="104">
        <f>Parameters!$C$40*EXP(Parameters!$D$40*B19)</f>
        <v>1.0712270632964074</v>
      </c>
      <c r="D19" s="102" t="e">
        <f>-$D$10*(1-C19)</f>
        <v>#VALUE!</v>
      </c>
      <c r="E19" s="102" t="e">
        <f t="shared" si="0"/>
        <v>#VALUE!</v>
      </c>
      <c r="G19" s="90">
        <v>4</v>
      </c>
      <c r="H19" s="104">
        <f>Parameters!$C$40*EXP(Parameters!$D$40*G19)</f>
        <v>1.0712270632964074</v>
      </c>
      <c r="I19" s="102" t="e">
        <f t="shared" si="1"/>
        <v>#VALUE!</v>
      </c>
      <c r="J19" s="226" t="e">
        <f t="shared" si="2"/>
        <v>#VALUE!</v>
      </c>
      <c r="L19" s="90">
        <v>4</v>
      </c>
      <c r="M19" s="104">
        <f>Parameters!$C$40*EXP(Parameters!$D$40*L19)</f>
        <v>1.0712270632964074</v>
      </c>
      <c r="N19" s="102" t="e">
        <f t="shared" si="3"/>
        <v>#VALUE!</v>
      </c>
      <c r="O19" s="226" t="e">
        <f t="shared" si="4"/>
        <v>#VALUE!</v>
      </c>
      <c r="Q19" s="90">
        <v>4</v>
      </c>
      <c r="R19" s="104">
        <f>Parameters!$C$40*EXP(Parameters!$D$40*Q19)</f>
        <v>1.0712270632964074</v>
      </c>
      <c r="S19" s="102" t="e">
        <f t="shared" si="5"/>
        <v>#VALUE!</v>
      </c>
      <c r="T19" s="227" t="e">
        <f t="shared" si="6"/>
        <v>#VALUE!</v>
      </c>
      <c r="V19" s="90">
        <v>4</v>
      </c>
      <c r="W19" s="104">
        <f>Parameters!$C$40*EXP(Parameters!$D$40*V19)</f>
        <v>1.0712270632964074</v>
      </c>
      <c r="X19" s="102" t="e">
        <f t="shared" si="7"/>
        <v>#VALUE!</v>
      </c>
      <c r="Y19" s="226" t="e">
        <f t="shared" si="8"/>
        <v>#VALUE!</v>
      </c>
    </row>
    <row r="20" spans="2:25" x14ac:dyDescent="0.2">
      <c r="B20" s="90">
        <v>5</v>
      </c>
      <c r="C20" s="104">
        <f>Parameters!$C$40*EXP(Parameters!$D$40*B20)</f>
        <v>1.0584491592953371</v>
      </c>
      <c r="D20" s="102" t="e">
        <f t="shared" ref="D20:D45" si="9">-$D$10*(1-C20)</f>
        <v>#VALUE!</v>
      </c>
      <c r="E20" s="226" t="e">
        <f>$D$10+D20</f>
        <v>#VALUE!</v>
      </c>
      <c r="G20" s="90">
        <v>5</v>
      </c>
      <c r="H20" s="104">
        <f>Parameters!$C$40*EXP(Parameters!$D$40*G20)</f>
        <v>1.0584491592953371</v>
      </c>
      <c r="I20" s="102" t="e">
        <f t="shared" si="1"/>
        <v>#VALUE!</v>
      </c>
      <c r="J20" s="226" t="e">
        <f t="shared" si="2"/>
        <v>#VALUE!</v>
      </c>
      <c r="L20" s="90">
        <v>5</v>
      </c>
      <c r="M20" s="104">
        <f>Parameters!$C$40*EXP(Parameters!$D$40*L20)</f>
        <v>1.0584491592953371</v>
      </c>
      <c r="N20" s="102" t="e">
        <f t="shared" si="3"/>
        <v>#VALUE!</v>
      </c>
      <c r="O20" s="226" t="e">
        <f t="shared" si="4"/>
        <v>#VALUE!</v>
      </c>
      <c r="Q20" s="90">
        <v>5</v>
      </c>
      <c r="R20" s="104">
        <f>Parameters!$C$40*EXP(Parameters!$D$40*Q20)</f>
        <v>1.0584491592953371</v>
      </c>
      <c r="S20" s="102" t="e">
        <f t="shared" si="5"/>
        <v>#VALUE!</v>
      </c>
      <c r="T20" s="227" t="e">
        <f t="shared" si="6"/>
        <v>#VALUE!</v>
      </c>
      <c r="V20" s="90">
        <v>5</v>
      </c>
      <c r="W20" s="104">
        <f>Parameters!$C$40*EXP(Parameters!$D$40*V20)</f>
        <v>1.0584491592953371</v>
      </c>
      <c r="X20" s="102" t="e">
        <f t="shared" si="7"/>
        <v>#VALUE!</v>
      </c>
      <c r="Y20" s="226" t="e">
        <f t="shared" si="8"/>
        <v>#VALUE!</v>
      </c>
    </row>
    <row r="21" spans="2:25" x14ac:dyDescent="0.2">
      <c r="B21" s="90">
        <v>6</v>
      </c>
      <c r="C21" s="104">
        <f>Parameters!$C$40*EXP(Parameters!$D$40*B21)</f>
        <v>1.045823673802214</v>
      </c>
      <c r="D21" s="102" t="e">
        <f>-$D$10*(1-C21)</f>
        <v>#VALUE!</v>
      </c>
      <c r="E21" s="226" t="e">
        <f>$D$10+D21</f>
        <v>#VALUE!</v>
      </c>
      <c r="G21" s="90">
        <v>6</v>
      </c>
      <c r="H21" s="104">
        <f>Parameters!$C$40*EXP(Parameters!$D$40*G21)</f>
        <v>1.045823673802214</v>
      </c>
      <c r="I21" s="102" t="e">
        <f t="shared" si="1"/>
        <v>#VALUE!</v>
      </c>
      <c r="J21" s="226" t="e">
        <f t="shared" si="2"/>
        <v>#VALUE!</v>
      </c>
      <c r="L21" s="90">
        <v>6</v>
      </c>
      <c r="M21" s="104">
        <f>Parameters!$C$40*EXP(Parameters!$D$40*L21)</f>
        <v>1.045823673802214</v>
      </c>
      <c r="N21" s="102" t="e">
        <f t="shared" si="3"/>
        <v>#VALUE!</v>
      </c>
      <c r="O21" s="226" t="e">
        <f t="shared" si="4"/>
        <v>#VALUE!</v>
      </c>
      <c r="Q21" s="90">
        <v>6</v>
      </c>
      <c r="R21" s="104">
        <f>Parameters!$C$40*EXP(Parameters!$D$40*Q21)</f>
        <v>1.045823673802214</v>
      </c>
      <c r="S21" s="102" t="e">
        <f t="shared" si="5"/>
        <v>#VALUE!</v>
      </c>
      <c r="T21" s="227" t="e">
        <f t="shared" si="6"/>
        <v>#VALUE!</v>
      </c>
      <c r="V21" s="90">
        <v>6</v>
      </c>
      <c r="W21" s="104">
        <f>Parameters!$C$40*EXP(Parameters!$D$40*V21)</f>
        <v>1.045823673802214</v>
      </c>
      <c r="X21" s="102" t="e">
        <f t="shared" si="7"/>
        <v>#VALUE!</v>
      </c>
      <c r="Y21" s="226" t="e">
        <f t="shared" si="8"/>
        <v>#VALUE!</v>
      </c>
    </row>
    <row r="22" spans="2:25" x14ac:dyDescent="0.2">
      <c r="B22" s="90">
        <v>7</v>
      </c>
      <c r="C22" s="104">
        <f>Parameters!$C$40*EXP(Parameters!$D$40*B22)</f>
        <v>1.0333487887253106</v>
      </c>
      <c r="D22" s="102" t="e">
        <f t="shared" si="9"/>
        <v>#VALUE!</v>
      </c>
      <c r="E22" s="226" t="e">
        <f>$D$10+D22</f>
        <v>#VALUE!</v>
      </c>
      <c r="G22" s="90">
        <v>7</v>
      </c>
      <c r="H22" s="104">
        <f>Parameters!$C$40*EXP(Parameters!$D$40*G22)</f>
        <v>1.0333487887253106</v>
      </c>
      <c r="I22" s="102" t="e">
        <f t="shared" si="1"/>
        <v>#VALUE!</v>
      </c>
      <c r="J22" s="226" t="e">
        <f t="shared" si="2"/>
        <v>#VALUE!</v>
      </c>
      <c r="L22" s="90">
        <v>7</v>
      </c>
      <c r="M22" s="104">
        <f>Parameters!$C$40*EXP(Parameters!$D$40*L22)</f>
        <v>1.0333487887253106</v>
      </c>
      <c r="N22" s="102" t="e">
        <f t="shared" si="3"/>
        <v>#VALUE!</v>
      </c>
      <c r="O22" s="226" t="e">
        <f t="shared" si="4"/>
        <v>#VALUE!</v>
      </c>
      <c r="Q22" s="90">
        <v>7</v>
      </c>
      <c r="R22" s="104">
        <f>Parameters!$C$40*EXP(Parameters!$D$40*Q22)</f>
        <v>1.0333487887253106</v>
      </c>
      <c r="S22" s="102" t="e">
        <f t="shared" si="5"/>
        <v>#VALUE!</v>
      </c>
      <c r="T22" s="227" t="e">
        <f t="shared" si="6"/>
        <v>#VALUE!</v>
      </c>
      <c r="V22" s="90">
        <v>7</v>
      </c>
      <c r="W22" s="104">
        <f>Parameters!$C$40*EXP(Parameters!$D$40*V22)</f>
        <v>1.0333487887253106</v>
      </c>
      <c r="X22" s="102" t="e">
        <f t="shared" si="7"/>
        <v>#VALUE!</v>
      </c>
      <c r="Y22" s="226" t="e">
        <f t="shared" si="8"/>
        <v>#VALUE!</v>
      </c>
    </row>
    <row r="23" spans="2:25" x14ac:dyDescent="0.2">
      <c r="B23" s="90">
        <v>8</v>
      </c>
      <c r="C23" s="104">
        <f>Parameters!$C$40*EXP(Parameters!$D$40*B23)</f>
        <v>1.0210227076596188</v>
      </c>
      <c r="D23" s="102" t="e">
        <f t="shared" si="9"/>
        <v>#VALUE!</v>
      </c>
      <c r="E23" s="102" t="e">
        <f t="shared" si="0"/>
        <v>#VALUE!</v>
      </c>
      <c r="G23" s="90">
        <v>8</v>
      </c>
      <c r="H23" s="104">
        <f>Parameters!$C$40*EXP(Parameters!$D$40*G23)</f>
        <v>1.0210227076596188</v>
      </c>
      <c r="I23" s="102" t="e">
        <f t="shared" si="1"/>
        <v>#VALUE!</v>
      </c>
      <c r="J23" s="226" t="e">
        <f t="shared" si="2"/>
        <v>#VALUE!</v>
      </c>
      <c r="L23" s="90">
        <v>8</v>
      </c>
      <c r="M23" s="104">
        <f>Parameters!$C$40*EXP(Parameters!$D$40*L23)</f>
        <v>1.0210227076596188</v>
      </c>
      <c r="N23" s="102" t="e">
        <f>-$N$10*(1-M23)</f>
        <v>#VALUE!</v>
      </c>
      <c r="O23" s="226" t="e">
        <f t="shared" si="4"/>
        <v>#VALUE!</v>
      </c>
      <c r="Q23" s="90">
        <v>8</v>
      </c>
      <c r="R23" s="104">
        <f>Parameters!$C$40*EXP(Parameters!$D$40*Q23)</f>
        <v>1.0210227076596188</v>
      </c>
      <c r="S23" s="102" t="e">
        <f t="shared" si="5"/>
        <v>#VALUE!</v>
      </c>
      <c r="T23" s="227" t="e">
        <f t="shared" si="6"/>
        <v>#VALUE!</v>
      </c>
      <c r="V23" s="90">
        <v>8</v>
      </c>
      <c r="W23" s="104">
        <f>Parameters!$C$40*EXP(Parameters!$D$40*V23)</f>
        <v>1.0210227076596188</v>
      </c>
      <c r="X23" s="102" t="e">
        <f t="shared" si="7"/>
        <v>#VALUE!</v>
      </c>
      <c r="Y23" s="226" t="e">
        <f t="shared" si="8"/>
        <v>#VALUE!</v>
      </c>
    </row>
    <row r="24" spans="2:25" x14ac:dyDescent="0.2">
      <c r="B24" s="90">
        <v>9</v>
      </c>
      <c r="C24" s="104">
        <f>Parameters!$C$40*EXP(Parameters!$D$40*B24)</f>
        <v>1.0088436556281657</v>
      </c>
      <c r="D24" s="102" t="e">
        <f t="shared" si="9"/>
        <v>#VALUE!</v>
      </c>
      <c r="E24" s="102" t="e">
        <f t="shared" si="0"/>
        <v>#VALUE!</v>
      </c>
      <c r="G24" s="90">
        <v>9</v>
      </c>
      <c r="H24" s="104">
        <f>Parameters!$C$40*EXP(Parameters!$D$40*G24)</f>
        <v>1.0088436556281657</v>
      </c>
      <c r="I24" s="102" t="e">
        <f t="shared" si="1"/>
        <v>#VALUE!</v>
      </c>
      <c r="J24" s="226" t="e">
        <f t="shared" si="2"/>
        <v>#VALUE!</v>
      </c>
      <c r="L24" s="90">
        <v>9</v>
      </c>
      <c r="M24" s="104">
        <f>Parameters!$C$40*EXP(Parameters!$D$40*L24)</f>
        <v>1.0088436556281657</v>
      </c>
      <c r="N24" s="102" t="e">
        <f>-$N$10*(1-M24)</f>
        <v>#VALUE!</v>
      </c>
      <c r="O24" s="226" t="e">
        <f t="shared" si="4"/>
        <v>#VALUE!</v>
      </c>
      <c r="Q24" s="90">
        <v>9</v>
      </c>
      <c r="R24" s="104">
        <f>Parameters!$C$40*EXP(Parameters!$D$40*Q24)</f>
        <v>1.0088436556281657</v>
      </c>
      <c r="S24" s="102" t="e">
        <f t="shared" si="5"/>
        <v>#VALUE!</v>
      </c>
      <c r="T24" s="227" t="e">
        <f t="shared" si="6"/>
        <v>#VALUE!</v>
      </c>
      <c r="V24" s="90">
        <v>9</v>
      </c>
      <c r="W24" s="104">
        <f>Parameters!$C$40*EXP(Parameters!$D$40*V24)</f>
        <v>1.0088436556281657</v>
      </c>
      <c r="X24" s="102" t="e">
        <f t="shared" si="7"/>
        <v>#VALUE!</v>
      </c>
      <c r="Y24" s="226" t="e">
        <f t="shared" si="8"/>
        <v>#VALUE!</v>
      </c>
    </row>
    <row r="25" spans="2:25" x14ac:dyDescent="0.2">
      <c r="B25" s="90">
        <v>10</v>
      </c>
      <c r="C25" s="104">
        <f>Parameters!$C$40*EXP(Parameters!$D$40*B25)</f>
        <v>0.99680987882641325</v>
      </c>
      <c r="D25" s="102" t="e">
        <f t="shared" si="9"/>
        <v>#VALUE!</v>
      </c>
      <c r="E25" s="102" t="e">
        <f t="shared" si="0"/>
        <v>#VALUE!</v>
      </c>
      <c r="G25" s="90">
        <v>10</v>
      </c>
      <c r="H25" s="104">
        <f>Parameters!$C$40*EXP(Parameters!$D$40*G25)</f>
        <v>0.99680987882641325</v>
      </c>
      <c r="I25" s="102" t="e">
        <f t="shared" si="1"/>
        <v>#VALUE!</v>
      </c>
      <c r="J25" s="226" t="e">
        <f t="shared" si="2"/>
        <v>#VALUE!</v>
      </c>
      <c r="L25" s="90">
        <v>10</v>
      </c>
      <c r="M25" s="104">
        <f>Parameters!$C$40*EXP(Parameters!$D$40*L25)</f>
        <v>0.99680987882641325</v>
      </c>
      <c r="N25" s="102" t="e">
        <f>-$N$10*(1-M25)</f>
        <v>#VALUE!</v>
      </c>
      <c r="O25" s="226" t="e">
        <f t="shared" si="4"/>
        <v>#VALUE!</v>
      </c>
      <c r="Q25" s="90">
        <v>10</v>
      </c>
      <c r="R25" s="104">
        <f>Parameters!$C$40*EXP(Parameters!$D$40*Q25)</f>
        <v>0.99680987882641325</v>
      </c>
      <c r="S25" s="102" t="e">
        <f t="shared" si="5"/>
        <v>#VALUE!</v>
      </c>
      <c r="T25" s="227" t="e">
        <f t="shared" si="6"/>
        <v>#VALUE!</v>
      </c>
      <c r="V25" s="90">
        <v>10</v>
      </c>
      <c r="W25" s="104">
        <f>Parameters!$C$40*EXP(Parameters!$D$40*V25)</f>
        <v>0.99680987882641325</v>
      </c>
      <c r="X25" s="102" t="e">
        <f t="shared" si="7"/>
        <v>#VALUE!</v>
      </c>
      <c r="Y25" s="226" t="e">
        <f t="shared" si="8"/>
        <v>#VALUE!</v>
      </c>
    </row>
    <row r="26" spans="2:25" x14ac:dyDescent="0.2">
      <c r="B26" s="90">
        <v>11</v>
      </c>
      <c r="C26" s="104">
        <f>Parameters!$C$40*EXP(Parameters!$D$40*B26)</f>
        <v>0.98491964436970747</v>
      </c>
      <c r="D26" s="102" t="e">
        <f t="shared" si="9"/>
        <v>#VALUE!</v>
      </c>
      <c r="E26" s="102" t="e">
        <f t="shared" si="0"/>
        <v>#VALUE!</v>
      </c>
      <c r="G26" s="90">
        <v>11</v>
      </c>
      <c r="H26" s="104">
        <f>Parameters!$C$40*EXP(Parameters!$D$40*G26)</f>
        <v>0.98491964436970747</v>
      </c>
      <c r="I26" s="102" t="e">
        <f t="shared" si="1"/>
        <v>#VALUE!</v>
      </c>
      <c r="J26" s="226" t="e">
        <f t="shared" si="2"/>
        <v>#VALUE!</v>
      </c>
      <c r="L26" s="90">
        <v>11</v>
      </c>
      <c r="M26" s="104">
        <f>Parameters!$C$40*EXP(Parameters!$D$40*L26)</f>
        <v>0.98491964436970747</v>
      </c>
      <c r="N26" s="102" t="e">
        <f>-$N$10*(1-M26)</f>
        <v>#VALUE!</v>
      </c>
      <c r="O26" s="226" t="e">
        <f t="shared" si="4"/>
        <v>#VALUE!</v>
      </c>
      <c r="Q26" s="90">
        <v>11</v>
      </c>
      <c r="R26" s="104">
        <f>Parameters!$C$40*EXP(Parameters!$D$40*Q26)</f>
        <v>0.98491964436970747</v>
      </c>
      <c r="S26" s="102" t="e">
        <f t="shared" si="5"/>
        <v>#VALUE!</v>
      </c>
      <c r="T26" s="227" t="e">
        <f t="shared" si="6"/>
        <v>#VALUE!</v>
      </c>
      <c r="V26" s="90">
        <v>11</v>
      </c>
      <c r="W26" s="104">
        <f>Parameters!$C$40*EXP(Parameters!$D$40*V26)</f>
        <v>0.98491964436970747</v>
      </c>
      <c r="X26" s="102" t="e">
        <f t="shared" si="7"/>
        <v>#VALUE!</v>
      </c>
      <c r="Y26" s="226" t="e">
        <f t="shared" si="8"/>
        <v>#VALUE!</v>
      </c>
    </row>
    <row r="27" spans="2:25" x14ac:dyDescent="0.2">
      <c r="B27" s="90">
        <v>12</v>
      </c>
      <c r="C27" s="104">
        <f>Parameters!$C$40*EXP(Parameters!$D$40*B27)</f>
        <v>0.97317124004374045</v>
      </c>
      <c r="D27" s="102" t="e">
        <f t="shared" si="9"/>
        <v>#VALUE!</v>
      </c>
      <c r="E27" s="102" t="e">
        <f>$D$10+D27</f>
        <v>#VALUE!</v>
      </c>
      <c r="G27" s="90">
        <v>12</v>
      </c>
      <c r="H27" s="104">
        <f>Parameters!$C$40*EXP(Parameters!$D$40*G27)</f>
        <v>0.97317124004374045</v>
      </c>
      <c r="I27" s="102" t="e">
        <f t="shared" si="1"/>
        <v>#VALUE!</v>
      </c>
      <c r="J27" s="226" t="e">
        <f t="shared" si="2"/>
        <v>#VALUE!</v>
      </c>
      <c r="L27" s="90">
        <v>12</v>
      </c>
      <c r="M27" s="104">
        <f>Parameters!$C$40*EXP(Parameters!$D$40*L27)</f>
        <v>0.97317124004374045</v>
      </c>
      <c r="N27" s="102" t="e">
        <f t="shared" si="3"/>
        <v>#VALUE!</v>
      </c>
      <c r="O27" s="226" t="e">
        <f>$N$10+N27</f>
        <v>#VALUE!</v>
      </c>
      <c r="Q27" s="90">
        <v>12</v>
      </c>
      <c r="R27" s="104">
        <f>Parameters!$C$40*EXP(Parameters!$D$40*Q27)</f>
        <v>0.97317124004374045</v>
      </c>
      <c r="S27" s="102" t="e">
        <f t="shared" si="5"/>
        <v>#VALUE!</v>
      </c>
      <c r="T27" s="227" t="e">
        <f t="shared" si="6"/>
        <v>#VALUE!</v>
      </c>
      <c r="V27" s="90">
        <v>12</v>
      </c>
      <c r="W27" s="104">
        <f>Parameters!$C$40*EXP(Parameters!$D$40*V27)</f>
        <v>0.97317124004374045</v>
      </c>
      <c r="X27" s="102" t="e">
        <f t="shared" si="7"/>
        <v>#VALUE!</v>
      </c>
      <c r="Y27" s="226" t="e">
        <f t="shared" si="8"/>
        <v>#VALUE!</v>
      </c>
    </row>
    <row r="28" spans="2:25" x14ac:dyDescent="0.2">
      <c r="B28" s="90">
        <v>13</v>
      </c>
      <c r="C28" s="104">
        <f>Parameters!$C$40*EXP(Parameters!$D$40*B28)</f>
        <v>0.96156297405798752</v>
      </c>
      <c r="D28" s="102" t="e">
        <f t="shared" si="9"/>
        <v>#VALUE!</v>
      </c>
      <c r="E28" s="102" t="e">
        <f t="shared" si="0"/>
        <v>#VALUE!</v>
      </c>
      <c r="G28" s="90">
        <v>13</v>
      </c>
      <c r="H28" s="104">
        <f>Parameters!$C$40*EXP(Parameters!$D$40*G28)</f>
        <v>0.96156297405798752</v>
      </c>
      <c r="I28" s="102" t="e">
        <f t="shared" si="1"/>
        <v>#VALUE!</v>
      </c>
      <c r="J28" s="226" t="e">
        <f t="shared" si="2"/>
        <v>#VALUE!</v>
      </c>
      <c r="L28" s="90">
        <v>13</v>
      </c>
      <c r="M28" s="104">
        <f>Parameters!$C$40*EXP(Parameters!$D$40*L28)</f>
        <v>0.96156297405798752</v>
      </c>
      <c r="N28" s="102" t="e">
        <f t="shared" si="3"/>
        <v>#VALUE!</v>
      </c>
      <c r="O28" s="226" t="e">
        <f>$N$10+N28</f>
        <v>#VALUE!</v>
      </c>
      <c r="Q28" s="90">
        <v>13</v>
      </c>
      <c r="R28" s="104">
        <f>Parameters!$C$40*EXP(Parameters!$D$40*Q28)</f>
        <v>0.96156297405798752</v>
      </c>
      <c r="S28" s="102" t="e">
        <f t="shared" si="5"/>
        <v>#VALUE!</v>
      </c>
      <c r="T28" s="227" t="e">
        <f t="shared" si="6"/>
        <v>#VALUE!</v>
      </c>
      <c r="V28" s="90">
        <v>13</v>
      </c>
      <c r="W28" s="104">
        <f>Parameters!$C$40*EXP(Parameters!$D$40*V28)</f>
        <v>0.96156297405798752</v>
      </c>
      <c r="X28" s="102" t="e">
        <f t="shared" si="7"/>
        <v>#VALUE!</v>
      </c>
      <c r="Y28" s="226" t="e">
        <f t="shared" si="8"/>
        <v>#VALUE!</v>
      </c>
    </row>
    <row r="29" spans="2:25" x14ac:dyDescent="0.2">
      <c r="B29" s="90">
        <v>14</v>
      </c>
      <c r="C29" s="104">
        <f>Parameters!$C$40*EXP(Parameters!$D$40*B29)</f>
        <v>0.95009317480208788</v>
      </c>
      <c r="D29" s="102" t="e">
        <f t="shared" si="9"/>
        <v>#VALUE!</v>
      </c>
      <c r="E29" s="102" t="e">
        <f t="shared" si="0"/>
        <v>#VALUE!</v>
      </c>
      <c r="G29" s="90">
        <v>14</v>
      </c>
      <c r="H29" s="104">
        <f>Parameters!$C$40*EXP(Parameters!$D$40*G29)</f>
        <v>0.95009317480208788</v>
      </c>
      <c r="I29" s="102" t="e">
        <f t="shared" si="1"/>
        <v>#VALUE!</v>
      </c>
      <c r="J29" s="226" t="e">
        <f t="shared" si="2"/>
        <v>#VALUE!</v>
      </c>
      <c r="L29" s="90">
        <v>14</v>
      </c>
      <c r="M29" s="104">
        <f>Parameters!$C$40*EXP(Parameters!$D$40*L29)</f>
        <v>0.95009317480208788</v>
      </c>
      <c r="N29" s="102" t="e">
        <f t="shared" si="3"/>
        <v>#VALUE!</v>
      </c>
      <c r="O29" s="226" t="e">
        <f>$N$10+N29</f>
        <v>#VALUE!</v>
      </c>
      <c r="Q29" s="90">
        <v>14</v>
      </c>
      <c r="R29" s="104">
        <f>Parameters!$C$40*EXP(Parameters!$D$40*Q29)</f>
        <v>0.95009317480208788</v>
      </c>
      <c r="S29" s="102" t="e">
        <f t="shared" si="5"/>
        <v>#VALUE!</v>
      </c>
      <c r="T29" s="227" t="e">
        <f t="shared" si="6"/>
        <v>#VALUE!</v>
      </c>
      <c r="V29" s="90">
        <v>14</v>
      </c>
      <c r="W29" s="104">
        <f>Parameters!$C$40*EXP(Parameters!$D$40*V29)</f>
        <v>0.95009317480208788</v>
      </c>
      <c r="X29" s="102" t="e">
        <f t="shared" si="7"/>
        <v>#VALUE!</v>
      </c>
      <c r="Y29" s="226" t="e">
        <f t="shared" si="8"/>
        <v>#VALUE!</v>
      </c>
    </row>
    <row r="30" spans="2:25" x14ac:dyDescent="0.2">
      <c r="B30" s="90">
        <v>15</v>
      </c>
      <c r="C30" s="104">
        <f>Parameters!$C$40*EXP(Parameters!$D$40*B30)</f>
        <v>0.9387601906051285</v>
      </c>
      <c r="D30" s="102" t="e">
        <f t="shared" si="9"/>
        <v>#VALUE!</v>
      </c>
      <c r="E30" s="102" t="e">
        <f t="shared" si="0"/>
        <v>#VALUE!</v>
      </c>
      <c r="G30" s="90">
        <v>15</v>
      </c>
      <c r="H30" s="104">
        <f>Parameters!$C$40*EXP(Parameters!$D$40*G30)</f>
        <v>0.9387601906051285</v>
      </c>
      <c r="I30" s="102" t="e">
        <f t="shared" si="1"/>
        <v>#VALUE!</v>
      </c>
      <c r="J30" s="226" t="e">
        <f t="shared" si="2"/>
        <v>#VALUE!</v>
      </c>
      <c r="L30" s="90">
        <v>15</v>
      </c>
      <c r="M30" s="104">
        <f>Parameters!$C$40*EXP(Parameters!$D$40*L30)</f>
        <v>0.9387601906051285</v>
      </c>
      <c r="N30" s="102" t="e">
        <f t="shared" si="3"/>
        <v>#VALUE!</v>
      </c>
      <c r="O30" s="226" t="e">
        <f>$N$10+N30</f>
        <v>#VALUE!</v>
      </c>
      <c r="Q30" s="90">
        <v>15</v>
      </c>
      <c r="R30" s="104">
        <f>Parameters!$C$40*EXP(Parameters!$D$40*Q30)</f>
        <v>0.9387601906051285</v>
      </c>
      <c r="S30" s="102" t="e">
        <f t="shared" si="5"/>
        <v>#VALUE!</v>
      </c>
      <c r="T30" s="227" t="e">
        <f t="shared" si="6"/>
        <v>#VALUE!</v>
      </c>
      <c r="V30" s="90">
        <v>15</v>
      </c>
      <c r="W30" s="104">
        <f>Parameters!$C$40*EXP(Parameters!$D$40*V30)</f>
        <v>0.9387601906051285</v>
      </c>
      <c r="X30" s="102" t="e">
        <f t="shared" si="7"/>
        <v>#VALUE!</v>
      </c>
      <c r="Y30" s="226" t="e">
        <f t="shared" si="8"/>
        <v>#VALUE!</v>
      </c>
    </row>
    <row r="31" spans="2:25" x14ac:dyDescent="0.2">
      <c r="B31" s="90">
        <v>16</v>
      </c>
      <c r="C31" s="104">
        <f>Parameters!$C$40*EXP(Parameters!$D$40*B31)</f>
        <v>0.92756238949780168</v>
      </c>
      <c r="D31" s="102" t="e">
        <f t="shared" si="9"/>
        <v>#VALUE!</v>
      </c>
      <c r="E31" s="102" t="e">
        <f t="shared" si="0"/>
        <v>#VALUE!</v>
      </c>
      <c r="G31" s="90">
        <v>16</v>
      </c>
      <c r="H31" s="104">
        <f>Parameters!$C$40*EXP(Parameters!$D$40*G31)</f>
        <v>0.92756238949780168</v>
      </c>
      <c r="I31" s="102" t="e">
        <f t="shared" si="1"/>
        <v>#VALUE!</v>
      </c>
      <c r="J31" s="226" t="e">
        <f>$I$10+I31</f>
        <v>#VALUE!</v>
      </c>
      <c r="L31" s="90">
        <v>16</v>
      </c>
      <c r="M31" s="104">
        <f>Parameters!$C$40*EXP(Parameters!$D$40*L31)</f>
        <v>0.92756238949780168</v>
      </c>
      <c r="N31" s="102" t="e">
        <f t="shared" si="3"/>
        <v>#VALUE!</v>
      </c>
      <c r="O31" s="226" t="e">
        <f t="shared" si="4"/>
        <v>#VALUE!</v>
      </c>
      <c r="Q31" s="90">
        <v>16</v>
      </c>
      <c r="R31" s="104">
        <f>Parameters!$C$40*EXP(Parameters!$D$40*Q31)</f>
        <v>0.92756238949780168</v>
      </c>
      <c r="S31" s="102" t="e">
        <f t="shared" si="5"/>
        <v>#VALUE!</v>
      </c>
      <c r="T31" s="227" t="e">
        <f t="shared" si="6"/>
        <v>#VALUE!</v>
      </c>
      <c r="V31" s="90">
        <v>16</v>
      </c>
      <c r="W31" s="104">
        <f>Parameters!$C$40*EXP(Parameters!$D$40*V31)</f>
        <v>0.92756238949780168</v>
      </c>
      <c r="X31" s="102" t="e">
        <f t="shared" si="7"/>
        <v>#VALUE!</v>
      </c>
      <c r="Y31" s="226" t="e">
        <f t="shared" si="8"/>
        <v>#VALUE!</v>
      </c>
    </row>
    <row r="32" spans="2:25" x14ac:dyDescent="0.2">
      <c r="B32" s="90">
        <v>17</v>
      </c>
      <c r="C32" s="104">
        <f>Parameters!$C$40*EXP(Parameters!$D$40*B32)</f>
        <v>0.91649815897739817</v>
      </c>
      <c r="D32" s="102" t="e">
        <f t="shared" si="9"/>
        <v>#VALUE!</v>
      </c>
      <c r="E32" s="102" t="e">
        <f t="shared" si="0"/>
        <v>#VALUE!</v>
      </c>
      <c r="G32" s="90">
        <v>17</v>
      </c>
      <c r="H32" s="104">
        <f>Parameters!$C$40*EXP(Parameters!$D$40*G32)</f>
        <v>0.91649815897739817</v>
      </c>
      <c r="I32" s="102" t="e">
        <f t="shared" si="1"/>
        <v>#VALUE!</v>
      </c>
      <c r="J32" s="226" t="e">
        <f>$I$10+I32</f>
        <v>#VALUE!</v>
      </c>
      <c r="L32" s="90">
        <v>17</v>
      </c>
      <c r="M32" s="104">
        <f>Parameters!$C$40*EXP(Parameters!$D$40*L32)</f>
        <v>0.91649815897739817</v>
      </c>
      <c r="N32" s="102" t="e">
        <f t="shared" si="3"/>
        <v>#VALUE!</v>
      </c>
      <c r="O32" s="226" t="e">
        <f t="shared" si="4"/>
        <v>#VALUE!</v>
      </c>
      <c r="Q32" s="90">
        <v>17</v>
      </c>
      <c r="R32" s="104">
        <f>Parameters!$C$40*EXP(Parameters!$D$40*Q32)</f>
        <v>0.91649815897739817</v>
      </c>
      <c r="S32" s="102" t="e">
        <f t="shared" si="5"/>
        <v>#VALUE!</v>
      </c>
      <c r="T32" s="227" t="e">
        <f t="shared" si="6"/>
        <v>#VALUE!</v>
      </c>
      <c r="V32" s="90">
        <v>17</v>
      </c>
      <c r="W32" s="104">
        <f>Parameters!$C$40*EXP(Parameters!$D$40*V32)</f>
        <v>0.91649815897739817</v>
      </c>
      <c r="X32" s="102" t="e">
        <f t="shared" si="7"/>
        <v>#VALUE!</v>
      </c>
      <c r="Y32" s="226" t="e">
        <f t="shared" si="8"/>
        <v>#VALUE!</v>
      </c>
    </row>
    <row r="33" spans="2:25" x14ac:dyDescent="0.2">
      <c r="B33" s="90">
        <v>18</v>
      </c>
      <c r="C33" s="104">
        <f>Parameters!$C$40*EXP(Parameters!$D$40*B33)</f>
        <v>0.9055659057756037</v>
      </c>
      <c r="D33" s="102" t="e">
        <f t="shared" si="9"/>
        <v>#VALUE!</v>
      </c>
      <c r="E33" s="102" t="e">
        <f t="shared" si="0"/>
        <v>#VALUE!</v>
      </c>
      <c r="G33" s="90">
        <v>18</v>
      </c>
      <c r="H33" s="104">
        <f>Parameters!$C$40*EXP(Parameters!$D$40*G33)</f>
        <v>0.9055659057756037</v>
      </c>
      <c r="I33" s="102" t="e">
        <f t="shared" si="1"/>
        <v>#VALUE!</v>
      </c>
      <c r="J33" s="226" t="e">
        <f>$I$10+I33</f>
        <v>#VALUE!</v>
      </c>
      <c r="L33" s="90">
        <v>18</v>
      </c>
      <c r="M33" s="104">
        <f>Parameters!$C$40*EXP(Parameters!$D$40*L33)</f>
        <v>0.9055659057756037</v>
      </c>
      <c r="N33" s="102" t="e">
        <f t="shared" si="3"/>
        <v>#VALUE!</v>
      </c>
      <c r="O33" s="226" t="e">
        <f t="shared" si="4"/>
        <v>#VALUE!</v>
      </c>
      <c r="Q33" s="90">
        <v>18</v>
      </c>
      <c r="R33" s="104">
        <f>Parameters!$C$40*EXP(Parameters!$D$40*Q33)</f>
        <v>0.9055659057756037</v>
      </c>
      <c r="S33" s="102" t="e">
        <f t="shared" si="5"/>
        <v>#VALUE!</v>
      </c>
      <c r="T33" s="227" t="e">
        <f t="shared" si="6"/>
        <v>#VALUE!</v>
      </c>
      <c r="V33" s="90">
        <v>18</v>
      </c>
      <c r="W33" s="104">
        <f>Parameters!$C$40*EXP(Parameters!$D$40*V33)</f>
        <v>0.9055659057756037</v>
      </c>
      <c r="X33" s="102" t="e">
        <f t="shared" si="7"/>
        <v>#VALUE!</v>
      </c>
      <c r="Y33" s="226" t="e">
        <f t="shared" si="8"/>
        <v>#VALUE!</v>
      </c>
    </row>
    <row r="34" spans="2:25" x14ac:dyDescent="0.2">
      <c r="B34" s="90">
        <v>19</v>
      </c>
      <c r="C34" s="104">
        <f>Parameters!$C$40*EXP(Parameters!$D$40*B34)</f>
        <v>0.89476405562906636</v>
      </c>
      <c r="D34" s="102" t="e">
        <f t="shared" si="9"/>
        <v>#VALUE!</v>
      </c>
      <c r="E34" s="102" t="e">
        <f t="shared" si="0"/>
        <v>#VALUE!</v>
      </c>
      <c r="G34" s="90">
        <v>19</v>
      </c>
      <c r="H34" s="104">
        <f>Parameters!$C$40*EXP(Parameters!$D$40*G34)</f>
        <v>0.89476405562906636</v>
      </c>
      <c r="I34" s="102" t="e">
        <f t="shared" si="1"/>
        <v>#VALUE!</v>
      </c>
      <c r="J34" s="226" t="e">
        <f>$I$10+I34</f>
        <v>#VALUE!</v>
      </c>
      <c r="L34" s="90">
        <v>19</v>
      </c>
      <c r="M34" s="104">
        <f>Parameters!$C$40*EXP(Parameters!$D$40*L34)</f>
        <v>0.89476405562906636</v>
      </c>
      <c r="N34" s="102" t="e">
        <f t="shared" si="3"/>
        <v>#VALUE!</v>
      </c>
      <c r="O34" s="226" t="e">
        <f t="shared" si="4"/>
        <v>#VALUE!</v>
      </c>
      <c r="Q34" s="90">
        <v>19</v>
      </c>
      <c r="R34" s="104">
        <f>Parameters!$C$40*EXP(Parameters!$D$40*Q34)</f>
        <v>0.89476405562906636</v>
      </c>
      <c r="S34" s="102" t="e">
        <f t="shared" si="5"/>
        <v>#VALUE!</v>
      </c>
      <c r="T34" s="227" t="e">
        <f t="shared" si="6"/>
        <v>#VALUE!</v>
      </c>
      <c r="V34" s="90">
        <v>19</v>
      </c>
      <c r="W34" s="104">
        <f>Parameters!$C$40*EXP(Parameters!$D$40*V34)</f>
        <v>0.89476405562906636</v>
      </c>
      <c r="X34" s="102" t="e">
        <f t="shared" si="7"/>
        <v>#VALUE!</v>
      </c>
      <c r="Y34" s="226" t="e">
        <f t="shared" si="8"/>
        <v>#VALUE!</v>
      </c>
    </row>
    <row r="35" spans="2:25" x14ac:dyDescent="0.2">
      <c r="B35" s="90">
        <v>20</v>
      </c>
      <c r="C35" s="104">
        <f>Parameters!$C$40*EXP(Parameters!$D$40*B35)</f>
        <v>0.88409105305269942</v>
      </c>
      <c r="D35" s="102" t="e">
        <f t="shared" si="9"/>
        <v>#VALUE!</v>
      </c>
      <c r="E35" s="102" t="e">
        <f t="shared" si="0"/>
        <v>#VALUE!</v>
      </c>
      <c r="G35" s="90">
        <v>20</v>
      </c>
      <c r="H35" s="104">
        <f>Parameters!$C$40*EXP(Parameters!$D$40*G35)</f>
        <v>0.88409105305269942</v>
      </c>
      <c r="I35" s="102" t="e">
        <f>-$I$10*(1-H35)</f>
        <v>#VALUE!</v>
      </c>
      <c r="J35" s="226" t="e">
        <f t="shared" si="2"/>
        <v>#VALUE!</v>
      </c>
      <c r="L35" s="90">
        <v>20</v>
      </c>
      <c r="M35" s="104">
        <f>Parameters!$C$40*EXP(Parameters!$D$40*L35)</f>
        <v>0.88409105305269942</v>
      </c>
      <c r="N35" s="102" t="e">
        <f t="shared" si="3"/>
        <v>#VALUE!</v>
      </c>
      <c r="O35" s="226" t="e">
        <f t="shared" si="4"/>
        <v>#VALUE!</v>
      </c>
      <c r="Q35" s="90">
        <v>20</v>
      </c>
      <c r="R35" s="104">
        <f>Parameters!$C$40*EXP(Parameters!$D$40*Q35)</f>
        <v>0.88409105305269942</v>
      </c>
      <c r="S35" s="102" t="e">
        <f t="shared" si="5"/>
        <v>#VALUE!</v>
      </c>
      <c r="T35" s="227" t="e">
        <f t="shared" si="6"/>
        <v>#VALUE!</v>
      </c>
      <c r="V35" s="90">
        <v>20</v>
      </c>
      <c r="W35" s="104">
        <f>Parameters!$C$40*EXP(Parameters!$D$40*V35)</f>
        <v>0.88409105305269942</v>
      </c>
      <c r="X35" s="102" t="e">
        <f t="shared" si="7"/>
        <v>#VALUE!</v>
      </c>
      <c r="Y35" s="226" t="e">
        <f t="shared" si="8"/>
        <v>#VALUE!</v>
      </c>
    </row>
    <row r="36" spans="2:25" x14ac:dyDescent="0.2">
      <c r="B36" s="90">
        <v>21</v>
      </c>
      <c r="C36" s="104">
        <f>Parameters!$C$40*EXP(Parameters!$D$40*B36)</f>
        <v>0.87354536111568848</v>
      </c>
      <c r="D36" s="102" t="e">
        <f t="shared" si="9"/>
        <v>#VALUE!</v>
      </c>
      <c r="E36" s="102" t="e">
        <f t="shared" si="0"/>
        <v>#VALUE!</v>
      </c>
      <c r="G36" s="90">
        <v>21</v>
      </c>
      <c r="H36" s="104">
        <f>Parameters!$C$40*EXP(Parameters!$D$40*G36)</f>
        <v>0.87354536111568848</v>
      </c>
      <c r="I36" s="102" t="e">
        <f>-$I$10*(1-H36)</f>
        <v>#VALUE!</v>
      </c>
      <c r="J36" s="226" t="e">
        <f t="shared" si="2"/>
        <v>#VALUE!</v>
      </c>
      <c r="L36" s="90">
        <v>21</v>
      </c>
      <c r="M36" s="104">
        <f>Parameters!$C$40*EXP(Parameters!$D$40*L36)</f>
        <v>0.87354536111568848</v>
      </c>
      <c r="N36" s="102" t="e">
        <f t="shared" si="3"/>
        <v>#VALUE!</v>
      </c>
      <c r="O36" s="226" t="e">
        <f t="shared" si="4"/>
        <v>#VALUE!</v>
      </c>
      <c r="Q36" s="90">
        <v>21</v>
      </c>
      <c r="R36" s="104">
        <f>Parameters!$C$40*EXP(Parameters!$D$40*Q36)</f>
        <v>0.87354536111568848</v>
      </c>
      <c r="S36" s="102" t="e">
        <f t="shared" si="5"/>
        <v>#VALUE!</v>
      </c>
      <c r="T36" s="227" t="e">
        <f t="shared" si="6"/>
        <v>#VALUE!</v>
      </c>
      <c r="V36" s="90">
        <v>21</v>
      </c>
      <c r="W36" s="104">
        <f>Parameters!$C$40*EXP(Parameters!$D$40*V36)</f>
        <v>0.87354536111568848</v>
      </c>
      <c r="X36" s="102" t="e">
        <f t="shared" si="7"/>
        <v>#VALUE!</v>
      </c>
      <c r="Y36" s="226" t="e">
        <f t="shared" si="8"/>
        <v>#VALUE!</v>
      </c>
    </row>
    <row r="37" spans="2:25" x14ac:dyDescent="0.2">
      <c r="B37" s="90">
        <v>22</v>
      </c>
      <c r="C37" s="104">
        <f>Parameters!$C$40*EXP(Parameters!$D$40*B37)</f>
        <v>0.86312546122017197</v>
      </c>
      <c r="D37" s="102" t="e">
        <f t="shared" si="9"/>
        <v>#VALUE!</v>
      </c>
      <c r="E37" s="102" t="e">
        <f t="shared" si="0"/>
        <v>#VALUE!</v>
      </c>
      <c r="G37" s="90">
        <v>22</v>
      </c>
      <c r="H37" s="104">
        <f>Parameters!$C$40*EXP(Parameters!$D$40*G37)</f>
        <v>0.86312546122017197</v>
      </c>
      <c r="I37" s="102" t="e">
        <f>-$I$10*(1-H37)</f>
        <v>#VALUE!</v>
      </c>
      <c r="J37" s="226" t="e">
        <f t="shared" si="2"/>
        <v>#VALUE!</v>
      </c>
      <c r="L37" s="90">
        <v>22</v>
      </c>
      <c r="M37" s="104">
        <f>Parameters!$C$40*EXP(Parameters!$D$40*L37)</f>
        <v>0.86312546122017197</v>
      </c>
      <c r="N37" s="102" t="e">
        <f t="shared" si="3"/>
        <v>#VALUE!</v>
      </c>
      <c r="O37" s="226" t="e">
        <f t="shared" si="4"/>
        <v>#VALUE!</v>
      </c>
      <c r="Q37" s="90">
        <v>22</v>
      </c>
      <c r="R37" s="104">
        <f>Parameters!$C$40*EXP(Parameters!$D$40*Q37)</f>
        <v>0.86312546122017197</v>
      </c>
      <c r="S37" s="102" t="e">
        <f t="shared" si="5"/>
        <v>#VALUE!</v>
      </c>
      <c r="T37" s="227" t="e">
        <f t="shared" si="6"/>
        <v>#VALUE!</v>
      </c>
      <c r="V37" s="90">
        <v>22</v>
      </c>
      <c r="W37" s="104">
        <f>Parameters!$C$40*EXP(Parameters!$D$40*V37)</f>
        <v>0.86312546122017197</v>
      </c>
      <c r="X37" s="102" t="e">
        <f t="shared" si="7"/>
        <v>#VALUE!</v>
      </c>
      <c r="Y37" s="226" t="e">
        <f t="shared" si="8"/>
        <v>#VALUE!</v>
      </c>
    </row>
    <row r="38" spans="2:25" x14ac:dyDescent="0.2">
      <c r="B38" s="90">
        <v>23</v>
      </c>
      <c r="C38" s="104">
        <f>Parameters!$C$40*EXP(Parameters!$D$40*B38)</f>
        <v>0.85282985288255908</v>
      </c>
      <c r="D38" s="102" t="e">
        <f t="shared" si="9"/>
        <v>#VALUE!</v>
      </c>
      <c r="E38" s="102" t="e">
        <f t="shared" si="0"/>
        <v>#VALUE!</v>
      </c>
      <c r="G38" s="90">
        <v>23</v>
      </c>
      <c r="H38" s="104">
        <f>Parameters!$C$40*EXP(Parameters!$D$40*G38)</f>
        <v>0.85282985288255908</v>
      </c>
      <c r="I38" s="102" t="e">
        <f t="shared" si="1"/>
        <v>#VALUE!</v>
      </c>
      <c r="J38" s="226" t="e">
        <f t="shared" si="2"/>
        <v>#VALUE!</v>
      </c>
      <c r="L38" s="90">
        <v>23</v>
      </c>
      <c r="M38" s="104">
        <f>Parameters!$C$40*EXP(Parameters!$D$40*L38)</f>
        <v>0.85282985288255908</v>
      </c>
      <c r="N38" s="102" t="e">
        <f t="shared" si="3"/>
        <v>#VALUE!</v>
      </c>
      <c r="O38" s="226" t="e">
        <f t="shared" si="4"/>
        <v>#VALUE!</v>
      </c>
      <c r="Q38" s="90">
        <v>23</v>
      </c>
      <c r="R38" s="104">
        <f>Parameters!$C$40*EXP(Parameters!$D$40*Q38)</f>
        <v>0.85282985288255908</v>
      </c>
      <c r="S38" s="102" t="e">
        <f t="shared" si="5"/>
        <v>#VALUE!</v>
      </c>
      <c r="T38" s="227" t="e">
        <f t="shared" si="6"/>
        <v>#VALUE!</v>
      </c>
      <c r="V38" s="90">
        <v>23</v>
      </c>
      <c r="W38" s="104">
        <f>Parameters!$C$40*EXP(Parameters!$D$40*V38)</f>
        <v>0.85282985288255908</v>
      </c>
      <c r="X38" s="102" t="e">
        <f t="shared" si="7"/>
        <v>#VALUE!</v>
      </c>
      <c r="Y38" s="226" t="e">
        <f t="shared" si="8"/>
        <v>#VALUE!</v>
      </c>
    </row>
    <row r="39" spans="2:25" x14ac:dyDescent="0.2">
      <c r="B39" s="90">
        <v>24</v>
      </c>
      <c r="C39" s="104">
        <f>Parameters!$C$40*EXP(Parameters!$D$40*B39)</f>
        <v>0.84265705351745845</v>
      </c>
      <c r="D39" s="102" t="e">
        <f t="shared" si="9"/>
        <v>#VALUE!</v>
      </c>
      <c r="E39" s="102" t="e">
        <f t="shared" si="0"/>
        <v>#VALUE!</v>
      </c>
      <c r="G39" s="90">
        <v>24</v>
      </c>
      <c r="H39" s="104">
        <f>Parameters!$C$40*EXP(Parameters!$D$40*G39)</f>
        <v>0.84265705351745845</v>
      </c>
      <c r="I39" s="102" t="e">
        <f t="shared" si="1"/>
        <v>#VALUE!</v>
      </c>
      <c r="J39" s="226" t="e">
        <f t="shared" si="2"/>
        <v>#VALUE!</v>
      </c>
      <c r="L39" s="90">
        <v>24</v>
      </c>
      <c r="M39" s="104">
        <f>Parameters!$C$40*EXP(Parameters!$D$40*L39)</f>
        <v>0.84265705351745845</v>
      </c>
      <c r="N39" s="102" t="e">
        <f t="shared" si="3"/>
        <v>#VALUE!</v>
      </c>
      <c r="O39" s="226" t="e">
        <f t="shared" si="4"/>
        <v>#VALUE!</v>
      </c>
      <c r="Q39" s="90">
        <v>24</v>
      </c>
      <c r="R39" s="104">
        <f>Parameters!$C$40*EXP(Parameters!$D$40*Q39)</f>
        <v>0.84265705351745845</v>
      </c>
      <c r="S39" s="102" t="e">
        <f t="shared" si="5"/>
        <v>#VALUE!</v>
      </c>
      <c r="T39" s="227" t="e">
        <f t="shared" si="6"/>
        <v>#VALUE!</v>
      </c>
      <c r="V39" s="90">
        <v>24</v>
      </c>
      <c r="W39" s="104">
        <f>Parameters!$C$40*EXP(Parameters!$D$40*V39)</f>
        <v>0.84265705351745845</v>
      </c>
      <c r="X39" s="102" t="e">
        <f t="shared" si="7"/>
        <v>#VALUE!</v>
      </c>
      <c r="Y39" s="226" t="e">
        <f t="shared" si="8"/>
        <v>#VALUE!</v>
      </c>
    </row>
    <row r="40" spans="2:25" x14ac:dyDescent="0.2">
      <c r="B40" s="90">
        <v>25</v>
      </c>
      <c r="C40" s="104">
        <f>Parameters!$C$40*EXP(Parameters!$D$40*B40)</f>
        <v>0.83260559822418267</v>
      </c>
      <c r="D40" s="102" t="e">
        <f t="shared" si="9"/>
        <v>#VALUE!</v>
      </c>
      <c r="E40" s="102" t="e">
        <f t="shared" si="0"/>
        <v>#VALUE!</v>
      </c>
      <c r="G40" s="90">
        <v>25</v>
      </c>
      <c r="H40" s="104">
        <f>Parameters!$C$40*EXP(Parameters!$D$40*G40)</f>
        <v>0.83260559822418267</v>
      </c>
      <c r="I40" s="102" t="e">
        <f t="shared" si="1"/>
        <v>#VALUE!</v>
      </c>
      <c r="J40" s="226" t="e">
        <f t="shared" si="2"/>
        <v>#VALUE!</v>
      </c>
      <c r="L40" s="90">
        <v>25</v>
      </c>
      <c r="M40" s="104">
        <f>Parameters!$C$40*EXP(Parameters!$D$40*L40)</f>
        <v>0.83260559822418267</v>
      </c>
      <c r="N40" s="102" t="e">
        <f t="shared" si="3"/>
        <v>#VALUE!</v>
      </c>
      <c r="O40" s="226" t="e">
        <f t="shared" si="4"/>
        <v>#VALUE!</v>
      </c>
      <c r="Q40" s="90">
        <v>25</v>
      </c>
      <c r="R40" s="104">
        <f>Parameters!$C$40*EXP(Parameters!$D$40*Q40)</f>
        <v>0.83260559822418267</v>
      </c>
      <c r="S40" s="102" t="e">
        <f t="shared" si="5"/>
        <v>#VALUE!</v>
      </c>
      <c r="T40" s="227" t="e">
        <f t="shared" si="6"/>
        <v>#VALUE!</v>
      </c>
      <c r="V40" s="90">
        <v>25</v>
      </c>
      <c r="W40" s="104">
        <f>Parameters!$C$40*EXP(Parameters!$D$40*V40)</f>
        <v>0.83260559822418267</v>
      </c>
      <c r="X40" s="102" t="e">
        <f t="shared" si="7"/>
        <v>#VALUE!</v>
      </c>
      <c r="Y40" s="226" t="e">
        <f t="shared" si="8"/>
        <v>#VALUE!</v>
      </c>
    </row>
    <row r="41" spans="2:25" x14ac:dyDescent="0.2">
      <c r="B41" s="90">
        <v>26</v>
      </c>
      <c r="C41" s="104">
        <f>Parameters!$C$40*EXP(Parameters!$D$40*B41)</f>
        <v>0.82267403957580054</v>
      </c>
      <c r="D41" s="102" t="e">
        <f t="shared" si="9"/>
        <v>#VALUE!</v>
      </c>
      <c r="E41" s="102" t="e">
        <f t="shared" si="0"/>
        <v>#VALUE!</v>
      </c>
      <c r="G41" s="90">
        <v>26</v>
      </c>
      <c r="H41" s="104">
        <f>Parameters!$C$40*EXP(Parameters!$D$40*G41)</f>
        <v>0.82267403957580054</v>
      </c>
      <c r="I41" s="102" t="e">
        <f t="shared" si="1"/>
        <v>#VALUE!</v>
      </c>
      <c r="J41" s="226" t="e">
        <f t="shared" si="2"/>
        <v>#VALUE!</v>
      </c>
      <c r="L41" s="90">
        <v>26</v>
      </c>
      <c r="M41" s="104">
        <f>Parameters!$C$40*EXP(Parameters!$D$40*L41)</f>
        <v>0.82267403957580054</v>
      </c>
      <c r="N41" s="102" t="e">
        <f t="shared" si="3"/>
        <v>#VALUE!</v>
      </c>
      <c r="O41" s="226" t="e">
        <f t="shared" si="4"/>
        <v>#VALUE!</v>
      </c>
      <c r="Q41" s="90">
        <v>26</v>
      </c>
      <c r="R41" s="104">
        <f>Parameters!$C$40*EXP(Parameters!$D$40*Q41)</f>
        <v>0.82267403957580054</v>
      </c>
      <c r="S41" s="102" t="e">
        <f t="shared" si="5"/>
        <v>#VALUE!</v>
      </c>
      <c r="T41" s="227" t="e">
        <f t="shared" si="6"/>
        <v>#VALUE!</v>
      </c>
      <c r="V41" s="90">
        <v>26</v>
      </c>
      <c r="W41" s="104">
        <f>Parameters!$C$40*EXP(Parameters!$D$40*V41)</f>
        <v>0.82267403957580054</v>
      </c>
      <c r="X41" s="102" t="e">
        <f t="shared" si="7"/>
        <v>#VALUE!</v>
      </c>
      <c r="Y41" s="226" t="e">
        <f t="shared" si="8"/>
        <v>#VALUE!</v>
      </c>
    </row>
    <row r="42" spans="2:25" x14ac:dyDescent="0.2">
      <c r="B42" s="90">
        <v>27</v>
      </c>
      <c r="C42" s="104">
        <f>Parameters!$C$40*EXP(Parameters!$D$40*B42)</f>
        <v>0.8128609474107048</v>
      </c>
      <c r="D42" s="102" t="e">
        <f t="shared" si="9"/>
        <v>#VALUE!</v>
      </c>
      <c r="E42" s="102" t="e">
        <f t="shared" si="0"/>
        <v>#VALUE!</v>
      </c>
      <c r="G42" s="90">
        <v>27</v>
      </c>
      <c r="H42" s="104">
        <f>Parameters!$C$40*EXP(Parameters!$D$40*G42)</f>
        <v>0.8128609474107048</v>
      </c>
      <c r="I42" s="102" t="e">
        <f t="shared" si="1"/>
        <v>#VALUE!</v>
      </c>
      <c r="J42" s="226" t="e">
        <f t="shared" si="2"/>
        <v>#VALUE!</v>
      </c>
      <c r="L42" s="90">
        <v>27</v>
      </c>
      <c r="M42" s="104">
        <f>Parameters!$C$40*EXP(Parameters!$D$40*L42)</f>
        <v>0.8128609474107048</v>
      </c>
      <c r="N42" s="102" t="e">
        <f t="shared" si="3"/>
        <v>#VALUE!</v>
      </c>
      <c r="O42" s="226" t="e">
        <f t="shared" si="4"/>
        <v>#VALUE!</v>
      </c>
      <c r="Q42" s="90">
        <v>27</v>
      </c>
      <c r="R42" s="104">
        <f>Parameters!$C$40*EXP(Parameters!$D$40*Q42)</f>
        <v>0.8128609474107048</v>
      </c>
      <c r="S42" s="102" t="e">
        <f t="shared" si="5"/>
        <v>#VALUE!</v>
      </c>
      <c r="T42" s="227" t="e">
        <f t="shared" si="6"/>
        <v>#VALUE!</v>
      </c>
      <c r="V42" s="90">
        <v>27</v>
      </c>
      <c r="W42" s="104">
        <f>Parameters!$C$40*EXP(Parameters!$D$40*V42)</f>
        <v>0.8128609474107048</v>
      </c>
      <c r="X42" s="102" t="e">
        <f t="shared" si="7"/>
        <v>#VALUE!</v>
      </c>
      <c r="Y42" s="226" t="e">
        <f t="shared" si="8"/>
        <v>#VALUE!</v>
      </c>
    </row>
    <row r="43" spans="2:25" x14ac:dyDescent="0.2">
      <c r="B43" s="90">
        <v>28</v>
      </c>
      <c r="C43" s="104">
        <f>Parameters!$C$40*EXP(Parameters!$D$40*B43)</f>
        <v>0.80316490862666667</v>
      </c>
      <c r="D43" s="102" t="e">
        <f t="shared" si="9"/>
        <v>#VALUE!</v>
      </c>
      <c r="E43" s="102" t="e">
        <f t="shared" si="0"/>
        <v>#VALUE!</v>
      </c>
      <c r="G43" s="90">
        <v>28</v>
      </c>
      <c r="H43" s="104">
        <f>Parameters!$C$40*EXP(Parameters!$D$40*G43)</f>
        <v>0.80316490862666667</v>
      </c>
      <c r="I43" s="102" t="e">
        <f t="shared" si="1"/>
        <v>#VALUE!</v>
      </c>
      <c r="J43" s="226" t="e">
        <f t="shared" si="2"/>
        <v>#VALUE!</v>
      </c>
      <c r="L43" s="90">
        <v>28</v>
      </c>
      <c r="M43" s="104">
        <f>Parameters!$C$40*EXP(Parameters!$D$40*L43)</f>
        <v>0.80316490862666667</v>
      </c>
      <c r="N43" s="102" t="e">
        <f t="shared" si="3"/>
        <v>#VALUE!</v>
      </c>
      <c r="O43" s="226" t="e">
        <f t="shared" si="4"/>
        <v>#VALUE!</v>
      </c>
      <c r="Q43" s="90">
        <v>28</v>
      </c>
      <c r="R43" s="104">
        <f>Parameters!$C$40*EXP(Parameters!$D$40*Q43)</f>
        <v>0.80316490862666667</v>
      </c>
      <c r="S43" s="102" t="e">
        <f t="shared" si="5"/>
        <v>#VALUE!</v>
      </c>
      <c r="T43" s="227" t="e">
        <f t="shared" si="6"/>
        <v>#VALUE!</v>
      </c>
      <c r="V43" s="90">
        <v>28</v>
      </c>
      <c r="W43" s="104">
        <f>Parameters!$C$40*EXP(Parameters!$D$40*V43)</f>
        <v>0.80316490862666667</v>
      </c>
      <c r="X43" s="102" t="e">
        <f t="shared" si="7"/>
        <v>#VALUE!</v>
      </c>
      <c r="Y43" s="226" t="e">
        <f t="shared" si="8"/>
        <v>#VALUE!</v>
      </c>
    </row>
    <row r="44" spans="2:25" x14ac:dyDescent="0.2">
      <c r="B44" s="90">
        <v>29</v>
      </c>
      <c r="C44" s="104">
        <f>Parameters!$C$40*EXP(Parameters!$D$40*B44)</f>
        <v>0.79358452697734649</v>
      </c>
      <c r="D44" s="102" t="e">
        <f t="shared" si="9"/>
        <v>#VALUE!</v>
      </c>
      <c r="E44" s="102" t="e">
        <f t="shared" si="0"/>
        <v>#VALUE!</v>
      </c>
      <c r="G44" s="90">
        <v>29</v>
      </c>
      <c r="H44" s="104">
        <f>Parameters!$C$40*EXP(Parameters!$D$40*G44)</f>
        <v>0.79358452697734649</v>
      </c>
      <c r="I44" s="102" t="e">
        <f t="shared" si="1"/>
        <v>#VALUE!</v>
      </c>
      <c r="J44" s="226" t="e">
        <f t="shared" si="2"/>
        <v>#VALUE!</v>
      </c>
      <c r="L44" s="90">
        <v>29</v>
      </c>
      <c r="M44" s="104">
        <f>Parameters!$C$40*EXP(Parameters!$D$40*L44)</f>
        <v>0.79358452697734649</v>
      </c>
      <c r="N44" s="102" t="e">
        <f t="shared" si="3"/>
        <v>#VALUE!</v>
      </c>
      <c r="O44" s="226" t="e">
        <f t="shared" si="4"/>
        <v>#VALUE!</v>
      </c>
      <c r="Q44" s="90">
        <v>29</v>
      </c>
      <c r="R44" s="104">
        <f>Parameters!$C$40*EXP(Parameters!$D$40*Q44)</f>
        <v>0.79358452697734649</v>
      </c>
      <c r="S44" s="102" t="e">
        <f t="shared" si="5"/>
        <v>#VALUE!</v>
      </c>
      <c r="T44" s="227" t="e">
        <f t="shared" si="6"/>
        <v>#VALUE!</v>
      </c>
      <c r="V44" s="90">
        <v>29</v>
      </c>
      <c r="W44" s="104">
        <f>Parameters!$C$40*EXP(Parameters!$D$40*V44)</f>
        <v>0.79358452697734649</v>
      </c>
      <c r="X44" s="102" t="e">
        <f t="shared" si="7"/>
        <v>#VALUE!</v>
      </c>
      <c r="Y44" s="226" t="e">
        <f t="shared" si="8"/>
        <v>#VALUE!</v>
      </c>
    </row>
    <row r="45" spans="2:25" x14ac:dyDescent="0.2">
      <c r="B45" s="90">
        <v>30</v>
      </c>
      <c r="C45" s="104">
        <f>Parameters!$C$40*EXP(Parameters!$D$40*B45)</f>
        <v>0.78411842287123168</v>
      </c>
      <c r="D45" s="102" t="e">
        <f t="shared" si="9"/>
        <v>#VALUE!</v>
      </c>
      <c r="E45" s="102" t="e">
        <f t="shared" si="0"/>
        <v>#VALUE!</v>
      </c>
      <c r="G45" s="90">
        <v>30</v>
      </c>
      <c r="H45" s="104">
        <f>Parameters!$C$40*EXP(Parameters!$D$40*G45)</f>
        <v>0.78411842287123168</v>
      </c>
      <c r="I45" s="102" t="e">
        <f t="shared" si="1"/>
        <v>#VALUE!</v>
      </c>
      <c r="J45" s="226" t="e">
        <f t="shared" si="2"/>
        <v>#VALUE!</v>
      </c>
      <c r="L45" s="90">
        <v>30</v>
      </c>
      <c r="M45" s="104">
        <f>Parameters!$C$40*EXP(Parameters!$D$40*L45)</f>
        <v>0.78411842287123168</v>
      </c>
      <c r="N45" s="102" t="e">
        <f t="shared" si="3"/>
        <v>#VALUE!</v>
      </c>
      <c r="O45" s="226" t="e">
        <f t="shared" si="4"/>
        <v>#VALUE!</v>
      </c>
      <c r="Q45" s="90">
        <v>30</v>
      </c>
      <c r="R45" s="104">
        <f>Parameters!$C$40*EXP(Parameters!$D$40*Q45)</f>
        <v>0.78411842287123168</v>
      </c>
      <c r="S45" s="102" t="e">
        <f t="shared" si="5"/>
        <v>#VALUE!</v>
      </c>
      <c r="T45" s="227" t="e">
        <f t="shared" si="6"/>
        <v>#VALUE!</v>
      </c>
      <c r="V45" s="90">
        <v>30</v>
      </c>
      <c r="W45" s="104">
        <f>Parameters!$C$40*EXP(Parameters!$D$40*V45)</f>
        <v>0.78411842287123168</v>
      </c>
      <c r="X45" s="102" t="e">
        <f t="shared" si="7"/>
        <v>#VALUE!</v>
      </c>
      <c r="Y45" s="226" t="e">
        <f t="shared" si="8"/>
        <v>#VALUE!</v>
      </c>
    </row>
  </sheetData>
  <sheetProtection password="C24F" sheet="1" objects="1" scenarios="1"/>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30"/>
  <sheetViews>
    <sheetView zoomScale="70" zoomScaleNormal="70" workbookViewId="0"/>
  </sheetViews>
  <sheetFormatPr defaultColWidth="9.140625" defaultRowHeight="15" x14ac:dyDescent="0.25"/>
  <cols>
    <col min="1" max="1" width="2.140625" style="72" customWidth="1"/>
    <col min="2" max="2" width="4.7109375" style="72" customWidth="1"/>
    <col min="3" max="3" width="3.28515625" style="72" customWidth="1"/>
    <col min="4" max="4" width="20.28515625" style="72" customWidth="1"/>
    <col min="5" max="5" width="9.5703125" style="72" bestFit="1" customWidth="1"/>
    <col min="6" max="16384" width="9.140625" style="72"/>
  </cols>
  <sheetData>
    <row r="1" spans="2:10" x14ac:dyDescent="0.25">
      <c r="D1" s="76"/>
    </row>
    <row r="2" spans="2:10" ht="21" x14ac:dyDescent="0.35">
      <c r="B2" s="82" t="s">
        <v>137</v>
      </c>
    </row>
    <row r="4" spans="2:10" ht="18.75" x14ac:dyDescent="0.3">
      <c r="D4" s="74" t="s">
        <v>138</v>
      </c>
      <c r="F4" s="73" t="s">
        <v>139</v>
      </c>
    </row>
    <row r="5" spans="2:10" x14ac:dyDescent="0.25">
      <c r="D5" s="80" t="s">
        <v>140</v>
      </c>
      <c r="E5" s="72">
        <v>0</v>
      </c>
      <c r="F5" s="72">
        <v>10</v>
      </c>
      <c r="G5" s="72">
        <v>20</v>
      </c>
      <c r="H5" s="72">
        <v>30</v>
      </c>
      <c r="I5" s="72">
        <v>40</v>
      </c>
      <c r="J5" s="72">
        <v>50</v>
      </c>
    </row>
    <row r="6" spans="2:10" x14ac:dyDescent="0.25">
      <c r="C6" s="81" t="s">
        <v>141</v>
      </c>
      <c r="D6" s="77"/>
    </row>
    <row r="7" spans="2:10" x14ac:dyDescent="0.25">
      <c r="C7" s="77" t="s">
        <v>142</v>
      </c>
    </row>
    <row r="8" spans="2:10" x14ac:dyDescent="0.25">
      <c r="D8" s="73" t="s">
        <v>143</v>
      </c>
      <c r="E8" s="72">
        <v>0</v>
      </c>
      <c r="F8" s="72">
        <v>0.11</v>
      </c>
      <c r="G8" s="72">
        <v>0.3</v>
      </c>
      <c r="H8" s="72">
        <v>0.47</v>
      </c>
      <c r="I8" s="72">
        <v>0.53</v>
      </c>
      <c r="J8" s="72">
        <v>0.53</v>
      </c>
    </row>
    <row r="9" spans="2:10" x14ac:dyDescent="0.25">
      <c r="D9" s="73" t="s">
        <v>144</v>
      </c>
      <c r="E9" s="72">
        <v>0</v>
      </c>
      <c r="F9" s="72">
        <v>0.28000000000000003</v>
      </c>
      <c r="G9" s="72">
        <v>0.41</v>
      </c>
      <c r="H9" s="72">
        <v>0.54</v>
      </c>
      <c r="I9" s="72">
        <v>0.63</v>
      </c>
      <c r="J9" s="72">
        <v>0.68</v>
      </c>
    </row>
    <row r="10" spans="2:10" x14ac:dyDescent="0.25">
      <c r="C10" s="77" t="s">
        <v>145</v>
      </c>
    </row>
    <row r="11" spans="2:10" x14ac:dyDescent="0.25">
      <c r="D11" s="73" t="s">
        <v>143</v>
      </c>
      <c r="E11" s="72">
        <v>0</v>
      </c>
      <c r="F11" s="72">
        <v>-0.09</v>
      </c>
      <c r="G11" s="72">
        <v>0.11</v>
      </c>
      <c r="H11" s="72">
        <v>0.31</v>
      </c>
      <c r="I11" s="72">
        <v>0.38</v>
      </c>
      <c r="J11" s="72">
        <v>0.38</v>
      </c>
    </row>
    <row r="12" spans="2:10" x14ac:dyDescent="0.25">
      <c r="D12" s="73" t="s">
        <v>144</v>
      </c>
      <c r="E12" s="72">
        <v>0</v>
      </c>
      <c r="F12" s="72">
        <v>-0.12</v>
      </c>
      <c r="G12" s="72">
        <v>-0.04</v>
      </c>
      <c r="H12" s="72">
        <v>0.16</v>
      </c>
      <c r="I12" s="72">
        <v>0.31</v>
      </c>
      <c r="J12" s="72">
        <v>0.39</v>
      </c>
    </row>
    <row r="13" spans="2:10" x14ac:dyDescent="0.25">
      <c r="C13" s="77" t="s">
        <v>146</v>
      </c>
    </row>
    <row r="14" spans="2:10" x14ac:dyDescent="0.25">
      <c r="D14" s="73" t="s">
        <v>143</v>
      </c>
      <c r="E14" s="72">
        <v>0</v>
      </c>
      <c r="F14" s="72">
        <v>0.68</v>
      </c>
      <c r="G14" s="72">
        <v>0.87</v>
      </c>
      <c r="H14" s="72">
        <v>0.93</v>
      </c>
      <c r="I14" s="72">
        <v>0.96</v>
      </c>
      <c r="J14" s="72">
        <v>0.97</v>
      </c>
    </row>
    <row r="15" spans="2:10" x14ac:dyDescent="0.25">
      <c r="D15" s="73" t="s">
        <v>144</v>
      </c>
      <c r="E15" s="72">
        <v>0</v>
      </c>
      <c r="F15" s="72">
        <v>0.68</v>
      </c>
      <c r="G15" s="72">
        <v>0.87</v>
      </c>
      <c r="H15" s="72">
        <v>0.93</v>
      </c>
      <c r="I15" s="72">
        <v>0.96</v>
      </c>
      <c r="J15" s="72">
        <v>0.97</v>
      </c>
    </row>
    <row r="16" spans="2:10" x14ac:dyDescent="0.25">
      <c r="D16" s="73"/>
    </row>
    <row r="17" spans="3:16" x14ac:dyDescent="0.25">
      <c r="C17" s="81" t="s">
        <v>147</v>
      </c>
    </row>
    <row r="18" spans="3:16" x14ac:dyDescent="0.25">
      <c r="C18" s="77" t="s">
        <v>142</v>
      </c>
    </row>
    <row r="19" spans="3:16" x14ac:dyDescent="0.25">
      <c r="D19" s="73" t="s">
        <v>143</v>
      </c>
      <c r="E19" s="72">
        <f>1-E8</f>
        <v>1</v>
      </c>
      <c r="F19" s="72">
        <f t="shared" ref="F19:J20" si="0">1-F8</f>
        <v>0.89</v>
      </c>
      <c r="G19" s="72">
        <f t="shared" si="0"/>
        <v>0.7</v>
      </c>
      <c r="H19" s="72">
        <f t="shared" si="0"/>
        <v>0.53</v>
      </c>
      <c r="I19" s="72">
        <f t="shared" si="0"/>
        <v>0.47</v>
      </c>
      <c r="J19" s="72">
        <f t="shared" si="0"/>
        <v>0.47</v>
      </c>
    </row>
    <row r="20" spans="3:16" x14ac:dyDescent="0.25">
      <c r="D20" s="73" t="s">
        <v>144</v>
      </c>
      <c r="E20" s="72">
        <f>1-E9</f>
        <v>1</v>
      </c>
      <c r="F20" s="72">
        <f t="shared" si="0"/>
        <v>0.72</v>
      </c>
      <c r="G20" s="72">
        <f t="shared" si="0"/>
        <v>0.59000000000000008</v>
      </c>
      <c r="H20" s="72">
        <f t="shared" si="0"/>
        <v>0.45999999999999996</v>
      </c>
      <c r="I20" s="72">
        <f t="shared" si="0"/>
        <v>0.37</v>
      </c>
      <c r="J20" s="72">
        <f t="shared" si="0"/>
        <v>0.31999999999999995</v>
      </c>
    </row>
    <row r="21" spans="3:16" x14ac:dyDescent="0.25">
      <c r="C21" s="77" t="s">
        <v>145</v>
      </c>
    </row>
    <row r="22" spans="3:16" x14ac:dyDescent="0.25">
      <c r="D22" s="73" t="s">
        <v>143</v>
      </c>
      <c r="E22" s="72">
        <f>1-E11</f>
        <v>1</v>
      </c>
      <c r="F22" s="72">
        <f t="shared" ref="F22:J23" si="1">1-F11</f>
        <v>1.0900000000000001</v>
      </c>
      <c r="G22" s="72">
        <f t="shared" si="1"/>
        <v>0.89</v>
      </c>
      <c r="H22" s="72">
        <f t="shared" si="1"/>
        <v>0.69</v>
      </c>
      <c r="I22" s="72">
        <f t="shared" si="1"/>
        <v>0.62</v>
      </c>
      <c r="J22" s="72">
        <f t="shared" si="1"/>
        <v>0.62</v>
      </c>
    </row>
    <row r="23" spans="3:16" x14ac:dyDescent="0.25">
      <c r="D23" s="73" t="s">
        <v>144</v>
      </c>
      <c r="E23" s="72">
        <f>1-E12</f>
        <v>1</v>
      </c>
      <c r="F23" s="72">
        <f t="shared" si="1"/>
        <v>1.1200000000000001</v>
      </c>
      <c r="G23" s="72">
        <f t="shared" si="1"/>
        <v>1.04</v>
      </c>
      <c r="H23" s="72">
        <f t="shared" si="1"/>
        <v>0.84</v>
      </c>
      <c r="I23" s="72">
        <f t="shared" si="1"/>
        <v>0.69</v>
      </c>
      <c r="J23" s="72">
        <f t="shared" si="1"/>
        <v>0.61</v>
      </c>
    </row>
    <row r="24" spans="3:16" x14ac:dyDescent="0.25">
      <c r="C24" s="77" t="s">
        <v>146</v>
      </c>
    </row>
    <row r="25" spans="3:16" x14ac:dyDescent="0.25">
      <c r="D25" s="73" t="s">
        <v>143</v>
      </c>
      <c r="E25" s="72">
        <f>1-E14</f>
        <v>1</v>
      </c>
      <c r="F25" s="72">
        <f t="shared" ref="F25:J26" si="2">1-F14</f>
        <v>0.31999999999999995</v>
      </c>
      <c r="G25" s="72">
        <f t="shared" si="2"/>
        <v>0.13</v>
      </c>
      <c r="H25" s="72">
        <f t="shared" si="2"/>
        <v>6.9999999999999951E-2</v>
      </c>
      <c r="I25" s="72">
        <f t="shared" si="2"/>
        <v>4.0000000000000036E-2</v>
      </c>
      <c r="J25" s="72">
        <f t="shared" si="2"/>
        <v>3.0000000000000027E-2</v>
      </c>
    </row>
    <row r="26" spans="3:16" x14ac:dyDescent="0.25">
      <c r="D26" s="73" t="s">
        <v>144</v>
      </c>
      <c r="E26" s="72">
        <f>1-E15</f>
        <v>1</v>
      </c>
      <c r="F26" s="72">
        <f t="shared" si="2"/>
        <v>0.31999999999999995</v>
      </c>
      <c r="G26" s="72">
        <f t="shared" si="2"/>
        <v>0.13</v>
      </c>
      <c r="H26" s="72">
        <f t="shared" si="2"/>
        <v>6.9999999999999951E-2</v>
      </c>
      <c r="I26" s="72">
        <f t="shared" si="2"/>
        <v>4.0000000000000036E-2</v>
      </c>
      <c r="J26" s="72">
        <f t="shared" si="2"/>
        <v>3.0000000000000027E-2</v>
      </c>
    </row>
    <row r="28" spans="3:16" x14ac:dyDescent="0.25">
      <c r="C28" s="81" t="s">
        <v>148</v>
      </c>
      <c r="E28" s="75">
        <v>0</v>
      </c>
      <c r="F28" s="75">
        <v>10</v>
      </c>
      <c r="G28" s="75">
        <v>20</v>
      </c>
      <c r="H28" s="75">
        <v>30</v>
      </c>
      <c r="I28" s="75">
        <v>40</v>
      </c>
      <c r="J28" s="75">
        <v>50</v>
      </c>
      <c r="K28" s="75">
        <v>60</v>
      </c>
      <c r="L28" s="75">
        <v>70</v>
      </c>
      <c r="M28" s="75">
        <v>80</v>
      </c>
      <c r="N28" s="75">
        <v>90</v>
      </c>
    </row>
    <row r="29" spans="3:16" x14ac:dyDescent="0.25">
      <c r="D29" s="77" t="s">
        <v>149</v>
      </c>
      <c r="E29" s="78">
        <f t="shared" ref="E29:J29" si="3">AVERAGE(E22:E23)</f>
        <v>1</v>
      </c>
      <c r="F29" s="78">
        <f>AVERAGE(F22:F23)</f>
        <v>1.105</v>
      </c>
      <c r="G29" s="78">
        <f t="shared" si="3"/>
        <v>0.96500000000000008</v>
      </c>
      <c r="H29" s="78">
        <f t="shared" si="3"/>
        <v>0.7649999999999999</v>
      </c>
      <c r="I29" s="78">
        <f t="shared" si="3"/>
        <v>0.65500000000000003</v>
      </c>
      <c r="J29" s="78">
        <f t="shared" si="3"/>
        <v>0.61499999999999999</v>
      </c>
    </row>
    <row r="30" spans="3:16" x14ac:dyDescent="0.25">
      <c r="D30" s="77" t="s">
        <v>150</v>
      </c>
      <c r="E30" s="79">
        <f>AVERAGE(E25:E26)</f>
        <v>1</v>
      </c>
      <c r="F30" s="79">
        <f t="shared" ref="F30:J30" si="4">AVERAGE(F25:F26)</f>
        <v>0.31999999999999995</v>
      </c>
      <c r="G30" s="79">
        <f t="shared" si="4"/>
        <v>0.13</v>
      </c>
      <c r="H30" s="79">
        <f t="shared" si="4"/>
        <v>6.9999999999999951E-2</v>
      </c>
      <c r="I30" s="79">
        <f t="shared" si="4"/>
        <v>4.0000000000000036E-2</v>
      </c>
      <c r="J30" s="79">
        <f t="shared" si="4"/>
        <v>3.0000000000000027E-2</v>
      </c>
      <c r="P30" s="77"/>
    </row>
    <row r="31" spans="3:16" x14ac:dyDescent="0.25">
      <c r="D31" s="77"/>
      <c r="E31" s="79"/>
      <c r="F31" s="79"/>
      <c r="G31" s="79"/>
      <c r="H31" s="79"/>
      <c r="I31" s="79"/>
      <c r="J31" s="79"/>
      <c r="P31" s="77"/>
    </row>
    <row r="32" spans="3:16" x14ac:dyDescent="0.25">
      <c r="D32" s="331" t="s">
        <v>151</v>
      </c>
      <c r="E32" s="332"/>
      <c r="F32" s="333"/>
      <c r="G32" s="83"/>
      <c r="H32" s="86" t="s">
        <v>89</v>
      </c>
      <c r="I32" s="87">
        <f>1.1239</f>
        <v>1.1238999999999999</v>
      </c>
      <c r="J32" s="85"/>
      <c r="K32" s="84" t="s">
        <v>90</v>
      </c>
      <c r="L32" s="88">
        <v>-1.2E-2</v>
      </c>
    </row>
    <row r="34" spans="2:17" ht="21" x14ac:dyDescent="0.35">
      <c r="B34" s="82" t="s">
        <v>152</v>
      </c>
    </row>
    <row r="35" spans="2:17" ht="15.75" thickBot="1" x14ac:dyDescent="0.3"/>
    <row r="36" spans="2:17" ht="51.75" customHeight="1" thickBot="1" x14ac:dyDescent="0.3">
      <c r="D36" s="334" t="s">
        <v>153</v>
      </c>
      <c r="E36" s="335"/>
      <c r="F36" s="338" t="s">
        <v>154</v>
      </c>
      <c r="G36" s="339"/>
      <c r="H36" s="338" t="s">
        <v>123</v>
      </c>
      <c r="I36" s="339"/>
      <c r="J36" s="340" t="s">
        <v>155</v>
      </c>
      <c r="K36" s="341"/>
      <c r="L36" s="341"/>
      <c r="M36" s="341"/>
      <c r="N36" s="341"/>
      <c r="O36" s="341"/>
      <c r="P36" s="341"/>
      <c r="Q36" s="341"/>
    </row>
    <row r="37" spans="2:17" ht="15.75" thickBot="1" x14ac:dyDescent="0.3">
      <c r="D37" s="336"/>
      <c r="E37" s="337"/>
      <c r="F37" s="342">
        <v>5</v>
      </c>
      <c r="G37" s="343"/>
      <c r="H37" s="344">
        <f>-LN(0.5)/F37</f>
        <v>0.13862943611198905</v>
      </c>
      <c r="I37" s="345"/>
      <c r="J37" s="340"/>
      <c r="K37" s="341"/>
      <c r="L37" s="341"/>
      <c r="M37" s="341"/>
      <c r="N37" s="341"/>
      <c r="O37" s="341"/>
      <c r="P37" s="341"/>
      <c r="Q37" s="341"/>
    </row>
    <row r="38" spans="2:17" x14ac:dyDescent="0.25">
      <c r="E38" s="105"/>
      <c r="F38" s="106"/>
      <c r="K38" s="107"/>
      <c r="L38" s="107"/>
      <c r="M38" s="107"/>
    </row>
    <row r="39" spans="2:17" x14ac:dyDescent="0.25">
      <c r="D39" s="108" t="s">
        <v>156</v>
      </c>
      <c r="E39" s="109"/>
      <c r="K39" s="109"/>
      <c r="L39" s="109"/>
      <c r="M39" s="109"/>
    </row>
    <row r="40" spans="2:17" x14ac:dyDescent="0.25">
      <c r="D40" s="110" t="s">
        <v>157</v>
      </c>
      <c r="E40" s="109"/>
      <c r="K40" s="109"/>
      <c r="L40" s="109"/>
      <c r="M40" s="109"/>
    </row>
    <row r="41" spans="2:17" x14ac:dyDescent="0.25">
      <c r="D41" s="110" t="s">
        <v>158</v>
      </c>
      <c r="E41" s="109"/>
      <c r="K41" s="109"/>
      <c r="L41" s="109"/>
      <c r="M41" s="109"/>
    </row>
    <row r="42" spans="2:17" x14ac:dyDescent="0.25">
      <c r="D42" s="110" t="s">
        <v>159</v>
      </c>
      <c r="E42" s="109"/>
      <c r="K42" s="109"/>
      <c r="L42" s="109"/>
      <c r="M42" s="109"/>
    </row>
    <row r="43" spans="2:17" x14ac:dyDescent="0.25">
      <c r="D43" s="110" t="s">
        <v>160</v>
      </c>
    </row>
    <row r="46" spans="2:17" ht="21" x14ac:dyDescent="0.35">
      <c r="B46" s="82" t="s">
        <v>161</v>
      </c>
    </row>
    <row r="47" spans="2:17" ht="15.75" customHeight="1" thickBot="1" x14ac:dyDescent="0.4">
      <c r="B47" s="82"/>
    </row>
    <row r="48" spans="2:17" ht="32.25" customHeight="1" thickBot="1" x14ac:dyDescent="0.3">
      <c r="I48" s="346" t="s">
        <v>162</v>
      </c>
      <c r="J48" s="347"/>
      <c r="K48" s="347"/>
      <c r="L48" s="347"/>
      <c r="M48" s="347"/>
      <c r="N48" s="348"/>
    </row>
    <row r="49" spans="4:14" ht="36" customHeight="1" thickBot="1" x14ac:dyDescent="0.3">
      <c r="D49" s="111" t="s">
        <v>163</v>
      </c>
      <c r="E49" s="349" t="s">
        <v>164</v>
      </c>
      <c r="F49" s="349" t="s">
        <v>134</v>
      </c>
      <c r="G49" s="351" t="s">
        <v>119</v>
      </c>
      <c r="I49" s="353" t="s">
        <v>165</v>
      </c>
      <c r="K49" s="355" t="s">
        <v>154</v>
      </c>
      <c r="L49" s="356"/>
      <c r="M49" s="355" t="s">
        <v>123</v>
      </c>
      <c r="N49" s="356"/>
    </row>
    <row r="50" spans="4:14" ht="15.75" thickBot="1" x14ac:dyDescent="0.3">
      <c r="D50" s="112" t="s">
        <v>130</v>
      </c>
      <c r="E50" s="350"/>
      <c r="F50" s="350"/>
      <c r="G50" s="352"/>
      <c r="I50" s="354"/>
      <c r="J50" s="113"/>
      <c r="K50" s="342">
        <v>5.5</v>
      </c>
      <c r="L50" s="343"/>
      <c r="M50" s="344">
        <f>-LN(0.5)/K50</f>
        <v>0.12602676010180824</v>
      </c>
      <c r="N50" s="345"/>
    </row>
    <row r="51" spans="4:14" x14ac:dyDescent="0.25">
      <c r="D51" s="114">
        <v>1</v>
      </c>
      <c r="E51" s="115">
        <f>FORECAST(D51,'Carbon Deficit Analyses'!$E$30:$F$30,'Carbon Deficit Analyses'!$E$28:$F$28)</f>
        <v>0.93199999999999994</v>
      </c>
      <c r="F51" s="115">
        <f>$I$32*EXP($L$32*D51)</f>
        <v>1.1104937980855236</v>
      </c>
      <c r="G51" s="116">
        <f>EXP(-$H$37*(D51-0.5))</f>
        <v>0.93303299153680741</v>
      </c>
      <c r="I51" s="117">
        <f>EXP(-$M$50*(D51-0.5))</f>
        <v>0.93893091066170631</v>
      </c>
    </row>
    <row r="52" spans="4:14" x14ac:dyDescent="0.25">
      <c r="D52" s="118">
        <v>2</v>
      </c>
      <c r="E52" s="119"/>
      <c r="F52" s="119">
        <f t="shared" ref="F52:F115" si="5">$I$32*EXP($L$32*D52)</f>
        <v>1.0972475091969141</v>
      </c>
      <c r="G52" s="120">
        <f t="shared" ref="G52:G115" si="6">EXP(-$H$37*(D52-0.5))</f>
        <v>0.81225239635623558</v>
      </c>
      <c r="I52" s="117">
        <f t="shared" ref="I52:I115" si="7">EXP(-$M$50*(D52-0.5))</f>
        <v>0.82775327988481073</v>
      </c>
    </row>
    <row r="53" spans="4:14" x14ac:dyDescent="0.25">
      <c r="D53" s="118">
        <v>3</v>
      </c>
      <c r="E53" s="119"/>
      <c r="F53" s="119">
        <f t="shared" si="5"/>
        <v>1.084159225845682</v>
      </c>
      <c r="G53" s="120">
        <f t="shared" si="6"/>
        <v>0.70710678118654757</v>
      </c>
      <c r="I53" s="117">
        <f t="shared" si="7"/>
        <v>0.72974005284072307</v>
      </c>
    </row>
    <row r="54" spans="4:14" x14ac:dyDescent="0.25">
      <c r="D54" s="118">
        <v>4</v>
      </c>
      <c r="E54" s="119"/>
      <c r="F54" s="119">
        <f t="shared" si="5"/>
        <v>1.0712270632964074</v>
      </c>
      <c r="G54" s="120">
        <f t="shared" si="6"/>
        <v>0.61557220667245816</v>
      </c>
      <c r="I54" s="117">
        <f t="shared" si="7"/>
        <v>0.64333244900471587</v>
      </c>
    </row>
    <row r="55" spans="4:14" x14ac:dyDescent="0.25">
      <c r="D55" s="118">
        <v>5</v>
      </c>
      <c r="E55" s="119"/>
      <c r="F55" s="119">
        <f t="shared" si="5"/>
        <v>1.0584491592953371</v>
      </c>
      <c r="G55" s="120">
        <f t="shared" si="6"/>
        <v>0.53588673126814657</v>
      </c>
      <c r="I55" s="117">
        <f t="shared" si="7"/>
        <v>0.56715626109773132</v>
      </c>
    </row>
    <row r="56" spans="4:14" x14ac:dyDescent="0.25">
      <c r="D56" s="118">
        <v>6</v>
      </c>
      <c r="E56" s="119"/>
      <c r="F56" s="119">
        <f t="shared" si="5"/>
        <v>1.045823673802214</v>
      </c>
      <c r="G56" s="120">
        <f t="shared" si="6"/>
        <v>0.46651649576840371</v>
      </c>
      <c r="I56" s="117">
        <f t="shared" si="7"/>
        <v>0.49999999999999994</v>
      </c>
    </row>
    <row r="57" spans="4:14" x14ac:dyDescent="0.25">
      <c r="D57" s="118">
        <v>7</v>
      </c>
      <c r="E57" s="119"/>
      <c r="F57" s="119">
        <f t="shared" si="5"/>
        <v>1.0333487887253106</v>
      </c>
      <c r="G57" s="120">
        <f t="shared" si="6"/>
        <v>0.40612619817811779</v>
      </c>
      <c r="I57" s="117">
        <f t="shared" si="7"/>
        <v>0.4407956274980106</v>
      </c>
    </row>
    <row r="58" spans="4:14" x14ac:dyDescent="0.25">
      <c r="D58" s="118">
        <v>8</v>
      </c>
      <c r="E58" s="119"/>
      <c r="F58" s="119">
        <f t="shared" si="5"/>
        <v>1.0210227076596188</v>
      </c>
      <c r="G58" s="120">
        <f t="shared" si="6"/>
        <v>0.35355339059327379</v>
      </c>
      <c r="I58" s="117">
        <f t="shared" si="7"/>
        <v>0.3886015704427298</v>
      </c>
    </row>
    <row r="59" spans="4:14" x14ac:dyDescent="0.25">
      <c r="D59" s="118">
        <v>9</v>
      </c>
      <c r="E59" s="119"/>
      <c r="F59" s="119">
        <f t="shared" si="5"/>
        <v>1.0088436556281657</v>
      </c>
      <c r="G59" s="120">
        <f t="shared" si="6"/>
        <v>0.30778610333622908</v>
      </c>
      <c r="I59" s="117">
        <f t="shared" si="7"/>
        <v>0.34258774618003091</v>
      </c>
    </row>
    <row r="60" spans="4:14" x14ac:dyDescent="0.25">
      <c r="D60" s="118">
        <v>10</v>
      </c>
      <c r="E60" s="119">
        <f>F30</f>
        <v>0.31999999999999995</v>
      </c>
      <c r="F60" s="119">
        <f t="shared" si="5"/>
        <v>0.99680987882641325</v>
      </c>
      <c r="G60" s="120">
        <f t="shared" si="6"/>
        <v>0.26794336563407328</v>
      </c>
      <c r="I60" s="117">
        <f t="shared" si="7"/>
        <v>0.3020223611011118</v>
      </c>
    </row>
    <row r="61" spans="4:14" x14ac:dyDescent="0.25">
      <c r="D61" s="118">
        <v>11</v>
      </c>
      <c r="E61" s="119"/>
      <c r="F61" s="119">
        <f t="shared" si="5"/>
        <v>0.98491964436970747</v>
      </c>
      <c r="G61" s="120">
        <f t="shared" si="6"/>
        <v>0.23325824788420185</v>
      </c>
      <c r="I61" s="117">
        <f t="shared" si="7"/>
        <v>0.26626027235999067</v>
      </c>
    </row>
    <row r="62" spans="4:14" x14ac:dyDescent="0.25">
      <c r="D62" s="118">
        <v>12</v>
      </c>
      <c r="E62" s="119"/>
      <c r="F62" s="119">
        <f t="shared" si="5"/>
        <v>0.97317124004374045</v>
      </c>
      <c r="G62" s="120">
        <f t="shared" si="6"/>
        <v>0.2030630990890589</v>
      </c>
      <c r="I62" s="117">
        <f t="shared" si="7"/>
        <v>0.23473272766542655</v>
      </c>
    </row>
    <row r="63" spans="4:14" x14ac:dyDescent="0.25">
      <c r="D63" s="118">
        <v>13</v>
      </c>
      <c r="E63" s="119"/>
      <c r="F63" s="119">
        <f t="shared" si="5"/>
        <v>0.96156297405798752</v>
      </c>
      <c r="G63" s="120">
        <f t="shared" si="6"/>
        <v>0.17677669529663692</v>
      </c>
      <c r="I63" s="117">
        <f t="shared" si="7"/>
        <v>0.20693831997120268</v>
      </c>
    </row>
    <row r="64" spans="4:14" x14ac:dyDescent="0.25">
      <c r="D64" s="118">
        <v>14</v>
      </c>
      <c r="E64" s="119"/>
      <c r="F64" s="119">
        <f t="shared" si="5"/>
        <v>0.95009317480208788</v>
      </c>
      <c r="G64" s="120">
        <f t="shared" si="6"/>
        <v>0.15389305166811457</v>
      </c>
      <c r="I64" s="117">
        <f t="shared" si="7"/>
        <v>0.18243501321018074</v>
      </c>
    </row>
    <row r="65" spans="4:9" x14ac:dyDescent="0.25">
      <c r="D65" s="118">
        <v>15</v>
      </c>
      <c r="E65" s="119"/>
      <c r="F65" s="119">
        <f t="shared" si="5"/>
        <v>0.9387601906051285</v>
      </c>
      <c r="G65" s="120">
        <f t="shared" si="6"/>
        <v>0.13397168281703667</v>
      </c>
      <c r="I65" s="117">
        <f t="shared" si="7"/>
        <v>0.16083311225117897</v>
      </c>
    </row>
    <row r="66" spans="4:9" x14ac:dyDescent="0.25">
      <c r="D66" s="118">
        <v>16</v>
      </c>
      <c r="E66" s="119"/>
      <c r="F66" s="119">
        <f t="shared" si="5"/>
        <v>0.92756238949780168</v>
      </c>
      <c r="G66" s="120">
        <f t="shared" si="6"/>
        <v>0.11662912394210094</v>
      </c>
      <c r="I66" s="117">
        <f t="shared" si="7"/>
        <v>0.1417890652744328</v>
      </c>
    </row>
    <row r="67" spans="4:9" x14ac:dyDescent="0.25">
      <c r="D67" s="118">
        <v>17</v>
      </c>
      <c r="E67" s="119"/>
      <c r="F67" s="119">
        <f t="shared" si="5"/>
        <v>0.91649815897739817</v>
      </c>
      <c r="G67" s="120">
        <f t="shared" si="6"/>
        <v>0.10153154954452946</v>
      </c>
      <c r="I67" s="117">
        <f t="shared" si="7"/>
        <v>0.12499999999999997</v>
      </c>
    </row>
    <row r="68" spans="4:9" x14ac:dyDescent="0.25">
      <c r="D68" s="118">
        <v>18</v>
      </c>
      <c r="E68" s="119"/>
      <c r="F68" s="119">
        <f t="shared" si="5"/>
        <v>0.9055659057756037</v>
      </c>
      <c r="G68" s="120">
        <f t="shared" si="6"/>
        <v>8.8388347648318447E-2</v>
      </c>
      <c r="I68" s="117">
        <f t="shared" si="7"/>
        <v>0.11019890687450264</v>
      </c>
    </row>
    <row r="69" spans="4:9" x14ac:dyDescent="0.25">
      <c r="D69" s="118">
        <v>19</v>
      </c>
      <c r="E69" s="119"/>
      <c r="F69" s="119">
        <f t="shared" si="5"/>
        <v>0.89476405562906636</v>
      </c>
      <c r="G69" s="120">
        <f t="shared" si="6"/>
        <v>7.6946525834057283E-2</v>
      </c>
      <c r="I69" s="117">
        <f t="shared" si="7"/>
        <v>9.7150392610682451E-2</v>
      </c>
    </row>
    <row r="70" spans="4:9" x14ac:dyDescent="0.25">
      <c r="D70" s="118">
        <v>20</v>
      </c>
      <c r="E70" s="119">
        <f>G30</f>
        <v>0.13</v>
      </c>
      <c r="F70" s="119">
        <f t="shared" si="5"/>
        <v>0.88409105305269942</v>
      </c>
      <c r="G70" s="120">
        <f t="shared" si="6"/>
        <v>6.6985841408518335E-2</v>
      </c>
      <c r="I70" s="117">
        <f t="shared" si="7"/>
        <v>8.564693654500774E-2</v>
      </c>
    </row>
    <row r="71" spans="4:9" x14ac:dyDescent="0.25">
      <c r="D71" s="118">
        <v>21</v>
      </c>
      <c r="E71" s="119"/>
      <c r="F71" s="119">
        <f t="shared" si="5"/>
        <v>0.87354536111568848</v>
      </c>
      <c r="G71" s="120">
        <f t="shared" si="6"/>
        <v>5.831456197105047E-2</v>
      </c>
      <c r="I71" s="117">
        <f t="shared" si="7"/>
        <v>7.5505590275277937E-2</v>
      </c>
    </row>
    <row r="72" spans="4:9" x14ac:dyDescent="0.25">
      <c r="D72" s="118">
        <v>22</v>
      </c>
      <c r="E72" s="119"/>
      <c r="F72" s="119">
        <f t="shared" si="5"/>
        <v>0.86312546122017197</v>
      </c>
      <c r="G72" s="120">
        <f t="shared" si="6"/>
        <v>5.0765774772264724E-2</v>
      </c>
      <c r="I72" s="117">
        <f t="shared" si="7"/>
        <v>6.6565068089997653E-2</v>
      </c>
    </row>
    <row r="73" spans="4:9" x14ac:dyDescent="0.25">
      <c r="D73" s="118">
        <v>23</v>
      </c>
      <c r="E73" s="119"/>
      <c r="F73" s="119">
        <f t="shared" si="5"/>
        <v>0.85282985288255908</v>
      </c>
      <c r="G73" s="120">
        <f t="shared" si="6"/>
        <v>4.4194173824159223E-2</v>
      </c>
      <c r="I73" s="117">
        <f t="shared" si="7"/>
        <v>5.8683181916356644E-2</v>
      </c>
    </row>
    <row r="74" spans="4:9" x14ac:dyDescent="0.25">
      <c r="D74" s="118">
        <v>24</v>
      </c>
      <c r="E74" s="119"/>
      <c r="F74" s="119">
        <f t="shared" si="5"/>
        <v>0.84265705351745845</v>
      </c>
      <c r="G74" s="120">
        <f t="shared" si="6"/>
        <v>3.8473262917028635E-2</v>
      </c>
      <c r="I74" s="117">
        <f t="shared" si="7"/>
        <v>5.1734579992800671E-2</v>
      </c>
    </row>
    <row r="75" spans="4:9" x14ac:dyDescent="0.25">
      <c r="D75" s="118">
        <v>25</v>
      </c>
      <c r="E75" s="119"/>
      <c r="F75" s="119">
        <f t="shared" si="5"/>
        <v>0.83260559822418267</v>
      </c>
      <c r="G75" s="120">
        <f t="shared" si="6"/>
        <v>3.3492920704259174E-2</v>
      </c>
      <c r="I75" s="117">
        <f t="shared" si="7"/>
        <v>4.5608753302545178E-2</v>
      </c>
    </row>
    <row r="76" spans="4:9" x14ac:dyDescent="0.25">
      <c r="D76" s="118">
        <v>26</v>
      </c>
      <c r="E76" s="119"/>
      <c r="F76" s="119">
        <f t="shared" si="5"/>
        <v>0.82267403957580054</v>
      </c>
      <c r="G76" s="120">
        <f t="shared" si="6"/>
        <v>2.9157280985525245E-2</v>
      </c>
      <c r="I76" s="117">
        <f t="shared" si="7"/>
        <v>4.0208278062794735E-2</v>
      </c>
    </row>
    <row r="77" spans="4:9" x14ac:dyDescent="0.25">
      <c r="D77" s="118">
        <v>27</v>
      </c>
      <c r="E77" s="119"/>
      <c r="F77" s="119">
        <f t="shared" si="5"/>
        <v>0.8128609474107048</v>
      </c>
      <c r="G77" s="120">
        <f t="shared" si="6"/>
        <v>2.5382887386132372E-2</v>
      </c>
      <c r="I77" s="117">
        <f t="shared" si="7"/>
        <v>3.54472663186082E-2</v>
      </c>
    </row>
    <row r="78" spans="4:9" x14ac:dyDescent="0.25">
      <c r="D78" s="118">
        <v>28</v>
      </c>
      <c r="E78" s="119"/>
      <c r="F78" s="119">
        <f t="shared" si="5"/>
        <v>0.80316490862666667</v>
      </c>
      <c r="G78" s="120">
        <f t="shared" si="6"/>
        <v>2.2097086912079619E-2</v>
      </c>
      <c r="I78" s="117">
        <f t="shared" si="7"/>
        <v>3.125E-2</v>
      </c>
    </row>
    <row r="79" spans="4:9" x14ac:dyDescent="0.25">
      <c r="D79" s="118">
        <v>29</v>
      </c>
      <c r="E79" s="119"/>
      <c r="F79" s="119">
        <f t="shared" si="5"/>
        <v>0.79358452697734649</v>
      </c>
      <c r="G79" s="120">
        <f t="shared" si="6"/>
        <v>1.9236631458514324E-2</v>
      </c>
      <c r="I79" s="117">
        <f t="shared" si="7"/>
        <v>2.7549726718625652E-2</v>
      </c>
    </row>
    <row r="80" spans="4:9" x14ac:dyDescent="0.25">
      <c r="D80" s="118">
        <v>30</v>
      </c>
      <c r="E80" s="119">
        <f>H30</f>
        <v>6.9999999999999951E-2</v>
      </c>
      <c r="F80" s="119">
        <f t="shared" si="5"/>
        <v>0.78411842287123168</v>
      </c>
      <c r="G80" s="120">
        <f t="shared" si="6"/>
        <v>1.6746460352129587E-2</v>
      </c>
      <c r="I80" s="117">
        <f t="shared" si="7"/>
        <v>2.4287598152670609E-2</v>
      </c>
    </row>
    <row r="81" spans="4:9" x14ac:dyDescent="0.25">
      <c r="D81" s="118">
        <v>31</v>
      </c>
      <c r="E81" s="119"/>
      <c r="F81" s="119">
        <f t="shared" si="5"/>
        <v>0.77476523317297352</v>
      </c>
      <c r="G81" s="120">
        <f t="shared" si="6"/>
        <v>1.4578640492762621E-2</v>
      </c>
      <c r="I81" s="117">
        <f t="shared" si="7"/>
        <v>2.1411734136251932E-2</v>
      </c>
    </row>
    <row r="82" spans="4:9" x14ac:dyDescent="0.25">
      <c r="D82" s="118">
        <v>32</v>
      </c>
      <c r="E82" s="119"/>
      <c r="F82" s="119">
        <f t="shared" si="5"/>
        <v>0.76552361100709287</v>
      </c>
      <c r="G82" s="120">
        <f t="shared" si="6"/>
        <v>1.2691443693066184E-2</v>
      </c>
      <c r="I82" s="117">
        <f t="shared" si="7"/>
        <v>1.8876397568819488E-2</v>
      </c>
    </row>
    <row r="83" spans="4:9" x14ac:dyDescent="0.25">
      <c r="D83" s="118">
        <v>33</v>
      </c>
      <c r="E83" s="119"/>
      <c r="F83" s="119">
        <f t="shared" si="5"/>
        <v>0.75639222556402852</v>
      </c>
      <c r="G83" s="120">
        <f t="shared" si="6"/>
        <v>1.1048543456039809E-2</v>
      </c>
      <c r="I83" s="117">
        <f t="shared" si="7"/>
        <v>1.664126702249941E-2</v>
      </c>
    </row>
    <row r="84" spans="4:9" x14ac:dyDescent="0.25">
      <c r="D84" s="118">
        <v>34</v>
      </c>
      <c r="E84" s="119"/>
      <c r="F84" s="119">
        <f t="shared" si="5"/>
        <v>0.74736976190849747</v>
      </c>
      <c r="G84" s="120">
        <f t="shared" si="6"/>
        <v>9.6183157292571621E-3</v>
      </c>
      <c r="I84" s="117">
        <f t="shared" si="7"/>
        <v>1.4670795479089165E-2</v>
      </c>
    </row>
    <row r="85" spans="4:9" x14ac:dyDescent="0.25">
      <c r="D85" s="118">
        <v>35</v>
      </c>
      <c r="E85" s="119"/>
      <c r="F85" s="119">
        <f t="shared" si="5"/>
        <v>0.73845492079014219</v>
      </c>
      <c r="G85" s="120">
        <f t="shared" si="6"/>
        <v>8.3732301760647936E-3</v>
      </c>
      <c r="I85" s="117">
        <f t="shared" si="7"/>
        <v>1.2933644998200166E-2</v>
      </c>
    </row>
    <row r="86" spans="4:9" x14ac:dyDescent="0.25">
      <c r="D86" s="118">
        <v>36</v>
      </c>
      <c r="E86" s="119"/>
      <c r="F86" s="119">
        <f t="shared" si="5"/>
        <v>0.72964641845643718</v>
      </c>
      <c r="G86" s="120">
        <f t="shared" si="6"/>
        <v>7.2893202463813096E-3</v>
      </c>
      <c r="I86" s="117">
        <f t="shared" si="7"/>
        <v>1.1402188325636293E-2</v>
      </c>
    </row>
    <row r="87" spans="4:9" x14ac:dyDescent="0.25">
      <c r="D87" s="118">
        <v>37</v>
      </c>
      <c r="E87" s="119"/>
      <c r="F87" s="119">
        <f t="shared" si="5"/>
        <v>0.72094298646782473</v>
      </c>
      <c r="G87" s="120">
        <f t="shared" si="6"/>
        <v>6.3457218465330914E-3</v>
      </c>
      <c r="I87" s="117">
        <f t="shared" si="7"/>
        <v>1.0052069515698687E-2</v>
      </c>
    </row>
    <row r="88" spans="4:9" x14ac:dyDescent="0.25">
      <c r="D88" s="118">
        <v>38</v>
      </c>
      <c r="E88" s="119"/>
      <c r="F88" s="119">
        <f t="shared" si="5"/>
        <v>0.71234337151505911</v>
      </c>
      <c r="G88" s="120">
        <f t="shared" si="6"/>
        <v>5.5242717280199038E-3</v>
      </c>
      <c r="I88" s="117">
        <f t="shared" si="7"/>
        <v>8.8618165796520484E-3</v>
      </c>
    </row>
    <row r="89" spans="4:9" x14ac:dyDescent="0.25">
      <c r="D89" s="118">
        <v>39</v>
      </c>
      <c r="E89" s="119"/>
      <c r="F89" s="119">
        <f t="shared" si="5"/>
        <v>0.70384633523872708</v>
      </c>
      <c r="G89" s="120">
        <f t="shared" si="6"/>
        <v>4.8091578646285802E-3</v>
      </c>
      <c r="I89" s="117">
        <f t="shared" si="7"/>
        <v>7.8124999999999948E-3</v>
      </c>
    </row>
    <row r="90" spans="4:9" x14ac:dyDescent="0.25">
      <c r="D90" s="118">
        <v>40</v>
      </c>
      <c r="E90" s="119">
        <f>I30</f>
        <v>4.0000000000000036E-2</v>
      </c>
      <c r="F90" s="119">
        <f t="shared" si="5"/>
        <v>0.69545065405092166</v>
      </c>
      <c r="G90" s="120">
        <f t="shared" si="6"/>
        <v>4.1866150880323959E-3</v>
      </c>
      <c r="I90" s="117">
        <f t="shared" si="7"/>
        <v>6.8874316796564148E-3</v>
      </c>
    </row>
    <row r="91" spans="4:9" x14ac:dyDescent="0.25">
      <c r="D91" s="118">
        <v>41</v>
      </c>
      <c r="E91" s="119"/>
      <c r="F91" s="119">
        <f t="shared" si="5"/>
        <v>0.68715511895904413</v>
      </c>
      <c r="G91" s="120">
        <f t="shared" si="6"/>
        <v>3.6446601231906548E-3</v>
      </c>
      <c r="I91" s="117">
        <f t="shared" si="7"/>
        <v>6.0718995381676515E-3</v>
      </c>
    </row>
    <row r="92" spans="4:9" x14ac:dyDescent="0.25">
      <c r="D92" s="118">
        <v>42</v>
      </c>
      <c r="E92" s="119"/>
      <c r="F92" s="119">
        <f t="shared" si="5"/>
        <v>0.67895853539170625</v>
      </c>
      <c r="G92" s="120">
        <f t="shared" si="6"/>
        <v>3.1728609232665457E-3</v>
      </c>
      <c r="I92" s="117">
        <f t="shared" si="7"/>
        <v>5.3529335340629838E-3</v>
      </c>
    </row>
    <row r="93" spans="4:9" x14ac:dyDescent="0.25">
      <c r="D93" s="118">
        <v>43</v>
      </c>
      <c r="E93" s="119"/>
      <c r="F93" s="119">
        <f t="shared" si="5"/>
        <v>0.67085972302671093</v>
      </c>
      <c r="G93" s="120">
        <f t="shared" si="6"/>
        <v>2.7621358640099515E-3</v>
      </c>
      <c r="I93" s="117">
        <f t="shared" si="7"/>
        <v>4.719099392204871E-3</v>
      </c>
    </row>
    <row r="94" spans="4:9" x14ac:dyDescent="0.25">
      <c r="D94" s="118">
        <v>44</v>
      </c>
      <c r="E94" s="119"/>
      <c r="F94" s="119">
        <f t="shared" si="5"/>
        <v>0.66285751562108253</v>
      </c>
      <c r="G94" s="120">
        <f t="shared" si="6"/>
        <v>2.4045789323142901E-3</v>
      </c>
      <c r="I94" s="117">
        <f t="shared" si="7"/>
        <v>4.1603167556248516E-3</v>
      </c>
    </row>
    <row r="95" spans="4:9" x14ac:dyDescent="0.25">
      <c r="D95" s="118">
        <v>45</v>
      </c>
      <c r="E95" s="119"/>
      <c r="F95" s="119">
        <f t="shared" si="5"/>
        <v>0.65495076084312687</v>
      </c>
      <c r="G95" s="120">
        <f t="shared" si="6"/>
        <v>2.093307544016198E-3</v>
      </c>
      <c r="I95" s="117">
        <f t="shared" si="7"/>
        <v>3.6676988697722907E-3</v>
      </c>
    </row>
    <row r="96" spans="4:9" x14ac:dyDescent="0.25">
      <c r="D96" s="118">
        <v>46</v>
      </c>
      <c r="E96" s="119"/>
      <c r="F96" s="119">
        <f t="shared" si="5"/>
        <v>0.64713832010649297</v>
      </c>
      <c r="G96" s="120">
        <f t="shared" si="6"/>
        <v>1.8223300615953272E-3</v>
      </c>
      <c r="I96" s="117">
        <f t="shared" si="7"/>
        <v>3.2334112495500411E-3</v>
      </c>
    </row>
    <row r="97" spans="4:9" x14ac:dyDescent="0.25">
      <c r="D97" s="118">
        <v>47</v>
      </c>
      <c r="E97" s="119"/>
      <c r="F97" s="119">
        <f t="shared" si="5"/>
        <v>0.63941906840621487</v>
      </c>
      <c r="G97" s="120">
        <f t="shared" si="6"/>
        <v>1.5864304616332726E-3</v>
      </c>
      <c r="I97" s="117">
        <f t="shared" si="7"/>
        <v>2.8505470814090728E-3</v>
      </c>
    </row>
    <row r="98" spans="4:9" x14ac:dyDescent="0.25">
      <c r="D98" s="118">
        <v>48</v>
      </c>
      <c r="E98" s="119"/>
      <c r="F98" s="119">
        <f t="shared" si="5"/>
        <v>0.63179189415670867</v>
      </c>
      <c r="G98" s="120">
        <f t="shared" si="6"/>
        <v>1.3810679320049757E-3</v>
      </c>
      <c r="I98" s="117">
        <f t="shared" si="7"/>
        <v>2.5130173789246714E-3</v>
      </c>
    </row>
    <row r="99" spans="4:9" x14ac:dyDescent="0.25">
      <c r="D99" s="118">
        <v>49</v>
      </c>
      <c r="E99" s="119"/>
      <c r="F99" s="119">
        <f t="shared" si="5"/>
        <v>0.62425569903170264</v>
      </c>
      <c r="G99" s="120">
        <f t="shared" si="6"/>
        <v>1.2022894661571459E-3</v>
      </c>
      <c r="I99" s="117">
        <f t="shared" si="7"/>
        <v>2.2154541449130117E-3</v>
      </c>
    </row>
    <row r="100" spans="4:9" x14ac:dyDescent="0.25">
      <c r="D100" s="118">
        <v>50</v>
      </c>
      <c r="E100" s="119">
        <f>J30</f>
        <v>3.0000000000000027E-2</v>
      </c>
      <c r="F100" s="119">
        <f t="shared" si="5"/>
        <v>0.61680939780607624</v>
      </c>
      <c r="G100" s="120">
        <f t="shared" si="6"/>
        <v>1.0466537720080998E-3</v>
      </c>
      <c r="I100" s="117">
        <f t="shared" si="7"/>
        <v>1.953125E-3</v>
      </c>
    </row>
    <row r="101" spans="4:9" x14ac:dyDescent="0.25">
      <c r="D101" s="118">
        <v>51</v>
      </c>
      <c r="E101" s="119">
        <f>FORECAST(D101,'Carbon Deficit Analyses'!$I$30:$J$30,'Carbon Deficit Analyses'!$I$28:$J$28)</f>
        <v>2.9000000000000026E-2</v>
      </c>
      <c r="F101" s="119">
        <f t="shared" si="5"/>
        <v>0.60945191819958566</v>
      </c>
      <c r="G101" s="120">
        <f t="shared" si="6"/>
        <v>9.1116503079766435E-4</v>
      </c>
      <c r="I101" s="117">
        <f t="shared" si="7"/>
        <v>1.7218579199141035E-3</v>
      </c>
    </row>
    <row r="102" spans="4:9" x14ac:dyDescent="0.25">
      <c r="D102" s="118">
        <v>52</v>
      </c>
      <c r="E102" s="119">
        <f>FORECAST(D102,'Carbon Deficit Analyses'!$I$30:$J$30,'Carbon Deficit Analyses'!$I$28:$J$28)</f>
        <v>2.8000000000000025E-2</v>
      </c>
      <c r="F102" s="119">
        <f t="shared" si="5"/>
        <v>0.60218220072245376</v>
      </c>
      <c r="G102" s="120">
        <f t="shared" si="6"/>
        <v>7.9321523081663696E-4</v>
      </c>
      <c r="I102" s="117">
        <f t="shared" si="7"/>
        <v>1.5179748845419124E-3</v>
      </c>
    </row>
    <row r="103" spans="4:9" x14ac:dyDescent="0.25">
      <c r="D103" s="118">
        <v>53</v>
      </c>
      <c r="E103" s="119">
        <f>FORECAST(D103,'Carbon Deficit Analyses'!$I$30:$J$30,'Carbon Deficit Analyses'!$I$28:$J$28)</f>
        <v>2.7000000000000024E-2</v>
      </c>
      <c r="F103" s="119">
        <f t="shared" si="5"/>
        <v>0.5949991985228017</v>
      </c>
      <c r="G103" s="120">
        <f t="shared" si="6"/>
        <v>6.9053396600248841E-4</v>
      </c>
      <c r="I103" s="117">
        <f t="shared" si="7"/>
        <v>1.3382333835157457E-3</v>
      </c>
    </row>
    <row r="104" spans="4:9" x14ac:dyDescent="0.25">
      <c r="D104" s="118">
        <v>54</v>
      </c>
      <c r="E104" s="119">
        <f>FORECAST(D104,'Carbon Deficit Analyses'!$I$30:$J$30,'Carbon Deficit Analyses'!$I$28:$J$28)</f>
        <v>2.6000000000000023E-2</v>
      </c>
      <c r="F104" s="119">
        <f t="shared" si="5"/>
        <v>0.58790187723590059</v>
      </c>
      <c r="G104" s="120">
        <f t="shared" si="6"/>
        <v>6.0114473307857296E-4</v>
      </c>
      <c r="I104" s="117">
        <f t="shared" si="7"/>
        <v>1.1797748480512175E-3</v>
      </c>
    </row>
    <row r="105" spans="4:9" x14ac:dyDescent="0.25">
      <c r="D105" s="118">
        <v>55</v>
      </c>
      <c r="E105" s="119">
        <f>FORECAST(D105,'Carbon Deficit Analyses'!$I$30:$J$30,'Carbon Deficit Analyses'!$I$28:$J$28)</f>
        <v>2.5000000000000022E-2</v>
      </c>
      <c r="F105" s="119">
        <f t="shared" si="5"/>
        <v>0.5808892148352206</v>
      </c>
      <c r="G105" s="120">
        <f t="shared" si="6"/>
        <v>5.2332688600404981E-4</v>
      </c>
      <c r="I105" s="117">
        <f t="shared" si="7"/>
        <v>1.0400791889062129E-3</v>
      </c>
    </row>
    <row r="106" spans="4:9" x14ac:dyDescent="0.25">
      <c r="D106" s="118">
        <v>56</v>
      </c>
      <c r="E106" s="119">
        <f>FORECAST(D106,'Carbon Deficit Analyses'!$I$30:$J$30,'Carbon Deficit Analyses'!$I$28:$J$28)</f>
        <v>2.4000000000000021E-2</v>
      </c>
      <c r="F106" s="119">
        <f t="shared" si="5"/>
        <v>0.5739602014852585</v>
      </c>
      <c r="G106" s="120">
        <f t="shared" si="6"/>
        <v>4.5558251539883212E-4</v>
      </c>
      <c r="I106" s="117">
        <f t="shared" si="7"/>
        <v>9.1692471744307246E-4</v>
      </c>
    </row>
    <row r="107" spans="4:9" x14ac:dyDescent="0.25">
      <c r="D107" s="118">
        <v>57</v>
      </c>
      <c r="E107" s="119">
        <f>FORECAST(D107,'Carbon Deficit Analyses'!$I$30:$J$30,'Carbon Deficit Analyses'!$I$28:$J$28)</f>
        <v>2.300000000000002E-2</v>
      </c>
      <c r="F107" s="119">
        <f t="shared" si="5"/>
        <v>0.56711383939611815</v>
      </c>
      <c r="G107" s="120">
        <f t="shared" si="6"/>
        <v>3.9660761540831843E-4</v>
      </c>
      <c r="I107" s="117">
        <f t="shared" si="7"/>
        <v>8.0835281238751005E-4</v>
      </c>
    </row>
    <row r="108" spans="4:9" x14ac:dyDescent="0.25">
      <c r="D108" s="118">
        <v>58</v>
      </c>
      <c r="E108" s="119">
        <f>FORECAST(D108,'Carbon Deficit Analyses'!$I$30:$J$30,'Carbon Deficit Analyses'!$I$28:$J$28)</f>
        <v>2.200000000000002E-2</v>
      </c>
      <c r="F108" s="119">
        <f t="shared" si="5"/>
        <v>0.56034914267982816</v>
      </c>
      <c r="G108" s="120">
        <f t="shared" si="6"/>
        <v>3.4526698300124415E-4</v>
      </c>
      <c r="I108" s="117">
        <f t="shared" si="7"/>
        <v>7.1263677035226874E-4</v>
      </c>
    </row>
    <row r="109" spans="4:9" x14ac:dyDescent="0.25">
      <c r="D109" s="118">
        <v>59</v>
      </c>
      <c r="E109" s="119">
        <f>FORECAST(D109,'Carbon Deficit Analyses'!$I$30:$J$30,'Carbon Deficit Analyses'!$I$28:$J$28)</f>
        <v>2.1000000000000019E-2</v>
      </c>
      <c r="F109" s="119">
        <f t="shared" si="5"/>
        <v>0.55366513720837218</v>
      </c>
      <c r="G109" s="120">
        <f t="shared" si="6"/>
        <v>3.0057236653928615E-4</v>
      </c>
      <c r="I109" s="117">
        <f t="shared" si="7"/>
        <v>6.2825434473116773E-4</v>
      </c>
    </row>
    <row r="110" spans="4:9" x14ac:dyDescent="0.25">
      <c r="D110" s="118">
        <v>60</v>
      </c>
      <c r="E110" s="119">
        <f>FORECAST(D110,'Carbon Deficit Analyses'!$I$30:$J$30,'Carbon Deficit Analyses'!$I$28:$J$28)</f>
        <v>2.0000000000000018E-2</v>
      </c>
      <c r="F110" s="119">
        <f t="shared" si="5"/>
        <v>0.54706086047341207</v>
      </c>
      <c r="G110" s="120">
        <f t="shared" si="6"/>
        <v>2.6166344300202464E-4</v>
      </c>
      <c r="I110" s="117">
        <f t="shared" si="7"/>
        <v>5.5386353622825291E-4</v>
      </c>
    </row>
    <row r="111" spans="4:9" x14ac:dyDescent="0.25">
      <c r="D111" s="118">
        <v>61</v>
      </c>
      <c r="E111" s="119">
        <f>FORECAST(D111,'Carbon Deficit Analyses'!$I$30:$J$30,'Carbon Deficit Analyses'!$I$28:$J$28)</f>
        <v>1.9000000000000017E-2</v>
      </c>
      <c r="F111" s="119">
        <f t="shared" si="5"/>
        <v>0.54053536144768588</v>
      </c>
      <c r="G111" s="120">
        <f t="shared" si="6"/>
        <v>2.2779125769941584E-4</v>
      </c>
      <c r="I111" s="117">
        <f t="shared" si="7"/>
        <v>4.8828124999999995E-4</v>
      </c>
    </row>
    <row r="112" spans="4:9" x14ac:dyDescent="0.25">
      <c r="D112" s="118">
        <v>62</v>
      </c>
      <c r="E112" s="119">
        <f>FORECAST(D112,'Carbon Deficit Analyses'!$I$30:$J$30,'Carbon Deficit Analyses'!$I$28:$J$28)</f>
        <v>1.8000000000000016E-2</v>
      </c>
      <c r="F112" s="119">
        <f t="shared" si="5"/>
        <v>0.53408770044805776</v>
      </c>
      <c r="G112" s="120">
        <f t="shared" si="6"/>
        <v>1.9830380770415902E-4</v>
      </c>
      <c r="I112" s="117">
        <f t="shared" si="7"/>
        <v>4.3046447997852581E-4</v>
      </c>
    </row>
    <row r="113" spans="4:9" x14ac:dyDescent="0.25">
      <c r="D113" s="118">
        <v>63</v>
      </c>
      <c r="E113" s="119">
        <f>FORECAST(D113,'Carbon Deficit Analyses'!$I$30:$J$30,'Carbon Deficit Analyses'!$I$28:$J$28)</f>
        <v>1.7000000000000015E-2</v>
      </c>
      <c r="F113" s="119">
        <f t="shared" si="5"/>
        <v>0.52771694900020205</v>
      </c>
      <c r="G113" s="120">
        <f t="shared" si="6"/>
        <v>1.7263349150062191E-4</v>
      </c>
      <c r="I113" s="117">
        <f t="shared" si="7"/>
        <v>3.7949372113547805E-4</v>
      </c>
    </row>
    <row r="114" spans="4:9" x14ac:dyDescent="0.25">
      <c r="D114" s="118">
        <v>64</v>
      </c>
      <c r="E114" s="119">
        <f>FORECAST(D114,'Carbon Deficit Analyses'!$I$30:$J$30,'Carbon Deficit Analyses'!$I$28:$J$28)</f>
        <v>1.6000000000000014E-2</v>
      </c>
      <c r="F114" s="119">
        <f t="shared" si="5"/>
        <v>0.52142218970490173</v>
      </c>
      <c r="G114" s="120">
        <f t="shared" si="6"/>
        <v>1.5028618326964308E-4</v>
      </c>
      <c r="I114" s="117">
        <f t="shared" si="7"/>
        <v>3.3455834587893638E-4</v>
      </c>
    </row>
    <row r="115" spans="4:9" x14ac:dyDescent="0.25">
      <c r="D115" s="118">
        <v>65</v>
      </c>
      <c r="E115" s="119">
        <f>FORECAST(D115,'Carbon Deficit Analyses'!$I$30:$J$30,'Carbon Deficit Analyses'!$I$28:$J$28)</f>
        <v>1.5000000000000013E-2</v>
      </c>
      <c r="F115" s="119">
        <f t="shared" si="5"/>
        <v>0.5152025161059407</v>
      </c>
      <c r="G115" s="120">
        <f t="shared" si="6"/>
        <v>1.3083172150101256E-4</v>
      </c>
      <c r="I115" s="117">
        <f t="shared" si="7"/>
        <v>2.9494371201280433E-4</v>
      </c>
    </row>
    <row r="116" spans="4:9" x14ac:dyDescent="0.25">
      <c r="D116" s="118">
        <v>66</v>
      </c>
      <c r="E116" s="119">
        <f>FORECAST(D116,'Carbon Deficit Analyses'!$I$30:$J$30,'Carbon Deficit Analyses'!$I$28:$J$28)</f>
        <v>1.4000000000000012E-2</v>
      </c>
      <c r="F116" s="119">
        <f t="shared" ref="F116:F130" si="8">$I$32*EXP($L$32*D116)</f>
        <v>0.50905703255957313</v>
      </c>
      <c r="G116" s="120">
        <f t="shared" ref="G116:G130" si="9">EXP(-$H$37*(D116-0.5))</f>
        <v>1.1389562884970811E-4</v>
      </c>
      <c r="I116" s="117">
        <f t="shared" ref="I116:I130" si="10">EXP(-$M$50*(D116-0.5))</f>
        <v>2.6001979722655317E-4</v>
      </c>
    </row>
    <row r="117" spans="4:9" x14ac:dyDescent="0.25">
      <c r="D117" s="118">
        <v>67</v>
      </c>
      <c r="E117" s="119">
        <f>FORECAST(D117,'Carbon Deficit Analyses'!$I$30:$J$30,'Carbon Deficit Analyses'!$I$28:$J$28)</f>
        <v>1.3000000000000012E-2</v>
      </c>
      <c r="F117" s="119">
        <f t="shared" si="8"/>
        <v>0.50298485410554905</v>
      </c>
      <c r="G117" s="120">
        <f t="shared" si="9"/>
        <v>9.9151903852079675E-5</v>
      </c>
      <c r="I117" s="117">
        <f t="shared" si="10"/>
        <v>2.2923117936076787E-4</v>
      </c>
    </row>
    <row r="118" spans="4:9" x14ac:dyDescent="0.25">
      <c r="D118" s="118">
        <v>68</v>
      </c>
      <c r="E118" s="119">
        <f>FORECAST(D118,'Carbon Deficit Analyses'!$I$30:$J$30,'Carbon Deficit Analyses'!$I$28:$J$28)</f>
        <v>1.2000000000000011E-2</v>
      </c>
      <c r="F118" s="119">
        <f t="shared" si="8"/>
        <v>0.49698510633967802</v>
      </c>
      <c r="G118" s="120">
        <f t="shared" si="9"/>
        <v>8.6316745750311105E-5</v>
      </c>
      <c r="I118" s="117">
        <f t="shared" si="10"/>
        <v>2.0208820309687767E-4</v>
      </c>
    </row>
    <row r="119" spans="4:9" x14ac:dyDescent="0.25">
      <c r="D119" s="118">
        <v>69</v>
      </c>
      <c r="E119" s="119">
        <f>FORECAST(D119,'Carbon Deficit Analyses'!$I$30:$J$30,'Carbon Deficit Analyses'!$I$28:$J$28)</f>
        <v>1.100000000000001E-2</v>
      </c>
      <c r="F119" s="119">
        <f t="shared" si="8"/>
        <v>0.49105692528791434</v>
      </c>
      <c r="G119" s="120">
        <f t="shared" si="9"/>
        <v>7.5143091634821661E-5</v>
      </c>
      <c r="I119" s="117">
        <f t="shared" si="10"/>
        <v>1.7815919258806713E-4</v>
      </c>
    </row>
    <row r="120" spans="4:9" x14ac:dyDescent="0.25">
      <c r="D120" s="118">
        <v>70</v>
      </c>
      <c r="E120" s="119">
        <f>FORECAST(D120,'Carbon Deficit Analyses'!$I$30:$J$30,'Carbon Deficit Analyses'!$I$28:$J$28)</f>
        <v>1.0000000000000009E-2</v>
      </c>
      <c r="F120" s="119">
        <f t="shared" si="8"/>
        <v>0.48519945728194264</v>
      </c>
      <c r="G120" s="120">
        <f t="shared" si="9"/>
        <v>6.5415860750506267E-5</v>
      </c>
      <c r="I120" s="117">
        <f t="shared" si="10"/>
        <v>1.5706358618279191E-4</v>
      </c>
    </row>
    <row r="121" spans="4:9" x14ac:dyDescent="0.25">
      <c r="D121" s="118">
        <v>71</v>
      </c>
      <c r="E121" s="119">
        <f>FORECAST(D121,'Carbon Deficit Analyses'!$I$30:$J$30,'Carbon Deficit Analyses'!$I$28:$J$28)</f>
        <v>9.000000000000008E-3</v>
      </c>
      <c r="F121" s="119">
        <f t="shared" si="8"/>
        <v>0.47941185883624815</v>
      </c>
      <c r="G121" s="120">
        <f t="shared" si="9"/>
        <v>5.6947814424854049E-5</v>
      </c>
      <c r="I121" s="117">
        <f t="shared" si="10"/>
        <v>1.384658840570632E-4</v>
      </c>
    </row>
    <row r="122" spans="4:9" x14ac:dyDescent="0.25">
      <c r="D122" s="118">
        <v>72</v>
      </c>
      <c r="E122" s="119">
        <f>FORECAST(D122,'Carbon Deficit Analyses'!$I$30:$J$30,'Carbon Deficit Analyses'!$I$28:$J$28)</f>
        <v>8.0000000000000071E-3</v>
      </c>
      <c r="F122" s="119">
        <f t="shared" si="8"/>
        <v>0.47369329652665376</v>
      </c>
      <c r="G122" s="120">
        <f t="shared" si="9"/>
        <v>4.9575951926039837E-5</v>
      </c>
      <c r="I122" s="117">
        <f t="shared" si="10"/>
        <v>1.2207031249999986E-4</v>
      </c>
    </row>
    <row r="123" spans="4:9" x14ac:dyDescent="0.25">
      <c r="D123" s="118">
        <v>73</v>
      </c>
      <c r="E123" s="119">
        <f>FORECAST(D123,'Carbon Deficit Analyses'!$I$30:$J$30,'Carbon Deficit Analyses'!$I$28:$J$28)</f>
        <v>7.0000000000000062E-3</v>
      </c>
      <c r="F123" s="119">
        <f t="shared" si="8"/>
        <v>0.46804294687030512</v>
      </c>
      <c r="G123" s="120">
        <f t="shared" si="9"/>
        <v>4.3158372875155546E-5</v>
      </c>
      <c r="I123" s="117">
        <f t="shared" si="10"/>
        <v>1.0761611999463152E-4</v>
      </c>
    </row>
    <row r="124" spans="4:9" x14ac:dyDescent="0.25">
      <c r="D124" s="118">
        <v>74</v>
      </c>
      <c r="E124" s="119">
        <f>FORECAST(D124,'Carbon Deficit Analyses'!$I$30:$J$30,'Carbon Deficit Analyses'!$I$28:$J$28)</f>
        <v>6.0000000000000053E-3</v>
      </c>
      <c r="F124" s="119">
        <f t="shared" si="8"/>
        <v>0.46245999620708794</v>
      </c>
      <c r="G124" s="120">
        <f t="shared" si="9"/>
        <v>3.7571545817410824E-5</v>
      </c>
      <c r="I124" s="117">
        <f t="shared" si="10"/>
        <v>9.4873430283869581E-5</v>
      </c>
    </row>
    <row r="125" spans="4:9" x14ac:dyDescent="0.25">
      <c r="D125" s="118">
        <v>75</v>
      </c>
      <c r="E125" s="119">
        <f>FORECAST(D125,'Carbon Deficit Analyses'!$I$30:$J$30,'Carbon Deficit Analyses'!$I$28:$J$28)</f>
        <v>5.0000000000000044E-3</v>
      </c>
      <c r="F125" s="119">
        <f t="shared" si="8"/>
        <v>0.45694364058245929</v>
      </c>
      <c r="G125" s="120">
        <f t="shared" si="9"/>
        <v>3.2707930375253134E-5</v>
      </c>
      <c r="I125" s="117">
        <f t="shared" si="10"/>
        <v>8.3639586469734081E-5</v>
      </c>
    </row>
    <row r="126" spans="4:9" x14ac:dyDescent="0.25">
      <c r="D126" s="118">
        <v>76</v>
      </c>
      <c r="E126" s="119">
        <f>FORECAST(D126,'Carbon Deficit Analyses'!$I$30:$J$30,'Carbon Deficit Analyses'!$I$28:$J$28)</f>
        <v>4.0000000000000036E-3</v>
      </c>
      <c r="F126" s="119">
        <f t="shared" si="8"/>
        <v>0.45149308563167689</v>
      </c>
      <c r="G126" s="120">
        <f t="shared" si="9"/>
        <v>2.8473907212427021E-5</v>
      </c>
      <c r="I126" s="117">
        <f t="shared" si="10"/>
        <v>7.3735928003201083E-5</v>
      </c>
    </row>
    <row r="127" spans="4:9" x14ac:dyDescent="0.25">
      <c r="D127" s="118">
        <v>77</v>
      </c>
      <c r="E127" s="119">
        <f>FORECAST(D127,'Carbon Deficit Analyses'!$I$30:$J$30,'Carbon Deficit Analyses'!$I$28:$J$28)</f>
        <v>3.0000000000000027E-3</v>
      </c>
      <c r="F127" s="119">
        <f t="shared" si="8"/>
        <v>0.44610754646540923</v>
      </c>
      <c r="G127" s="120">
        <f t="shared" si="9"/>
        <v>2.4787975963019915E-5</v>
      </c>
      <c r="I127" s="117">
        <f t="shared" si="10"/>
        <v>6.5004949306638279E-5</v>
      </c>
    </row>
    <row r="128" spans="4:9" x14ac:dyDescent="0.25">
      <c r="D128" s="118">
        <v>78</v>
      </c>
      <c r="E128" s="119">
        <f>FORECAST(D128,'Carbon Deficit Analyses'!$I$30:$J$30,'Carbon Deficit Analyses'!$I$28:$J$28)</f>
        <v>2.0000000000000018E-3</v>
      </c>
      <c r="F128" s="119">
        <f t="shared" si="8"/>
        <v>0.4407862475567102</v>
      </c>
      <c r="G128" s="120">
        <f t="shared" si="9"/>
        <v>2.1579186437577773E-5</v>
      </c>
      <c r="I128" s="117">
        <f t="shared" si="10"/>
        <v>5.7307794840192063E-5</v>
      </c>
    </row>
    <row r="129" spans="4:9" x14ac:dyDescent="0.25">
      <c r="D129" s="118">
        <v>79</v>
      </c>
      <c r="E129" s="119">
        <f>FORECAST(D129,'Carbon Deficit Analyses'!$I$30:$J$30,'Carbon Deficit Analyses'!$I$28:$J$28)</f>
        <v>1.0000000000000009E-3</v>
      </c>
      <c r="F129" s="119">
        <f t="shared" si="8"/>
        <v>0.43552842262934155</v>
      </c>
      <c r="G129" s="120">
        <f t="shared" si="9"/>
        <v>1.8785772908705412E-5</v>
      </c>
      <c r="I129" s="117">
        <f t="shared" si="10"/>
        <v>5.0522050774219405E-5</v>
      </c>
    </row>
    <row r="130" spans="4:9" ht="15.75" thickBot="1" x14ac:dyDescent="0.3">
      <c r="D130" s="121">
        <v>80</v>
      </c>
      <c r="E130" s="122">
        <f>FORECAST(D130,'Carbon Deficit Analyses'!$I$30:$J$30,'Carbon Deficit Analyses'!$I$28:$J$28)</f>
        <v>0</v>
      </c>
      <c r="F130" s="122">
        <f t="shared" si="8"/>
        <v>0.4303333145474284</v>
      </c>
      <c r="G130" s="123">
        <f t="shared" si="9"/>
        <v>1.6353965187626563E-5</v>
      </c>
      <c r="I130" s="124">
        <f t="shared" si="10"/>
        <v>4.4539798147016776E-5</v>
      </c>
    </row>
  </sheetData>
  <sheetProtection password="C24F" sheet="1" objects="1" scenarios="1"/>
  <mergeCells count="16">
    <mergeCell ref="I48:N48"/>
    <mergeCell ref="E49:E50"/>
    <mergeCell ref="F49:F50"/>
    <mergeCell ref="G49:G50"/>
    <mergeCell ref="I49:I50"/>
    <mergeCell ref="K49:L49"/>
    <mergeCell ref="M49:N49"/>
    <mergeCell ref="K50:L50"/>
    <mergeCell ref="M50:N50"/>
    <mergeCell ref="D32:F32"/>
    <mergeCell ref="D36:E37"/>
    <mergeCell ref="F36:G36"/>
    <mergeCell ref="H36:I36"/>
    <mergeCell ref="J36:Q37"/>
    <mergeCell ref="F37:G37"/>
    <mergeCell ref="H37:I37"/>
  </mergeCells>
  <pageMargins left="0.7" right="0.7" top="0.75" bottom="0.75" header="0.3" footer="0.3"/>
  <pageSetup orientation="portrait" horizontalDpi="4294967293"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4"/>
  <sheetViews>
    <sheetView workbookViewId="0">
      <selection activeCell="E37" sqref="E37"/>
    </sheetView>
  </sheetViews>
  <sheetFormatPr defaultRowHeight="15" x14ac:dyDescent="0.25"/>
  <sheetData>
    <row r="1" spans="1:1" x14ac:dyDescent="0.25">
      <c r="A1" t="s">
        <v>1</v>
      </c>
    </row>
    <row r="2" spans="1:1" x14ac:dyDescent="0.25">
      <c r="A2" t="s">
        <v>2</v>
      </c>
    </row>
    <row r="3" spans="1:1" x14ac:dyDescent="0.25">
      <c r="A3" t="s">
        <v>3</v>
      </c>
    </row>
    <row r="4" spans="1:1" x14ac:dyDescent="0.25">
      <c r="A4"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99"/>
  </sheetPr>
  <dimension ref="B1:D68"/>
  <sheetViews>
    <sheetView zoomScale="85" zoomScaleNormal="85" workbookViewId="0">
      <selection activeCell="F15" sqref="F15"/>
    </sheetView>
  </sheetViews>
  <sheetFormatPr defaultRowHeight="15" x14ac:dyDescent="0.25"/>
  <cols>
    <col min="1" max="1" width="2" style="9" customWidth="1"/>
    <col min="2" max="3" width="55.7109375" style="9" customWidth="1"/>
    <col min="4" max="16384" width="9.140625" style="9"/>
  </cols>
  <sheetData>
    <row r="1" spans="2:4" ht="15.75" thickBot="1" x14ac:dyDescent="0.3">
      <c r="B1" s="7"/>
      <c r="C1" s="8"/>
    </row>
    <row r="2" spans="2:4" x14ac:dyDescent="0.25">
      <c r="B2" s="240"/>
      <c r="C2" s="241"/>
    </row>
    <row r="3" spans="2:4" x14ac:dyDescent="0.25">
      <c r="B3" s="236" t="s">
        <v>6</v>
      </c>
      <c r="C3" s="237"/>
    </row>
    <row r="4" spans="2:4" x14ac:dyDescent="0.25">
      <c r="B4" s="236" t="s">
        <v>7</v>
      </c>
      <c r="C4" s="237"/>
    </row>
    <row r="5" spans="2:4" x14ac:dyDescent="0.25">
      <c r="B5" s="236" t="s">
        <v>8</v>
      </c>
      <c r="C5" s="237"/>
    </row>
    <row r="6" spans="2:4" x14ac:dyDescent="0.25">
      <c r="B6" s="236" t="s">
        <v>0</v>
      </c>
      <c r="C6" s="237"/>
    </row>
    <row r="7" spans="2:4" x14ac:dyDescent="0.25">
      <c r="B7" s="236"/>
      <c r="C7" s="237"/>
    </row>
    <row r="8" spans="2:4" x14ac:dyDescent="0.25">
      <c r="B8" s="236" t="s">
        <v>10</v>
      </c>
      <c r="C8" s="237"/>
    </row>
    <row r="9" spans="2:4" ht="15.75" thickBot="1" x14ac:dyDescent="0.3">
      <c r="B9" s="238"/>
      <c r="C9" s="239"/>
    </row>
    <row r="11" spans="2:4" ht="15.75" thickBot="1" x14ac:dyDescent="0.3">
      <c r="B11" s="10"/>
    </row>
    <row r="12" spans="2:4" x14ac:dyDescent="0.25">
      <c r="B12" s="11" t="s">
        <v>95</v>
      </c>
      <c r="C12" s="15"/>
    </row>
    <row r="13" spans="2:4" x14ac:dyDescent="0.25">
      <c r="B13" s="12" t="s">
        <v>96</v>
      </c>
      <c r="C13" s="16"/>
      <c r="D13" s="13"/>
    </row>
    <row r="14" spans="2:4" x14ac:dyDescent="0.25">
      <c r="B14" s="12" t="s">
        <v>97</v>
      </c>
      <c r="C14" s="16"/>
    </row>
    <row r="15" spans="2:4" x14ac:dyDescent="0.25">
      <c r="B15" s="12" t="s">
        <v>98</v>
      </c>
      <c r="C15" s="16"/>
    </row>
    <row r="16" spans="2:4" ht="15.75" thickBot="1" x14ac:dyDescent="0.3">
      <c r="B16" s="14" t="s">
        <v>99</v>
      </c>
      <c r="C16" s="17"/>
    </row>
    <row r="68" spans="2:2" x14ac:dyDescent="0.25">
      <c r="B68" s="9" t="s">
        <v>9</v>
      </c>
    </row>
  </sheetData>
  <sheetProtection password="C24F" sheet="1" objects="1" scenarios="1"/>
  <mergeCells count="8">
    <mergeCell ref="B8:C8"/>
    <mergeCell ref="B9:C9"/>
    <mergeCell ref="B2:C2"/>
    <mergeCell ref="B3:C3"/>
    <mergeCell ref="B4:C4"/>
    <mergeCell ref="B5:C5"/>
    <mergeCell ref="B6:C6"/>
    <mergeCell ref="B7:C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99"/>
  </sheetPr>
  <dimension ref="B1:H15"/>
  <sheetViews>
    <sheetView workbookViewId="0">
      <selection activeCell="B1" sqref="B1"/>
    </sheetView>
  </sheetViews>
  <sheetFormatPr defaultRowHeight="12.75" x14ac:dyDescent="0.2"/>
  <cols>
    <col min="1" max="2" width="2.5703125" style="2" customWidth="1"/>
    <col min="3" max="3" width="18.5703125" style="2" bestFit="1" customWidth="1"/>
    <col min="4" max="8" width="14.7109375" style="2" customWidth="1"/>
    <col min="9" max="16384" width="9.140625" style="2"/>
  </cols>
  <sheetData>
    <row r="1" spans="2:8" ht="13.5" thickBot="1" x14ac:dyDescent="0.25"/>
    <row r="2" spans="2:8" s="3" customFormat="1" ht="15" customHeight="1" x14ac:dyDescent="0.2">
      <c r="C2" s="249" t="s">
        <v>11</v>
      </c>
      <c r="D2" s="250"/>
      <c r="E2" s="250"/>
      <c r="F2" s="250"/>
      <c r="G2" s="250"/>
      <c r="H2" s="251"/>
    </row>
    <row r="3" spans="2:8" s="3" customFormat="1" ht="15" customHeight="1" x14ac:dyDescent="0.2">
      <c r="C3" s="252" t="s">
        <v>0</v>
      </c>
      <c r="D3" s="253"/>
      <c r="E3" s="253"/>
      <c r="F3" s="253"/>
      <c r="G3" s="253"/>
      <c r="H3" s="254"/>
    </row>
    <row r="4" spans="2:8" s="3" customFormat="1" ht="15" customHeight="1" x14ac:dyDescent="0.2">
      <c r="C4" s="255"/>
      <c r="D4" s="256"/>
      <c r="E4" s="256"/>
      <c r="F4" s="256"/>
      <c r="G4" s="256"/>
      <c r="H4" s="257"/>
    </row>
    <row r="5" spans="2:8" s="3" customFormat="1" ht="15" customHeight="1" thickBot="1" x14ac:dyDescent="0.25">
      <c r="C5" s="258" t="s">
        <v>114</v>
      </c>
      <c r="D5" s="259"/>
      <c r="E5" s="259"/>
      <c r="F5" s="259"/>
      <c r="G5" s="259"/>
      <c r="H5" s="260"/>
    </row>
    <row r="6" spans="2:8" ht="13.5" thickBot="1" x14ac:dyDescent="0.25"/>
    <row r="7" spans="2:8" s="31" customFormat="1" ht="15.75" customHeight="1" thickBot="1" x14ac:dyDescent="0.25">
      <c r="B7" s="247" t="s">
        <v>100</v>
      </c>
      <c r="C7" s="247"/>
      <c r="D7" s="248"/>
      <c r="E7" s="261">
        <f>Certification!C12</f>
        <v>0</v>
      </c>
      <c r="F7" s="262"/>
      <c r="G7" s="262"/>
      <c r="H7" s="263"/>
    </row>
    <row r="8" spans="2:8" ht="13.5" thickBot="1" x14ac:dyDescent="0.25"/>
    <row r="9" spans="2:8" ht="15" customHeight="1" x14ac:dyDescent="0.2">
      <c r="C9" s="242" t="s">
        <v>5</v>
      </c>
      <c r="D9" s="244" t="s">
        <v>115</v>
      </c>
      <c r="E9" s="245"/>
      <c r="F9" s="245"/>
      <c r="G9" s="245"/>
      <c r="H9" s="246"/>
    </row>
    <row r="10" spans="2:8" ht="13.5" thickBot="1" x14ac:dyDescent="0.25">
      <c r="C10" s="243"/>
      <c r="D10" s="231" t="s">
        <v>109</v>
      </c>
      <c r="E10" s="232" t="s">
        <v>110</v>
      </c>
      <c r="F10" s="232" t="s">
        <v>111</v>
      </c>
      <c r="G10" s="232" t="s">
        <v>112</v>
      </c>
      <c r="H10" s="30" t="s">
        <v>113</v>
      </c>
    </row>
    <row r="11" spans="2:8" ht="25.5" customHeight="1" x14ac:dyDescent="0.2">
      <c r="C11" s="230" t="s">
        <v>202</v>
      </c>
      <c r="D11" s="233"/>
      <c r="E11" s="234"/>
      <c r="F11" s="234"/>
      <c r="G11" s="235"/>
      <c r="H11" s="29">
        <f>SUM(D11:G11)</f>
        <v>0</v>
      </c>
    </row>
    <row r="12" spans="2:8" ht="25.5" customHeight="1" x14ac:dyDescent="0.2">
      <c r="C12" s="230" t="s">
        <v>203</v>
      </c>
      <c r="D12" s="19"/>
      <c r="E12" s="18"/>
      <c r="F12" s="18"/>
      <c r="G12" s="25"/>
      <c r="H12" s="20">
        <f>SUM(D12:G12)</f>
        <v>0</v>
      </c>
    </row>
    <row r="13" spans="2:8" ht="25.5" customHeight="1" thickBot="1" x14ac:dyDescent="0.25">
      <c r="C13" s="230" t="s">
        <v>107</v>
      </c>
      <c r="D13" s="26"/>
      <c r="E13" s="27"/>
      <c r="F13" s="27"/>
      <c r="G13" s="28"/>
      <c r="H13" s="20">
        <f>SUM(D13:G13)</f>
        <v>0</v>
      </c>
    </row>
    <row r="14" spans="2:8" ht="25.5" customHeight="1" x14ac:dyDescent="0.2">
      <c r="C14" s="5" t="s">
        <v>204</v>
      </c>
      <c r="D14" s="23">
        <f t="shared" ref="D14:F14" si="0">SUM(D11:D13)</f>
        <v>0</v>
      </c>
      <c r="E14" s="24">
        <f t="shared" si="0"/>
        <v>0</v>
      </c>
      <c r="F14" s="24">
        <f t="shared" si="0"/>
        <v>0</v>
      </c>
      <c r="G14" s="24">
        <f>SUM(G11:G13)</f>
        <v>0</v>
      </c>
      <c r="H14" s="20">
        <f>SUM(D14:G14)</f>
        <v>0</v>
      </c>
    </row>
    <row r="15" spans="2:8" ht="13.5" thickBot="1" x14ac:dyDescent="0.25">
      <c r="C15" s="6" t="s">
        <v>108</v>
      </c>
      <c r="D15" s="21" t="str">
        <f>IFERROR((D11+D12)/D14,"-")</f>
        <v>-</v>
      </c>
      <c r="E15" s="4" t="str">
        <f>IFERROR((E11+E12)/E14,"-")</f>
        <v>-</v>
      </c>
      <c r="F15" s="4" t="str">
        <f>IFERROR((F11+F12)/F14,"-")</f>
        <v>-</v>
      </c>
      <c r="G15" s="4" t="str">
        <f>IFERROR((G11+G12)/G14,"-")</f>
        <v>-</v>
      </c>
      <c r="H15" s="22" t="str">
        <f>IFERROR((H11+H12)/H14,"-")</f>
        <v>-</v>
      </c>
    </row>
  </sheetData>
  <sheetProtection password="C24F" sheet="1" objects="1" scenarios="1"/>
  <protectedRanges>
    <protectedRange sqref="E7" name="Range1_1"/>
  </protectedRanges>
  <mergeCells count="8">
    <mergeCell ref="C9:C10"/>
    <mergeCell ref="D9:H9"/>
    <mergeCell ref="B7:D7"/>
    <mergeCell ref="C2:H2"/>
    <mergeCell ref="C3:H3"/>
    <mergeCell ref="C4:H4"/>
    <mergeCell ref="C5:H5"/>
    <mergeCell ref="E7:H7"/>
  </mergeCells>
  <conditionalFormatting sqref="H12">
    <cfRule type="cellIs" dxfId="66" priority="6" operator="equal">
      <formula>0</formula>
    </cfRule>
  </conditionalFormatting>
  <conditionalFormatting sqref="H11">
    <cfRule type="cellIs" dxfId="65" priority="5" operator="equal">
      <formula>0</formula>
    </cfRule>
  </conditionalFormatting>
  <conditionalFormatting sqref="H13">
    <cfRule type="cellIs" dxfId="64" priority="4" operator="equal">
      <formula>0</formula>
    </cfRule>
  </conditionalFormatting>
  <conditionalFormatting sqref="H14">
    <cfRule type="cellIs" dxfId="63" priority="3" operator="equal">
      <formula>0</formula>
    </cfRule>
  </conditionalFormatting>
  <conditionalFormatting sqref="D14:G14">
    <cfRule type="cellIs" dxfId="62" priority="2" operator="equal">
      <formula>0</formula>
    </cfRule>
  </conditionalFormatting>
  <conditionalFormatting sqref="E7">
    <cfRule type="cellIs" dxfId="61" priority="1" operator="equal">
      <formula>0</formula>
    </cfRule>
  </conditionalFormatting>
  <dataValidations count="1">
    <dataValidation type="decimal" allowBlank="1" showInputMessage="1" showErrorMessage="1" sqref="D11:G13">
      <formula1>0</formula1>
      <formula2>1000000</formula2>
    </dataValidation>
  </dataValidations>
  <pageMargins left="0.7" right="0.7" top="0.75" bottom="0.75" header="0.3" footer="0.3"/>
  <pageSetup orientation="portrait" r:id="rId1"/>
  <ignoredErrors>
    <ignoredError sqref="H1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99"/>
  </sheetPr>
  <dimension ref="B1:K38"/>
  <sheetViews>
    <sheetView zoomScaleNormal="100" workbookViewId="0">
      <selection activeCell="E23" sqref="E23"/>
    </sheetView>
  </sheetViews>
  <sheetFormatPr defaultRowHeight="12.75" x14ac:dyDescent="0.2"/>
  <cols>
    <col min="1" max="2" width="2.5703125" style="31" customWidth="1"/>
    <col min="3" max="3" width="9.7109375" style="31" customWidth="1"/>
    <col min="4" max="4" width="32.85546875" style="31" customWidth="1"/>
    <col min="5" max="5" width="28.5703125" style="31" customWidth="1"/>
    <col min="6" max="6" width="24.7109375" style="31" customWidth="1"/>
    <col min="7" max="7" width="3.28515625" style="31" customWidth="1"/>
    <col min="8" max="16384" width="9.140625" style="31"/>
  </cols>
  <sheetData>
    <row r="1" spans="2:8" ht="13.5" thickBot="1" x14ac:dyDescent="0.25"/>
    <row r="2" spans="2:8" x14ac:dyDescent="0.2">
      <c r="B2" s="32"/>
      <c r="C2" s="273" t="s">
        <v>11</v>
      </c>
      <c r="D2" s="274"/>
      <c r="E2" s="274"/>
      <c r="F2" s="275"/>
    </row>
    <row r="3" spans="2:8" x14ac:dyDescent="0.2">
      <c r="B3" s="32"/>
      <c r="C3" s="276" t="s">
        <v>0</v>
      </c>
      <c r="D3" s="277"/>
      <c r="E3" s="277"/>
      <c r="F3" s="278"/>
    </row>
    <row r="4" spans="2:8" x14ac:dyDescent="0.2">
      <c r="B4" s="32"/>
      <c r="C4" s="276"/>
      <c r="D4" s="277"/>
      <c r="E4" s="277"/>
      <c r="F4" s="278"/>
    </row>
    <row r="5" spans="2:8" ht="13.5" thickBot="1" x14ac:dyDescent="0.25">
      <c r="B5" s="32"/>
      <c r="C5" s="279" t="s">
        <v>91</v>
      </c>
      <c r="D5" s="280"/>
      <c r="E5" s="280"/>
      <c r="F5" s="281"/>
    </row>
    <row r="8" spans="2:8" ht="13.5" thickBot="1" x14ac:dyDescent="0.25">
      <c r="H8" s="33" t="s">
        <v>13</v>
      </c>
    </row>
    <row r="9" spans="2:8" ht="13.5" thickBot="1" x14ac:dyDescent="0.25">
      <c r="B9" s="247" t="s">
        <v>100</v>
      </c>
      <c r="C9" s="247"/>
      <c r="D9" s="248"/>
      <c r="E9" s="261">
        <f>Certification!C12</f>
        <v>0</v>
      </c>
      <c r="F9" s="282"/>
      <c r="H9" s="34" t="s">
        <v>14</v>
      </c>
    </row>
    <row r="10" spans="2:8" x14ac:dyDescent="0.2">
      <c r="H10" s="35"/>
    </row>
    <row r="11" spans="2:8" x14ac:dyDescent="0.2">
      <c r="B11" s="36" t="s">
        <v>101</v>
      </c>
    </row>
    <row r="12" spans="2:8" ht="13.5" thickBot="1" x14ac:dyDescent="0.25"/>
    <row r="13" spans="2:8" x14ac:dyDescent="0.2">
      <c r="C13" s="37" t="s">
        <v>15</v>
      </c>
      <c r="D13" s="38"/>
      <c r="E13" s="38"/>
      <c r="F13" s="39"/>
      <c r="G13" s="40"/>
    </row>
    <row r="14" spans="2:8" x14ac:dyDescent="0.2">
      <c r="C14" s="41"/>
      <c r="D14" s="42" t="s">
        <v>16</v>
      </c>
      <c r="E14" s="65"/>
      <c r="F14" s="43" t="s">
        <v>18</v>
      </c>
      <c r="G14" s="40"/>
    </row>
    <row r="15" spans="2:8" x14ac:dyDescent="0.2">
      <c r="C15" s="41"/>
      <c r="D15" s="42" t="s">
        <v>19</v>
      </c>
      <c r="E15" s="44" t="str">
        <f>IFERROR(VLOOKUP(E14,BiomassHeatValues,3),"-")</f>
        <v>-</v>
      </c>
      <c r="F15" s="45" t="str">
        <f>IFERROR(VLOOKUP(E14,BiomassHeatValues,4),"-")</f>
        <v>-</v>
      </c>
      <c r="G15" s="40"/>
    </row>
    <row r="16" spans="2:8" ht="13.5" thickBot="1" x14ac:dyDescent="0.25">
      <c r="C16" s="46"/>
      <c r="D16" s="47" t="s">
        <v>116</v>
      </c>
      <c r="E16" s="48" t="str">
        <f>IF('Fuel Report'!D11+'Fuel Report'!D12=0,"-",'Fuel Report'!D11+'Fuel Report'!D12)</f>
        <v>-</v>
      </c>
      <c r="F16" s="49" t="str">
        <f>IFERROR(VLOOKUP(E14,BiomassHeatValues,2),"-")</f>
        <v>-</v>
      </c>
      <c r="G16" s="40"/>
    </row>
    <row r="17" spans="3:11" ht="13.5" thickBot="1" x14ac:dyDescent="0.25"/>
    <row r="18" spans="3:11" ht="13.5" thickBot="1" x14ac:dyDescent="0.25">
      <c r="C18" s="37" t="s">
        <v>20</v>
      </c>
      <c r="D18" s="38"/>
      <c r="E18" s="38"/>
      <c r="F18" s="39"/>
    </row>
    <row r="19" spans="3:11" x14ac:dyDescent="0.2">
      <c r="C19" s="41"/>
      <c r="D19" s="42" t="s">
        <v>21</v>
      </c>
      <c r="E19" s="50"/>
      <c r="F19" s="51"/>
      <c r="H19" s="264" t="s">
        <v>25</v>
      </c>
      <c r="I19" s="265"/>
      <c r="J19" s="265"/>
      <c r="K19" s="266"/>
    </row>
    <row r="20" spans="3:11" x14ac:dyDescent="0.2">
      <c r="C20" s="41"/>
      <c r="D20" s="52" t="s">
        <v>105</v>
      </c>
      <c r="E20" s="66"/>
      <c r="F20" s="43" t="s">
        <v>102</v>
      </c>
      <c r="H20" s="267"/>
      <c r="I20" s="268"/>
      <c r="J20" s="268"/>
      <c r="K20" s="269"/>
    </row>
    <row r="21" spans="3:11" x14ac:dyDescent="0.2">
      <c r="C21" s="41"/>
      <c r="D21" s="53" t="s">
        <v>22</v>
      </c>
      <c r="E21" s="66"/>
      <c r="F21" s="43" t="s">
        <v>102</v>
      </c>
      <c r="H21" s="267"/>
      <c r="I21" s="268"/>
      <c r="J21" s="268"/>
      <c r="K21" s="269"/>
    </row>
    <row r="22" spans="3:11" ht="13.5" thickBot="1" x14ac:dyDescent="0.25">
      <c r="C22" s="41"/>
      <c r="D22" s="42" t="s">
        <v>23</v>
      </c>
      <c r="E22" s="54" t="s">
        <v>24</v>
      </c>
      <c r="F22" s="55"/>
      <c r="H22" s="270"/>
      <c r="I22" s="271"/>
      <c r="J22" s="271"/>
      <c r="K22" s="272"/>
    </row>
    <row r="23" spans="3:11" ht="13.5" thickBot="1" x14ac:dyDescent="0.25">
      <c r="C23" s="46"/>
      <c r="D23" s="56" t="s">
        <v>26</v>
      </c>
      <c r="E23" s="67"/>
      <c r="F23" s="57" t="s">
        <v>103</v>
      </c>
    </row>
    <row r="24" spans="3:11" ht="13.5" thickBot="1" x14ac:dyDescent="0.25"/>
    <row r="25" spans="3:11" x14ac:dyDescent="0.2">
      <c r="C25" s="37" t="s">
        <v>27</v>
      </c>
      <c r="D25" s="38"/>
      <c r="E25" s="38"/>
      <c r="F25" s="39"/>
      <c r="H25" s="264" t="s">
        <v>32</v>
      </c>
      <c r="I25" s="265"/>
      <c r="J25" s="265"/>
      <c r="K25" s="266"/>
    </row>
    <row r="26" spans="3:11" x14ac:dyDescent="0.2">
      <c r="C26" s="41"/>
      <c r="D26" s="42" t="s">
        <v>28</v>
      </c>
      <c r="E26" s="54" t="s">
        <v>29</v>
      </c>
      <c r="F26" s="55"/>
      <c r="H26" s="267"/>
      <c r="I26" s="268"/>
      <c r="J26" s="268"/>
      <c r="K26" s="269"/>
    </row>
    <row r="27" spans="3:11" x14ac:dyDescent="0.2">
      <c r="C27" s="41"/>
      <c r="D27" s="42" t="s">
        <v>30</v>
      </c>
      <c r="E27" s="65"/>
      <c r="F27" s="55" t="s">
        <v>31</v>
      </c>
      <c r="H27" s="267"/>
      <c r="I27" s="268"/>
      <c r="J27" s="268"/>
      <c r="K27" s="269"/>
    </row>
    <row r="28" spans="3:11" ht="13.5" thickBot="1" x14ac:dyDescent="0.25">
      <c r="C28" s="46"/>
      <c r="D28" s="56" t="s">
        <v>33</v>
      </c>
      <c r="E28" s="67"/>
      <c r="F28" s="57" t="s">
        <v>104</v>
      </c>
      <c r="H28" s="270"/>
      <c r="I28" s="271"/>
      <c r="J28" s="271"/>
      <c r="K28" s="272"/>
    </row>
    <row r="30" spans="3:11" ht="13.5" thickBot="1" x14ac:dyDescent="0.25"/>
    <row r="31" spans="3:11" x14ac:dyDescent="0.2">
      <c r="C31" s="37" t="s">
        <v>34</v>
      </c>
      <c r="D31" s="38"/>
      <c r="E31" s="38"/>
      <c r="F31" s="39"/>
    </row>
    <row r="32" spans="3:11" x14ac:dyDescent="0.2">
      <c r="C32" s="41"/>
      <c r="D32" s="42" t="s">
        <v>35</v>
      </c>
      <c r="E32" s="58" t="str">
        <f>IFERROR(IF(F15="BTU/lb",E15*E16*2000/3412000,E15*E16/3412000),"-")</f>
        <v>-</v>
      </c>
      <c r="F32" s="55" t="s">
        <v>36</v>
      </c>
    </row>
    <row r="33" spans="3:6" x14ac:dyDescent="0.2">
      <c r="C33" s="41"/>
      <c r="D33" s="42" t="s">
        <v>37</v>
      </c>
      <c r="E33" s="58">
        <f>E20</f>
        <v>0</v>
      </c>
      <c r="F33" s="55" t="s">
        <v>38</v>
      </c>
    </row>
    <row r="34" spans="3:6" x14ac:dyDescent="0.2">
      <c r="C34" s="41"/>
      <c r="D34" s="42" t="s">
        <v>39</v>
      </c>
      <c r="E34" s="58">
        <f>E21</f>
        <v>0</v>
      </c>
      <c r="F34" s="55" t="s">
        <v>38</v>
      </c>
    </row>
    <row r="35" spans="3:6" x14ac:dyDescent="0.2">
      <c r="C35" s="41"/>
      <c r="D35" s="42" t="s">
        <v>40</v>
      </c>
      <c r="E35" s="58">
        <f>E23*1000/3412</f>
        <v>0</v>
      </c>
      <c r="F35" s="55" t="s">
        <v>41</v>
      </c>
    </row>
    <row r="36" spans="3:6" ht="13.5" thickBot="1" x14ac:dyDescent="0.25">
      <c r="C36" s="46"/>
      <c r="D36" s="56" t="s">
        <v>42</v>
      </c>
      <c r="E36" s="59">
        <f>E27*E28/3412000</f>
        <v>0</v>
      </c>
      <c r="F36" s="60" t="s">
        <v>43</v>
      </c>
    </row>
    <row r="37" spans="3:6" ht="13.5" thickBot="1" x14ac:dyDescent="0.25"/>
    <row r="38" spans="3:6" ht="13.5" thickBot="1" x14ac:dyDescent="0.25">
      <c r="C38" s="61" t="s">
        <v>44</v>
      </c>
      <c r="D38" s="62"/>
      <c r="E38" s="63" t="str">
        <f>IFERROR((E33/(1-0.06)+E34+E35+E36)/E32,"-")</f>
        <v>-</v>
      </c>
      <c r="F38" s="64"/>
    </row>
  </sheetData>
  <sheetProtection password="C24F" sheet="1" objects="1" scenarios="1"/>
  <protectedRanges>
    <protectedRange sqref="E14 E16 E20:E21 E23 E27:E28 H19 H25" name="Range1"/>
    <protectedRange sqref="E9" name="Range1_1"/>
  </protectedRanges>
  <mergeCells count="8">
    <mergeCell ref="H19:K22"/>
    <mergeCell ref="H25:K28"/>
    <mergeCell ref="C2:F2"/>
    <mergeCell ref="C3:F3"/>
    <mergeCell ref="C4:F4"/>
    <mergeCell ref="C5:F5"/>
    <mergeCell ref="B9:D9"/>
    <mergeCell ref="E9:F9"/>
  </mergeCells>
  <conditionalFormatting sqref="E33:E36">
    <cfRule type="cellIs" dxfId="60" priority="2" operator="equal">
      <formula>0</formula>
    </cfRule>
  </conditionalFormatting>
  <conditionalFormatting sqref="E9:F9">
    <cfRule type="cellIs" dxfId="59" priority="1" operator="equal">
      <formula>0</formula>
    </cfRule>
  </conditionalFormatting>
  <dataValidations count="2">
    <dataValidation type="list" allowBlank="1" showInputMessage="1" showErrorMessage="1" sqref="E14">
      <formula1>BiomassFuels</formula1>
    </dataValidation>
    <dataValidation type="decimal" allowBlank="1" showInputMessage="1" showErrorMessage="1" sqref="E20:E21 E23 E27:E28">
      <formula1>0</formula1>
      <formula2>1000000</formula2>
    </dataValidation>
  </dataValidations>
  <pageMargins left="0.75" right="0.75" top="1" bottom="1" header="0.5" footer="0.5"/>
  <pageSetup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99"/>
  </sheetPr>
  <dimension ref="B1:K38"/>
  <sheetViews>
    <sheetView zoomScaleNormal="100" workbookViewId="0"/>
  </sheetViews>
  <sheetFormatPr defaultRowHeight="12.75" x14ac:dyDescent="0.2"/>
  <cols>
    <col min="1" max="2" width="2.5703125" style="31" customWidth="1"/>
    <col min="3" max="3" width="9.7109375" style="31" customWidth="1"/>
    <col min="4" max="4" width="32.85546875" style="31" customWidth="1"/>
    <col min="5" max="5" width="28.5703125" style="31" customWidth="1"/>
    <col min="6" max="6" width="24.7109375" style="31" customWidth="1"/>
    <col min="7" max="7" width="3.28515625" style="31" customWidth="1"/>
    <col min="8" max="16384" width="9.140625" style="31"/>
  </cols>
  <sheetData>
    <row r="1" spans="2:8" ht="13.5" thickBot="1" x14ac:dyDescent="0.25"/>
    <row r="2" spans="2:8" x14ac:dyDescent="0.2">
      <c r="B2" s="32"/>
      <c r="C2" s="273" t="s">
        <v>11</v>
      </c>
      <c r="D2" s="274"/>
      <c r="E2" s="274"/>
      <c r="F2" s="275"/>
    </row>
    <row r="3" spans="2:8" x14ac:dyDescent="0.2">
      <c r="B3" s="32"/>
      <c r="C3" s="276" t="s">
        <v>0</v>
      </c>
      <c r="D3" s="277"/>
      <c r="E3" s="277"/>
      <c r="F3" s="278"/>
    </row>
    <row r="4" spans="2:8" x14ac:dyDescent="0.2">
      <c r="B4" s="32"/>
      <c r="C4" s="276"/>
      <c r="D4" s="277"/>
      <c r="E4" s="277"/>
      <c r="F4" s="278"/>
    </row>
    <row r="5" spans="2:8" ht="13.5" thickBot="1" x14ac:dyDescent="0.25">
      <c r="B5" s="32"/>
      <c r="C5" s="279" t="s">
        <v>92</v>
      </c>
      <c r="D5" s="280"/>
      <c r="E5" s="280"/>
      <c r="F5" s="281"/>
    </row>
    <row r="8" spans="2:8" ht="13.5" thickBot="1" x14ac:dyDescent="0.25">
      <c r="H8" s="33" t="s">
        <v>13</v>
      </c>
    </row>
    <row r="9" spans="2:8" ht="13.5" thickBot="1" x14ac:dyDescent="0.25">
      <c r="B9" s="247" t="s">
        <v>100</v>
      </c>
      <c r="C9" s="247"/>
      <c r="D9" s="248"/>
      <c r="E9" s="261">
        <f>Certification!C12</f>
        <v>0</v>
      </c>
      <c r="F9" s="282"/>
      <c r="H9" s="34" t="s">
        <v>14</v>
      </c>
    </row>
    <row r="10" spans="2:8" x14ac:dyDescent="0.2">
      <c r="H10" s="35"/>
    </row>
    <row r="11" spans="2:8" x14ac:dyDescent="0.2">
      <c r="B11" s="36" t="s">
        <v>101</v>
      </c>
    </row>
    <row r="12" spans="2:8" ht="13.5" thickBot="1" x14ac:dyDescent="0.25"/>
    <row r="13" spans="2:8" x14ac:dyDescent="0.2">
      <c r="C13" s="37" t="s">
        <v>15</v>
      </c>
      <c r="D13" s="38"/>
      <c r="E13" s="38"/>
      <c r="F13" s="39"/>
      <c r="G13" s="40"/>
    </row>
    <row r="14" spans="2:8" x14ac:dyDescent="0.2">
      <c r="C14" s="41"/>
      <c r="D14" s="42" t="s">
        <v>16</v>
      </c>
      <c r="E14" s="65"/>
      <c r="F14" s="43" t="s">
        <v>18</v>
      </c>
      <c r="G14" s="40"/>
    </row>
    <row r="15" spans="2:8" x14ac:dyDescent="0.2">
      <c r="C15" s="41"/>
      <c r="D15" s="42" t="s">
        <v>19</v>
      </c>
      <c r="E15" s="44" t="str">
        <f>IFERROR(VLOOKUP(E14,BiomassHeatValues,3),"-")</f>
        <v>-</v>
      </c>
      <c r="F15" s="45" t="str">
        <f>IFERROR(VLOOKUP(E14,BiomassHeatValues,4),"-")</f>
        <v>-</v>
      </c>
      <c r="G15" s="40"/>
    </row>
    <row r="16" spans="2:8" ht="13.5" thickBot="1" x14ac:dyDescent="0.25">
      <c r="C16" s="46"/>
      <c r="D16" s="47" t="s">
        <v>116</v>
      </c>
      <c r="E16" s="48" t="str">
        <f>IF('Fuel Report'!E11+'Fuel Report'!E12=0,"-",'Fuel Report'!E11+'Fuel Report'!E12)</f>
        <v>-</v>
      </c>
      <c r="F16" s="49" t="str">
        <f>IFERROR(VLOOKUP(E14,BiomassHeatValues,2),"-")</f>
        <v>-</v>
      </c>
      <c r="G16" s="40"/>
    </row>
    <row r="17" spans="3:11" ht="13.5" thickBot="1" x14ac:dyDescent="0.25"/>
    <row r="18" spans="3:11" ht="13.5" thickBot="1" x14ac:dyDescent="0.25">
      <c r="C18" s="37" t="s">
        <v>20</v>
      </c>
      <c r="D18" s="38"/>
      <c r="E18" s="38"/>
      <c r="F18" s="39"/>
    </row>
    <row r="19" spans="3:11" x14ac:dyDescent="0.2">
      <c r="C19" s="41"/>
      <c r="D19" s="42" t="s">
        <v>21</v>
      </c>
      <c r="E19" s="50"/>
      <c r="F19" s="51"/>
      <c r="H19" s="264" t="s">
        <v>25</v>
      </c>
      <c r="I19" s="265"/>
      <c r="J19" s="265"/>
      <c r="K19" s="266"/>
    </row>
    <row r="20" spans="3:11" x14ac:dyDescent="0.2">
      <c r="C20" s="41"/>
      <c r="D20" s="52" t="s">
        <v>105</v>
      </c>
      <c r="E20" s="66"/>
      <c r="F20" s="43" t="s">
        <v>102</v>
      </c>
      <c r="H20" s="267"/>
      <c r="I20" s="268"/>
      <c r="J20" s="268"/>
      <c r="K20" s="269"/>
    </row>
    <row r="21" spans="3:11" x14ac:dyDescent="0.2">
      <c r="C21" s="41"/>
      <c r="D21" s="53" t="s">
        <v>22</v>
      </c>
      <c r="E21" s="66"/>
      <c r="F21" s="43" t="s">
        <v>102</v>
      </c>
      <c r="H21" s="267"/>
      <c r="I21" s="268"/>
      <c r="J21" s="268"/>
      <c r="K21" s="269"/>
    </row>
    <row r="22" spans="3:11" ht="13.5" thickBot="1" x14ac:dyDescent="0.25">
      <c r="C22" s="41"/>
      <c r="D22" s="42" t="s">
        <v>23</v>
      </c>
      <c r="E22" s="54" t="s">
        <v>24</v>
      </c>
      <c r="F22" s="55"/>
      <c r="H22" s="270"/>
      <c r="I22" s="271"/>
      <c r="J22" s="271"/>
      <c r="K22" s="272"/>
    </row>
    <row r="23" spans="3:11" ht="13.5" thickBot="1" x14ac:dyDescent="0.25">
      <c r="C23" s="46"/>
      <c r="D23" s="56" t="s">
        <v>26</v>
      </c>
      <c r="E23" s="67"/>
      <c r="F23" s="57" t="s">
        <v>103</v>
      </c>
    </row>
    <row r="24" spans="3:11" ht="13.5" thickBot="1" x14ac:dyDescent="0.25"/>
    <row r="25" spans="3:11" x14ac:dyDescent="0.2">
      <c r="C25" s="37" t="s">
        <v>27</v>
      </c>
      <c r="D25" s="38"/>
      <c r="E25" s="38"/>
      <c r="F25" s="39"/>
      <c r="H25" s="264" t="s">
        <v>32</v>
      </c>
      <c r="I25" s="265"/>
      <c r="J25" s="265"/>
      <c r="K25" s="266"/>
    </row>
    <row r="26" spans="3:11" x14ac:dyDescent="0.2">
      <c r="C26" s="41"/>
      <c r="D26" s="42" t="s">
        <v>28</v>
      </c>
      <c r="E26" s="54" t="s">
        <v>29</v>
      </c>
      <c r="F26" s="55"/>
      <c r="H26" s="267"/>
      <c r="I26" s="268"/>
      <c r="J26" s="268"/>
      <c r="K26" s="269"/>
    </row>
    <row r="27" spans="3:11" x14ac:dyDescent="0.2">
      <c r="C27" s="41"/>
      <c r="D27" s="42" t="s">
        <v>30</v>
      </c>
      <c r="E27" s="65"/>
      <c r="F27" s="55" t="s">
        <v>31</v>
      </c>
      <c r="H27" s="267"/>
      <c r="I27" s="268"/>
      <c r="J27" s="268"/>
      <c r="K27" s="269"/>
    </row>
    <row r="28" spans="3:11" ht="13.5" thickBot="1" x14ac:dyDescent="0.25">
      <c r="C28" s="46"/>
      <c r="D28" s="56" t="s">
        <v>33</v>
      </c>
      <c r="E28" s="67"/>
      <c r="F28" s="57" t="s">
        <v>104</v>
      </c>
      <c r="H28" s="270"/>
      <c r="I28" s="271"/>
      <c r="J28" s="271"/>
      <c r="K28" s="272"/>
    </row>
    <row r="30" spans="3:11" ht="13.5" thickBot="1" x14ac:dyDescent="0.25"/>
    <row r="31" spans="3:11" x14ac:dyDescent="0.2">
      <c r="C31" s="37" t="s">
        <v>34</v>
      </c>
      <c r="D31" s="38"/>
      <c r="E31" s="38"/>
      <c r="F31" s="39"/>
    </row>
    <row r="32" spans="3:11" x14ac:dyDescent="0.2">
      <c r="C32" s="41"/>
      <c r="D32" s="42" t="s">
        <v>35</v>
      </c>
      <c r="E32" s="58" t="str">
        <f>IFERROR(IF(F15="BTU/lb",E15*E16*2000/3412000,E15*E16/3412000),"-")</f>
        <v>-</v>
      </c>
      <c r="F32" s="55" t="s">
        <v>36</v>
      </c>
    </row>
    <row r="33" spans="3:6" x14ac:dyDescent="0.2">
      <c r="C33" s="41"/>
      <c r="D33" s="42" t="s">
        <v>37</v>
      </c>
      <c r="E33" s="58">
        <f>E20</f>
        <v>0</v>
      </c>
      <c r="F33" s="55" t="s">
        <v>38</v>
      </c>
    </row>
    <row r="34" spans="3:6" x14ac:dyDescent="0.2">
      <c r="C34" s="41"/>
      <c r="D34" s="42" t="s">
        <v>39</v>
      </c>
      <c r="E34" s="58">
        <f>E21</f>
        <v>0</v>
      </c>
      <c r="F34" s="55" t="s">
        <v>38</v>
      </c>
    </row>
    <row r="35" spans="3:6" x14ac:dyDescent="0.2">
      <c r="C35" s="41"/>
      <c r="D35" s="42" t="s">
        <v>40</v>
      </c>
      <c r="E35" s="58">
        <f>E23*1000/3412</f>
        <v>0</v>
      </c>
      <c r="F35" s="55" t="s">
        <v>41</v>
      </c>
    </row>
    <row r="36" spans="3:6" ht="13.5" thickBot="1" x14ac:dyDescent="0.25">
      <c r="C36" s="46"/>
      <c r="D36" s="56" t="s">
        <v>42</v>
      </c>
      <c r="E36" s="59">
        <f>E27*E28/3412000</f>
        <v>0</v>
      </c>
      <c r="F36" s="60" t="s">
        <v>43</v>
      </c>
    </row>
    <row r="37" spans="3:6" ht="13.5" thickBot="1" x14ac:dyDescent="0.25"/>
    <row r="38" spans="3:6" ht="13.5" thickBot="1" x14ac:dyDescent="0.25">
      <c r="C38" s="61" t="s">
        <v>44</v>
      </c>
      <c r="D38" s="62"/>
      <c r="E38" s="63" t="str">
        <f>IFERROR((E33/(1-0.06)+E34+E35+E36)/E32,"-")</f>
        <v>-</v>
      </c>
      <c r="F38" s="64"/>
    </row>
  </sheetData>
  <sheetProtection password="C24F" sheet="1" objects="1" scenarios="1"/>
  <protectedRanges>
    <protectedRange sqref="E14 E16 E20:E21 E23 E27:E28 H19 H25" name="Range1"/>
    <protectedRange sqref="E9" name="Range1_1"/>
  </protectedRanges>
  <mergeCells count="8">
    <mergeCell ref="H19:K22"/>
    <mergeCell ref="H25:K28"/>
    <mergeCell ref="C2:F2"/>
    <mergeCell ref="C3:F3"/>
    <mergeCell ref="C4:F4"/>
    <mergeCell ref="C5:F5"/>
    <mergeCell ref="B9:D9"/>
    <mergeCell ref="E9:F9"/>
  </mergeCells>
  <conditionalFormatting sqref="E33:E36">
    <cfRule type="cellIs" dxfId="58" priority="2" operator="equal">
      <formula>0</formula>
    </cfRule>
  </conditionalFormatting>
  <conditionalFormatting sqref="E9:F9">
    <cfRule type="cellIs" dxfId="57" priority="1" operator="equal">
      <formula>0</formula>
    </cfRule>
  </conditionalFormatting>
  <dataValidations count="2">
    <dataValidation type="decimal" allowBlank="1" showInputMessage="1" showErrorMessage="1" sqref="E20:E21 E23 E27:E28">
      <formula1>0</formula1>
      <formula2>1000000</formula2>
    </dataValidation>
    <dataValidation type="list" allowBlank="1" showInputMessage="1" showErrorMessage="1" sqref="E14">
      <formula1>BiomassFuels</formula1>
    </dataValidation>
  </dataValidations>
  <pageMargins left="0.75" right="0.75" top="1" bottom="1" header="0.5" footer="0.5"/>
  <pageSetup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99"/>
  </sheetPr>
  <dimension ref="B1:K38"/>
  <sheetViews>
    <sheetView zoomScaleNormal="100" workbookViewId="0"/>
  </sheetViews>
  <sheetFormatPr defaultRowHeight="12.75" x14ac:dyDescent="0.2"/>
  <cols>
    <col min="1" max="2" width="2.5703125" style="31" customWidth="1"/>
    <col min="3" max="3" width="9.7109375" style="31" customWidth="1"/>
    <col min="4" max="4" width="32.85546875" style="31" customWidth="1"/>
    <col min="5" max="5" width="28.5703125" style="31" customWidth="1"/>
    <col min="6" max="6" width="24.7109375" style="31" customWidth="1"/>
    <col min="7" max="7" width="3.28515625" style="31" customWidth="1"/>
    <col min="8" max="16384" width="9.140625" style="31"/>
  </cols>
  <sheetData>
    <row r="1" spans="2:8" ht="13.5" thickBot="1" x14ac:dyDescent="0.25"/>
    <row r="2" spans="2:8" x14ac:dyDescent="0.2">
      <c r="B2" s="32"/>
      <c r="C2" s="273" t="s">
        <v>11</v>
      </c>
      <c r="D2" s="274"/>
      <c r="E2" s="274"/>
      <c r="F2" s="275"/>
    </row>
    <row r="3" spans="2:8" x14ac:dyDescent="0.2">
      <c r="B3" s="32"/>
      <c r="C3" s="276" t="s">
        <v>0</v>
      </c>
      <c r="D3" s="277"/>
      <c r="E3" s="277"/>
      <c r="F3" s="278"/>
    </row>
    <row r="4" spans="2:8" x14ac:dyDescent="0.2">
      <c r="B4" s="32"/>
      <c r="C4" s="276"/>
      <c r="D4" s="277"/>
      <c r="E4" s="277"/>
      <c r="F4" s="278"/>
    </row>
    <row r="5" spans="2:8" ht="13.5" thickBot="1" x14ac:dyDescent="0.25">
      <c r="B5" s="32"/>
      <c r="C5" s="279" t="s">
        <v>93</v>
      </c>
      <c r="D5" s="280"/>
      <c r="E5" s="280"/>
      <c r="F5" s="281"/>
    </row>
    <row r="8" spans="2:8" ht="13.5" thickBot="1" x14ac:dyDescent="0.25">
      <c r="H8" s="33" t="s">
        <v>13</v>
      </c>
    </row>
    <row r="9" spans="2:8" ht="13.5" thickBot="1" x14ac:dyDescent="0.25">
      <c r="B9" s="247" t="s">
        <v>100</v>
      </c>
      <c r="C9" s="247"/>
      <c r="D9" s="248"/>
      <c r="E9" s="261">
        <f>Certification!C12</f>
        <v>0</v>
      </c>
      <c r="F9" s="282"/>
      <c r="H9" s="34" t="s">
        <v>14</v>
      </c>
    </row>
    <row r="10" spans="2:8" x14ac:dyDescent="0.2">
      <c r="H10" s="35"/>
    </row>
    <row r="11" spans="2:8" x14ac:dyDescent="0.2">
      <c r="B11" s="36" t="s">
        <v>101</v>
      </c>
    </row>
    <row r="12" spans="2:8" ht="13.5" thickBot="1" x14ac:dyDescent="0.25"/>
    <row r="13" spans="2:8" x14ac:dyDescent="0.2">
      <c r="C13" s="37" t="s">
        <v>15</v>
      </c>
      <c r="D13" s="38"/>
      <c r="E13" s="38"/>
      <c r="F13" s="39"/>
      <c r="G13" s="40"/>
    </row>
    <row r="14" spans="2:8" x14ac:dyDescent="0.2">
      <c r="C14" s="41"/>
      <c r="D14" s="42" t="s">
        <v>16</v>
      </c>
      <c r="E14" s="65"/>
      <c r="F14" s="43" t="s">
        <v>18</v>
      </c>
      <c r="G14" s="40"/>
    </row>
    <row r="15" spans="2:8" x14ac:dyDescent="0.2">
      <c r="C15" s="41"/>
      <c r="D15" s="42" t="s">
        <v>19</v>
      </c>
      <c r="E15" s="44" t="str">
        <f>IFERROR(VLOOKUP(E14,BiomassHeatValues,3),"-")</f>
        <v>-</v>
      </c>
      <c r="F15" s="45" t="str">
        <f>IFERROR(VLOOKUP(E14,BiomassHeatValues,4),"-")</f>
        <v>-</v>
      </c>
      <c r="G15" s="40"/>
    </row>
    <row r="16" spans="2:8" ht="13.5" thickBot="1" x14ac:dyDescent="0.25">
      <c r="C16" s="46"/>
      <c r="D16" s="47" t="s">
        <v>116</v>
      </c>
      <c r="E16" s="48" t="str">
        <f>IF('Fuel Report'!F11+'Fuel Report'!F12=0,"-",'Fuel Report'!F11+'Fuel Report'!F12)</f>
        <v>-</v>
      </c>
      <c r="F16" s="49" t="str">
        <f>IFERROR(VLOOKUP(E14,BiomassHeatValues,2),"-")</f>
        <v>-</v>
      </c>
      <c r="G16" s="40"/>
    </row>
    <row r="17" spans="3:11" ht="13.5" thickBot="1" x14ac:dyDescent="0.25"/>
    <row r="18" spans="3:11" ht="13.5" thickBot="1" x14ac:dyDescent="0.25">
      <c r="C18" s="37" t="s">
        <v>20</v>
      </c>
      <c r="D18" s="38"/>
      <c r="E18" s="38"/>
      <c r="F18" s="39"/>
    </row>
    <row r="19" spans="3:11" x14ac:dyDescent="0.2">
      <c r="C19" s="41"/>
      <c r="D19" s="42" t="s">
        <v>21</v>
      </c>
      <c r="E19" s="50"/>
      <c r="F19" s="51"/>
      <c r="H19" s="264" t="s">
        <v>25</v>
      </c>
      <c r="I19" s="265"/>
      <c r="J19" s="265"/>
      <c r="K19" s="266"/>
    </row>
    <row r="20" spans="3:11" x14ac:dyDescent="0.2">
      <c r="C20" s="41"/>
      <c r="D20" s="52" t="s">
        <v>105</v>
      </c>
      <c r="E20" s="66"/>
      <c r="F20" s="43" t="s">
        <v>102</v>
      </c>
      <c r="H20" s="267"/>
      <c r="I20" s="268"/>
      <c r="J20" s="268"/>
      <c r="K20" s="269"/>
    </row>
    <row r="21" spans="3:11" x14ac:dyDescent="0.2">
      <c r="C21" s="41"/>
      <c r="D21" s="53" t="s">
        <v>22</v>
      </c>
      <c r="E21" s="66"/>
      <c r="F21" s="43" t="s">
        <v>102</v>
      </c>
      <c r="H21" s="267"/>
      <c r="I21" s="268"/>
      <c r="J21" s="268"/>
      <c r="K21" s="269"/>
    </row>
    <row r="22" spans="3:11" ht="13.5" thickBot="1" x14ac:dyDescent="0.25">
      <c r="C22" s="41"/>
      <c r="D22" s="42" t="s">
        <v>23</v>
      </c>
      <c r="E22" s="54" t="s">
        <v>24</v>
      </c>
      <c r="F22" s="55"/>
      <c r="H22" s="270"/>
      <c r="I22" s="271"/>
      <c r="J22" s="271"/>
      <c r="K22" s="272"/>
    </row>
    <row r="23" spans="3:11" ht="13.5" thickBot="1" x14ac:dyDescent="0.25">
      <c r="C23" s="46"/>
      <c r="D23" s="56" t="s">
        <v>26</v>
      </c>
      <c r="E23" s="67"/>
      <c r="F23" s="57" t="s">
        <v>103</v>
      </c>
    </row>
    <row r="24" spans="3:11" ht="13.5" thickBot="1" x14ac:dyDescent="0.25"/>
    <row r="25" spans="3:11" x14ac:dyDescent="0.2">
      <c r="C25" s="37" t="s">
        <v>27</v>
      </c>
      <c r="D25" s="38"/>
      <c r="E25" s="38"/>
      <c r="F25" s="39"/>
      <c r="H25" s="264" t="s">
        <v>32</v>
      </c>
      <c r="I25" s="265"/>
      <c r="J25" s="265"/>
      <c r="K25" s="266"/>
    </row>
    <row r="26" spans="3:11" x14ac:dyDescent="0.2">
      <c r="C26" s="41"/>
      <c r="D26" s="42" t="s">
        <v>28</v>
      </c>
      <c r="E26" s="54" t="s">
        <v>29</v>
      </c>
      <c r="F26" s="55"/>
      <c r="H26" s="267"/>
      <c r="I26" s="268"/>
      <c r="J26" s="268"/>
      <c r="K26" s="269"/>
    </row>
    <row r="27" spans="3:11" x14ac:dyDescent="0.2">
      <c r="C27" s="41"/>
      <c r="D27" s="42" t="s">
        <v>30</v>
      </c>
      <c r="E27" s="65"/>
      <c r="F27" s="55" t="s">
        <v>31</v>
      </c>
      <c r="H27" s="267"/>
      <c r="I27" s="268"/>
      <c r="J27" s="268"/>
      <c r="K27" s="269"/>
    </row>
    <row r="28" spans="3:11" ht="13.5" thickBot="1" x14ac:dyDescent="0.25">
      <c r="C28" s="46"/>
      <c r="D28" s="56" t="s">
        <v>33</v>
      </c>
      <c r="E28" s="67"/>
      <c r="F28" s="57" t="s">
        <v>104</v>
      </c>
      <c r="H28" s="270"/>
      <c r="I28" s="271"/>
      <c r="J28" s="271"/>
      <c r="K28" s="272"/>
    </row>
    <row r="30" spans="3:11" ht="13.5" thickBot="1" x14ac:dyDescent="0.25"/>
    <row r="31" spans="3:11" x14ac:dyDescent="0.2">
      <c r="C31" s="37" t="s">
        <v>34</v>
      </c>
      <c r="D31" s="38"/>
      <c r="E31" s="38"/>
      <c r="F31" s="39"/>
    </row>
    <row r="32" spans="3:11" x14ac:dyDescent="0.2">
      <c r="C32" s="41"/>
      <c r="D32" s="42" t="s">
        <v>35</v>
      </c>
      <c r="E32" s="58" t="str">
        <f>IFERROR(IF(F15="BTU/lb",E15*E16*2000/3412000,E15*E16/3412000),"-")</f>
        <v>-</v>
      </c>
      <c r="F32" s="55" t="s">
        <v>36</v>
      </c>
    </row>
    <row r="33" spans="3:6" x14ac:dyDescent="0.2">
      <c r="C33" s="41"/>
      <c r="D33" s="42" t="s">
        <v>37</v>
      </c>
      <c r="E33" s="58">
        <f>E20</f>
        <v>0</v>
      </c>
      <c r="F33" s="55" t="s">
        <v>38</v>
      </c>
    </row>
    <row r="34" spans="3:6" x14ac:dyDescent="0.2">
      <c r="C34" s="41"/>
      <c r="D34" s="42" t="s">
        <v>39</v>
      </c>
      <c r="E34" s="58">
        <f>E21</f>
        <v>0</v>
      </c>
      <c r="F34" s="55" t="s">
        <v>38</v>
      </c>
    </row>
    <row r="35" spans="3:6" x14ac:dyDescent="0.2">
      <c r="C35" s="41"/>
      <c r="D35" s="42" t="s">
        <v>40</v>
      </c>
      <c r="E35" s="58">
        <f>E23*1000/3412</f>
        <v>0</v>
      </c>
      <c r="F35" s="55" t="s">
        <v>41</v>
      </c>
    </row>
    <row r="36" spans="3:6" ht="13.5" thickBot="1" x14ac:dyDescent="0.25">
      <c r="C36" s="46"/>
      <c r="D36" s="56" t="s">
        <v>42</v>
      </c>
      <c r="E36" s="59">
        <f>E27*E28/3412000</f>
        <v>0</v>
      </c>
      <c r="F36" s="60" t="s">
        <v>43</v>
      </c>
    </row>
    <row r="37" spans="3:6" ht="13.5" thickBot="1" x14ac:dyDescent="0.25"/>
    <row r="38" spans="3:6" ht="13.5" thickBot="1" x14ac:dyDescent="0.25">
      <c r="C38" s="61" t="s">
        <v>44</v>
      </c>
      <c r="D38" s="62"/>
      <c r="E38" s="63" t="str">
        <f>IFERROR((E33/(1-0.06)+E34+E35+E36)/E32,"-")</f>
        <v>-</v>
      </c>
      <c r="F38" s="64"/>
    </row>
  </sheetData>
  <sheetProtection password="C24F" sheet="1" objects="1" scenarios="1"/>
  <protectedRanges>
    <protectedRange sqref="E14 E16 E20:E21 E23 E27:E28 H19 H25" name="Range1"/>
    <protectedRange sqref="E9" name="Range1_1"/>
  </protectedRanges>
  <mergeCells count="8">
    <mergeCell ref="H19:K22"/>
    <mergeCell ref="H25:K28"/>
    <mergeCell ref="C2:F2"/>
    <mergeCell ref="C3:F3"/>
    <mergeCell ref="C4:F4"/>
    <mergeCell ref="C5:F5"/>
    <mergeCell ref="B9:D9"/>
    <mergeCell ref="E9:F9"/>
  </mergeCells>
  <conditionalFormatting sqref="E33:E36">
    <cfRule type="cellIs" dxfId="56" priority="2" operator="equal">
      <formula>0</formula>
    </cfRule>
  </conditionalFormatting>
  <conditionalFormatting sqref="E9:F9">
    <cfRule type="cellIs" dxfId="55" priority="1" operator="equal">
      <formula>0</formula>
    </cfRule>
  </conditionalFormatting>
  <dataValidations count="2">
    <dataValidation type="list" allowBlank="1" showInputMessage="1" showErrorMessage="1" sqref="E14">
      <formula1>BiomassFuels</formula1>
    </dataValidation>
    <dataValidation type="decimal" allowBlank="1" showInputMessage="1" showErrorMessage="1" sqref="E20:E21 E23 E27:E28">
      <formula1>0</formula1>
      <formula2>1000000</formula2>
    </dataValidation>
  </dataValidations>
  <pageMargins left="0.75" right="0.75" top="1" bottom="1" header="0.5" footer="0.5"/>
  <pageSetup orientation="portrait"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99"/>
  </sheetPr>
  <dimension ref="B1:K38"/>
  <sheetViews>
    <sheetView zoomScaleNormal="100" workbookViewId="0">
      <selection activeCell="E44" sqref="E44"/>
    </sheetView>
  </sheetViews>
  <sheetFormatPr defaultRowHeight="12.75" x14ac:dyDescent="0.2"/>
  <cols>
    <col min="1" max="2" width="2.5703125" style="31" customWidth="1"/>
    <col min="3" max="3" width="9.7109375" style="31" customWidth="1"/>
    <col min="4" max="4" width="32.85546875" style="31" customWidth="1"/>
    <col min="5" max="5" width="28.5703125" style="31" customWidth="1"/>
    <col min="6" max="6" width="24.7109375" style="31" customWidth="1"/>
    <col min="7" max="7" width="3.28515625" style="31" customWidth="1"/>
    <col min="8" max="16384" width="9.140625" style="31"/>
  </cols>
  <sheetData>
    <row r="1" spans="2:8" ht="13.5" thickBot="1" x14ac:dyDescent="0.25"/>
    <row r="2" spans="2:8" x14ac:dyDescent="0.2">
      <c r="B2" s="32"/>
      <c r="C2" s="273" t="s">
        <v>11</v>
      </c>
      <c r="D2" s="274"/>
      <c r="E2" s="274"/>
      <c r="F2" s="275"/>
    </row>
    <row r="3" spans="2:8" x14ac:dyDescent="0.2">
      <c r="B3" s="32"/>
      <c r="C3" s="276" t="s">
        <v>0</v>
      </c>
      <c r="D3" s="277"/>
      <c r="E3" s="277"/>
      <c r="F3" s="278"/>
    </row>
    <row r="4" spans="2:8" x14ac:dyDescent="0.2">
      <c r="B4" s="32"/>
      <c r="C4" s="276"/>
      <c r="D4" s="277"/>
      <c r="E4" s="277"/>
      <c r="F4" s="278"/>
    </row>
    <row r="5" spans="2:8" ht="13.5" thickBot="1" x14ac:dyDescent="0.25">
      <c r="B5" s="32"/>
      <c r="C5" s="279" t="s">
        <v>94</v>
      </c>
      <c r="D5" s="280"/>
      <c r="E5" s="280"/>
      <c r="F5" s="281"/>
    </row>
    <row r="8" spans="2:8" ht="13.5" thickBot="1" x14ac:dyDescent="0.25">
      <c r="H8" s="33" t="s">
        <v>13</v>
      </c>
    </row>
    <row r="9" spans="2:8" ht="13.5" thickBot="1" x14ac:dyDescent="0.25">
      <c r="B9" s="247" t="s">
        <v>100</v>
      </c>
      <c r="C9" s="247"/>
      <c r="D9" s="248"/>
      <c r="E9" s="261">
        <f>Certification!C12</f>
        <v>0</v>
      </c>
      <c r="F9" s="282"/>
      <c r="H9" s="34" t="s">
        <v>14</v>
      </c>
    </row>
    <row r="10" spans="2:8" x14ac:dyDescent="0.2">
      <c r="H10" s="35"/>
    </row>
    <row r="11" spans="2:8" x14ac:dyDescent="0.2">
      <c r="B11" s="36" t="s">
        <v>101</v>
      </c>
    </row>
    <row r="12" spans="2:8" ht="13.5" thickBot="1" x14ac:dyDescent="0.25"/>
    <row r="13" spans="2:8" x14ac:dyDescent="0.2">
      <c r="C13" s="37" t="s">
        <v>15</v>
      </c>
      <c r="D13" s="38"/>
      <c r="E13" s="38"/>
      <c r="F13" s="39"/>
      <c r="G13" s="40"/>
    </row>
    <row r="14" spans="2:8" x14ac:dyDescent="0.2">
      <c r="C14" s="41"/>
      <c r="D14" s="42" t="s">
        <v>16</v>
      </c>
      <c r="E14" s="65"/>
      <c r="F14" s="43" t="s">
        <v>18</v>
      </c>
      <c r="G14" s="40"/>
    </row>
    <row r="15" spans="2:8" x14ac:dyDescent="0.2">
      <c r="C15" s="41"/>
      <c r="D15" s="42" t="s">
        <v>19</v>
      </c>
      <c r="E15" s="44" t="str">
        <f>IFERROR(VLOOKUP(E14,BiomassHeatValues,3),"-")</f>
        <v>-</v>
      </c>
      <c r="F15" s="45" t="str">
        <f>IFERROR(VLOOKUP(E14,BiomassHeatValues,4),"-")</f>
        <v>-</v>
      </c>
      <c r="G15" s="40"/>
    </row>
    <row r="16" spans="2:8" ht="13.5" thickBot="1" x14ac:dyDescent="0.25">
      <c r="C16" s="46"/>
      <c r="D16" s="47" t="s">
        <v>116</v>
      </c>
      <c r="E16" s="48" t="str">
        <f>IF('Fuel Report'!G11+'Fuel Report'!G12=0,"-",'Fuel Report'!G11+'Fuel Report'!G12)</f>
        <v>-</v>
      </c>
      <c r="F16" s="49" t="str">
        <f>IFERROR(VLOOKUP(E14,BiomassHeatValues,2),"-")</f>
        <v>-</v>
      </c>
      <c r="G16" s="40"/>
    </row>
    <row r="17" spans="3:11" ht="13.5" thickBot="1" x14ac:dyDescent="0.25"/>
    <row r="18" spans="3:11" ht="13.5" thickBot="1" x14ac:dyDescent="0.25">
      <c r="C18" s="37" t="s">
        <v>20</v>
      </c>
      <c r="D18" s="38"/>
      <c r="E18" s="38"/>
      <c r="F18" s="39"/>
    </row>
    <row r="19" spans="3:11" x14ac:dyDescent="0.2">
      <c r="C19" s="41"/>
      <c r="D19" s="42" t="s">
        <v>21</v>
      </c>
      <c r="E19" s="50"/>
      <c r="F19" s="51"/>
      <c r="H19" s="264" t="s">
        <v>25</v>
      </c>
      <c r="I19" s="265"/>
      <c r="J19" s="265"/>
      <c r="K19" s="266"/>
    </row>
    <row r="20" spans="3:11" x14ac:dyDescent="0.2">
      <c r="C20" s="41"/>
      <c r="D20" s="52" t="s">
        <v>105</v>
      </c>
      <c r="E20" s="66"/>
      <c r="F20" s="43" t="s">
        <v>102</v>
      </c>
      <c r="H20" s="267"/>
      <c r="I20" s="268"/>
      <c r="J20" s="268"/>
      <c r="K20" s="269"/>
    </row>
    <row r="21" spans="3:11" x14ac:dyDescent="0.2">
      <c r="C21" s="41"/>
      <c r="D21" s="53" t="s">
        <v>22</v>
      </c>
      <c r="E21" s="66"/>
      <c r="F21" s="43" t="s">
        <v>102</v>
      </c>
      <c r="H21" s="267"/>
      <c r="I21" s="268"/>
      <c r="J21" s="268"/>
      <c r="K21" s="269"/>
    </row>
    <row r="22" spans="3:11" ht="13.5" thickBot="1" x14ac:dyDescent="0.25">
      <c r="C22" s="41"/>
      <c r="D22" s="42" t="s">
        <v>23</v>
      </c>
      <c r="E22" s="54" t="s">
        <v>24</v>
      </c>
      <c r="F22" s="55"/>
      <c r="H22" s="270"/>
      <c r="I22" s="271"/>
      <c r="J22" s="271"/>
      <c r="K22" s="272"/>
    </row>
    <row r="23" spans="3:11" ht="13.5" thickBot="1" x14ac:dyDescent="0.25">
      <c r="C23" s="46"/>
      <c r="D23" s="56" t="s">
        <v>26</v>
      </c>
      <c r="E23" s="67"/>
      <c r="F23" s="57" t="s">
        <v>103</v>
      </c>
    </row>
    <row r="24" spans="3:11" ht="13.5" thickBot="1" x14ac:dyDescent="0.25"/>
    <row r="25" spans="3:11" x14ac:dyDescent="0.2">
      <c r="C25" s="37" t="s">
        <v>27</v>
      </c>
      <c r="D25" s="38"/>
      <c r="E25" s="38"/>
      <c r="F25" s="39"/>
      <c r="H25" s="264" t="s">
        <v>32</v>
      </c>
      <c r="I25" s="265"/>
      <c r="J25" s="265"/>
      <c r="K25" s="266"/>
    </row>
    <row r="26" spans="3:11" x14ac:dyDescent="0.2">
      <c r="C26" s="41"/>
      <c r="D26" s="42" t="s">
        <v>28</v>
      </c>
      <c r="E26" s="54" t="s">
        <v>29</v>
      </c>
      <c r="F26" s="55"/>
      <c r="H26" s="267"/>
      <c r="I26" s="268"/>
      <c r="J26" s="268"/>
      <c r="K26" s="269"/>
    </row>
    <row r="27" spans="3:11" x14ac:dyDescent="0.2">
      <c r="C27" s="41"/>
      <c r="D27" s="42" t="s">
        <v>30</v>
      </c>
      <c r="E27" s="65"/>
      <c r="F27" s="55" t="s">
        <v>31</v>
      </c>
      <c r="H27" s="267"/>
      <c r="I27" s="268"/>
      <c r="J27" s="268"/>
      <c r="K27" s="269"/>
    </row>
    <row r="28" spans="3:11" ht="13.5" thickBot="1" x14ac:dyDescent="0.25">
      <c r="C28" s="46"/>
      <c r="D28" s="56" t="s">
        <v>33</v>
      </c>
      <c r="E28" s="67"/>
      <c r="F28" s="57" t="s">
        <v>104</v>
      </c>
      <c r="H28" s="270"/>
      <c r="I28" s="271"/>
      <c r="J28" s="271"/>
      <c r="K28" s="272"/>
    </row>
    <row r="30" spans="3:11" ht="13.5" thickBot="1" x14ac:dyDescent="0.25"/>
    <row r="31" spans="3:11" x14ac:dyDescent="0.2">
      <c r="C31" s="37" t="s">
        <v>34</v>
      </c>
      <c r="D31" s="38"/>
      <c r="E31" s="38"/>
      <c r="F31" s="39"/>
    </row>
    <row r="32" spans="3:11" x14ac:dyDescent="0.2">
      <c r="C32" s="41"/>
      <c r="D32" s="42" t="s">
        <v>35</v>
      </c>
      <c r="E32" s="58" t="str">
        <f>IFERROR(IF(F15="BTU/lb",E15*E16*2000/3412000,E15*E16/3412000),"-")</f>
        <v>-</v>
      </c>
      <c r="F32" s="55" t="s">
        <v>36</v>
      </c>
    </row>
    <row r="33" spans="3:6" x14ac:dyDescent="0.2">
      <c r="C33" s="41"/>
      <c r="D33" s="42" t="s">
        <v>37</v>
      </c>
      <c r="E33" s="58">
        <f>E20</f>
        <v>0</v>
      </c>
      <c r="F33" s="55" t="s">
        <v>38</v>
      </c>
    </row>
    <row r="34" spans="3:6" x14ac:dyDescent="0.2">
      <c r="C34" s="41"/>
      <c r="D34" s="42" t="s">
        <v>39</v>
      </c>
      <c r="E34" s="58">
        <f>E21</f>
        <v>0</v>
      </c>
      <c r="F34" s="55" t="s">
        <v>38</v>
      </c>
    </row>
    <row r="35" spans="3:6" x14ac:dyDescent="0.2">
      <c r="C35" s="41"/>
      <c r="D35" s="42" t="s">
        <v>40</v>
      </c>
      <c r="E35" s="58">
        <f>E23*1000/3412</f>
        <v>0</v>
      </c>
      <c r="F35" s="55" t="s">
        <v>41</v>
      </c>
    </row>
    <row r="36" spans="3:6" ht="13.5" thickBot="1" x14ac:dyDescent="0.25">
      <c r="C36" s="46"/>
      <c r="D36" s="56" t="s">
        <v>42</v>
      </c>
      <c r="E36" s="59">
        <f>E27*E28/3412000</f>
        <v>0</v>
      </c>
      <c r="F36" s="60" t="s">
        <v>43</v>
      </c>
    </row>
    <row r="37" spans="3:6" ht="13.5" thickBot="1" x14ac:dyDescent="0.25"/>
    <row r="38" spans="3:6" ht="13.5" thickBot="1" x14ac:dyDescent="0.25">
      <c r="C38" s="61" t="s">
        <v>44</v>
      </c>
      <c r="D38" s="62"/>
      <c r="E38" s="63" t="str">
        <f>IFERROR((E33/(1-0.06)+E34+E35+E36)/E32,"-")</f>
        <v>-</v>
      </c>
      <c r="F38" s="64"/>
    </row>
  </sheetData>
  <sheetProtection password="C24F" sheet="1" objects="1" scenarios="1"/>
  <protectedRanges>
    <protectedRange sqref="E14 E16 E20:E21 E23 E27:E28 H19 H25" name="Range1"/>
    <protectedRange sqref="E9" name="Range1_1"/>
  </protectedRanges>
  <mergeCells count="8">
    <mergeCell ref="H19:K22"/>
    <mergeCell ref="H25:K28"/>
    <mergeCell ref="C2:F2"/>
    <mergeCell ref="C3:F3"/>
    <mergeCell ref="C4:F4"/>
    <mergeCell ref="C5:F5"/>
    <mergeCell ref="B9:D9"/>
    <mergeCell ref="E9:F9"/>
  </mergeCells>
  <conditionalFormatting sqref="E33:E36">
    <cfRule type="cellIs" dxfId="54" priority="2" operator="equal">
      <formula>0</formula>
    </cfRule>
  </conditionalFormatting>
  <conditionalFormatting sqref="E9:F9">
    <cfRule type="cellIs" dxfId="53" priority="1" operator="equal">
      <formula>0</formula>
    </cfRule>
  </conditionalFormatting>
  <dataValidations count="2">
    <dataValidation type="decimal" allowBlank="1" showInputMessage="1" showErrorMessage="1" sqref="E20:E21 E23 E27:E28">
      <formula1>0</formula1>
      <formula2>1000000</formula2>
    </dataValidation>
    <dataValidation type="list" allowBlank="1" showInputMessage="1" showErrorMessage="1" sqref="E14">
      <formula1>BiomassFuels</formula1>
    </dataValidation>
  </dataValidations>
  <pageMargins left="0.75" right="0.75" top="1" bottom="1" header="0.5" footer="0.5"/>
  <pageSetup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39997558519241921"/>
  </sheetPr>
  <dimension ref="B1:K38"/>
  <sheetViews>
    <sheetView zoomScaleNormal="100" workbookViewId="0"/>
  </sheetViews>
  <sheetFormatPr defaultRowHeight="12.75" x14ac:dyDescent="0.2"/>
  <cols>
    <col min="1" max="2" width="2.5703125" style="31" customWidth="1"/>
    <col min="3" max="3" width="9.7109375" style="31" customWidth="1"/>
    <col min="4" max="4" width="32.85546875" style="31" customWidth="1"/>
    <col min="5" max="5" width="28.5703125" style="31" customWidth="1"/>
    <col min="6" max="6" width="24.7109375" style="31" customWidth="1"/>
    <col min="7" max="7" width="3.28515625" style="31" customWidth="1"/>
    <col min="8" max="16384" width="9.140625" style="31"/>
  </cols>
  <sheetData>
    <row r="1" spans="2:8" ht="13.5" thickBot="1" x14ac:dyDescent="0.25"/>
    <row r="2" spans="2:8" x14ac:dyDescent="0.2">
      <c r="B2" s="32"/>
      <c r="C2" s="273" t="s">
        <v>11</v>
      </c>
      <c r="D2" s="274"/>
      <c r="E2" s="274"/>
      <c r="F2" s="275"/>
    </row>
    <row r="3" spans="2:8" x14ac:dyDescent="0.2">
      <c r="B3" s="32"/>
      <c r="C3" s="276" t="s">
        <v>0</v>
      </c>
      <c r="D3" s="277"/>
      <c r="E3" s="277"/>
      <c r="F3" s="278"/>
    </row>
    <row r="4" spans="2:8" x14ac:dyDescent="0.2">
      <c r="B4" s="32"/>
      <c r="C4" s="276"/>
      <c r="D4" s="277"/>
      <c r="E4" s="277"/>
      <c r="F4" s="278"/>
    </row>
    <row r="5" spans="2:8" ht="13.5" thickBot="1" x14ac:dyDescent="0.25">
      <c r="B5" s="32"/>
      <c r="C5" s="279" t="s">
        <v>12</v>
      </c>
      <c r="D5" s="280"/>
      <c r="E5" s="280"/>
      <c r="F5" s="281"/>
    </row>
    <row r="8" spans="2:8" ht="13.5" thickBot="1" x14ac:dyDescent="0.25">
      <c r="H8" s="40"/>
    </row>
    <row r="9" spans="2:8" ht="13.5" thickBot="1" x14ac:dyDescent="0.25">
      <c r="B9" s="247" t="s">
        <v>100</v>
      </c>
      <c r="C9" s="247"/>
      <c r="D9" s="248"/>
      <c r="E9" s="261">
        <f>Certification!C12</f>
        <v>0</v>
      </c>
      <c r="F9" s="282"/>
      <c r="H9" s="68" t="s">
        <v>14</v>
      </c>
    </row>
    <row r="10" spans="2:8" x14ac:dyDescent="0.2">
      <c r="H10" s="35"/>
    </row>
    <row r="11" spans="2:8" x14ac:dyDescent="0.2">
      <c r="B11" s="36" t="s">
        <v>106</v>
      </c>
    </row>
    <row r="12" spans="2:8" ht="13.5" thickBot="1" x14ac:dyDescent="0.25"/>
    <row r="13" spans="2:8" x14ac:dyDescent="0.2">
      <c r="C13" s="37" t="s">
        <v>15</v>
      </c>
      <c r="D13" s="38"/>
      <c r="E13" s="38"/>
      <c r="F13" s="39"/>
      <c r="G13" s="40"/>
    </row>
    <row r="14" spans="2:8" x14ac:dyDescent="0.2">
      <c r="C14" s="41"/>
      <c r="D14" s="42" t="s">
        <v>16</v>
      </c>
      <c r="E14" s="44">
        <f>'Overall Efficiency - Quarter 1'!E14</f>
        <v>0</v>
      </c>
      <c r="F14" s="69"/>
      <c r="G14" s="40"/>
    </row>
    <row r="15" spans="2:8" x14ac:dyDescent="0.2">
      <c r="C15" s="41"/>
      <c r="D15" s="42" t="s">
        <v>19</v>
      </c>
      <c r="E15" s="44" t="str">
        <f>IFERROR(VLOOKUP(E14,BiomassHeatValues,3),"-")</f>
        <v>-</v>
      </c>
      <c r="F15" s="45" t="str">
        <f>IFERROR(VLOOKUP(E14,BiomassHeatValues,4),"-")</f>
        <v>-</v>
      </c>
      <c r="G15" s="40"/>
    </row>
    <row r="16" spans="2:8" ht="13.5" thickBot="1" x14ac:dyDescent="0.25">
      <c r="C16" s="46"/>
      <c r="D16" s="47" t="s">
        <v>117</v>
      </c>
      <c r="E16" s="48" t="str">
        <f>IF(('Fuel Report'!D11+'Fuel Report'!D12+'Fuel Report'!E11+'Fuel Report'!E12+'Fuel Report'!F11+'Fuel Report'!F12+'Fuel Report'!G11+'Fuel Report'!G12)=0,"-",'Fuel Report'!D11+'Fuel Report'!D12+'Fuel Report'!E11+'Fuel Report'!E12+'Fuel Report'!F11+'Fuel Report'!F12+'Fuel Report'!G11+'Fuel Report'!G12)</f>
        <v>-</v>
      </c>
      <c r="F16" s="49" t="str">
        <f>IFERROR(VLOOKUP(E14,BiomassHeatValues,2),"-")</f>
        <v>-</v>
      </c>
      <c r="G16" s="40"/>
    </row>
    <row r="17" spans="3:11" ht="13.5" thickBot="1" x14ac:dyDescent="0.25">
      <c r="H17" s="40"/>
      <c r="I17" s="40"/>
      <c r="J17" s="40"/>
      <c r="K17" s="40"/>
    </row>
    <row r="18" spans="3:11" x14ac:dyDescent="0.2">
      <c r="C18" s="37" t="s">
        <v>20</v>
      </c>
      <c r="D18" s="38"/>
      <c r="E18" s="38"/>
      <c r="F18" s="39"/>
      <c r="H18" s="40"/>
      <c r="I18" s="40"/>
      <c r="J18" s="40"/>
      <c r="K18" s="40"/>
    </row>
    <row r="19" spans="3:11" x14ac:dyDescent="0.2">
      <c r="C19" s="41"/>
      <c r="D19" s="42" t="s">
        <v>21</v>
      </c>
      <c r="E19" s="50"/>
      <c r="F19" s="51"/>
      <c r="H19" s="283"/>
      <c r="I19" s="284"/>
      <c r="J19" s="284"/>
      <c r="K19" s="284"/>
    </row>
    <row r="20" spans="3:11" x14ac:dyDescent="0.2">
      <c r="C20" s="41"/>
      <c r="D20" s="52" t="s">
        <v>105</v>
      </c>
      <c r="E20" s="58">
        <f>'Overall Efficiency - Quarter 1'!E20+'Overall Efficiency - Quarter 2'!E20+'Overall Efficiency - Quarter 3'!E20+'Overall Efficiency - Quarter 4'!E20</f>
        <v>0</v>
      </c>
      <c r="F20" s="43" t="s">
        <v>102</v>
      </c>
      <c r="H20" s="284"/>
      <c r="I20" s="284"/>
      <c r="J20" s="284"/>
      <c r="K20" s="284"/>
    </row>
    <row r="21" spans="3:11" x14ac:dyDescent="0.2">
      <c r="C21" s="41"/>
      <c r="D21" s="53" t="s">
        <v>22</v>
      </c>
      <c r="E21" s="58">
        <f>'Overall Efficiency - Quarter 1'!E21+'Overall Efficiency - Quarter 2'!E21+'Overall Efficiency - Quarter 3'!E21+'Overall Efficiency - Quarter 4'!E21</f>
        <v>0</v>
      </c>
      <c r="F21" s="43" t="s">
        <v>102</v>
      </c>
      <c r="H21" s="284"/>
      <c r="I21" s="284"/>
      <c r="J21" s="284"/>
      <c r="K21" s="284"/>
    </row>
    <row r="22" spans="3:11" x14ac:dyDescent="0.2">
      <c r="C22" s="41"/>
      <c r="D22" s="42" t="s">
        <v>23</v>
      </c>
      <c r="E22" s="70"/>
      <c r="F22" s="51"/>
      <c r="H22" s="284"/>
      <c r="I22" s="284"/>
      <c r="J22" s="284"/>
      <c r="K22" s="284"/>
    </row>
    <row r="23" spans="3:11" ht="13.5" thickBot="1" x14ac:dyDescent="0.25">
      <c r="C23" s="46"/>
      <c r="D23" s="56" t="s">
        <v>26</v>
      </c>
      <c r="E23" s="59">
        <f>'Overall Efficiency - Quarter 1'!E23+'Overall Efficiency - Quarter 2'!E23+'Overall Efficiency - Quarter 3'!E23+'Overall Efficiency - Quarter 4'!E23</f>
        <v>0</v>
      </c>
      <c r="F23" s="57" t="s">
        <v>103</v>
      </c>
      <c r="H23" s="40"/>
      <c r="I23" s="40"/>
      <c r="J23" s="40"/>
      <c r="K23" s="40"/>
    </row>
    <row r="24" spans="3:11" ht="13.5" thickBot="1" x14ac:dyDescent="0.25">
      <c r="H24" s="40"/>
      <c r="I24" s="40"/>
      <c r="J24" s="40"/>
      <c r="K24" s="40"/>
    </row>
    <row r="25" spans="3:11" x14ac:dyDescent="0.2">
      <c r="C25" s="37" t="s">
        <v>27</v>
      </c>
      <c r="D25" s="38"/>
      <c r="E25" s="38"/>
      <c r="F25" s="39"/>
      <c r="H25" s="283"/>
      <c r="I25" s="284"/>
      <c r="J25" s="284"/>
      <c r="K25" s="284"/>
    </row>
    <row r="26" spans="3:11" x14ac:dyDescent="0.2">
      <c r="C26" s="41"/>
      <c r="D26" s="42" t="s">
        <v>28</v>
      </c>
      <c r="E26" s="70"/>
      <c r="F26" s="51"/>
      <c r="H26" s="284"/>
      <c r="I26" s="284"/>
      <c r="J26" s="284"/>
      <c r="K26" s="284"/>
    </row>
    <row r="27" spans="3:11" x14ac:dyDescent="0.2">
      <c r="C27" s="41"/>
      <c r="D27" s="42" t="s">
        <v>30</v>
      </c>
      <c r="E27" s="58">
        <f>'Overall Efficiency - Quarter 1'!E27+'Overall Efficiency - Quarter 2'!E27+'Overall Efficiency - Quarter 3'!E27+'Overall Efficiency - Quarter 4'!E27</f>
        <v>0</v>
      </c>
      <c r="F27" s="55" t="s">
        <v>31</v>
      </c>
      <c r="H27" s="284"/>
      <c r="I27" s="284"/>
      <c r="J27" s="284"/>
      <c r="K27" s="284"/>
    </row>
    <row r="28" spans="3:11" ht="13.5" thickBot="1" x14ac:dyDescent="0.25">
      <c r="C28" s="46"/>
      <c r="D28" s="56" t="s">
        <v>33</v>
      </c>
      <c r="E28" s="71">
        <f>'Overall Efficiency - Quarter 1'!E28+'Overall Efficiency - Quarter 2'!E28+'Overall Efficiency - Quarter 3'!E28+'Overall Efficiency - Quarter 4'!E28</f>
        <v>0</v>
      </c>
      <c r="F28" s="57" t="s">
        <v>104</v>
      </c>
      <c r="H28" s="284"/>
      <c r="I28" s="284"/>
      <c r="J28" s="284"/>
      <c r="K28" s="284"/>
    </row>
    <row r="29" spans="3:11" x14ac:dyDescent="0.2">
      <c r="H29" s="40"/>
      <c r="I29" s="40"/>
      <c r="J29" s="40"/>
      <c r="K29" s="40"/>
    </row>
    <row r="30" spans="3:11" ht="13.5" thickBot="1" x14ac:dyDescent="0.25">
      <c r="H30" s="40"/>
      <c r="I30" s="40"/>
      <c r="J30" s="40"/>
      <c r="K30" s="40"/>
    </row>
    <row r="31" spans="3:11" x14ac:dyDescent="0.2">
      <c r="C31" s="37" t="s">
        <v>34</v>
      </c>
      <c r="D31" s="38"/>
      <c r="E31" s="38"/>
      <c r="F31" s="39"/>
      <c r="H31" s="40"/>
      <c r="I31" s="40"/>
      <c r="J31" s="40"/>
      <c r="K31" s="40"/>
    </row>
    <row r="32" spans="3:11" x14ac:dyDescent="0.2">
      <c r="C32" s="41"/>
      <c r="D32" s="42" t="s">
        <v>35</v>
      </c>
      <c r="E32" s="58" t="str">
        <f>IFERROR(IF(F15="BTU/lb",E15*E16*2000/3412000,E15*E16/3412000),"-")</f>
        <v>-</v>
      </c>
      <c r="F32" s="55" t="s">
        <v>36</v>
      </c>
      <c r="H32" s="40"/>
      <c r="I32" s="40"/>
      <c r="J32" s="40"/>
      <c r="K32" s="40"/>
    </row>
    <row r="33" spans="3:11" x14ac:dyDescent="0.2">
      <c r="C33" s="41"/>
      <c r="D33" s="42" t="s">
        <v>37</v>
      </c>
      <c r="E33" s="58">
        <f>E20</f>
        <v>0</v>
      </c>
      <c r="F33" s="55" t="s">
        <v>38</v>
      </c>
      <c r="H33" s="40"/>
      <c r="I33" s="40"/>
      <c r="J33" s="40"/>
      <c r="K33" s="40"/>
    </row>
    <row r="34" spans="3:11" x14ac:dyDescent="0.2">
      <c r="C34" s="41"/>
      <c r="D34" s="42" t="s">
        <v>39</v>
      </c>
      <c r="E34" s="58">
        <f>E21</f>
        <v>0</v>
      </c>
      <c r="F34" s="55" t="s">
        <v>38</v>
      </c>
      <c r="H34" s="40"/>
      <c r="I34" s="40"/>
      <c r="J34" s="40"/>
      <c r="K34" s="40"/>
    </row>
    <row r="35" spans="3:11" x14ac:dyDescent="0.2">
      <c r="C35" s="41"/>
      <c r="D35" s="42" t="s">
        <v>40</v>
      </c>
      <c r="E35" s="58">
        <f>E23*1000/3412</f>
        <v>0</v>
      </c>
      <c r="F35" s="55" t="s">
        <v>41</v>
      </c>
      <c r="H35" s="40"/>
      <c r="I35" s="40"/>
      <c r="J35" s="40"/>
      <c r="K35" s="40"/>
    </row>
    <row r="36" spans="3:11" ht="13.5" thickBot="1" x14ac:dyDescent="0.25">
      <c r="C36" s="46"/>
      <c r="D36" s="56" t="s">
        <v>42</v>
      </c>
      <c r="E36" s="59">
        <f>E27*E28/3412000</f>
        <v>0</v>
      </c>
      <c r="F36" s="60" t="s">
        <v>43</v>
      </c>
    </row>
    <row r="37" spans="3:11" ht="13.5" thickBot="1" x14ac:dyDescent="0.25"/>
    <row r="38" spans="3:11" ht="13.5" thickBot="1" x14ac:dyDescent="0.25">
      <c r="C38" s="61" t="s">
        <v>44</v>
      </c>
      <c r="D38" s="62"/>
      <c r="E38" s="63" t="str">
        <f>IFERROR((E33/(1-0.06)+E34+E35+E36)/E32,"-")</f>
        <v>-</v>
      </c>
      <c r="F38" s="64"/>
    </row>
  </sheetData>
  <sheetProtection password="C24F" sheet="1" objects="1" scenarios="1"/>
  <protectedRanges>
    <protectedRange sqref="E14 E16 H19 H25 E20:E21 E23 E27:E28" name="Range1"/>
    <protectedRange sqref="E9" name="Range1_1"/>
  </protectedRanges>
  <mergeCells count="8">
    <mergeCell ref="H19:K22"/>
    <mergeCell ref="H25:K28"/>
    <mergeCell ref="C2:F2"/>
    <mergeCell ref="C3:F3"/>
    <mergeCell ref="C4:F4"/>
    <mergeCell ref="C5:F5"/>
    <mergeCell ref="B9:D9"/>
    <mergeCell ref="E9:F9"/>
  </mergeCells>
  <conditionalFormatting sqref="E33:E36">
    <cfRule type="cellIs" dxfId="52" priority="14" operator="equal">
      <formula>0</formula>
    </cfRule>
  </conditionalFormatting>
  <conditionalFormatting sqref="E9:F9">
    <cfRule type="cellIs" dxfId="51" priority="13" operator="equal">
      <formula>0</formula>
    </cfRule>
  </conditionalFormatting>
  <conditionalFormatting sqref="E14">
    <cfRule type="cellIs" dxfId="50" priority="12" operator="equal">
      <formula>0</formula>
    </cfRule>
  </conditionalFormatting>
  <conditionalFormatting sqref="E20">
    <cfRule type="cellIs" dxfId="49" priority="11" operator="equal">
      <formula>0</formula>
    </cfRule>
  </conditionalFormatting>
  <conditionalFormatting sqref="E21">
    <cfRule type="cellIs" dxfId="48" priority="6" operator="equal">
      <formula>0</formula>
    </cfRule>
  </conditionalFormatting>
  <conditionalFormatting sqref="E23">
    <cfRule type="cellIs" dxfId="47" priority="5" operator="equal">
      <formula>0</formula>
    </cfRule>
  </conditionalFormatting>
  <conditionalFormatting sqref="E27">
    <cfRule type="cellIs" dxfId="46" priority="4" operator="equal">
      <formula>0</formula>
    </cfRule>
  </conditionalFormatting>
  <conditionalFormatting sqref="E28">
    <cfRule type="cellIs" dxfId="45" priority="3" operator="equal">
      <formula>0</formula>
    </cfRule>
  </conditionalFormatting>
  <conditionalFormatting sqref="E32">
    <cfRule type="cellIs" dxfId="44" priority="1" operator="equal">
      <formula>"-"</formula>
    </cfRule>
  </conditionalFormatting>
  <pageMargins left="0.75" right="0.75" top="1" bottom="1" header="0.5" footer="0.5"/>
  <pageSetup orientation="portrait"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99"/>
    <pageSetUpPr fitToPage="1"/>
  </sheetPr>
  <dimension ref="B1:O44"/>
  <sheetViews>
    <sheetView workbookViewId="0">
      <selection activeCell="E27" sqref="E27"/>
    </sheetView>
  </sheetViews>
  <sheetFormatPr defaultRowHeight="12.75" x14ac:dyDescent="0.2"/>
  <cols>
    <col min="1" max="1" width="2.5703125" style="125" customWidth="1"/>
    <col min="2" max="2" width="5.42578125" style="125" customWidth="1"/>
    <col min="3" max="3" width="10.85546875" style="125" customWidth="1"/>
    <col min="4" max="4" width="27.140625" style="125" customWidth="1"/>
    <col min="5" max="5" width="28" style="125" customWidth="1"/>
    <col min="6" max="6" width="38.28515625" style="125" customWidth="1"/>
    <col min="7" max="7" width="2.5703125" style="125" customWidth="1"/>
    <col min="8" max="8" width="12" style="125" bestFit="1" customWidth="1"/>
    <col min="9" max="10" width="9.140625" style="125"/>
    <col min="11" max="11" width="9.85546875" style="125" customWidth="1"/>
    <col min="12" max="16384" width="9.140625" style="125"/>
  </cols>
  <sheetData>
    <row r="1" spans="2:8" ht="13.5" thickBot="1" x14ac:dyDescent="0.25"/>
    <row r="2" spans="2:8" x14ac:dyDescent="0.2">
      <c r="C2" s="285" t="s">
        <v>11</v>
      </c>
      <c r="D2" s="286"/>
      <c r="E2" s="286"/>
      <c r="F2" s="287"/>
      <c r="G2" s="126"/>
    </row>
    <row r="3" spans="2:8" x14ac:dyDescent="0.2">
      <c r="C3" s="288" t="s">
        <v>0</v>
      </c>
      <c r="D3" s="289"/>
      <c r="E3" s="289"/>
      <c r="F3" s="290"/>
      <c r="G3" s="126"/>
    </row>
    <row r="4" spans="2:8" x14ac:dyDescent="0.2">
      <c r="C4" s="288"/>
      <c r="D4" s="289"/>
      <c r="E4" s="289"/>
      <c r="F4" s="290"/>
      <c r="G4" s="126"/>
    </row>
    <row r="5" spans="2:8" ht="13.5" thickBot="1" x14ac:dyDescent="0.25">
      <c r="C5" s="291" t="s">
        <v>197</v>
      </c>
      <c r="D5" s="292"/>
      <c r="E5" s="292"/>
      <c r="F5" s="293"/>
      <c r="G5" s="126"/>
    </row>
    <row r="7" spans="2:8" x14ac:dyDescent="0.2">
      <c r="H7" s="127" t="s">
        <v>13</v>
      </c>
    </row>
    <row r="8" spans="2:8" ht="13.5" thickBot="1" x14ac:dyDescent="0.25">
      <c r="H8" s="128" t="s">
        <v>14</v>
      </c>
    </row>
    <row r="9" spans="2:8" ht="13.5" thickBot="1" x14ac:dyDescent="0.25">
      <c r="B9" s="294" t="s">
        <v>100</v>
      </c>
      <c r="C9" s="294"/>
      <c r="D9" s="295"/>
      <c r="E9" s="296">
        <f>Certification!C12</f>
        <v>0</v>
      </c>
      <c r="F9" s="297"/>
      <c r="H9" s="129"/>
    </row>
    <row r="10" spans="2:8" x14ac:dyDescent="0.2">
      <c r="H10" s="129"/>
    </row>
    <row r="11" spans="2:8" x14ac:dyDescent="0.2">
      <c r="C11" s="130" t="s">
        <v>166</v>
      </c>
      <c r="H11" s="131"/>
    </row>
    <row r="12" spans="2:8" ht="13.5" thickBot="1" x14ac:dyDescent="0.25">
      <c r="H12" s="129"/>
    </row>
    <row r="13" spans="2:8" x14ac:dyDescent="0.2">
      <c r="C13" s="132" t="s">
        <v>167</v>
      </c>
      <c r="D13" s="133"/>
      <c r="E13" s="133"/>
      <c r="F13" s="134"/>
    </row>
    <row r="14" spans="2:8" x14ac:dyDescent="0.2">
      <c r="C14" s="135"/>
      <c r="D14" s="307" t="s">
        <v>168</v>
      </c>
      <c r="E14" s="136">
        <f>'Overall Efficiency - Quarter 1'!E14</f>
        <v>0</v>
      </c>
      <c r="F14" s="137" t="s">
        <v>16</v>
      </c>
    </row>
    <row r="15" spans="2:8" x14ac:dyDescent="0.2">
      <c r="C15" s="135"/>
      <c r="D15" s="307"/>
      <c r="E15" s="138" t="str">
        <f>'Overall Efficiency - Quarter 1'!E16</f>
        <v>-</v>
      </c>
      <c r="F15" s="137" t="str">
        <f>'Overall Efficiency - Quarter 1'!F16</f>
        <v>-</v>
      </c>
    </row>
    <row r="16" spans="2:8" x14ac:dyDescent="0.2">
      <c r="C16" s="135"/>
      <c r="D16" s="307"/>
      <c r="E16" s="138" t="str">
        <f>IFERROR('Overall Efficiency - Quarter 1'!E15/1000000*'Overall Efficiency - Quarter 1'!E16*2000,"-")</f>
        <v>-</v>
      </c>
      <c r="F16" s="137" t="s">
        <v>169</v>
      </c>
    </row>
    <row r="17" spans="3:11" ht="39" customHeight="1" x14ac:dyDescent="0.2">
      <c r="C17" s="135"/>
      <c r="D17" s="307" t="s">
        <v>170</v>
      </c>
      <c r="E17" s="309" t="s">
        <v>171</v>
      </c>
      <c r="F17" s="310"/>
    </row>
    <row r="18" spans="3:11" ht="15" x14ac:dyDescent="0.25">
      <c r="C18" s="135"/>
      <c r="D18" s="307"/>
      <c r="E18" s="139"/>
      <c r="F18" s="140" t="s">
        <v>172</v>
      </c>
    </row>
    <row r="19" spans="3:11" x14ac:dyDescent="0.2">
      <c r="C19" s="135"/>
      <c r="D19" s="307" t="s">
        <v>173</v>
      </c>
      <c r="E19" s="141">
        <f>Parameters!D11</f>
        <v>216.39947175000003</v>
      </c>
      <c r="F19" s="137" t="s">
        <v>174</v>
      </c>
    </row>
    <row r="20" spans="3:11" ht="13.5" thickBot="1" x14ac:dyDescent="0.25">
      <c r="C20" s="142"/>
      <c r="D20" s="311"/>
      <c r="E20" s="143">
        <f>IFERROR((E19*(1-E18))/2000*E16,0)</f>
        <v>0</v>
      </c>
      <c r="F20" s="144" t="s">
        <v>175</v>
      </c>
    </row>
    <row r="21" spans="3:11" ht="13.5" thickBot="1" x14ac:dyDescent="0.25"/>
    <row r="22" spans="3:11" x14ac:dyDescent="0.2">
      <c r="C22" s="132" t="s">
        <v>176</v>
      </c>
      <c r="D22" s="133"/>
      <c r="E22" s="133"/>
      <c r="F22" s="134"/>
    </row>
    <row r="23" spans="3:11" x14ac:dyDescent="0.2">
      <c r="C23" s="135"/>
      <c r="D23" s="307" t="s">
        <v>177</v>
      </c>
      <c r="E23" s="145"/>
      <c r="F23" s="140" t="s">
        <v>18</v>
      </c>
    </row>
    <row r="24" spans="3:11" x14ac:dyDescent="0.2">
      <c r="C24" s="135"/>
      <c r="D24" s="307"/>
      <c r="E24" s="220">
        <f>'Overall Efficiency - Quarter 1'!E20/(1-0.06)+'Overall Efficiency - Quarter 1'!E21</f>
        <v>0</v>
      </c>
      <c r="F24" s="137" t="s">
        <v>178</v>
      </c>
    </row>
    <row r="25" spans="3:11" x14ac:dyDescent="0.2">
      <c r="C25" s="135"/>
      <c r="D25" s="307"/>
      <c r="E25" s="146" t="str">
        <f>IFERROR(VLOOKUP(E23,Parameters!B20:C21,2),"-")</f>
        <v>-</v>
      </c>
      <c r="F25" s="137" t="s">
        <v>179</v>
      </c>
    </row>
    <row r="26" spans="3:11" x14ac:dyDescent="0.2">
      <c r="C26" s="135"/>
      <c r="D26" s="307"/>
      <c r="E26" s="146" t="str">
        <f>IFERROR((E25/2000)*E24,"-")</f>
        <v>-</v>
      </c>
      <c r="F26" s="137" t="s">
        <v>175</v>
      </c>
    </row>
    <row r="27" spans="3:11" ht="25.5" customHeight="1" thickBot="1" x14ac:dyDescent="0.25">
      <c r="C27" s="135"/>
      <c r="D27" s="307" t="s">
        <v>180</v>
      </c>
      <c r="E27" s="147"/>
      <c r="F27" s="148" t="s">
        <v>181</v>
      </c>
    </row>
    <row r="28" spans="3:11" x14ac:dyDescent="0.2">
      <c r="C28" s="135"/>
      <c r="D28" s="307"/>
      <c r="E28" s="136">
        <f>'Overall Efficiency - Quarter 1'!E23</f>
        <v>0</v>
      </c>
      <c r="F28" s="137" t="s">
        <v>182</v>
      </c>
      <c r="H28" s="298" t="s">
        <v>183</v>
      </c>
      <c r="I28" s="299"/>
      <c r="J28" s="299"/>
      <c r="K28" s="300"/>
    </row>
    <row r="29" spans="3:11" x14ac:dyDescent="0.2">
      <c r="C29" s="135"/>
      <c r="D29" s="307"/>
      <c r="E29" s="149" t="str">
        <f>IFERROR(VLOOKUP(E27,Parameters!B12:D16,2),"-")</f>
        <v>-</v>
      </c>
      <c r="F29" s="140" t="s">
        <v>184</v>
      </c>
      <c r="H29" s="301"/>
      <c r="I29" s="302"/>
      <c r="J29" s="302"/>
      <c r="K29" s="303"/>
    </row>
    <row r="30" spans="3:11" ht="15" x14ac:dyDescent="0.25">
      <c r="C30" s="135"/>
      <c r="D30" s="307"/>
      <c r="E30" s="139"/>
      <c r="F30" s="140" t="s">
        <v>185</v>
      </c>
      <c r="H30" s="301"/>
      <c r="I30" s="302"/>
      <c r="J30" s="302"/>
      <c r="K30" s="303"/>
    </row>
    <row r="31" spans="3:11" ht="13.5" thickBot="1" x14ac:dyDescent="0.25">
      <c r="C31" s="135"/>
      <c r="D31" s="307"/>
      <c r="E31" s="146" t="str">
        <f>IFERROR(IF(OR(E30="",E30=0),E28/E29,E28/E30),"-")</f>
        <v>-</v>
      </c>
      <c r="F31" s="137" t="s">
        <v>186</v>
      </c>
      <c r="H31" s="304"/>
      <c r="I31" s="305"/>
      <c r="J31" s="305"/>
      <c r="K31" s="306"/>
    </row>
    <row r="32" spans="3:11" x14ac:dyDescent="0.2">
      <c r="C32" s="135"/>
      <c r="D32" s="307"/>
      <c r="E32" s="150" t="str">
        <f>IFERROR(VLOOKUP(E27,Parameters!B12:D16,3),"-")</f>
        <v>-</v>
      </c>
      <c r="F32" s="137" t="s">
        <v>187</v>
      </c>
    </row>
    <row r="33" spans="3:15" ht="13.5" thickBot="1" x14ac:dyDescent="0.25">
      <c r="C33" s="142"/>
      <c r="D33" s="311"/>
      <c r="E33" s="151" t="str">
        <f>IFERROR(E31*(E32/2000),"-")</f>
        <v>-</v>
      </c>
      <c r="F33" s="144" t="s">
        <v>175</v>
      </c>
    </row>
    <row r="34" spans="3:15" ht="13.5" thickBot="1" x14ac:dyDescent="0.25"/>
    <row r="35" spans="3:15" x14ac:dyDescent="0.2">
      <c r="C35" s="132" t="s">
        <v>188</v>
      </c>
      <c r="D35" s="133"/>
      <c r="E35" s="133"/>
      <c r="F35" s="134"/>
    </row>
    <row r="36" spans="3:15" x14ac:dyDescent="0.2">
      <c r="C36" s="135"/>
      <c r="D36" s="307" t="s">
        <v>124</v>
      </c>
      <c r="E36" s="146" t="str">
        <f>IFERROR(E20-E26-E33,"-")</f>
        <v>-</v>
      </c>
      <c r="F36" s="137" t="s">
        <v>175</v>
      </c>
      <c r="L36" s="129"/>
      <c r="M36" s="129"/>
      <c r="N36" s="129"/>
      <c r="O36" s="129"/>
    </row>
    <row r="37" spans="3:15" x14ac:dyDescent="0.2">
      <c r="C37" s="135"/>
      <c r="D37" s="307"/>
      <c r="E37" s="152" t="str">
        <f>IFERROR(E36/E20,"-")</f>
        <v>-</v>
      </c>
      <c r="F37" s="137" t="s">
        <v>189</v>
      </c>
      <c r="K37" s="129"/>
      <c r="L37" s="129"/>
      <c r="M37" s="129"/>
      <c r="N37" s="129"/>
      <c r="O37" s="129"/>
    </row>
    <row r="38" spans="3:15" x14ac:dyDescent="0.2">
      <c r="C38" s="135"/>
      <c r="D38" s="153"/>
      <c r="E38" s="154"/>
      <c r="F38" s="155"/>
      <c r="K38" s="129"/>
      <c r="L38" s="129"/>
      <c r="M38" s="129"/>
      <c r="N38" s="129"/>
      <c r="O38" s="129"/>
    </row>
    <row r="39" spans="3:15" x14ac:dyDescent="0.2">
      <c r="C39" s="135"/>
      <c r="D39" s="156" t="s">
        <v>190</v>
      </c>
      <c r="E39" s="157"/>
      <c r="F39" s="155"/>
      <c r="H39" s="129"/>
      <c r="I39" s="129"/>
      <c r="J39" s="129"/>
      <c r="K39" s="129"/>
      <c r="L39" s="129"/>
      <c r="M39" s="129"/>
      <c r="N39" s="129"/>
      <c r="O39" s="129"/>
    </row>
    <row r="40" spans="3:15" ht="12.75" customHeight="1" x14ac:dyDescent="0.2">
      <c r="C40" s="135"/>
      <c r="D40" s="158" t="s">
        <v>191</v>
      </c>
      <c r="E40" s="222" t="str">
        <f>IFERROR('Fuel Report'!D11/('Fuel Report'!D11+'Fuel Report'!D12),"-")</f>
        <v>-</v>
      </c>
      <c r="F40" s="140" t="s">
        <v>192</v>
      </c>
      <c r="H40" s="308"/>
      <c r="I40" s="308"/>
      <c r="J40" s="308"/>
      <c r="K40" s="308"/>
      <c r="L40" s="159"/>
      <c r="M40" s="159"/>
      <c r="N40" s="159"/>
      <c r="O40" s="159"/>
    </row>
    <row r="41" spans="3:15" ht="15" x14ac:dyDescent="0.2">
      <c r="C41" s="135"/>
      <c r="D41" s="158" t="s">
        <v>193</v>
      </c>
      <c r="E41" s="223" t="str">
        <f>IFERROR(1-E40,"-")</f>
        <v>-</v>
      </c>
      <c r="F41" s="140" t="s">
        <v>192</v>
      </c>
      <c r="H41" s="308"/>
      <c r="I41" s="308"/>
      <c r="J41" s="308"/>
      <c r="K41" s="308"/>
      <c r="L41" s="159"/>
      <c r="M41" s="159"/>
      <c r="N41" s="159"/>
      <c r="O41" s="159"/>
    </row>
    <row r="42" spans="3:15" ht="15" x14ac:dyDescent="0.25">
      <c r="C42" s="135"/>
      <c r="D42" s="160"/>
      <c r="E42" s="161"/>
      <c r="F42" s="162"/>
      <c r="H42" s="308"/>
      <c r="I42" s="308"/>
      <c r="J42" s="308"/>
      <c r="K42" s="308"/>
      <c r="L42" s="159"/>
      <c r="M42" s="159"/>
      <c r="N42" s="159"/>
      <c r="O42" s="159"/>
    </row>
    <row r="43" spans="3:15" x14ac:dyDescent="0.2">
      <c r="C43" s="135"/>
      <c r="D43" s="163" t="s">
        <v>194</v>
      </c>
      <c r="E43" s="129"/>
      <c r="F43" s="155"/>
      <c r="H43" s="308"/>
      <c r="I43" s="308"/>
      <c r="J43" s="308"/>
      <c r="K43" s="308"/>
      <c r="L43" s="159"/>
      <c r="M43" s="159"/>
      <c r="N43" s="159"/>
      <c r="O43" s="159"/>
    </row>
    <row r="44" spans="3:15" ht="27.75" customHeight="1" thickBot="1" x14ac:dyDescent="0.25">
      <c r="C44" s="164"/>
      <c r="D44" s="165" t="s">
        <v>195</v>
      </c>
      <c r="E44" s="166" t="str">
        <f>IFERROR(1+('GHG Model - Residues'!E46*$E$40)+('GHG Model - Forest Thinnings'!E45*$E$41),"-")</f>
        <v>-</v>
      </c>
      <c r="F44" s="167" t="s">
        <v>196</v>
      </c>
      <c r="L44" s="159"/>
      <c r="M44" s="159"/>
      <c r="N44" s="159"/>
      <c r="O44" s="159"/>
    </row>
  </sheetData>
  <sheetProtection password="C24F" sheet="1" objects="1" scenarios="1"/>
  <protectedRanges>
    <protectedRange sqref="E18 E23 E27 E30 H28 H40 E40" name="Range1"/>
  </protectedRanges>
  <mergeCells count="15">
    <mergeCell ref="H28:K31"/>
    <mergeCell ref="D36:D37"/>
    <mergeCell ref="H40:K43"/>
    <mergeCell ref="D14:D16"/>
    <mergeCell ref="D17:D18"/>
    <mergeCell ref="E17:F17"/>
    <mergeCell ref="D19:D20"/>
    <mergeCell ref="D23:D26"/>
    <mergeCell ref="D27:D33"/>
    <mergeCell ref="C2:F2"/>
    <mergeCell ref="C3:F3"/>
    <mergeCell ref="C4:F4"/>
    <mergeCell ref="C5:F5"/>
    <mergeCell ref="B9:D9"/>
    <mergeCell ref="E9:F9"/>
  </mergeCells>
  <conditionalFormatting sqref="E9:F9">
    <cfRule type="cellIs" dxfId="43" priority="8" operator="equal">
      <formula>0</formula>
    </cfRule>
  </conditionalFormatting>
  <conditionalFormatting sqref="E15">
    <cfRule type="cellIs" dxfId="42" priority="6" operator="equal">
      <formula>0</formula>
    </cfRule>
  </conditionalFormatting>
  <conditionalFormatting sqref="E14">
    <cfRule type="cellIs" dxfId="41" priority="7" operator="equal">
      <formula>0</formula>
    </cfRule>
  </conditionalFormatting>
  <conditionalFormatting sqref="E26">
    <cfRule type="cellIs" dxfId="40" priority="5" operator="equal">
      <formula>0</formula>
    </cfRule>
  </conditionalFormatting>
  <conditionalFormatting sqref="E20">
    <cfRule type="cellIs" dxfId="39" priority="4" operator="equal">
      <formula>0</formula>
    </cfRule>
  </conditionalFormatting>
  <conditionalFormatting sqref="E16">
    <cfRule type="cellIs" dxfId="38" priority="3" operator="equal">
      <formula>0</formula>
    </cfRule>
  </conditionalFormatting>
  <conditionalFormatting sqref="E24">
    <cfRule type="cellIs" dxfId="37" priority="2" operator="equal">
      <formula>0</formula>
    </cfRule>
  </conditionalFormatting>
  <conditionalFormatting sqref="E28">
    <cfRule type="cellIs" dxfId="36" priority="1" operator="equal">
      <formula>0</formula>
    </cfRule>
  </conditionalFormatting>
  <dataValidations count="3">
    <dataValidation type="decimal" allowBlank="1" showInputMessage="1" showErrorMessage="1" sqref="E18 E30">
      <formula1>0</formula1>
      <formula2>0.999</formula2>
    </dataValidation>
    <dataValidation type="list" allowBlank="1" showInputMessage="1" showErrorMessage="1" sqref="E23">
      <formula1>ElectricGeneration</formula1>
    </dataValidation>
    <dataValidation type="list" allowBlank="1" showInputMessage="1" showErrorMessage="1" sqref="E27">
      <formula1>ConventionalFuelList</formula1>
    </dataValidation>
  </dataValidations>
  <printOptions horizontalCentered="1"/>
  <pageMargins left="0.32" right="0.33" top="1" bottom="1" header="0.5" footer="0.5"/>
  <pageSetup scale="5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Instructions</vt:lpstr>
      <vt:lpstr>Certification</vt:lpstr>
      <vt:lpstr>Fuel Report</vt:lpstr>
      <vt:lpstr>Overall Efficiency - Quarter 1</vt:lpstr>
      <vt:lpstr>Overall Efficiency - Quarter 2</vt:lpstr>
      <vt:lpstr>Overall Efficiency - Quarter 3</vt:lpstr>
      <vt:lpstr>Overall Efficiency - Quarter 4</vt:lpstr>
      <vt:lpstr>Overall Efficiency - Annual</vt:lpstr>
      <vt:lpstr>GHG Analysis - Quarter 1</vt:lpstr>
      <vt:lpstr>GHG Analysis - Quarter 2</vt:lpstr>
      <vt:lpstr>GHG Analysis - Quarter 3</vt:lpstr>
      <vt:lpstr>GHG Analysis - Quarter 4</vt:lpstr>
      <vt:lpstr>GHG Analysis - Annual</vt:lpstr>
      <vt:lpstr>Parameters</vt:lpstr>
      <vt:lpstr>GHG Model - Residues</vt:lpstr>
      <vt:lpstr>GHG Model - Forest Thinnings</vt:lpstr>
      <vt:lpstr>Carbon Deficit Analyses</vt:lpstr>
      <vt:lpstr>Data</vt:lpstr>
      <vt:lpstr>BiomassFuels</vt:lpstr>
      <vt:lpstr>BiomassHeatValues</vt:lpstr>
      <vt:lpstr>ConventionalFuelList</vt:lpstr>
      <vt:lpstr>ElectricGeneration</vt:lpstr>
      <vt:lpstr>TypeOfFuel</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Rizzo</dc:creator>
  <cp:lastModifiedBy>Eric Steltzer</cp:lastModifiedBy>
  <cp:lastPrinted>2012-04-26T12:12:02Z</cp:lastPrinted>
  <dcterms:created xsi:type="dcterms:W3CDTF">2010-10-05T19:31:28Z</dcterms:created>
  <dcterms:modified xsi:type="dcterms:W3CDTF">2018-10-19T19:29:44Z</dcterms:modified>
</cp:coreProperties>
</file>