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7695" windowHeight="5745"/>
  </bookViews>
  <sheets>
    <sheet name="Instructions" sheetId="18" r:id="rId1"/>
    <sheet name="Overall Efficiency - Annual" sheetId="2" r:id="rId2"/>
    <sheet name="GHG Analysis" sheetId="3" r:id="rId3"/>
    <sheet name="Parameters" sheetId="4" r:id="rId4"/>
    <sheet name="GHG Model - Residues" sheetId="6" r:id="rId5"/>
    <sheet name="GHG Model - Forest Thinnings" sheetId="11" r:id="rId6"/>
    <sheet name="Carbon Deficit Analyses" sheetId="17" r:id="rId7"/>
  </sheets>
  <definedNames>
    <definedName name="BiomassFuels">Parameters!$B$5:$B$8</definedName>
    <definedName name="BiomassHeatValues">Parameters!$B$5:$E$8</definedName>
    <definedName name="ConventionalFuelList">Parameters!$B$13:$B$17</definedName>
    <definedName name="ElectricGeneration">Parameters!$B$21:$B$22</definedName>
    <definedName name="TypeOfFuel">Parameters!$B$5:$B$7</definedName>
  </definedNames>
  <calcPr calcId="145621" concurrentCalc="0"/>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E16" i="2" l="1"/>
  <c r="E17" i="3"/>
  <c r="E21" i="3"/>
  <c r="E30" i="3"/>
  <c r="E29" i="3"/>
  <c r="E32" i="3"/>
  <c r="E33" i="3"/>
  <c r="E34" i="3"/>
  <c r="E26" i="3"/>
  <c r="E25" i="3"/>
  <c r="E27" i="3"/>
  <c r="E37" i="3"/>
  <c r="E38" i="3"/>
  <c r="D8" i="6"/>
  <c r="D10" i="6"/>
  <c r="D6" i="6"/>
  <c r="D7" i="6"/>
  <c r="C16" i="6"/>
  <c r="D16" i="6"/>
  <c r="E16" i="6"/>
  <c r="E42" i="3"/>
  <c r="C45" i="6"/>
  <c r="D45" i="6"/>
  <c r="E45" i="6"/>
  <c r="D8" i="11"/>
  <c r="D10" i="11"/>
  <c r="C45" i="11"/>
  <c r="D45" i="11"/>
  <c r="E45" i="11"/>
  <c r="E45" i="3"/>
  <c r="E20" i="3"/>
  <c r="E10" i="3"/>
  <c r="F16" i="2"/>
  <c r="E33" i="2"/>
  <c r="E36" i="2"/>
  <c r="E34" i="2"/>
  <c r="E35" i="2"/>
  <c r="E37" i="2"/>
  <c r="E39" i="2"/>
  <c r="F17" i="2"/>
  <c r="C33" i="11"/>
  <c r="C34" i="11"/>
  <c r="C35" i="11"/>
  <c r="C36" i="11"/>
  <c r="C37" i="11"/>
  <c r="C38" i="11"/>
  <c r="C39" i="11"/>
  <c r="C40" i="11"/>
  <c r="C41" i="11"/>
  <c r="C42" i="11"/>
  <c r="C43" i="11"/>
  <c r="C44" i="11"/>
  <c r="C23" i="11"/>
  <c r="C24" i="11"/>
  <c r="C25" i="11"/>
  <c r="C26" i="11"/>
  <c r="C27" i="11"/>
  <c r="C28" i="11"/>
  <c r="C29" i="11"/>
  <c r="C30" i="11"/>
  <c r="C31" i="11"/>
  <c r="C32" i="11"/>
  <c r="C17" i="11"/>
  <c r="C18" i="11"/>
  <c r="C19" i="11"/>
  <c r="C20" i="11"/>
  <c r="C21" i="11"/>
  <c r="C22" i="11"/>
  <c r="C16" i="11"/>
  <c r="M50" i="17"/>
  <c r="I53" i="17"/>
  <c r="H37" i="17"/>
  <c r="G53" i="17"/>
  <c r="I32" i="17"/>
  <c r="F83" i="17"/>
  <c r="F85" i="17"/>
  <c r="F87" i="17"/>
  <c r="F89" i="17"/>
  <c r="F91" i="17"/>
  <c r="F93" i="17"/>
  <c r="F95" i="17"/>
  <c r="F97" i="17"/>
  <c r="F99" i="17"/>
  <c r="F101" i="17"/>
  <c r="F103" i="17"/>
  <c r="F105" i="17"/>
  <c r="F107" i="17"/>
  <c r="F109" i="17"/>
  <c r="F51" i="17"/>
  <c r="F111" i="17"/>
  <c r="J26" i="17"/>
  <c r="I26" i="17"/>
  <c r="H26" i="17"/>
  <c r="G26" i="17"/>
  <c r="F26" i="17"/>
  <c r="E26" i="17"/>
  <c r="J25" i="17"/>
  <c r="J30" i="17"/>
  <c r="E100" i="17"/>
  <c r="I25" i="17"/>
  <c r="I30" i="17"/>
  <c r="E130" i="17"/>
  <c r="H25" i="17"/>
  <c r="H30" i="17"/>
  <c r="E80" i="17"/>
  <c r="G25" i="17"/>
  <c r="G30" i="17"/>
  <c r="E70" i="17"/>
  <c r="F25" i="17"/>
  <c r="F30" i="17"/>
  <c r="E60" i="17"/>
  <c r="E25" i="17"/>
  <c r="E30" i="17"/>
  <c r="J23" i="17"/>
  <c r="I23" i="17"/>
  <c r="H23" i="17"/>
  <c r="G23" i="17"/>
  <c r="F23" i="17"/>
  <c r="E23" i="17"/>
  <c r="J22" i="17"/>
  <c r="J29" i="17"/>
  <c r="I22" i="17"/>
  <c r="I29" i="17"/>
  <c r="H22" i="17"/>
  <c r="H29" i="17"/>
  <c r="G22" i="17"/>
  <c r="G29" i="17"/>
  <c r="F22" i="17"/>
  <c r="F29" i="17"/>
  <c r="E22" i="17"/>
  <c r="E29" i="17"/>
  <c r="J20" i="17"/>
  <c r="I20" i="17"/>
  <c r="H20" i="17"/>
  <c r="G20" i="17"/>
  <c r="F20" i="17"/>
  <c r="E20" i="17"/>
  <c r="J19" i="17"/>
  <c r="I19" i="17"/>
  <c r="H19" i="17"/>
  <c r="G19" i="17"/>
  <c r="F19" i="17"/>
  <c r="E19" i="17"/>
  <c r="F81" i="17"/>
  <c r="F79" i="17"/>
  <c r="F77" i="17"/>
  <c r="F75" i="17"/>
  <c r="F73" i="17"/>
  <c r="F71" i="17"/>
  <c r="F69" i="17"/>
  <c r="F67" i="17"/>
  <c r="F65" i="17"/>
  <c r="F63" i="17"/>
  <c r="F61" i="17"/>
  <c r="F59" i="17"/>
  <c r="F57" i="17"/>
  <c r="F55" i="17"/>
  <c r="F53" i="17"/>
  <c r="F130" i="17"/>
  <c r="F128" i="17"/>
  <c r="F126" i="17"/>
  <c r="F124" i="17"/>
  <c r="F122" i="17"/>
  <c r="F120" i="17"/>
  <c r="F118" i="17"/>
  <c r="F116" i="17"/>
  <c r="F114" i="17"/>
  <c r="F112" i="17"/>
  <c r="G130" i="17"/>
  <c r="G128" i="17"/>
  <c r="G126" i="17"/>
  <c r="G124" i="17"/>
  <c r="G122" i="17"/>
  <c r="G120" i="17"/>
  <c r="G118" i="17"/>
  <c r="G116" i="17"/>
  <c r="G114" i="17"/>
  <c r="G112" i="17"/>
  <c r="G110" i="17"/>
  <c r="G108" i="17"/>
  <c r="G106" i="17"/>
  <c r="G104" i="17"/>
  <c r="G102" i="17"/>
  <c r="G100" i="17"/>
  <c r="G98" i="17"/>
  <c r="G96" i="17"/>
  <c r="G94" i="17"/>
  <c r="G92" i="17"/>
  <c r="G90" i="17"/>
  <c r="G88" i="17"/>
  <c r="G86" i="17"/>
  <c r="G84" i="17"/>
  <c r="G82" i="17"/>
  <c r="G80" i="17"/>
  <c r="G78" i="17"/>
  <c r="G76" i="17"/>
  <c r="G74" i="17"/>
  <c r="G72" i="17"/>
  <c r="G70" i="17"/>
  <c r="G68" i="17"/>
  <c r="G66" i="17"/>
  <c r="G64" i="17"/>
  <c r="G62" i="17"/>
  <c r="G60" i="17"/>
  <c r="G58" i="17"/>
  <c r="G56" i="17"/>
  <c r="G54" i="17"/>
  <c r="G52" i="17"/>
  <c r="F110" i="17"/>
  <c r="F108" i="17"/>
  <c r="F106" i="17"/>
  <c r="F104" i="17"/>
  <c r="F102" i="17"/>
  <c r="F100" i="17"/>
  <c r="F98" i="17"/>
  <c r="F96" i="17"/>
  <c r="F94" i="17"/>
  <c r="F92" i="17"/>
  <c r="F90" i="17"/>
  <c r="F88" i="17"/>
  <c r="F86" i="17"/>
  <c r="F84" i="17"/>
  <c r="F82" i="17"/>
  <c r="F80" i="17"/>
  <c r="F78" i="17"/>
  <c r="F76" i="17"/>
  <c r="F74" i="17"/>
  <c r="F72" i="17"/>
  <c r="F70" i="17"/>
  <c r="F68" i="17"/>
  <c r="F66" i="17"/>
  <c r="F64" i="17"/>
  <c r="F62" i="17"/>
  <c r="F60" i="17"/>
  <c r="F58" i="17"/>
  <c r="F56" i="17"/>
  <c r="F54" i="17"/>
  <c r="F52" i="17"/>
  <c r="F129" i="17"/>
  <c r="F127" i="17"/>
  <c r="F125" i="17"/>
  <c r="F123" i="17"/>
  <c r="F121" i="17"/>
  <c r="F119" i="17"/>
  <c r="F117" i="17"/>
  <c r="F115" i="17"/>
  <c r="F113" i="17"/>
  <c r="G51" i="17"/>
  <c r="G129" i="17"/>
  <c r="G127" i="17"/>
  <c r="G125" i="17"/>
  <c r="G123" i="17"/>
  <c r="G121" i="17"/>
  <c r="G119" i="17"/>
  <c r="G117" i="17"/>
  <c r="G115" i="17"/>
  <c r="G113" i="17"/>
  <c r="G111" i="17"/>
  <c r="G109" i="17"/>
  <c r="G107" i="17"/>
  <c r="G105" i="17"/>
  <c r="G103" i="17"/>
  <c r="G101" i="17"/>
  <c r="G99" i="17"/>
  <c r="G97" i="17"/>
  <c r="G95" i="17"/>
  <c r="G93" i="17"/>
  <c r="G91" i="17"/>
  <c r="G89" i="17"/>
  <c r="G87" i="17"/>
  <c r="G85" i="17"/>
  <c r="G83" i="17"/>
  <c r="G81" i="17"/>
  <c r="G79" i="17"/>
  <c r="G77" i="17"/>
  <c r="G75" i="17"/>
  <c r="G73" i="17"/>
  <c r="G71" i="17"/>
  <c r="G69" i="17"/>
  <c r="G67" i="17"/>
  <c r="G65" i="17"/>
  <c r="G63" i="17"/>
  <c r="G61" i="17"/>
  <c r="G59" i="17"/>
  <c r="G57" i="17"/>
  <c r="G55" i="17"/>
  <c r="E90" i="17"/>
  <c r="I130" i="17"/>
  <c r="I128" i="17"/>
  <c r="I126" i="17"/>
  <c r="I124" i="17"/>
  <c r="I122" i="17"/>
  <c r="I120" i="17"/>
  <c r="I118" i="17"/>
  <c r="I116" i="17"/>
  <c r="I114" i="17"/>
  <c r="I112" i="17"/>
  <c r="I110" i="17"/>
  <c r="I108" i="17"/>
  <c r="I106" i="17"/>
  <c r="I104" i="17"/>
  <c r="I102" i="17"/>
  <c r="I100" i="17"/>
  <c r="I98" i="17"/>
  <c r="I96" i="17"/>
  <c r="I94" i="17"/>
  <c r="I92" i="17"/>
  <c r="I90" i="17"/>
  <c r="I88" i="17"/>
  <c r="I86" i="17"/>
  <c r="I84" i="17"/>
  <c r="I82" i="17"/>
  <c r="I80" i="17"/>
  <c r="I78" i="17"/>
  <c r="I76" i="17"/>
  <c r="I74" i="17"/>
  <c r="I72" i="17"/>
  <c r="I70" i="17"/>
  <c r="I68" i="17"/>
  <c r="I66" i="17"/>
  <c r="I64" i="17"/>
  <c r="I62" i="17"/>
  <c r="I60" i="17"/>
  <c r="I58" i="17"/>
  <c r="I56" i="17"/>
  <c r="I54" i="17"/>
  <c r="I52" i="17"/>
  <c r="I51" i="17"/>
  <c r="I129" i="17"/>
  <c r="I127" i="17"/>
  <c r="I125" i="17"/>
  <c r="I123" i="17"/>
  <c r="I121" i="17"/>
  <c r="I119" i="17"/>
  <c r="I117" i="17"/>
  <c r="I115" i="17"/>
  <c r="I113" i="17"/>
  <c r="I111" i="17"/>
  <c r="I109" i="17"/>
  <c r="I107" i="17"/>
  <c r="I105" i="17"/>
  <c r="I103" i="17"/>
  <c r="I101" i="17"/>
  <c r="I99" i="17"/>
  <c r="I97" i="17"/>
  <c r="I95" i="17"/>
  <c r="I93" i="17"/>
  <c r="I91" i="17"/>
  <c r="I89" i="17"/>
  <c r="I87" i="17"/>
  <c r="I85" i="17"/>
  <c r="I83" i="17"/>
  <c r="I81" i="17"/>
  <c r="I79" i="17"/>
  <c r="I77" i="17"/>
  <c r="I75" i="17"/>
  <c r="I73" i="17"/>
  <c r="I71" i="17"/>
  <c r="I69" i="17"/>
  <c r="I67" i="17"/>
  <c r="I65" i="17"/>
  <c r="I63" i="17"/>
  <c r="I61" i="17"/>
  <c r="I59" i="17"/>
  <c r="I57" i="17"/>
  <c r="I55" i="17"/>
  <c r="E51"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C21" i="4"/>
  <c r="D17" i="4"/>
  <c r="F27" i="4"/>
  <c r="H27" i="4"/>
  <c r="D12" i="4"/>
  <c r="F29" i="4"/>
  <c r="H29" i="4"/>
  <c r="D14" i="4"/>
  <c r="F30" i="4"/>
  <c r="H30" i="4"/>
  <c r="F28" i="4"/>
  <c r="H28" i="4"/>
  <c r="D13" i="4"/>
  <c r="E15" i="3"/>
  <c r="E16" i="3"/>
  <c r="F16" i="3"/>
  <c r="C17" i="6"/>
  <c r="C25" i="6"/>
  <c r="C34" i="6"/>
  <c r="C42" i="6"/>
  <c r="C22" i="6"/>
  <c r="C30" i="6"/>
  <c r="C37" i="6"/>
  <c r="D16" i="4"/>
  <c r="D15" i="4"/>
  <c r="C41" i="6"/>
  <c r="C33" i="6"/>
  <c r="C26" i="6"/>
  <c r="C18" i="6"/>
  <c r="C38" i="6"/>
  <c r="C29" i="6"/>
  <c r="C21" i="6"/>
  <c r="C43" i="6"/>
  <c r="C40" i="6"/>
  <c r="C35" i="6"/>
  <c r="C32" i="6"/>
  <c r="C28" i="6"/>
  <c r="C24" i="6"/>
  <c r="C19" i="6"/>
  <c r="C44" i="6"/>
  <c r="C39" i="6"/>
  <c r="C36" i="6"/>
  <c r="C31" i="6"/>
  <c r="C27" i="6"/>
  <c r="C23" i="6"/>
  <c r="C20" i="6"/>
  <c r="D44" i="6"/>
  <c r="E44" i="6"/>
  <c r="D36" i="6"/>
  <c r="E36" i="6"/>
  <c r="D42" i="6"/>
  <c r="E42" i="6"/>
  <c r="D33" i="6"/>
  <c r="E33" i="6"/>
  <c r="D18" i="6"/>
  <c r="E18" i="6"/>
  <c r="D25" i="6"/>
  <c r="E25" i="6"/>
  <c r="D37" i="6"/>
  <c r="E37" i="6"/>
  <c r="D22" i="6"/>
  <c r="E22" i="6"/>
  <c r="D29" i="6"/>
  <c r="E29" i="6"/>
  <c r="D40" i="6"/>
  <c r="E40" i="6"/>
  <c r="D32" i="6"/>
  <c r="E32" i="6"/>
  <c r="D24" i="6"/>
  <c r="E24" i="6"/>
  <c r="D39" i="6"/>
  <c r="E39" i="6"/>
  <c r="D27" i="6"/>
  <c r="E27" i="6"/>
  <c r="D20" i="6"/>
  <c r="E20" i="6"/>
  <c r="D41" i="6"/>
  <c r="E41" i="6"/>
  <c r="D26" i="6"/>
  <c r="E26" i="6"/>
  <c r="D34" i="6"/>
  <c r="E34" i="6"/>
  <c r="D17" i="6"/>
  <c r="E17" i="6"/>
  <c r="D30" i="6"/>
  <c r="E30" i="6"/>
  <c r="D38" i="6"/>
  <c r="E38" i="6"/>
  <c r="D21" i="6"/>
  <c r="E21" i="6"/>
  <c r="D43" i="6"/>
  <c r="E43" i="6"/>
  <c r="D35" i="6"/>
  <c r="E35" i="6"/>
  <c r="D28" i="6"/>
  <c r="E28" i="6"/>
  <c r="D19" i="6"/>
  <c r="E19" i="6"/>
  <c r="D31" i="6"/>
  <c r="E31" i="6"/>
  <c r="D23" i="6"/>
  <c r="E23" i="6"/>
  <c r="D18" i="11"/>
  <c r="E18" i="11"/>
  <c r="D43" i="11"/>
  <c r="E43" i="11"/>
  <c r="D39" i="11"/>
  <c r="E39" i="11"/>
  <c r="D35" i="11"/>
  <c r="E35" i="11"/>
  <c r="D31" i="11"/>
  <c r="E31" i="11"/>
  <c r="D27" i="11"/>
  <c r="E27" i="11"/>
  <c r="D23" i="11"/>
  <c r="E23" i="11"/>
  <c r="D19" i="11"/>
  <c r="E19" i="11"/>
  <c r="D42" i="11"/>
  <c r="E42" i="11"/>
  <c r="D38" i="11"/>
  <c r="E38" i="11"/>
  <c r="D34" i="11"/>
  <c r="E34" i="11"/>
  <c r="D30" i="11"/>
  <c r="E30" i="11"/>
  <c r="D26" i="11"/>
  <c r="E26" i="11"/>
  <c r="D22" i="11"/>
  <c r="E22" i="11"/>
  <c r="D37" i="11"/>
  <c r="E37" i="11"/>
  <c r="D29" i="11"/>
  <c r="E29" i="11"/>
  <c r="D21" i="11"/>
  <c r="E21" i="11"/>
  <c r="D44" i="11"/>
  <c r="E44" i="11"/>
  <c r="D36" i="11"/>
  <c r="E36" i="11"/>
  <c r="D28" i="11"/>
  <c r="E28" i="11"/>
  <c r="D20" i="11"/>
  <c r="E20" i="11"/>
  <c r="D16" i="11"/>
  <c r="E16" i="11"/>
  <c r="D41" i="11"/>
  <c r="E41" i="11"/>
  <c r="D33" i="11"/>
  <c r="E33" i="11"/>
  <c r="D25" i="11"/>
  <c r="E25" i="11"/>
  <c r="D17" i="11"/>
  <c r="E17" i="11"/>
  <c r="D40" i="11"/>
  <c r="E40" i="11"/>
  <c r="D32" i="11"/>
  <c r="E32" i="11"/>
  <c r="D24" i="11"/>
  <c r="E24" i="11"/>
</calcChain>
</file>

<file path=xl/comments1.xml><?xml version="1.0" encoding="utf-8"?>
<comments xmlns="http://schemas.openxmlformats.org/spreadsheetml/2006/main">
  <authors>
    <author>DBreger</author>
    <author>DOER</author>
  </authors>
  <commentList>
    <comment ref="D41" authorId="0">
      <text>
        <r>
          <rPr>
            <sz val="9"/>
            <color indexed="81"/>
            <rFont val="Tahoma"/>
            <family val="2"/>
          </rPr>
          <t xml:space="preserve">Include both Forest Derived Residues, </t>
        </r>
        <r>
          <rPr>
            <u/>
            <sz val="9"/>
            <color indexed="81"/>
            <rFont val="Tahoma"/>
            <family val="2"/>
          </rPr>
          <t>Non-Forest Derived Residues</t>
        </r>
        <r>
          <rPr>
            <sz val="9"/>
            <color indexed="81"/>
            <rFont val="Tahoma"/>
            <family val="2"/>
          </rPr>
          <t xml:space="preserve">, </t>
        </r>
        <r>
          <rPr>
            <u/>
            <sz val="9"/>
            <color indexed="81"/>
            <rFont val="Tahoma"/>
            <family val="2"/>
          </rPr>
          <t>Forest Salvage, and Wood Waste</t>
        </r>
        <r>
          <rPr>
            <sz val="9"/>
            <color indexed="81"/>
            <rFont val="Tahoma"/>
            <family val="2"/>
          </rPr>
          <t>, as defined in 225 CMR 14.00.</t>
        </r>
      </text>
    </comment>
    <comment ref="E41" authorId="1">
      <text>
        <r>
          <rPr>
            <b/>
            <sz val="9"/>
            <color indexed="81"/>
            <rFont val="Tahoma"/>
            <family val="2"/>
          </rPr>
          <t>DOER:</t>
        </r>
        <r>
          <rPr>
            <sz val="9"/>
            <color indexed="81"/>
            <rFont val="Tahoma"/>
            <family val="2"/>
          </rPr>
          <t xml:space="preserve">
Please ensure that data entered aligns with the Fuel Supply Plan.</t>
        </r>
      </text>
    </comment>
  </commentList>
</comments>
</file>

<file path=xl/comments2.xml><?xml version="1.0" encoding="utf-8"?>
<comments xmlns="http://schemas.openxmlformats.org/spreadsheetml/2006/main">
  <authors>
    <author>DOER</author>
  </authors>
  <commentList>
    <comment ref="D6" authorId="0">
      <text>
        <r>
          <rPr>
            <b/>
            <sz val="9"/>
            <color indexed="81"/>
            <rFont val="Tahoma"/>
            <family val="2"/>
          </rPr>
          <t>DOER:</t>
        </r>
        <r>
          <rPr>
            <sz val="9"/>
            <color indexed="81"/>
            <rFont val="Tahoma"/>
            <family val="2"/>
          </rPr>
          <t xml:space="preserve">
assumes 20% MC</t>
        </r>
      </text>
    </comment>
    <comment ref="D7" authorId="0">
      <text>
        <r>
          <rPr>
            <b/>
            <sz val="9"/>
            <color indexed="81"/>
            <rFont val="Tahoma"/>
            <family val="2"/>
          </rPr>
          <t>DOER:</t>
        </r>
        <r>
          <rPr>
            <sz val="9"/>
            <color indexed="81"/>
            <rFont val="Tahoma"/>
            <family val="2"/>
          </rPr>
          <t xml:space="preserve">
assumes 50% MC</t>
        </r>
      </text>
    </comment>
    <comment ref="D8" authorId="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<sst xmlns="http://schemas.openxmlformats.org/spreadsheetml/2006/main" count="235" uniqueCount="172">
  <si>
    <t>Decay Rate</t>
  </si>
  <si>
    <t>Biomass</t>
  </si>
  <si>
    <t>Carbon Debt</t>
  </si>
  <si>
    <t>Net Biomass</t>
  </si>
  <si>
    <t>Residue Decay</t>
  </si>
  <si>
    <t>Biomass Emissions</t>
  </si>
  <si>
    <t>Half Life</t>
  </si>
  <si>
    <t>years</t>
  </si>
  <si>
    <t>Proposed Annual Operation</t>
  </si>
  <si>
    <t>Biomass Fuel Input</t>
  </si>
  <si>
    <t>Wood Pellets</t>
  </si>
  <si>
    <t>Bio-Oil</t>
  </si>
  <si>
    <t>Higher Heating Value</t>
  </si>
  <si>
    <t>Input Units</t>
  </si>
  <si>
    <t>Energy Output</t>
  </si>
  <si>
    <t>Delivered to ISO-NE Grid</t>
  </si>
  <si>
    <t>MWh annually</t>
  </si>
  <si>
    <t>Useful Thermal Load</t>
  </si>
  <si>
    <t>Useful Thermal Energy delivered</t>
  </si>
  <si>
    <t>Natural Gas</t>
  </si>
  <si>
    <t>Fuel Oil #2</t>
  </si>
  <si>
    <t>Fuel Oil #6</t>
  </si>
  <si>
    <t>Propane</t>
  </si>
  <si>
    <t>Merchantable Bio-Products</t>
  </si>
  <si>
    <t>Enthalpy of Reaction of Bio-Product</t>
  </si>
  <si>
    <t>Bio-Product Description</t>
  </si>
  <si>
    <t>Annual Production/Sales</t>
  </si>
  <si>
    <t>lbs annually</t>
  </si>
  <si>
    <t>Calculation of Overall Efficiency</t>
  </si>
  <si>
    <t>Biomass Input Heat Content</t>
  </si>
  <si>
    <t>MWh_fuel</t>
  </si>
  <si>
    <t>Renewable Electricity Generated</t>
  </si>
  <si>
    <t>RE Elect - "Behind-the-Meter"</t>
  </si>
  <si>
    <t>RE Elect - delivered to Grid</t>
  </si>
  <si>
    <t>MWh_elec</t>
  </si>
  <si>
    <t>Useful Thermal Energy</t>
  </si>
  <si>
    <t>MWh_therm</t>
  </si>
  <si>
    <t>MWh_chem</t>
  </si>
  <si>
    <t>OVERALL EFFICIENCY</t>
  </si>
  <si>
    <t>Type of Biomass Fuel input to Unit</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</si>
  <si>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</si>
  <si>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</si>
  <si>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</si>
  <si>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</si>
  <si>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</si>
  <si>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</si>
  <si>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</si>
  <si>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</si>
  <si>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</si>
  <si>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</si>
  <si>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</si>
  <si>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</si>
  <si>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</si>
  <si>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</si>
  <si>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</si>
  <si>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</si>
  <si>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Natural Gas, new</t>
  </si>
  <si>
    <t>Net CO2 Emission Reductions</t>
  </si>
  <si>
    <t>Biomass Energy - Debt-Dividend GHG Analysis</t>
  </si>
  <si>
    <t>Single Year Operation</t>
  </si>
  <si>
    <t>input</t>
  </si>
  <si>
    <t>result</t>
  </si>
  <si>
    <t>Describe Load in Text Box</t>
  </si>
  <si>
    <t>Bio-Product Description:</t>
  </si>
  <si>
    <t>Describe Bio-Product in Text Box</t>
  </si>
  <si>
    <t>Massachusetts Department of Energy Resources</t>
  </si>
  <si>
    <t>Renewable Energy Portfolio Standard - 225 CMR 14.00</t>
  </si>
  <si>
    <t>Worksheet for the Calculation of Lifecycle GHG Analysis</t>
  </si>
  <si>
    <t>Thermal Load Description:</t>
  </si>
  <si>
    <t>Carbon Debt/Dividend Analysis</t>
  </si>
  <si>
    <t>Lifecycle Carbon Intensity, lbs CO2/MWh</t>
  </si>
  <si>
    <t>Parametric Data</t>
  </si>
  <si>
    <t>BTU/lb</t>
  </si>
  <si>
    <t>Bio-Product Credit</t>
  </si>
  <si>
    <t>% input carbon permanently embedded</t>
  </si>
  <si>
    <t>If Merchantable Bio-Products, provide under separate cover, a documentation of the embedded proportion and permanence of the input biomass fuel carbon in the Bio-Product.</t>
  </si>
  <si>
    <t>Fuel Source</t>
  </si>
  <si>
    <t>Oil #6</t>
  </si>
  <si>
    <t>Oil #2</t>
  </si>
  <si>
    <t>Assumed Efficiency</t>
  </si>
  <si>
    <t>kgC/MWh</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</si>
  <si>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</si>
  <si>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</si>
  <si>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</si>
  <si>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</si>
  <si>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</si>
  <si>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</si>
  <si>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(optional user input)</t>
  </si>
  <si>
    <t>Boiler Efficiency (justificaiton if not Standard Assumption):</t>
  </si>
  <si>
    <t>Assumed Boiler Efficiency</t>
  </si>
  <si>
    <t>Lifecycle Carbon Intensity, lbs CO2 per MMBTU_input</t>
  </si>
  <si>
    <t>lbs CO2/MMBTU_input</t>
  </si>
  <si>
    <t>n/a</t>
  </si>
  <si>
    <t>Biomass Heating Values</t>
  </si>
  <si>
    <t>Fuel Carbon Intensities</t>
  </si>
  <si>
    <t>BTU/gal</t>
  </si>
  <si>
    <t>Higher Heating Value (HHV)</t>
  </si>
  <si>
    <t xml:space="preserve">Generation Unit Name (as identified in SQA):   </t>
  </si>
  <si>
    <t>Boiler Efficiency (standard assumption)</t>
  </si>
  <si>
    <t>Source:  Manomet Exhibit 6.6 (adjusted in Table below)</t>
  </si>
  <si>
    <t>Statement of Qualification Application (SQA)</t>
  </si>
  <si>
    <t>Merchantable Bio-Products (if applicable)</t>
  </si>
  <si>
    <t>gallons</t>
  </si>
  <si>
    <t>dry tons</t>
  </si>
  <si>
    <t>green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</si>
  <si>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</si>
  <si>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</si>
  <si>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</si>
  <si>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</si>
  <si>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</si>
  <si>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</si>
  <si>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</si>
  <si>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</si>
  <si>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</si>
  <si>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</si>
  <si>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</si>
  <si>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</si>
  <si>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</si>
  <si>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Biomass Recovery</t>
  </si>
  <si>
    <t>Year</t>
  </si>
  <si>
    <t>Deficit Function</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</si>
  <si>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</si>
  <si>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</si>
  <si>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</si>
  <si>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</si>
  <si>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</si>
  <si>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</si>
  <si>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</si>
  <si>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</si>
  <si>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</si>
  <si>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</si>
  <si>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</si>
  <si>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</si>
  <si>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</si>
  <si>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</si>
  <si>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</si>
  <si>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</si>
  <si>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</si>
  <si>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</si>
  <si>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</si>
  <si>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</si>
  <si>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</si>
  <si>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</si>
  <si>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</si>
  <si>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</si>
  <si>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t>choose from drop-down list</t>
  </si>
  <si>
    <t>Wood Chips (dry)</t>
  </si>
  <si>
    <t>Wood Chips (green)</t>
  </si>
  <si>
    <t>Non-Forest Derived Eligible Biomass Deficit Analysis - Residue (Alternative Fate) Decay Rate</t>
  </si>
  <si>
    <t>Forest Derived Biomass Deficit Analysis - Thinnings and Residues Only Curves from Manomet Report</t>
  </si>
  <si>
    <t>Biomass Carbon Deficit Functions (Summary)</t>
  </si>
  <si>
    <t>Thinnings Trendline</t>
  </si>
  <si>
    <t>Coefficient</t>
  </si>
  <si>
    <t xml:space="preserve"> Half Life, years</t>
  </si>
  <si>
    <t>Summary/Consolidation of Carbon Deficit Functions - Residues and Thinnings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</si>
  <si>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</si>
  <si>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</si>
  <si>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</si>
  <si>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</si>
  <si>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</si>
  <si>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</si>
  <si>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</si>
  <si>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</si>
  <si>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</si>
  <si>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regulation.</t>
    </r>
  </si>
  <si>
    <t>MWh</t>
  </si>
  <si>
    <t>Used "Behind-the-Meter"</t>
  </si>
  <si>
    <t>chose from drop-down list</t>
  </si>
  <si>
    <t>MMBTUs</t>
  </si>
  <si>
    <t>% reduction in Year 30</t>
  </si>
  <si>
    <t>Applicant must demonstrate at least a 50% reduction by Yr 30</t>
  </si>
  <si>
    <t>Amount of Eligible Fuel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</si>
</sst>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
    <numFmt numFmtId="167" formatCode="0.00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sz val="9"/>
      <color indexed="81"/>
      <name val="Tahoma"/>
      <family val="2"/>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u/>
      <sz val="9"/>
      <color indexed="81"/>
      <name val="Tahoma"/>
      <family val="2"/>
    </font>
    <font>
      <b/>
      <sz val="9"/>
      <color indexed="81"/>
      <name val="Tahoma"/>
      <family val="2"/>
    </font>
    <font>
      <sz val="10"/>
      <name val="Arial"/>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99CC"/>
        <bgColor indexed="64"/>
      </patternFill>
    </fill>
  </fills>
  <borders count="48">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7">
    <xf numFmtId="0" fontId="0" fillId="0" borderId="0"/>
    <xf numFmtId="9" fontId="7" fillId="0" borderId="0" applyFont="0" applyFill="0" applyBorder="0" applyAlignment="0" applyProtection="0"/>
    <xf numFmtId="0" fontId="6" fillId="0" borderId="0"/>
    <xf numFmtId="0" fontId="5" fillId="0" borderId="0"/>
    <xf numFmtId="0" fontId="1" fillId="0" borderId="0"/>
    <xf numFmtId="0" fontId="33" fillId="0" borderId="0"/>
    <xf numFmtId="0" fontId="1" fillId="0" borderId="0"/>
  </cellStyleXfs>
  <cellXfs count="244">
    <xf numFmtId="0" fontId="0" fillId="0" borderId="0" xfId="0"/>
    <xf numFmtId="0" fontId="0" fillId="0" borderId="0" xfId="0" applyAlignment="1">
      <alignment horizontal="right"/>
    </xf>
    <xf numFmtId="165" fontId="9" fillId="0" borderId="0" xfId="0" applyNumberFormat="1" applyFont="1"/>
    <xf numFmtId="0" fontId="13" fillId="0" borderId="0" xfId="0" applyFont="1" applyBorder="1" applyAlignment="1">
      <alignment vertical="top" wrapText="1"/>
    </xf>
    <xf numFmtId="0" fontId="5" fillId="0" borderId="0" xfId="3"/>
    <xf numFmtId="0" fontId="15" fillId="0" borderId="0" xfId="3" applyFont="1"/>
    <xf numFmtId="0" fontId="16" fillId="0" borderId="0" xfId="3" applyFont="1"/>
    <xf numFmtId="0" fontId="18" fillId="0" borderId="0" xfId="3" applyFont="1"/>
    <xf numFmtId="0" fontId="20" fillId="0" borderId="0" xfId="3" applyFont="1"/>
    <xf numFmtId="0" fontId="4" fillId="0" borderId="0" xfId="3" applyFont="1"/>
    <xf numFmtId="0" fontId="19" fillId="0" borderId="0" xfId="3" applyFont="1"/>
    <xf numFmtId="0" fontId="3" fillId="0" borderId="0" xfId="3" applyFont="1"/>
    <xf numFmtId="0" fontId="21" fillId="0" borderId="0" xfId="3" applyFont="1"/>
    <xf numFmtId="0" fontId="3" fillId="0" borderId="0" xfId="3" applyFont="1" applyAlignment="1">
      <alignment horizontal="right"/>
    </xf>
    <xf numFmtId="0" fontId="22" fillId="0" borderId="0" xfId="3" applyFont="1"/>
    <xf numFmtId="0" fontId="25" fillId="0" borderId="0" xfId="3" applyFont="1"/>
    <xf numFmtId="0" fontId="27" fillId="0" borderId="0" xfId="0" applyFont="1" applyAlignment="1">
      <alignment horizontal="left" indent="1"/>
    </xf>
    <xf numFmtId="0" fontId="8" fillId="0" borderId="0" xfId="0" applyFont="1" applyAlignment="1">
      <alignment horizontal="left" indent="1"/>
    </xf>
    <xf numFmtId="0" fontId="2" fillId="0" borderId="0" xfId="3" applyFont="1"/>
    <xf numFmtId="0" fontId="15" fillId="0" borderId="25" xfId="3" applyFont="1" applyBorder="1"/>
    <xf numFmtId="0" fontId="15" fillId="0" borderId="41" xfId="3" applyFont="1" applyBorder="1" applyAlignment="1">
      <alignment horizontal="right"/>
    </xf>
    <xf numFmtId="0" fontId="15" fillId="0" borderId="41" xfId="3" applyFont="1" applyBorder="1"/>
    <xf numFmtId="165" fontId="15" fillId="0" borderId="41" xfId="3" applyNumberFormat="1" applyFont="1" applyBorder="1" applyAlignment="1">
      <alignment horizontal="right"/>
    </xf>
    <xf numFmtId="165" fontId="15" fillId="0" borderId="15" xfId="3" applyNumberFormat="1" applyFont="1" applyBorder="1"/>
    <xf numFmtId="167" fontId="15" fillId="0" borderId="15" xfId="3" applyNumberFormat="1" applyFont="1" applyBorder="1"/>
    <xf numFmtId="0" fontId="17" fillId="0" borderId="32" xfId="0" applyFont="1" applyFill="1" applyBorder="1" applyAlignment="1">
      <alignment horizontal="center" vertical="center" wrapText="1"/>
    </xf>
    <xf numFmtId="167" fontId="0" fillId="0" borderId="6" xfId="0" applyNumberFormat="1" applyFill="1" applyBorder="1"/>
    <xf numFmtId="0" fontId="0" fillId="0" borderId="13" xfId="0" applyFill="1" applyBorder="1"/>
    <xf numFmtId="165" fontId="0" fillId="0" borderId="7" xfId="0" applyNumberFormat="1" applyFill="1" applyBorder="1"/>
    <xf numFmtId="0" fontId="0" fillId="0" borderId="14" xfId="0" applyFill="1" applyBorder="1"/>
    <xf numFmtId="167" fontId="0" fillId="0" borderId="5" xfId="0" applyNumberFormat="1" applyFill="1" applyBorder="1"/>
    <xf numFmtId="165" fontId="0" fillId="0" borderId="8" xfId="0" applyNumberFormat="1" applyFill="1" applyBorder="1"/>
    <xf numFmtId="0" fontId="0" fillId="0" borderId="20" xfId="0" applyFill="1" applyBorder="1"/>
    <xf numFmtId="167" fontId="0" fillId="0" borderId="29" xfId="0" applyNumberFormat="1" applyFill="1" applyBorder="1"/>
    <xf numFmtId="165" fontId="0" fillId="0" borderId="18" xfId="0" applyNumberFormat="1" applyFill="1" applyBorder="1"/>
    <xf numFmtId="0" fontId="0" fillId="0" borderId="14" xfId="0" applyFill="1" applyBorder="1" applyAlignment="1">
      <alignment horizontal="right"/>
    </xf>
    <xf numFmtId="0" fontId="8" fillId="0" borderId="0" xfId="0" applyFont="1" applyFill="1" applyBorder="1" applyAlignment="1">
      <alignment vertical="center" wrapText="1"/>
    </xf>
    <xf numFmtId="165" fontId="0" fillId="0" borderId="45" xfId="0" applyNumberFormat="1" applyFill="1" applyBorder="1"/>
    <xf numFmtId="165" fontId="0" fillId="0" borderId="46" xfId="0" applyNumberFormat="1" applyFill="1" applyBorder="1"/>
    <xf numFmtId="0" fontId="0" fillId="3" borderId="0" xfId="0" applyFill="1" applyProtection="1"/>
    <xf numFmtId="0" fontId="0" fillId="5" borderId="6" xfId="0" applyFill="1" applyBorder="1" applyProtection="1">
      <protection locked="0"/>
    </xf>
    <xf numFmtId="0" fontId="0" fillId="5" borderId="6" xfId="0" applyFill="1" applyBorder="1" applyAlignment="1" applyProtection="1">
      <alignment horizontal="center"/>
      <protection locked="0"/>
    </xf>
    <xf numFmtId="0" fontId="0" fillId="5" borderId="5" xfId="0" applyFill="1" applyBorder="1" applyProtection="1">
      <protection locked="0"/>
    </xf>
    <xf numFmtId="1" fontId="0" fillId="5" borderId="6" xfId="0" applyNumberFormat="1" applyFill="1" applyBorder="1" applyProtection="1">
      <protection locked="0"/>
    </xf>
    <xf numFmtId="0" fontId="12" fillId="3" borderId="0" xfId="0" applyFont="1" applyFill="1" applyBorder="1" applyAlignment="1" applyProtection="1"/>
    <xf numFmtId="0" fontId="0" fillId="5" borderId="6" xfId="0" applyFill="1" applyBorder="1" applyProtection="1"/>
    <xf numFmtId="0" fontId="0" fillId="6" borderId="22" xfId="0" applyFill="1" applyBorder="1" applyProtection="1"/>
    <xf numFmtId="0" fontId="0" fillId="3" borderId="47" xfId="0" applyFill="1" applyBorder="1" applyProtection="1"/>
    <xf numFmtId="0" fontId="12" fillId="3" borderId="0" xfId="0" applyFont="1" applyFill="1" applyProtection="1"/>
    <xf numFmtId="0" fontId="12" fillId="3" borderId="9" xfId="0" applyFont="1" applyFill="1" applyBorder="1" applyProtection="1"/>
    <xf numFmtId="0" fontId="0" fillId="3" borderId="1" xfId="0" applyFill="1" applyBorder="1" applyProtection="1"/>
    <xf numFmtId="0" fontId="0" fillId="3" borderId="2" xfId="0" applyFill="1" applyBorder="1" applyProtection="1"/>
    <xf numFmtId="0" fontId="0" fillId="3" borderId="0" xfId="0" applyFill="1" applyBorder="1" applyProtection="1"/>
    <xf numFmtId="0" fontId="0" fillId="3" borderId="3" xfId="0" applyFill="1" applyBorder="1" applyProtection="1"/>
    <xf numFmtId="0" fontId="0" fillId="3" borderId="6" xfId="0" applyFill="1" applyBorder="1" applyProtection="1"/>
    <xf numFmtId="0" fontId="8" fillId="3" borderId="7" xfId="0" applyFont="1" applyFill="1" applyBorder="1" applyProtection="1"/>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4" xfId="0" applyFill="1" applyBorder="1" applyProtection="1"/>
    <xf numFmtId="0" fontId="7" fillId="3" borderId="5" xfId="5" applyFont="1" applyFill="1" applyBorder="1" applyProtection="1"/>
    <xf numFmtId="0" fontId="0" fillId="3" borderId="8" xfId="0" applyFill="1" applyBorder="1" applyAlignment="1" applyProtection="1">
      <alignment horizontal="center" vertical="center"/>
    </xf>
    <xf numFmtId="0" fontId="0" fillId="3" borderId="37" xfId="0" applyFill="1" applyBorder="1" applyProtection="1"/>
    <xf numFmtId="0" fontId="0" fillId="3" borderId="6" xfId="0" applyFill="1" applyBorder="1" applyAlignment="1" applyProtection="1">
      <alignment horizontal="right"/>
    </xf>
    <xf numFmtId="0" fontId="7" fillId="3" borderId="7" xfId="0" applyFont="1" applyFill="1" applyBorder="1" applyProtection="1"/>
    <xf numFmtId="0" fontId="11" fillId="3" borderId="6" xfId="0" applyFont="1" applyFill="1" applyBorder="1" applyAlignment="1" applyProtection="1">
      <alignment horizontal="center"/>
    </xf>
    <xf numFmtId="0" fontId="0" fillId="3" borderId="7" xfId="0" applyFill="1" applyBorder="1" applyProtection="1"/>
    <xf numFmtId="0" fontId="0" fillId="3" borderId="5" xfId="0" applyFill="1" applyBorder="1" applyProtection="1"/>
    <xf numFmtId="0" fontId="7" fillId="3" borderId="8" xfId="0" applyFont="1" applyFill="1" applyBorder="1" applyProtection="1"/>
    <xf numFmtId="0" fontId="0" fillId="3" borderId="8" xfId="0" applyFill="1" applyBorder="1" applyProtection="1"/>
    <xf numFmtId="1" fontId="0" fillId="3" borderId="6" xfId="0" applyNumberFormat="1" applyFill="1" applyBorder="1" applyAlignment="1" applyProtection="1">
      <alignment horizontal="center" vertical="center"/>
    </xf>
    <xf numFmtId="1" fontId="0" fillId="3" borderId="5" xfId="0" applyNumberFormat="1" applyFill="1" applyBorder="1" applyAlignment="1" applyProtection="1">
      <alignment horizontal="center" vertical="center"/>
    </xf>
    <xf numFmtId="0" fontId="12" fillId="3" borderId="10" xfId="0" applyFont="1" applyFill="1" applyBorder="1" applyProtection="1"/>
    <xf numFmtId="0" fontId="24" fillId="3" borderId="12" xfId="0" applyFont="1" applyFill="1" applyBorder="1" applyAlignment="1" applyProtection="1">
      <alignment horizontal="center" vertical="center" wrapText="1"/>
    </xf>
    <xf numFmtId="166" fontId="12" fillId="6" borderId="12" xfId="0" applyNumberFormat="1" applyFont="1" applyFill="1" applyBorder="1" applyAlignment="1" applyProtection="1">
      <alignment horizontal="center" vertical="center"/>
    </xf>
    <xf numFmtId="0" fontId="0" fillId="3" borderId="40" xfId="0" applyFill="1" applyBorder="1" applyProtection="1"/>
    <xf numFmtId="0" fontId="0" fillId="6" borderId="6" xfId="0" applyFill="1" applyBorder="1" applyProtection="1"/>
    <xf numFmtId="0" fontId="7" fillId="3" borderId="0" xfId="0" applyFont="1" applyFill="1" applyBorder="1" applyProtection="1"/>
    <xf numFmtId="0" fontId="0" fillId="3" borderId="6" xfId="0" applyFill="1" applyBorder="1" applyAlignment="1" applyProtection="1">
      <alignment horizontal="center"/>
    </xf>
    <xf numFmtId="164" fontId="0" fillId="3" borderId="6" xfId="0" applyNumberFormat="1" applyFill="1" applyBorder="1" applyProtection="1"/>
    <xf numFmtId="1" fontId="0" fillId="3" borderId="5" xfId="0" applyNumberFormat="1" applyFill="1" applyBorder="1" applyAlignment="1" applyProtection="1">
      <alignment horizontal="right" vertical="center"/>
    </xf>
    <xf numFmtId="1" fontId="0" fillId="3" borderId="6" xfId="0" applyNumberFormat="1" applyFill="1" applyBorder="1" applyProtection="1"/>
    <xf numFmtId="0" fontId="7" fillId="3" borderId="7" xfId="0" applyFont="1" applyFill="1" applyBorder="1" applyAlignment="1" applyProtection="1">
      <alignment vertical="center" wrapText="1"/>
    </xf>
    <xf numFmtId="9" fontId="0" fillId="3" borderId="6" xfId="0" applyNumberFormat="1" applyFill="1" applyBorder="1" applyAlignment="1" applyProtection="1">
      <alignment horizontal="center" vertical="center"/>
    </xf>
    <xf numFmtId="0" fontId="9" fillId="3" borderId="7" xfId="0" applyFont="1" applyFill="1" applyBorder="1" applyProtection="1"/>
    <xf numFmtId="164" fontId="0" fillId="3" borderId="6" xfId="0" applyNumberFormat="1" applyFill="1" applyBorder="1" applyAlignment="1" applyProtection="1">
      <alignment horizontal="center" vertical="center"/>
    </xf>
    <xf numFmtId="166" fontId="0" fillId="3" borderId="6" xfId="0" applyNumberFormat="1" applyFill="1" applyBorder="1" applyAlignment="1" applyProtection="1">
      <alignment horizontal="center" vertical="center"/>
    </xf>
    <xf numFmtId="0" fontId="0" fillId="3" borderId="0" xfId="0" applyFill="1" applyBorder="1" applyAlignment="1" applyProtection="1">
      <alignment horizontal="center" vertical="center"/>
    </xf>
    <xf numFmtId="166" fontId="0" fillId="3" borderId="0" xfId="0" applyNumberFormat="1" applyFill="1" applyBorder="1" applyAlignment="1" applyProtection="1">
      <alignment horizontal="center" vertical="center"/>
    </xf>
    <xf numFmtId="0" fontId="12" fillId="3" borderId="0" xfId="0" applyFont="1" applyFill="1" applyBorder="1" applyAlignment="1" applyProtection="1">
      <alignment horizontal="center" vertical="center"/>
    </xf>
    <xf numFmtId="166" fontId="0" fillId="3" borderId="0" xfId="0" applyNumberFormat="1" applyFill="1" applyBorder="1" applyProtection="1"/>
    <xf numFmtId="0" fontId="8" fillId="3" borderId="6" xfId="0" applyFont="1" applyFill="1" applyBorder="1" applyAlignment="1" applyProtection="1">
      <alignment horizontal="right" vertical="center"/>
    </xf>
    <xf numFmtId="0" fontId="0" fillId="3" borderId="0" xfId="0" applyFill="1" applyBorder="1" applyAlignment="1" applyProtection="1">
      <alignment vertical="top" wrapText="1"/>
    </xf>
    <xf numFmtId="0" fontId="7" fillId="3" borderId="6" xfId="0" applyFont="1" applyFill="1" applyBorder="1" applyAlignment="1" applyProtection="1">
      <alignment horizontal="right" vertical="center"/>
    </xf>
    <xf numFmtId="9" fontId="0" fillId="3" borderId="6" xfId="1" applyFont="1" applyFill="1" applyBorder="1" applyProtection="1"/>
    <xf numFmtId="0" fontId="7" fillId="3" borderId="0" xfId="0" applyFont="1" applyFill="1" applyBorder="1" applyAlignment="1" applyProtection="1">
      <alignment horizontal="right" vertical="center"/>
    </xf>
    <xf numFmtId="9" fontId="0" fillId="3" borderId="0" xfId="1" applyFont="1" applyFill="1" applyBorder="1" applyProtection="1"/>
    <xf numFmtId="0" fontId="7" fillId="3" borderId="37" xfId="0" applyFont="1" applyFill="1" applyBorder="1" applyProtection="1"/>
    <xf numFmtId="0" fontId="12" fillId="3" borderId="0" xfId="0" applyFont="1" applyFill="1" applyBorder="1" applyAlignment="1" applyProtection="1">
      <alignment vertical="center"/>
    </xf>
    <xf numFmtId="0" fontId="24" fillId="3" borderId="35" xfId="0" applyFont="1" applyFill="1" applyBorder="1" applyAlignment="1" applyProtection="1">
      <alignment horizontal="center" vertical="center" wrapText="1"/>
    </xf>
    <xf numFmtId="0" fontId="7" fillId="3" borderId="5" xfId="0" applyFont="1" applyFill="1" applyBorder="1" applyAlignment="1" applyProtection="1">
      <alignment vertical="center" wrapText="1"/>
    </xf>
    <xf numFmtId="166" fontId="0" fillId="6" borderId="5" xfId="0" applyNumberFormat="1" applyFill="1" applyBorder="1" applyAlignment="1" applyProtection="1">
      <alignment horizontal="center" vertical="center"/>
    </xf>
    <xf numFmtId="9" fontId="0" fillId="5" borderId="6" xfId="1" applyFont="1" applyFill="1" applyBorder="1" applyProtection="1">
      <protection locked="0"/>
    </xf>
    <xf numFmtId="0" fontId="7" fillId="5" borderId="6" xfId="0" applyFont="1" applyFill="1" applyBorder="1" applyAlignment="1" applyProtection="1">
      <alignment horizontal="center"/>
      <protection locked="0"/>
    </xf>
    <xf numFmtId="0" fontId="0" fillId="5" borderId="6" xfId="0" applyFill="1" applyBorder="1" applyAlignment="1" applyProtection="1">
      <alignment horizontal="center" vertical="center"/>
      <protection locked="0"/>
    </xf>
    <xf numFmtId="0" fontId="12" fillId="0" borderId="0" xfId="0" applyFont="1" applyProtection="1"/>
    <xf numFmtId="0" fontId="0" fillId="0" borderId="0" xfId="0" applyProtection="1"/>
    <xf numFmtId="0" fontId="12" fillId="0" borderId="33" xfId="0" applyFont="1" applyBorder="1" applyAlignment="1" applyProtection="1">
      <alignment horizontal="center" vertical="center"/>
    </xf>
    <xf numFmtId="0" fontId="0" fillId="0" borderId="30" xfId="0" applyBorder="1" applyAlignment="1" applyProtection="1">
      <alignment horizontal="center"/>
    </xf>
    <xf numFmtId="0" fontId="9" fillId="0" borderId="32" xfId="0" applyFont="1" applyBorder="1" applyProtection="1"/>
    <xf numFmtId="0" fontId="0" fillId="0" borderId="31" xfId="0" applyBorder="1" applyProtection="1"/>
    <xf numFmtId="0" fontId="0" fillId="2" borderId="31" xfId="0" applyFill="1" applyBorder="1" applyProtection="1"/>
    <xf numFmtId="0" fontId="0" fillId="0" borderId="34" xfId="0" applyBorder="1" applyProtection="1"/>
    <xf numFmtId="0" fontId="8" fillId="0" borderId="13" xfId="0" applyFont="1" applyBorder="1" applyProtection="1"/>
    <xf numFmtId="0" fontId="0" fillId="0" borderId="6" xfId="0" applyBorder="1" applyProtection="1"/>
    <xf numFmtId="0" fontId="0" fillId="2" borderId="6" xfId="0" applyFill="1" applyBorder="1" applyProtection="1"/>
    <xf numFmtId="0" fontId="0" fillId="0" borderId="7" xfId="0" applyBorder="1" applyProtection="1"/>
    <xf numFmtId="0" fontId="0" fillId="0" borderId="14" xfId="0" applyBorder="1" applyProtection="1"/>
    <xf numFmtId="0" fontId="0" fillId="0" borderId="5" xfId="0" applyBorder="1" applyProtection="1"/>
    <xf numFmtId="0" fontId="0" fillId="2" borderId="5" xfId="0" applyFill="1" applyBorder="1" applyProtection="1"/>
    <xf numFmtId="0" fontId="0" fillId="0" borderId="8" xfId="0" applyBorder="1" applyProtection="1"/>
    <xf numFmtId="0" fontId="12" fillId="0" borderId="21"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0" fillId="0" borderId="20" xfId="0" applyBorder="1" applyProtection="1"/>
    <xf numFmtId="2" fontId="0" fillId="2" borderId="29" xfId="0" applyNumberFormat="1" applyFill="1" applyBorder="1" applyAlignment="1" applyProtection="1">
      <alignment horizontal="right"/>
    </xf>
    <xf numFmtId="164" fontId="0" fillId="2" borderId="18" xfId="0" applyNumberFormat="1" applyFill="1" applyBorder="1" applyProtection="1"/>
    <xf numFmtId="0" fontId="9" fillId="0" borderId="0" xfId="0" applyFont="1" applyAlignment="1" applyProtection="1">
      <alignment horizontal="left"/>
    </xf>
    <xf numFmtId="0" fontId="0" fillId="0" borderId="13" xfId="0" applyBorder="1" applyProtection="1"/>
    <xf numFmtId="2" fontId="0" fillId="2" borderId="6" xfId="0" applyNumberFormat="1" applyFill="1" applyBorder="1" applyProtection="1"/>
    <xf numFmtId="164" fontId="0" fillId="2" borderId="7" xfId="0" applyNumberFormat="1" applyFill="1" applyBorder="1" applyProtection="1"/>
    <xf numFmtId="2" fontId="0" fillId="2" borderId="5" xfId="0" applyNumberFormat="1" applyFill="1" applyBorder="1" applyProtection="1"/>
    <xf numFmtId="164" fontId="0" fillId="2" borderId="8" xfId="0" applyNumberFormat="1" applyFill="1" applyBorder="1" applyProtection="1"/>
    <xf numFmtId="1" fontId="9" fillId="0" borderId="0" xfId="0" applyNumberFormat="1" applyFont="1" applyAlignment="1" applyProtection="1">
      <alignment horizontal="left"/>
    </xf>
    <xf numFmtId="0" fontId="0" fillId="0" borderId="19" xfId="0" applyBorder="1" applyAlignment="1" applyProtection="1">
      <alignment horizontal="center" vertical="center" wrapText="1"/>
    </xf>
    <xf numFmtId="1" fontId="0" fillId="2" borderId="18" xfId="0" applyNumberFormat="1" applyFill="1" applyBorder="1" applyProtection="1"/>
    <xf numFmtId="0" fontId="8" fillId="0" borderId="0" xfId="0" applyFont="1" applyAlignment="1" applyProtection="1">
      <alignment horizontal="left"/>
    </xf>
    <xf numFmtId="0" fontId="0" fillId="2" borderId="8" xfId="0" applyFill="1" applyBorder="1" applyAlignment="1" applyProtection="1">
      <alignment horizontal="right"/>
    </xf>
    <xf numFmtId="0" fontId="0" fillId="0" borderId="0" xfId="0" applyBorder="1" applyProtection="1"/>
    <xf numFmtId="0" fontId="0" fillId="0" borderId="0" xfId="0" applyFill="1" applyBorder="1" applyAlignment="1" applyProtection="1">
      <alignment horizontal="right"/>
    </xf>
    <xf numFmtId="0" fontId="0" fillId="0" borderId="21" xfId="0" applyBorder="1" applyAlignment="1" applyProtection="1">
      <alignment wrapText="1"/>
    </xf>
    <xf numFmtId="0" fontId="0" fillId="0" borderId="23" xfId="0" applyBorder="1" applyAlignment="1" applyProtection="1">
      <alignment wrapText="1"/>
    </xf>
    <xf numFmtId="0" fontId="0" fillId="0" borderId="24" xfId="0" applyBorder="1" applyProtection="1"/>
    <xf numFmtId="0" fontId="0" fillId="0" borderId="17" xfId="0" applyBorder="1" applyProtection="1"/>
    <xf numFmtId="0" fontId="0" fillId="0" borderId="29" xfId="0" applyBorder="1" applyAlignment="1" applyProtection="1">
      <alignment horizontal="center"/>
    </xf>
    <xf numFmtId="164" fontId="0" fillId="0" borderId="25" xfId="0" applyNumberFormat="1" applyBorder="1" applyProtection="1"/>
    <xf numFmtId="0" fontId="0" fillId="0" borderId="27" xfId="0" applyBorder="1" applyProtection="1"/>
    <xf numFmtId="0" fontId="0" fillId="0" borderId="25" xfId="0" applyBorder="1" applyProtection="1"/>
    <xf numFmtId="0" fontId="0" fillId="0" borderId="15" xfId="0" applyBorder="1" applyProtection="1"/>
    <xf numFmtId="0" fontId="0" fillId="0" borderId="6" xfId="0" applyBorder="1" applyAlignment="1" applyProtection="1">
      <alignment horizontal="center"/>
    </xf>
    <xf numFmtId="0" fontId="0" fillId="0" borderId="26" xfId="0" applyBorder="1" applyProtection="1"/>
    <xf numFmtId="0" fontId="0" fillId="0" borderId="16" xfId="0" applyBorder="1" applyProtection="1"/>
    <xf numFmtId="0" fontId="0" fillId="0" borderId="5" xfId="0" applyBorder="1" applyAlignment="1" applyProtection="1">
      <alignment horizontal="center"/>
    </xf>
    <xf numFmtId="164" fontId="0" fillId="0" borderId="26" xfId="0" applyNumberFormat="1" applyBorder="1" applyProtection="1"/>
    <xf numFmtId="0" fontId="0" fillId="0" borderId="28" xfId="0" applyBorder="1" applyProtection="1"/>
    <xf numFmtId="0" fontId="8" fillId="0" borderId="0" xfId="0" applyFont="1" applyProtection="1"/>
    <xf numFmtId="0" fontId="11" fillId="0" borderId="3" xfId="0" applyFont="1" applyBorder="1" applyAlignment="1" applyProtection="1">
      <alignment vertical="top" wrapText="1"/>
    </xf>
    <xf numFmtId="0" fontId="13" fillId="0" borderId="0" xfId="0" applyFont="1" applyBorder="1" applyAlignment="1" applyProtection="1">
      <alignment vertical="top" wrapText="1"/>
    </xf>
    <xf numFmtId="0" fontId="0" fillId="2" borderId="36" xfId="0" applyFill="1" applyBorder="1" applyProtection="1"/>
    <xf numFmtId="0" fontId="0" fillId="0" borderId="0" xfId="0" applyFill="1" applyBorder="1" applyProtection="1"/>
    <xf numFmtId="0" fontId="14" fillId="0" borderId="0" xfId="0" applyFont="1" applyAlignment="1" applyProtection="1">
      <alignment horizontal="left" inden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0" fillId="2" borderId="8" xfId="0" applyFill="1" applyBorder="1" applyProtection="1"/>
    <xf numFmtId="0" fontId="13" fillId="0" borderId="0" xfId="0" applyFont="1" applyAlignment="1" applyProtection="1">
      <alignment horizontal="left" indent="1"/>
    </xf>
    <xf numFmtId="0" fontId="0" fillId="0" borderId="0" xfId="0" applyFill="1" applyProtection="1"/>
    <xf numFmtId="0" fontId="0" fillId="0" borderId="0" xfId="0" applyAlignment="1" applyProtection="1">
      <alignment horizontal="right"/>
    </xf>
    <xf numFmtId="164" fontId="10" fillId="4" borderId="6" xfId="0" applyNumberFormat="1" applyFont="1" applyFill="1" applyBorder="1" applyProtection="1"/>
    <xf numFmtId="0" fontId="10" fillId="0" borderId="0" xfId="0" applyFont="1" applyProtection="1"/>
    <xf numFmtId="165" fontId="9" fillId="0" borderId="0" xfId="0" applyNumberFormat="1" applyFont="1" applyProtection="1"/>
    <xf numFmtId="9" fontId="10" fillId="4" borderId="6" xfId="0" applyNumberFormat="1" applyFont="1" applyFill="1" applyBorder="1" applyProtection="1"/>
    <xf numFmtId="0" fontId="8" fillId="0" borderId="0" xfId="0" applyFont="1" applyAlignment="1" applyProtection="1">
      <alignment horizontal="right"/>
    </xf>
    <xf numFmtId="2" fontId="0" fillId="0" borderId="0" xfId="0" applyNumberFormat="1" applyProtection="1"/>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165" fontId="0" fillId="0" borderId="0" xfId="0" applyNumberFormat="1" applyProtection="1"/>
    <xf numFmtId="165" fontId="0" fillId="0" borderId="0" xfId="0" applyNumberFormat="1" applyFill="1" applyProtection="1"/>
    <xf numFmtId="167" fontId="0" fillId="0" borderId="0" xfId="0" applyNumberFormat="1" applyProtection="1"/>
    <xf numFmtId="0" fontId="7" fillId="0" borderId="0" xfId="0" applyFont="1" applyProtection="1"/>
    <xf numFmtId="0" fontId="7" fillId="3" borderId="0" xfId="0" applyFont="1" applyFill="1" applyProtection="1"/>
    <xf numFmtId="0" fontId="11" fillId="5" borderId="9" xfId="0" applyFont="1"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37" xfId="0" applyFill="1" applyBorder="1" applyAlignment="1" applyProtection="1">
      <alignment vertical="top" wrapText="1"/>
      <protection locked="0"/>
    </xf>
    <xf numFmtId="0" fontId="0" fillId="5" borderId="4"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7" fillId="5" borderId="10" xfId="0" applyFont="1" applyFill="1" applyBorder="1" applyAlignment="1" applyProtection="1">
      <alignment horizontal="center"/>
      <protection locked="0"/>
    </xf>
    <xf numFmtId="0" fontId="0" fillId="5" borderId="40" xfId="0" applyFill="1" applyBorder="1" applyAlignment="1" applyProtection="1">
      <alignment horizontal="center"/>
      <protection locked="0"/>
    </xf>
    <xf numFmtId="0" fontId="12" fillId="3" borderId="4" xfId="0" applyFont="1" applyFill="1" applyBorder="1" applyAlignment="1" applyProtection="1">
      <alignment horizontal="center"/>
    </xf>
    <xf numFmtId="0" fontId="12" fillId="3" borderId="38" xfId="0" applyFont="1" applyFill="1" applyBorder="1" applyAlignment="1" applyProtection="1">
      <alignment horizontal="center"/>
    </xf>
    <xf numFmtId="0" fontId="12" fillId="3" borderId="39" xfId="0" applyFont="1" applyFill="1" applyBorder="1" applyAlignment="1" applyProtection="1">
      <alignment horizontal="center"/>
    </xf>
    <xf numFmtId="0" fontId="12" fillId="3" borderId="0" xfId="0" applyFont="1" applyFill="1" applyAlignment="1" applyProtection="1">
      <alignment horizontal="right"/>
    </xf>
    <xf numFmtId="0" fontId="12" fillId="3" borderId="37" xfId="0" applyFont="1" applyFill="1" applyBorder="1" applyAlignment="1" applyProtection="1">
      <alignment horizontal="right"/>
    </xf>
    <xf numFmtId="0" fontId="12" fillId="3" borderId="9" xfId="0" applyFont="1" applyFill="1" applyBorder="1" applyAlignment="1" applyProtection="1">
      <alignment horizontal="center"/>
    </xf>
    <xf numFmtId="0" fontId="12" fillId="3" borderId="1" xfId="0" applyFont="1" applyFill="1" applyBorder="1" applyAlignment="1" applyProtection="1">
      <alignment horizontal="center"/>
    </xf>
    <xf numFmtId="0" fontId="12" fillId="3" borderId="2" xfId="0" applyFont="1" applyFill="1" applyBorder="1" applyAlignment="1" applyProtection="1">
      <alignment horizontal="center"/>
    </xf>
    <xf numFmtId="0" fontId="12" fillId="3" borderId="3" xfId="0" applyFont="1" applyFill="1" applyBorder="1" applyAlignment="1" applyProtection="1">
      <alignment horizontal="center"/>
    </xf>
    <xf numFmtId="0" fontId="12" fillId="3" borderId="0" xfId="0" applyFont="1" applyFill="1" applyBorder="1" applyAlignment="1" applyProtection="1">
      <alignment horizontal="center"/>
    </xf>
    <xf numFmtId="0" fontId="12" fillId="3" borderId="37"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0" fillId="3" borderId="10" xfId="0" applyFill="1" applyBorder="1" applyAlignment="1" applyProtection="1">
      <alignment horizontal="center"/>
    </xf>
    <xf numFmtId="0" fontId="0" fillId="3" borderId="40" xfId="0" applyFill="1" applyBorder="1" applyAlignment="1" applyProtection="1">
      <alignment horizontal="center"/>
    </xf>
    <xf numFmtId="0" fontId="0" fillId="3" borderId="6"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vertical="center" wrapText="1"/>
    </xf>
    <xf numFmtId="0" fontId="0" fillId="3" borderId="7" xfId="0" applyFill="1" applyBorder="1" applyAlignment="1" applyProtection="1">
      <alignment vertical="center" wrapText="1"/>
    </xf>
    <xf numFmtId="0" fontId="12" fillId="0" borderId="3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0" fillId="0" borderId="23" xfId="0" applyBorder="1" applyAlignment="1" applyProtection="1">
      <alignment horizontal="center" wrapText="1"/>
    </xf>
    <xf numFmtId="0" fontId="0" fillId="0" borderId="19" xfId="0" applyBorder="1" applyAlignment="1" applyProtection="1">
      <alignment horizontal="center" wrapText="1"/>
    </xf>
    <xf numFmtId="0" fontId="0" fillId="0" borderId="42" xfId="0" applyBorder="1" applyAlignment="1" applyProtection="1">
      <alignment horizontal="center" vertical="center" wrapText="1"/>
    </xf>
    <xf numFmtId="0" fontId="0" fillId="0" borderId="2" xfId="0" applyBorder="1" applyAlignment="1" applyProtection="1">
      <alignment horizontal="center" vertical="center" wrapText="1"/>
    </xf>
    <xf numFmtId="0" fontId="11" fillId="0" borderId="0" xfId="0" applyFont="1" applyBorder="1" applyAlignment="1" applyProtection="1">
      <alignment horizontal="left" vertical="center" wrapText="1" indent="1"/>
    </xf>
    <xf numFmtId="0" fontId="15" fillId="0" borderId="25" xfId="3" applyFont="1" applyBorder="1" applyAlignment="1">
      <alignment horizontal="right"/>
    </xf>
    <xf numFmtId="0" fontId="15" fillId="0" borderId="41" xfId="3" applyFont="1" applyBorder="1" applyAlignment="1">
      <alignment horizontal="right"/>
    </xf>
    <xf numFmtId="0" fontId="15" fillId="0" borderId="15" xfId="3" applyFont="1" applyBorder="1" applyAlignment="1">
      <alignment horizontal="right"/>
    </xf>
    <xf numFmtId="0" fontId="26" fillId="0" borderId="10" xfId="0" applyFont="1" applyBorder="1" applyAlignment="1">
      <alignment horizontal="center" vertical="center" wrapText="1"/>
    </xf>
    <xf numFmtId="0" fontId="26" fillId="0" borderId="40" xfId="0" applyFont="1" applyBorder="1" applyAlignment="1">
      <alignment horizontal="center" vertical="center" wrapText="1"/>
    </xf>
    <xf numFmtId="165" fontId="28" fillId="3" borderId="10" xfId="0" applyNumberFormat="1" applyFont="1" applyFill="1" applyBorder="1" applyAlignment="1">
      <alignment horizontal="center"/>
    </xf>
    <xf numFmtId="165" fontId="28" fillId="3" borderId="40" xfId="0" applyNumberFormat="1" applyFont="1" applyFill="1" applyBorder="1" applyAlignment="1">
      <alignment horizontal="center"/>
    </xf>
    <xf numFmtId="0" fontId="28" fillId="3" borderId="10" xfId="0" applyFont="1" applyFill="1" applyBorder="1" applyAlignment="1">
      <alignment horizontal="center"/>
    </xf>
    <xf numFmtId="0" fontId="28" fillId="3" borderId="40" xfId="0" applyFont="1" applyFill="1" applyBorder="1" applyAlignment="1">
      <alignment horizontal="center"/>
    </xf>
    <xf numFmtId="0" fontId="8" fillId="0" borderId="3" xfId="0" applyFont="1" applyBorder="1" applyAlignment="1">
      <alignment horizontal="left" vertical="center" wrapText="1" indent="1"/>
    </xf>
    <xf numFmtId="0" fontId="8" fillId="0" borderId="0" xfId="0" applyFont="1" applyBorder="1" applyAlignment="1">
      <alignment horizontal="left" vertical="center" wrapText="1" indent="1"/>
    </xf>
    <xf numFmtId="0" fontId="2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9"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9" xfId="0" applyFont="1" applyBorder="1" applyAlignment="1">
      <alignment horizontal="center" vertical="center" wrapText="1"/>
    </xf>
    <xf numFmtId="0" fontId="8" fillId="0" borderId="3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4" xfId="0" applyFont="1" applyFill="1" applyBorder="1" applyAlignment="1">
      <alignment horizontal="center" vertical="center" wrapText="1"/>
    </xf>
  </cellXfs>
  <cellStyles count="7">
    <cellStyle name="Normal" xfId="0" builtinId="0"/>
    <cellStyle name="Normal 2" xfId="2"/>
    <cellStyle name="Normal 2 2" xfId="5"/>
    <cellStyle name="Normal 3" xfId="3"/>
    <cellStyle name="Normal 3 2" xfId="6"/>
    <cellStyle name="Normal 4" xfId="4"/>
    <cellStyle name="Percent" xfId="1" builtinId="5"/>
  </cellStyles>
  <dxfs count="7">
    <dxf>
      <numFmt numFmtId="168" formatCode=";;;"/>
    </dxf>
    <dxf>
      <numFmt numFmtId="168" formatCode=";;;"/>
    </dxf>
    <dxf>
      <numFmt numFmtId="168" formatCode=";;;"/>
    </dxf>
    <dxf>
      <numFmt numFmtId="168" formatCode=";;;"/>
    </dxf>
    <dxf>
      <numFmt numFmtId="168" formatCode=";;;"/>
    </dxf>
    <dxf>
      <numFmt numFmtId="168" formatCode=";;;"/>
    </dxf>
    <dxf>
      <numFmt numFmtId="168" formatCode=";;;"/>
    </dxf>
  </dxfs>
  <tableStyles count="0" defaultTableStyle="TableStyleMedium9" defaultPivotStyle="PivotStyleLight16"/>
  <colors>
    <mruColors>
      <color rgb="FFFFFF99"/>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Deficit Analyses'!$F$49:$F$50</c:f>
              <c:strCache>
                <c:ptCount val="1"/>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ser>
        <c:ser>
          <c:idx val="0"/>
          <c:order val="1"/>
          <c:tx>
            <c:strRef>
              <c:f>'Carbon Deficit Analyses'!$E$49:$E$50</c:f>
              <c:strCache>
                <c:ptCount val="1"/>
                <c:pt idx="0">
                  <c:v>Forest Residues</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ser>
        <c:ser>
          <c:idx val="2"/>
          <c:order val="2"/>
          <c:tx>
            <c:strRef>
              <c:f>'Carbon Deficit Analyses'!$G$49:$G$50</c:f>
              <c:strCache>
                <c:ptCount val="1"/>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ser>
        <c:ser>
          <c:idx val="3"/>
          <c:order val="3"/>
          <c:tx>
            <c:strRef>
              <c:f>'Carbon Deficit Analyses'!$I$49:$I$50</c:f>
              <c:strCache>
                <c:ptCount val="1"/>
                <c:pt idx="0">
                  <c:v>Residues (Consolidated)</c:v>
                </c:pt>
              </c:strCache>
            </c:strRef>
          </c:tx>
          <c:spPr>
            <a:ln>
              <a:solidFill>
                <a:schemeClr val="tx1"/>
              </a:solidFill>
              <a:prstDash val="dash"/>
            </a:ln>
          </c:spPr>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1</xdr:rowOff>
    </xdr:from>
    <xdr:to>
      <xdr:col>14</xdr:col>
      <xdr:colOff>0</xdr:colOff>
      <xdr:row>51</xdr:row>
      <xdr:rowOff>57151</xdr:rowOff>
    </xdr:to>
    <xdr:sp macro="" textlink="">
      <xdr:nvSpPr>
        <xdr:cNvPr id="2" name="TextBox 1"/>
        <xdr:cNvSpPr txBox="1"/>
      </xdr:nvSpPr>
      <xdr:spPr>
        <a:xfrm>
          <a:off x="190500" y="161926"/>
          <a:ext cx="7696200" cy="815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a:t>
          </a:r>
          <a:endParaRPr lang="en-US"/>
        </a:p>
        <a:p>
          <a:pPr algn="ctr"/>
          <a:r>
            <a:rPr lang="en-US" sz="1100" b="1"/>
            <a:t> </a:t>
          </a:r>
          <a:endParaRPr lang="en-US"/>
        </a:p>
        <a:p>
          <a:pPr algn="ctr"/>
          <a:r>
            <a:rPr lang="en-US" sz="1100" b="1"/>
            <a:t>Guideline on</a:t>
          </a:r>
          <a:r>
            <a:rPr lang="en-US" sz="1100" b="1" baseline="0"/>
            <a:t> Overall Efficiency and Lifecycle GHG Analysis</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effectLst/>
              <a:latin typeface="+mn-lt"/>
              <a:ea typeface="+mn-ea"/>
              <a:cs typeface="+mn-cs"/>
            </a:rPr>
            <a:t>Under 225 CMR 14.00</a:t>
          </a:r>
          <a:r>
            <a:rPr lang="en-US" sz="1100" baseline="0">
              <a:solidFill>
                <a:schemeClr val="dk1"/>
              </a:solidFill>
              <a:effectLst/>
              <a:latin typeface="+mn-lt"/>
              <a:ea typeface="+mn-ea"/>
              <a:cs typeface="+mn-cs"/>
            </a:rPr>
            <a:t>, any operator or owner of a Renewable Generation Unit (RGU) applying to the Department of Energy Resources (DOER), and utilizing Eligible Biomass Woody Fuel or Manufactured Biomass Fuel, must meet certain conditions pertaining to the Overall Efficiency of the Unit (as provided in 225 CMR 14.05(1)(a)7.c.) and the Lifecycle Greenhouse Gas Emissions from the RGU (as provided in 225 CMR 14.05(1)(a)7.d.).  This Guideline provides a set of worksheets to be used by the applicant to demonstrate that the RGU meets these two criteria.</a:t>
          </a: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Overall Efficiency</a:t>
          </a:r>
        </a:p>
        <a:p>
          <a:r>
            <a:rPr lang="en-US" sz="1100" u="none" baseline="0">
              <a:solidFill>
                <a:schemeClr val="dk1"/>
              </a:solidFill>
              <a:effectLst/>
              <a:latin typeface="+mn-lt"/>
              <a:ea typeface="+mn-ea"/>
              <a:cs typeface="+mn-cs"/>
            </a:rPr>
            <a:t>The applicant shall input required information about the RGU into the yellow shaded cells of the </a:t>
          </a:r>
          <a:r>
            <a:rPr lang="en-US" sz="1100" i="1" u="none" baseline="0">
              <a:solidFill>
                <a:schemeClr val="dk1"/>
              </a:solidFill>
              <a:effectLst/>
              <a:latin typeface="+mn-lt"/>
              <a:ea typeface="+mn-ea"/>
              <a:cs typeface="+mn-cs"/>
            </a:rPr>
            <a:t>Overall Efficiency - Annual </a:t>
          </a:r>
          <a:r>
            <a:rPr lang="en-US" sz="1100" i="0" u="none" baseline="0">
              <a:solidFill>
                <a:schemeClr val="dk1"/>
              </a:solidFill>
              <a:effectLst/>
              <a:latin typeface="+mn-lt"/>
              <a:ea typeface="+mn-ea"/>
              <a:cs typeface="+mn-cs"/>
            </a:rPr>
            <a:t>worksheet.  The applicant shall also enter additional descriptive information in the yellow shaded text cells, as necessary.  The applicant may provide further description under seperate cover, and DOER may request additional information to assist its review of the application.  Data are to be inputted into the worksheet based on the applicant's projected </a:t>
          </a:r>
          <a:r>
            <a:rPr lang="en-US" sz="1100" i="1" u="none" baseline="0">
              <a:solidFill>
                <a:schemeClr val="dk1"/>
              </a:solidFill>
              <a:effectLst/>
              <a:latin typeface="+mn-lt"/>
              <a:ea typeface="+mn-ea"/>
              <a:cs typeface="+mn-cs"/>
            </a:rPr>
            <a:t>annual</a:t>
          </a:r>
          <a:r>
            <a:rPr lang="en-US" sz="1100" i="0" u="none" baseline="0">
              <a:solidFill>
                <a:schemeClr val="dk1"/>
              </a:solidFill>
              <a:effectLst/>
              <a:latin typeface="+mn-lt"/>
              <a:ea typeface="+mn-ea"/>
              <a:cs typeface="+mn-cs"/>
            </a:rPr>
            <a:t> (one Calendar Year) system performance.  The worksheet is used to determine if an applicant can meet the regulatory requirement of at least 50% Overall Efficiency.</a:t>
          </a:r>
          <a:endParaRPr lang="en-US" sz="1100" u="none"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a:solidFill>
                <a:schemeClr val="dk1"/>
              </a:solidFill>
              <a:effectLst/>
              <a:latin typeface="+mn-lt"/>
              <a:ea typeface="+mn-ea"/>
              <a:cs typeface="+mn-cs"/>
            </a:rPr>
            <a:t>Lifecycle Greenhouse Gas Analysis</a:t>
          </a:r>
        </a:p>
        <a:p>
          <a:r>
            <a:rPr lang="en-US" sz="1100" i="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GHG Analysis</a:t>
          </a:r>
          <a:r>
            <a:rPr lang="en-US" sz="1100" i="0" baseline="0">
              <a:solidFill>
                <a:schemeClr val="dk1"/>
              </a:solidFill>
              <a:effectLst/>
              <a:latin typeface="+mn-lt"/>
              <a:ea typeface="+mn-ea"/>
              <a:cs typeface="+mn-cs"/>
            </a:rPr>
            <a:t> worksheet and its supporting worksheets are provided by DOER as a template for the RGU to demonstrate that it meets the regulatory criterion of reducing lifecycle Greenhouse Gas Emissions by at least 50% over 30 years compared to a natural gas combined cycle electricity generation unit (based on single year analysis).</a:t>
          </a:r>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r>
            <a:rPr lang="en-US" sz="1100" u="none">
              <a:solidFill>
                <a:schemeClr val="dk1"/>
              </a:solidFill>
              <a:effectLst/>
              <a:latin typeface="+mn-lt"/>
              <a:ea typeface="+mn-ea"/>
              <a:cs typeface="+mn-cs"/>
            </a:rPr>
            <a:t>The applicant shall input</a:t>
          </a:r>
          <a:r>
            <a:rPr lang="en-US" sz="1100" u="none" baseline="0">
              <a:solidFill>
                <a:schemeClr val="dk1"/>
              </a:solidFill>
              <a:effectLst/>
              <a:latin typeface="+mn-lt"/>
              <a:ea typeface="+mn-ea"/>
              <a:cs typeface="+mn-cs"/>
            </a:rPr>
            <a:t> required information about the RGU into the yellow shaded cells of the </a:t>
          </a:r>
          <a:r>
            <a:rPr lang="en-US" sz="1100" i="1" u="none" baseline="0">
              <a:solidFill>
                <a:schemeClr val="dk1"/>
              </a:solidFill>
              <a:effectLst/>
              <a:latin typeface="+mn-lt"/>
              <a:ea typeface="+mn-ea"/>
              <a:cs typeface="+mn-cs"/>
            </a:rPr>
            <a:t>GHG Analysis </a:t>
          </a:r>
          <a:r>
            <a:rPr lang="en-US" sz="1100" i="0" u="none" baseline="0">
              <a:solidFill>
                <a:schemeClr val="dk1"/>
              </a:solidFill>
              <a:effectLst/>
              <a:latin typeface="+mn-lt"/>
              <a:ea typeface="+mn-ea"/>
              <a:cs typeface="+mn-cs"/>
            </a:rPr>
            <a:t>worksheet.  The applicant shall also enter additional descriptive information in the yellow shaded text cell, if the standard assumption for the thermal boiler efficiency is not used. Other cells will be automatically completed as calculations based on data from other supporting worksheets.  </a:t>
          </a:r>
        </a:p>
        <a:p>
          <a:endParaRPr lang="en-US" sz="1100" i="0" u="none" baseline="0">
            <a:solidFill>
              <a:schemeClr val="dk1"/>
            </a:solidFill>
            <a:effectLst/>
            <a:latin typeface="+mn-lt"/>
            <a:ea typeface="+mn-ea"/>
            <a:cs typeface="+mn-cs"/>
          </a:endParaRPr>
        </a:p>
        <a:p>
          <a:r>
            <a:rPr lang="en-US" sz="1100" i="0" baseline="0">
              <a:solidFill>
                <a:schemeClr val="dk1"/>
              </a:solidFill>
              <a:effectLst/>
              <a:latin typeface="+mn-lt"/>
              <a:ea typeface="+mn-ea"/>
              <a:cs typeface="+mn-cs"/>
            </a:rPr>
            <a:t>Applicants who wish to utilize parameter values different than those used in this template may propose alternative asssumptions, with justification and full documentation of methodology, to DOER for approval.  Such analysis must be deemed complete, acceptable to DOER, and in compliance with the efficiency and lifecycle greenhouse gas emission requirements of the regulation.  If an alternative to this template is provided, the applicant must also submit a </a:t>
          </a:r>
          <a:r>
            <a:rPr lang="en-US" sz="1100" i="1" baseline="0">
              <a:solidFill>
                <a:schemeClr val="dk1"/>
              </a:solidFill>
              <a:effectLst/>
              <a:latin typeface="+mn-lt"/>
              <a:ea typeface="+mn-ea"/>
              <a:cs typeface="+mn-cs"/>
            </a:rPr>
            <a:t>GHG Analysis, </a:t>
          </a:r>
          <a:r>
            <a:rPr lang="en-US" sz="1100" i="0" baseline="0">
              <a:solidFill>
                <a:schemeClr val="dk1"/>
              </a:solidFill>
              <a:effectLst/>
              <a:latin typeface="+mn-lt"/>
              <a:ea typeface="+mn-ea"/>
              <a:cs typeface="+mn-cs"/>
            </a:rPr>
            <a:t>completed as much as possible, to DOER.  Additionally, an applicant must submit documentation explaining the limitations of the methodology and how they are addressed in the applicant's alternative analysis.</a:t>
          </a:r>
        </a:p>
        <a:p>
          <a:endParaRPr lang="en-US" sz="1100" i="0" u="none" baseline="0">
            <a:solidFill>
              <a:schemeClr val="dk1"/>
            </a:solidFill>
            <a:effectLst/>
            <a:latin typeface="+mn-lt"/>
            <a:ea typeface="+mn-ea"/>
            <a:cs typeface="+mn-cs"/>
          </a:endParaRPr>
        </a:p>
        <a:p>
          <a:r>
            <a:rPr lang="en-US" sz="1100" i="0" u="none" baseline="0">
              <a:solidFill>
                <a:schemeClr val="dk1"/>
              </a:solidFill>
              <a:effectLst/>
              <a:latin typeface="+mn-lt"/>
              <a:ea typeface="+mn-ea"/>
              <a:cs typeface="+mn-cs"/>
            </a:rPr>
            <a:t>If DOER deems that a project sufficiently departs from the standard design and operation of a biomass RGU as provided in this template (e.g. co-firing), DOER may require the applicant to utilize this template with different assumptions or parameters,  or submit an independent analysis to the satisfaction of DOER.</a:t>
          </a:r>
          <a:r>
            <a:rPr lang="en-US" sz="1100">
              <a:solidFill>
                <a:schemeClr val="dk1"/>
              </a:solidFill>
              <a:latin typeface="+mn-lt"/>
              <a:ea typeface="+mn-ea"/>
              <a:cs typeface="+mn-cs"/>
            </a:rPr>
            <a:t> </a:t>
          </a:r>
        </a:p>
        <a:p>
          <a:endParaRPr lang="en-US" sz="1100"/>
        </a:p>
        <a:p>
          <a:endParaRPr lang="en-US" sz="1100"/>
        </a:p>
        <a:p>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8.85546875" defaultRowHeight="12.75" x14ac:dyDescent="0.2"/>
  <cols>
    <col min="1" max="1" width="3.140625" style="39" customWidth="1"/>
    <col min="2" max="16384" width="8.85546875" style="39"/>
  </cols>
  <sheetData/>
  <sheetProtection password="C24F"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K39"/>
  <sheetViews>
    <sheetView zoomScaleNormal="100" workbookViewId="0">
      <selection activeCell="E16" sqref="E16"/>
    </sheetView>
  </sheetViews>
  <sheetFormatPr defaultRowHeight="12.75" x14ac:dyDescent="0.2"/>
  <cols>
    <col min="1" max="1" width="2.42578125" style="39" customWidth="1"/>
    <col min="2" max="2" width="4.28515625" style="39" customWidth="1"/>
    <col min="3" max="3" width="9.7109375" style="39" customWidth="1"/>
    <col min="4" max="4" width="32.42578125" style="39" customWidth="1"/>
    <col min="5" max="5" width="28.5703125" style="39" customWidth="1"/>
    <col min="6" max="6" width="24.7109375" style="39" customWidth="1"/>
    <col min="7" max="7" width="3.28515625" style="39" customWidth="1"/>
    <col min="8" max="16384" width="9.140625" style="39"/>
  </cols>
  <sheetData>
    <row r="1" spans="2:8" ht="13.5" thickBot="1" x14ac:dyDescent="0.25"/>
    <row r="2" spans="2:8" x14ac:dyDescent="0.2">
      <c r="B2" s="44"/>
      <c r="C2" s="195" t="s">
        <v>65</v>
      </c>
      <c r="D2" s="196"/>
      <c r="E2" s="196"/>
      <c r="F2" s="197"/>
    </row>
    <row r="3" spans="2:8" x14ac:dyDescent="0.2">
      <c r="B3" s="44"/>
      <c r="C3" s="198" t="s">
        <v>66</v>
      </c>
      <c r="D3" s="199"/>
      <c r="E3" s="199"/>
      <c r="F3" s="200"/>
    </row>
    <row r="4" spans="2:8" x14ac:dyDescent="0.2">
      <c r="B4" s="44"/>
      <c r="C4" s="198"/>
      <c r="D4" s="199"/>
      <c r="E4" s="199"/>
      <c r="F4" s="200"/>
    </row>
    <row r="5" spans="2:8" x14ac:dyDescent="0.2">
      <c r="B5" s="44"/>
      <c r="C5" s="198" t="s">
        <v>100</v>
      </c>
      <c r="D5" s="199"/>
      <c r="E5" s="199"/>
      <c r="F5" s="200"/>
    </row>
    <row r="6" spans="2:8" ht="13.5" thickBot="1" x14ac:dyDescent="0.25">
      <c r="B6" s="44"/>
      <c r="C6" s="190" t="s">
        <v>105</v>
      </c>
      <c r="D6" s="191"/>
      <c r="E6" s="191"/>
      <c r="F6" s="192"/>
    </row>
    <row r="7" spans="2:8" x14ac:dyDescent="0.2">
      <c r="F7" s="178"/>
    </row>
    <row r="9" spans="2:8" ht="13.5" thickBot="1" x14ac:dyDescent="0.25">
      <c r="H9" s="45" t="s">
        <v>60</v>
      </c>
    </row>
    <row r="10" spans="2:8" ht="13.5" thickBot="1" x14ac:dyDescent="0.25">
      <c r="B10" s="193" t="s">
        <v>97</v>
      </c>
      <c r="C10" s="193"/>
      <c r="D10" s="194"/>
      <c r="E10" s="188"/>
      <c r="F10" s="189"/>
      <c r="H10" s="46" t="s">
        <v>61</v>
      </c>
    </row>
    <row r="11" spans="2:8" x14ac:dyDescent="0.2">
      <c r="H11" s="47"/>
    </row>
    <row r="12" spans="2:8" x14ac:dyDescent="0.2">
      <c r="B12" s="48" t="s">
        <v>8</v>
      </c>
    </row>
    <row r="13" spans="2:8" ht="13.5" thickBot="1" x14ac:dyDescent="0.25"/>
    <row r="14" spans="2:8" x14ac:dyDescent="0.2">
      <c r="C14" s="49" t="s">
        <v>9</v>
      </c>
      <c r="D14" s="50"/>
      <c r="E14" s="50"/>
      <c r="F14" s="51"/>
      <c r="G14" s="52"/>
    </row>
    <row r="15" spans="2:8" x14ac:dyDescent="0.2">
      <c r="C15" s="53"/>
      <c r="D15" s="54" t="s">
        <v>39</v>
      </c>
      <c r="E15" s="41"/>
      <c r="F15" s="55" t="s">
        <v>145</v>
      </c>
      <c r="G15" s="52"/>
    </row>
    <row r="16" spans="2:8" x14ac:dyDescent="0.2">
      <c r="C16" s="53"/>
      <c r="D16" s="54" t="s">
        <v>12</v>
      </c>
      <c r="E16" s="56" t="str">
        <f>IFERROR(VLOOKUP(E15,BiomassHeatValues,3),"-")</f>
        <v>-</v>
      </c>
      <c r="F16" s="57" t="str">
        <f>IFERROR(VLOOKUP(E15,BiomassHeatValues,4),"-")</f>
        <v>-</v>
      </c>
      <c r="G16" s="52"/>
    </row>
    <row r="17" spans="3:11" ht="13.5" thickBot="1" x14ac:dyDescent="0.25">
      <c r="C17" s="58"/>
      <c r="D17" s="59" t="s">
        <v>171</v>
      </c>
      <c r="E17" s="42"/>
      <c r="F17" s="60" t="str">
        <f>IFERROR(VLOOKUP(E15,BiomassHeatValues,2),"-")</f>
        <v>-</v>
      </c>
      <c r="G17" s="52"/>
    </row>
    <row r="18" spans="3:11" ht="13.5" thickBot="1" x14ac:dyDescent="0.25"/>
    <row r="19" spans="3:11" ht="13.5" thickBot="1" x14ac:dyDescent="0.25">
      <c r="C19" s="49" t="s">
        <v>14</v>
      </c>
      <c r="D19" s="50"/>
      <c r="E19" s="50"/>
      <c r="F19" s="51"/>
    </row>
    <row r="20" spans="3:11" x14ac:dyDescent="0.2">
      <c r="C20" s="53"/>
      <c r="D20" s="54" t="s">
        <v>31</v>
      </c>
      <c r="E20" s="52"/>
      <c r="F20" s="61"/>
      <c r="H20" s="179" t="s">
        <v>68</v>
      </c>
      <c r="I20" s="180"/>
      <c r="J20" s="180"/>
      <c r="K20" s="181"/>
    </row>
    <row r="21" spans="3:11" x14ac:dyDescent="0.2">
      <c r="C21" s="53"/>
      <c r="D21" s="62" t="s">
        <v>166</v>
      </c>
      <c r="E21" s="43"/>
      <c r="F21" s="63" t="s">
        <v>165</v>
      </c>
      <c r="H21" s="182"/>
      <c r="I21" s="183"/>
      <c r="J21" s="183"/>
      <c r="K21" s="184"/>
    </row>
    <row r="22" spans="3:11" x14ac:dyDescent="0.2">
      <c r="C22" s="53"/>
      <c r="D22" s="62" t="s">
        <v>15</v>
      </c>
      <c r="E22" s="43"/>
      <c r="F22" s="63" t="s">
        <v>165</v>
      </c>
      <c r="H22" s="182"/>
      <c r="I22" s="183"/>
      <c r="J22" s="183"/>
      <c r="K22" s="184"/>
    </row>
    <row r="23" spans="3:11" ht="13.5" thickBot="1" x14ac:dyDescent="0.25">
      <c r="C23" s="53"/>
      <c r="D23" s="54" t="s">
        <v>17</v>
      </c>
      <c r="E23" s="64" t="s">
        <v>62</v>
      </c>
      <c r="F23" s="65"/>
      <c r="H23" s="185"/>
      <c r="I23" s="186"/>
      <c r="J23" s="186"/>
      <c r="K23" s="187"/>
    </row>
    <row r="24" spans="3:11" ht="13.5" thickBot="1" x14ac:dyDescent="0.25">
      <c r="C24" s="58"/>
      <c r="D24" s="66" t="s">
        <v>18</v>
      </c>
      <c r="E24" s="42"/>
      <c r="F24" s="67" t="s">
        <v>168</v>
      </c>
    </row>
    <row r="25" spans="3:11" ht="13.5" thickBot="1" x14ac:dyDescent="0.25"/>
    <row r="26" spans="3:11" x14ac:dyDescent="0.2">
      <c r="C26" s="49" t="s">
        <v>101</v>
      </c>
      <c r="D26" s="50"/>
      <c r="E26" s="50"/>
      <c r="F26" s="51"/>
      <c r="H26" s="179" t="s">
        <v>63</v>
      </c>
      <c r="I26" s="180"/>
      <c r="J26" s="180"/>
      <c r="K26" s="181"/>
    </row>
    <row r="27" spans="3:11" x14ac:dyDescent="0.2">
      <c r="C27" s="53"/>
      <c r="D27" s="54" t="s">
        <v>25</v>
      </c>
      <c r="E27" s="64" t="s">
        <v>64</v>
      </c>
      <c r="F27" s="61"/>
      <c r="H27" s="182"/>
      <c r="I27" s="183"/>
      <c r="J27" s="183"/>
      <c r="K27" s="184"/>
    </row>
    <row r="28" spans="3:11" x14ac:dyDescent="0.2">
      <c r="C28" s="53"/>
      <c r="D28" s="54" t="s">
        <v>24</v>
      </c>
      <c r="E28" s="40">
        <v>0</v>
      </c>
      <c r="F28" s="65" t="s">
        <v>72</v>
      </c>
      <c r="H28" s="182"/>
      <c r="I28" s="183"/>
      <c r="J28" s="183"/>
      <c r="K28" s="184"/>
    </row>
    <row r="29" spans="3:11" ht="13.5" thickBot="1" x14ac:dyDescent="0.25">
      <c r="C29" s="58"/>
      <c r="D29" s="66" t="s">
        <v>26</v>
      </c>
      <c r="E29" s="42">
        <v>0</v>
      </c>
      <c r="F29" s="68" t="s">
        <v>27</v>
      </c>
      <c r="H29" s="185"/>
      <c r="I29" s="186"/>
      <c r="J29" s="186"/>
      <c r="K29" s="187"/>
    </row>
    <row r="31" spans="3:11" ht="13.5" thickBot="1" x14ac:dyDescent="0.25"/>
    <row r="32" spans="3:11" x14ac:dyDescent="0.2">
      <c r="C32" s="49" t="s">
        <v>28</v>
      </c>
      <c r="D32" s="50"/>
      <c r="E32" s="50"/>
      <c r="F32" s="51"/>
    </row>
    <row r="33" spans="3:8" x14ac:dyDescent="0.2">
      <c r="C33" s="53"/>
      <c r="D33" s="54" t="s">
        <v>29</v>
      </c>
      <c r="E33" s="69" t="str">
        <f>IFERROR(IF(F16="BTU/lb",E16*E17*2000/3412000,E16*E17/3412000),"-")</f>
        <v>-</v>
      </c>
      <c r="F33" s="65" t="s">
        <v>30</v>
      </c>
    </row>
    <row r="34" spans="3:8" x14ac:dyDescent="0.2">
      <c r="C34" s="53"/>
      <c r="D34" s="54" t="s">
        <v>32</v>
      </c>
      <c r="E34" s="69">
        <f>E21</f>
        <v>0</v>
      </c>
      <c r="F34" s="65" t="s">
        <v>34</v>
      </c>
    </row>
    <row r="35" spans="3:8" x14ac:dyDescent="0.2">
      <c r="C35" s="53"/>
      <c r="D35" s="54" t="s">
        <v>33</v>
      </c>
      <c r="E35" s="69">
        <f>E22</f>
        <v>0</v>
      </c>
      <c r="F35" s="65" t="s">
        <v>34</v>
      </c>
    </row>
    <row r="36" spans="3:8" x14ac:dyDescent="0.2">
      <c r="C36" s="53"/>
      <c r="D36" s="54" t="s">
        <v>35</v>
      </c>
      <c r="E36" s="69">
        <f>E24*1000/3412</f>
        <v>0</v>
      </c>
      <c r="F36" s="65" t="s">
        <v>36</v>
      </c>
    </row>
    <row r="37" spans="3:8" ht="13.5" thickBot="1" x14ac:dyDescent="0.25">
      <c r="C37" s="58"/>
      <c r="D37" s="66" t="s">
        <v>23</v>
      </c>
      <c r="E37" s="70">
        <f>E28*E29/3412000</f>
        <v>0</v>
      </c>
      <c r="F37" s="68" t="s">
        <v>37</v>
      </c>
    </row>
    <row r="38" spans="3:8" ht="13.5" thickBot="1" x14ac:dyDescent="0.25"/>
    <row r="39" spans="3:8" ht="13.5" thickBot="1" x14ac:dyDescent="0.25">
      <c r="C39" s="71" t="s">
        <v>38</v>
      </c>
      <c r="D39" s="72"/>
      <c r="E39" s="73" t="str">
        <f>IFERROR((E34/(1-0.06)+E35+E36+E37)/E33,"-")</f>
        <v>-</v>
      </c>
      <c r="F39" s="74"/>
      <c r="H39" s="178"/>
    </row>
  </sheetData>
  <sheetProtection password="C24F" sheet="1" objects="1" scenarios="1"/>
  <protectedRanges>
    <protectedRange sqref="E10 E15 E17 E21:E22 E24 E28:E29 H20 H26"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6:K29"/>
    <mergeCell ref="E10:F10"/>
    <mergeCell ref="C6:F6"/>
    <mergeCell ref="B10:D10"/>
    <mergeCell ref="C2:F2"/>
    <mergeCell ref="C3:F3"/>
    <mergeCell ref="C4:F4"/>
    <mergeCell ref="C5:F5"/>
    <mergeCell ref="H20:K23"/>
  </mergeCells>
  <phoneticPr fontId="11" type="noConversion"/>
  <conditionalFormatting sqref="E34:E37">
    <cfRule type="cellIs" dxfId="6" priority="1" operator="equal">
      <formula>0</formula>
    </cfRule>
  </conditionalFormatting>
  <dataValidations count="4">
    <dataValidation type="list" allowBlank="1" showInputMessage="1" showErrorMessage="1" sqref="E15">
      <formula1>BiomassFuels</formula1>
    </dataValidation>
    <dataValidation type="whole" allowBlank="1" showInputMessage="1" showErrorMessage="1" sqref="E17 E24">
      <formula1>1</formula1>
      <formula2>1000000</formula2>
    </dataValidation>
    <dataValidation type="whole" allowBlank="1" showInputMessage="1" showErrorMessage="1" sqref="E21 E28 E29">
      <formula1>0</formula1>
      <formula2>1000000</formula2>
    </dataValidation>
    <dataValidation type="whole" allowBlank="1" showInputMessage="1" showErrorMessage="1" sqref="E22">
      <formula1>0</formula1>
      <formula2>1000000</formula2>
    </dataValidation>
  </dataValidations>
  <pageMargins left="0.75" right="0.75" top="1" bottom="1" header="0.5" footer="0.5"/>
  <pageSetup orientation="portrait" horizontalDpi="200" verticalDpi="2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B1:O45"/>
  <sheetViews>
    <sheetView workbookViewId="0">
      <selection activeCell="E45" sqref="E45"/>
    </sheetView>
  </sheetViews>
  <sheetFormatPr defaultRowHeight="12.75" x14ac:dyDescent="0.2"/>
  <cols>
    <col min="1" max="1" width="2.5703125" style="39" customWidth="1"/>
    <col min="2" max="2" width="5.42578125" style="39" customWidth="1"/>
    <col min="3" max="3" width="10.85546875" style="39" customWidth="1"/>
    <col min="4" max="4" width="27.140625" style="39" customWidth="1"/>
    <col min="5" max="5" width="28" style="39" customWidth="1"/>
    <col min="6" max="6" width="38.28515625" style="39" customWidth="1"/>
    <col min="7" max="7" width="2.5703125" style="39" customWidth="1"/>
    <col min="8" max="8" width="12" style="39" bestFit="1" customWidth="1"/>
    <col min="9" max="10" width="9.140625" style="39"/>
    <col min="11" max="11" width="9.85546875" style="39" customWidth="1"/>
    <col min="12" max="16384" width="9.140625" style="39"/>
  </cols>
  <sheetData>
    <row r="1" spans="2:8" ht="13.5" thickBot="1" x14ac:dyDescent="0.25"/>
    <row r="2" spans="2:8" x14ac:dyDescent="0.2">
      <c r="C2" s="195" t="s">
        <v>65</v>
      </c>
      <c r="D2" s="196"/>
      <c r="E2" s="196"/>
      <c r="F2" s="197"/>
      <c r="G2" s="44"/>
    </row>
    <row r="3" spans="2:8" x14ac:dyDescent="0.2">
      <c r="C3" s="198" t="s">
        <v>66</v>
      </c>
      <c r="D3" s="199"/>
      <c r="E3" s="199"/>
      <c r="F3" s="200"/>
      <c r="G3" s="44"/>
    </row>
    <row r="4" spans="2:8" x14ac:dyDescent="0.2">
      <c r="C4" s="198"/>
      <c r="D4" s="199"/>
      <c r="E4" s="199"/>
      <c r="F4" s="200"/>
      <c r="G4" s="44"/>
    </row>
    <row r="5" spans="2:8" x14ac:dyDescent="0.2">
      <c r="C5" s="198" t="s">
        <v>100</v>
      </c>
      <c r="D5" s="199"/>
      <c r="E5" s="199"/>
      <c r="F5" s="200"/>
      <c r="G5" s="44"/>
    </row>
    <row r="6" spans="2:8" ht="13.5" thickBot="1" x14ac:dyDescent="0.25">
      <c r="C6" s="190" t="s">
        <v>67</v>
      </c>
      <c r="D6" s="191"/>
      <c r="E6" s="191"/>
      <c r="F6" s="192"/>
      <c r="G6" s="44"/>
    </row>
    <row r="8" spans="2:8" x14ac:dyDescent="0.2">
      <c r="H8" s="45" t="s">
        <v>60</v>
      </c>
    </row>
    <row r="9" spans="2:8" ht="13.5" thickBot="1" x14ac:dyDescent="0.25">
      <c r="H9" s="75" t="s">
        <v>61</v>
      </c>
    </row>
    <row r="10" spans="2:8" ht="13.5" thickBot="1" x14ac:dyDescent="0.25">
      <c r="B10" s="193" t="s">
        <v>97</v>
      </c>
      <c r="C10" s="193"/>
      <c r="D10" s="194"/>
      <c r="E10" s="202">
        <f>'Overall Efficiency - Annual'!E10:F10</f>
        <v>0</v>
      </c>
      <c r="F10" s="203"/>
      <c r="H10" s="52"/>
    </row>
    <row r="11" spans="2:8" x14ac:dyDescent="0.2">
      <c r="H11" s="52"/>
    </row>
    <row r="12" spans="2:8" x14ac:dyDescent="0.2">
      <c r="C12" s="48" t="s">
        <v>40</v>
      </c>
      <c r="H12" s="76"/>
    </row>
    <row r="13" spans="2:8" ht="13.5" thickBot="1" x14ac:dyDescent="0.25">
      <c r="H13" s="52"/>
    </row>
    <row r="14" spans="2:8" x14ac:dyDescent="0.2">
      <c r="C14" s="49" t="s">
        <v>113</v>
      </c>
      <c r="D14" s="50"/>
      <c r="E14" s="50"/>
      <c r="F14" s="51"/>
    </row>
    <row r="15" spans="2:8" x14ac:dyDescent="0.2">
      <c r="C15" s="53"/>
      <c r="D15" s="204" t="s">
        <v>41</v>
      </c>
      <c r="E15" s="77">
        <f>'Overall Efficiency - Annual'!E15</f>
        <v>0</v>
      </c>
      <c r="F15" s="65" t="s">
        <v>39</v>
      </c>
    </row>
    <row r="16" spans="2:8" x14ac:dyDescent="0.2">
      <c r="C16" s="53"/>
      <c r="D16" s="204"/>
      <c r="E16" s="62">
        <f>'Overall Efficiency - Annual'!E17</f>
        <v>0</v>
      </c>
      <c r="F16" s="65" t="str">
        <f>'Overall Efficiency - Annual'!F17</f>
        <v>-</v>
      </c>
    </row>
    <row r="17" spans="3:11" x14ac:dyDescent="0.2">
      <c r="C17" s="53"/>
      <c r="D17" s="204"/>
      <c r="E17" s="62">
        <f>IFERROR('Overall Efficiency - Annual'!E16/1000000*'Overall Efficiency - Annual'!E17*2000,0)</f>
        <v>0</v>
      </c>
      <c r="F17" s="65" t="s">
        <v>43</v>
      </c>
    </row>
    <row r="18" spans="3:11" ht="39" customHeight="1" x14ac:dyDescent="0.2">
      <c r="C18" s="53"/>
      <c r="D18" s="204" t="s">
        <v>73</v>
      </c>
      <c r="E18" s="206" t="s">
        <v>75</v>
      </c>
      <c r="F18" s="207"/>
    </row>
    <row r="19" spans="3:11" x14ac:dyDescent="0.2">
      <c r="C19" s="53"/>
      <c r="D19" s="204"/>
      <c r="E19" s="101"/>
      <c r="F19" s="63" t="s">
        <v>74</v>
      </c>
    </row>
    <row r="20" spans="3:11" x14ac:dyDescent="0.2">
      <c r="C20" s="53"/>
      <c r="D20" s="204" t="s">
        <v>44</v>
      </c>
      <c r="E20" s="78">
        <f>Parameters!D12</f>
        <v>216.39947175000003</v>
      </c>
      <c r="F20" s="65" t="s">
        <v>91</v>
      </c>
    </row>
    <row r="21" spans="3:11" ht="13.5" thickBot="1" x14ac:dyDescent="0.25">
      <c r="C21" s="58"/>
      <c r="D21" s="205"/>
      <c r="E21" s="79">
        <f>IFERROR((E20*(1-E19))/2000*E17,0)</f>
        <v>0</v>
      </c>
      <c r="F21" s="68" t="s">
        <v>42</v>
      </c>
    </row>
    <row r="22" spans="3:11" ht="13.5" thickBot="1" x14ac:dyDescent="0.25"/>
    <row r="23" spans="3:11" x14ac:dyDescent="0.2">
      <c r="C23" s="49" t="s">
        <v>114</v>
      </c>
      <c r="D23" s="50"/>
      <c r="E23" s="50"/>
      <c r="F23" s="51"/>
    </row>
    <row r="24" spans="3:11" x14ac:dyDescent="0.2">
      <c r="C24" s="53"/>
      <c r="D24" s="204" t="s">
        <v>45</v>
      </c>
      <c r="E24" s="102"/>
      <c r="F24" s="55" t="s">
        <v>145</v>
      </c>
    </row>
    <row r="25" spans="3:11" x14ac:dyDescent="0.2">
      <c r="C25" s="53"/>
      <c r="D25" s="204"/>
      <c r="E25" s="80">
        <f>'Overall Efficiency - Annual'!E21/(1-0.06)+'Overall Efficiency - Annual'!E22</f>
        <v>0</v>
      </c>
      <c r="F25" s="65" t="s">
        <v>16</v>
      </c>
    </row>
    <row r="26" spans="3:11" x14ac:dyDescent="0.2">
      <c r="C26" s="53"/>
      <c r="D26" s="204"/>
      <c r="E26" s="69" t="str">
        <f>IFERROR(VLOOKUP(E24,Parameters!B21:C22,2),"-")</f>
        <v>-</v>
      </c>
      <c r="F26" s="65" t="s">
        <v>46</v>
      </c>
    </row>
    <row r="27" spans="3:11" x14ac:dyDescent="0.2">
      <c r="C27" s="53"/>
      <c r="D27" s="204"/>
      <c r="E27" s="69" t="str">
        <f>IFERROR((E26/2000)*E25,"-")</f>
        <v>-</v>
      </c>
      <c r="F27" s="65" t="s">
        <v>42</v>
      </c>
    </row>
    <row r="28" spans="3:11" ht="25.5" customHeight="1" thickBot="1" x14ac:dyDescent="0.25">
      <c r="C28" s="53"/>
      <c r="D28" s="204" t="s">
        <v>51</v>
      </c>
      <c r="E28" s="103"/>
      <c r="F28" s="81" t="s">
        <v>167</v>
      </c>
    </row>
    <row r="29" spans="3:11" x14ac:dyDescent="0.2">
      <c r="C29" s="53"/>
      <c r="D29" s="204"/>
      <c r="E29" s="54">
        <f>'Overall Efficiency - Annual'!E24</f>
        <v>0</v>
      </c>
      <c r="F29" s="65" t="s">
        <v>52</v>
      </c>
      <c r="H29" s="179" t="s">
        <v>88</v>
      </c>
      <c r="I29" s="180"/>
      <c r="J29" s="180"/>
      <c r="K29" s="181"/>
    </row>
    <row r="30" spans="3:11" x14ac:dyDescent="0.2">
      <c r="C30" s="53"/>
      <c r="D30" s="204"/>
      <c r="E30" s="82" t="str">
        <f>IFERROR(VLOOKUP(E28,Parameters!B13:D17,2),"-")</f>
        <v>-</v>
      </c>
      <c r="F30" s="83" t="s">
        <v>98</v>
      </c>
      <c r="H30" s="182"/>
      <c r="I30" s="183"/>
      <c r="J30" s="183"/>
      <c r="K30" s="184"/>
    </row>
    <row r="31" spans="3:11" x14ac:dyDescent="0.2">
      <c r="C31" s="53"/>
      <c r="D31" s="204"/>
      <c r="E31" s="101"/>
      <c r="F31" s="83" t="s">
        <v>87</v>
      </c>
      <c r="H31" s="182"/>
      <c r="I31" s="183"/>
      <c r="J31" s="183"/>
      <c r="K31" s="184"/>
    </row>
    <row r="32" spans="3:11" ht="13.5" thickBot="1" x14ac:dyDescent="0.25">
      <c r="C32" s="53"/>
      <c r="D32" s="204"/>
      <c r="E32" s="69" t="str">
        <f>IFERROR(IF(OR(E31="",E31=0),E29/E30,E29/E31),"-")</f>
        <v>-</v>
      </c>
      <c r="F32" s="65" t="s">
        <v>54</v>
      </c>
      <c r="H32" s="185"/>
      <c r="I32" s="186"/>
      <c r="J32" s="186"/>
      <c r="K32" s="187"/>
    </row>
    <row r="33" spans="3:15" x14ac:dyDescent="0.2">
      <c r="C33" s="53"/>
      <c r="D33" s="204"/>
      <c r="E33" s="84" t="str">
        <f>IFERROR(VLOOKUP(E28,Parameters!B13:D17,3),"-")</f>
        <v>-</v>
      </c>
      <c r="F33" s="65" t="s">
        <v>53</v>
      </c>
    </row>
    <row r="34" spans="3:15" ht="13.5" thickBot="1" x14ac:dyDescent="0.25">
      <c r="C34" s="58"/>
      <c r="D34" s="205"/>
      <c r="E34" s="70" t="str">
        <f>IFERROR(E32*(E33/2000),"-")</f>
        <v>-</v>
      </c>
      <c r="F34" s="68" t="s">
        <v>42</v>
      </c>
    </row>
    <row r="35" spans="3:15" ht="13.5" thickBot="1" x14ac:dyDescent="0.25"/>
    <row r="36" spans="3:15" x14ac:dyDescent="0.2">
      <c r="C36" s="49" t="s">
        <v>69</v>
      </c>
      <c r="D36" s="50"/>
      <c r="E36" s="50"/>
      <c r="F36" s="51"/>
    </row>
    <row r="37" spans="3:15" x14ac:dyDescent="0.2">
      <c r="C37" s="53"/>
      <c r="D37" s="204" t="s">
        <v>2</v>
      </c>
      <c r="E37" s="69" t="str">
        <f>IFERROR(E21-E27-E34,"-")</f>
        <v>-</v>
      </c>
      <c r="F37" s="65" t="s">
        <v>42</v>
      </c>
      <c r="L37" s="52"/>
      <c r="M37" s="52"/>
      <c r="N37" s="52"/>
      <c r="O37" s="52"/>
    </row>
    <row r="38" spans="3:15" x14ac:dyDescent="0.2">
      <c r="C38" s="53"/>
      <c r="D38" s="204"/>
      <c r="E38" s="85" t="str">
        <f>IFERROR(E37/E21,"-")</f>
        <v>-</v>
      </c>
      <c r="F38" s="65" t="s">
        <v>55</v>
      </c>
      <c r="K38" s="52"/>
      <c r="L38" s="52"/>
      <c r="M38" s="52"/>
      <c r="N38" s="52"/>
      <c r="O38" s="52"/>
    </row>
    <row r="39" spans="3:15" x14ac:dyDescent="0.2">
      <c r="C39" s="53"/>
      <c r="D39" s="86"/>
      <c r="E39" s="87"/>
      <c r="F39" s="61"/>
      <c r="K39" s="52"/>
      <c r="L39" s="52"/>
      <c r="M39" s="52"/>
      <c r="N39" s="52"/>
      <c r="O39" s="52"/>
    </row>
    <row r="40" spans="3:15" x14ac:dyDescent="0.2">
      <c r="C40" s="53"/>
      <c r="D40" s="88" t="s">
        <v>117</v>
      </c>
      <c r="E40" s="89"/>
      <c r="F40" s="61"/>
      <c r="H40" s="52"/>
      <c r="I40" s="52"/>
      <c r="J40" s="52"/>
      <c r="K40" s="52"/>
      <c r="L40" s="52"/>
      <c r="M40" s="52"/>
      <c r="N40" s="52"/>
      <c r="O40" s="52"/>
    </row>
    <row r="41" spans="3:15" ht="12.75" customHeight="1" x14ac:dyDescent="0.2">
      <c r="C41" s="53"/>
      <c r="D41" s="90" t="s">
        <v>156</v>
      </c>
      <c r="E41" s="101"/>
      <c r="F41" s="55" t="s">
        <v>144</v>
      </c>
      <c r="H41" s="201"/>
      <c r="I41" s="201"/>
      <c r="J41" s="201"/>
      <c r="K41" s="201"/>
      <c r="L41" s="91"/>
      <c r="M41" s="91"/>
      <c r="N41" s="91"/>
      <c r="O41" s="91"/>
    </row>
    <row r="42" spans="3:15" x14ac:dyDescent="0.2">
      <c r="C42" s="53"/>
      <c r="D42" s="92" t="s">
        <v>162</v>
      </c>
      <c r="E42" s="93">
        <f>1-E41</f>
        <v>1</v>
      </c>
      <c r="F42" s="63" t="s">
        <v>144</v>
      </c>
      <c r="H42" s="201"/>
      <c r="I42" s="201"/>
      <c r="J42" s="201"/>
      <c r="K42" s="201"/>
      <c r="L42" s="91"/>
      <c r="M42" s="91"/>
      <c r="N42" s="91"/>
      <c r="O42" s="91"/>
    </row>
    <row r="43" spans="3:15" x14ac:dyDescent="0.2">
      <c r="C43" s="53"/>
      <c r="D43" s="94"/>
      <c r="E43" s="95"/>
      <c r="F43" s="96"/>
      <c r="H43" s="201"/>
      <c r="I43" s="201"/>
      <c r="J43" s="201"/>
      <c r="K43" s="201"/>
      <c r="L43" s="91"/>
      <c r="M43" s="91"/>
      <c r="N43" s="91"/>
      <c r="O43" s="91"/>
    </row>
    <row r="44" spans="3:15" x14ac:dyDescent="0.2">
      <c r="C44" s="53"/>
      <c r="D44" s="97" t="s">
        <v>57</v>
      </c>
      <c r="E44" s="52"/>
      <c r="F44" s="61"/>
      <c r="H44" s="201"/>
      <c r="I44" s="201"/>
      <c r="J44" s="201"/>
      <c r="K44" s="201"/>
      <c r="L44" s="91"/>
      <c r="M44" s="91"/>
      <c r="N44" s="91"/>
      <c r="O44" s="91"/>
    </row>
    <row r="45" spans="3:15" ht="27.75" customHeight="1" thickBot="1" x14ac:dyDescent="0.25">
      <c r="C45" s="98"/>
      <c r="D45" s="99" t="s">
        <v>170</v>
      </c>
      <c r="E45" s="100" t="str">
        <f>IFERROR(1+('GHG Model - Residues'!E45*$E$41)+('GHG Model - Forest Thinnings'!E45*'GHG Analysis'!$E$42),"-")</f>
        <v>-</v>
      </c>
      <c r="F45" s="67" t="s">
        <v>169</v>
      </c>
      <c r="L45" s="91"/>
      <c r="M45" s="91"/>
      <c r="N45" s="91"/>
      <c r="O45" s="91"/>
    </row>
  </sheetData>
  <sheetProtection password="C24F" sheet="1" objects="1" scenarios="1"/>
  <protectedRanges>
    <protectedRange sqref="E19 E24 E28 E31 H29 H41 E41"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6">
    <mergeCell ref="H41:K44"/>
    <mergeCell ref="E10:F10"/>
    <mergeCell ref="D24:D27"/>
    <mergeCell ref="D28:D34"/>
    <mergeCell ref="D15:D17"/>
    <mergeCell ref="D20:D21"/>
    <mergeCell ref="D37:D38"/>
    <mergeCell ref="E18:F18"/>
    <mergeCell ref="H29:K32"/>
    <mergeCell ref="D18:D19"/>
    <mergeCell ref="B10:D10"/>
    <mergeCell ref="C6:F6"/>
    <mergeCell ref="C2:F2"/>
    <mergeCell ref="C3:F3"/>
    <mergeCell ref="C4:F4"/>
    <mergeCell ref="C5:F5"/>
  </mergeCells>
  <phoneticPr fontId="11" type="noConversion"/>
  <conditionalFormatting sqref="E10:F10">
    <cfRule type="cellIs" dxfId="5" priority="6" operator="equal">
      <formula>0</formula>
    </cfRule>
  </conditionalFormatting>
  <conditionalFormatting sqref="E16">
    <cfRule type="cellIs" dxfId="4" priority="4" operator="equal">
      <formula>0</formula>
    </cfRule>
  </conditionalFormatting>
  <conditionalFormatting sqref="E15">
    <cfRule type="cellIs" dxfId="3" priority="5" operator="equal">
      <formula>0</formula>
    </cfRule>
  </conditionalFormatting>
  <conditionalFormatting sqref="E27">
    <cfRule type="cellIs" dxfId="2" priority="3" operator="equal">
      <formula>0</formula>
    </cfRule>
  </conditionalFormatting>
  <conditionalFormatting sqref="E21">
    <cfRule type="cellIs" dxfId="1" priority="2" operator="equal">
      <formula>0</formula>
    </cfRule>
  </conditionalFormatting>
  <conditionalFormatting sqref="E17">
    <cfRule type="cellIs" dxfId="0" priority="1" operator="equal">
      <formula>0</formula>
    </cfRule>
  </conditionalFormatting>
  <dataValidations count="4">
    <dataValidation type="list" allowBlank="1" showInputMessage="1" showErrorMessage="1" sqref="E28">
      <formula1>ConventionalFuelList</formula1>
    </dataValidation>
    <dataValidation type="list" allowBlank="1" showInputMessage="1" showErrorMessage="1" sqref="E24">
      <formula1>ElectricGeneration</formula1>
    </dataValidation>
    <dataValidation type="decimal" allowBlank="1" showInputMessage="1" showErrorMessage="1" sqref="E41">
      <formula1>0.001</formula1>
      <formula2>0.999</formula2>
    </dataValidation>
    <dataValidation type="decimal" allowBlank="1" showInputMessage="1" showErrorMessage="1" sqref="E19 E31">
      <formula1>0</formula1>
      <formula2>0.999</formula2>
    </dataValidation>
  </dataValidations>
  <printOptions horizontalCentered="1"/>
  <pageMargins left="0.32" right="0.33" top="1" bottom="1" header="0.5" footer="0.5"/>
  <pageSetup scale="53" orientation="portrait" horizontalDpi="300" verticalDpi="300"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42"/>
  <sheetViews>
    <sheetView workbookViewId="0">
      <selection activeCell="B36" sqref="B36:B37"/>
    </sheetView>
  </sheetViews>
  <sheetFormatPr defaultRowHeight="12.75" x14ac:dyDescent="0.2"/>
  <cols>
    <col min="1" max="1" width="3.42578125" style="105" customWidth="1"/>
    <col min="2" max="2" width="27" style="105" customWidth="1"/>
    <col min="3" max="9" width="17.7109375" style="105" customWidth="1"/>
    <col min="10" max="16384" width="9.140625" style="105"/>
  </cols>
  <sheetData>
    <row r="2" spans="2:6" x14ac:dyDescent="0.2">
      <c r="B2" s="104" t="s">
        <v>71</v>
      </c>
    </row>
    <row r="3" spans="2:6" ht="13.5" thickBot="1" x14ac:dyDescent="0.25"/>
    <row r="4" spans="2:6" ht="41.25" customHeight="1" thickBot="1" x14ac:dyDescent="0.25">
      <c r="B4" s="106" t="s">
        <v>93</v>
      </c>
      <c r="C4" s="107" t="s">
        <v>13</v>
      </c>
      <c r="D4" s="215" t="s">
        <v>96</v>
      </c>
      <c r="E4" s="216"/>
    </row>
    <row r="5" spans="2:6" x14ac:dyDescent="0.2">
      <c r="B5" s="108" t="s">
        <v>11</v>
      </c>
      <c r="C5" s="109" t="s">
        <v>102</v>
      </c>
      <c r="D5" s="110">
        <v>71200</v>
      </c>
      <c r="E5" s="111" t="s">
        <v>95</v>
      </c>
    </row>
    <row r="6" spans="2:6" x14ac:dyDescent="0.2">
      <c r="B6" s="112" t="s">
        <v>146</v>
      </c>
      <c r="C6" s="113" t="s">
        <v>103</v>
      </c>
      <c r="D6" s="114">
        <v>6800</v>
      </c>
      <c r="E6" s="115" t="s">
        <v>72</v>
      </c>
    </row>
    <row r="7" spans="2:6" x14ac:dyDescent="0.2">
      <c r="B7" s="112" t="s">
        <v>147</v>
      </c>
      <c r="C7" s="113" t="s">
        <v>104</v>
      </c>
      <c r="D7" s="114">
        <v>4250</v>
      </c>
      <c r="E7" s="115" t="s">
        <v>72</v>
      </c>
    </row>
    <row r="8" spans="2:6" ht="13.5" thickBot="1" x14ac:dyDescent="0.25">
      <c r="B8" s="116" t="s">
        <v>10</v>
      </c>
      <c r="C8" s="117" t="s">
        <v>103</v>
      </c>
      <c r="D8" s="118">
        <v>8000</v>
      </c>
      <c r="E8" s="119" t="s">
        <v>72</v>
      </c>
    </row>
    <row r="10" spans="2:6" ht="13.5" thickBot="1" x14ac:dyDescent="0.25"/>
    <row r="11" spans="2:6" ht="39" thickBot="1" x14ac:dyDescent="0.25">
      <c r="B11" s="120" t="s">
        <v>94</v>
      </c>
      <c r="C11" s="121" t="s">
        <v>89</v>
      </c>
      <c r="D11" s="122" t="s">
        <v>90</v>
      </c>
      <c r="F11" s="177"/>
    </row>
    <row r="12" spans="2:6" x14ac:dyDescent="0.2">
      <c r="B12" s="123" t="s">
        <v>1</v>
      </c>
      <c r="C12" s="124" t="s">
        <v>92</v>
      </c>
      <c r="D12" s="125">
        <f>H27</f>
        <v>216.39947175000003</v>
      </c>
      <c r="E12" s="126" t="s">
        <v>99</v>
      </c>
    </row>
    <row r="13" spans="2:6" x14ac:dyDescent="0.2">
      <c r="B13" s="127" t="s">
        <v>20</v>
      </c>
      <c r="C13" s="128">
        <v>0.75</v>
      </c>
      <c r="D13" s="129">
        <f>H28</f>
        <v>200.50800000000001</v>
      </c>
      <c r="E13" s="126" t="s">
        <v>99</v>
      </c>
    </row>
    <row r="14" spans="2:6" x14ac:dyDescent="0.2">
      <c r="B14" s="127" t="s">
        <v>21</v>
      </c>
      <c r="C14" s="128">
        <v>0.75</v>
      </c>
      <c r="D14" s="129">
        <f>H29</f>
        <v>213.44400000000002</v>
      </c>
      <c r="E14" s="126" t="s">
        <v>99</v>
      </c>
    </row>
    <row r="15" spans="2:6" x14ac:dyDescent="0.2">
      <c r="B15" s="127" t="s">
        <v>19</v>
      </c>
      <c r="C15" s="128">
        <v>0.8</v>
      </c>
      <c r="D15" s="129">
        <f>H30</f>
        <v>158.06175000000002</v>
      </c>
      <c r="E15" s="126" t="s">
        <v>99</v>
      </c>
    </row>
    <row r="16" spans="2:6" x14ac:dyDescent="0.2">
      <c r="B16" s="127" t="s">
        <v>56</v>
      </c>
      <c r="C16" s="128">
        <v>0.85</v>
      </c>
      <c r="D16" s="129">
        <f>H30</f>
        <v>158.06175000000002</v>
      </c>
      <c r="E16" s="126" t="s">
        <v>99</v>
      </c>
    </row>
    <row r="17" spans="2:9" ht="13.5" thickBot="1" x14ac:dyDescent="0.25">
      <c r="B17" s="116" t="s">
        <v>22</v>
      </c>
      <c r="C17" s="130">
        <v>0.8</v>
      </c>
      <c r="D17" s="131">
        <f>63.07*2.205*(AVERAGE(31/25,23/17))</f>
        <v>180.29932200000002</v>
      </c>
      <c r="E17" s="132" t="s">
        <v>107</v>
      </c>
    </row>
    <row r="19" spans="2:9" ht="13.5" thickBot="1" x14ac:dyDescent="0.25"/>
    <row r="20" spans="2:9" ht="39" thickBot="1" x14ac:dyDescent="0.25">
      <c r="B20" s="120" t="s">
        <v>50</v>
      </c>
      <c r="C20" s="133" t="s">
        <v>70</v>
      </c>
    </row>
    <row r="21" spans="2:9" x14ac:dyDescent="0.2">
      <c r="B21" s="123" t="s">
        <v>47</v>
      </c>
      <c r="C21" s="134">
        <f>136*2.205*(44/12)</f>
        <v>1099.56</v>
      </c>
      <c r="D21" s="135" t="s">
        <v>115</v>
      </c>
    </row>
    <row r="22" spans="2:9" ht="13.5" thickBot="1" x14ac:dyDescent="0.25">
      <c r="B22" s="116" t="s">
        <v>48</v>
      </c>
      <c r="C22" s="136" t="s">
        <v>49</v>
      </c>
    </row>
    <row r="23" spans="2:9" x14ac:dyDescent="0.2">
      <c r="B23" s="137"/>
      <c r="C23" s="138"/>
    </row>
    <row r="24" spans="2:9" x14ac:dyDescent="0.2">
      <c r="B24" s="137"/>
      <c r="C24" s="138"/>
    </row>
    <row r="25" spans="2:9" ht="13.5" thickBot="1" x14ac:dyDescent="0.25">
      <c r="B25" s="104" t="s">
        <v>86</v>
      </c>
    </row>
    <row r="26" spans="2:9" ht="13.5" thickBot="1" x14ac:dyDescent="0.25">
      <c r="B26" s="139" t="s">
        <v>76</v>
      </c>
      <c r="C26" s="213" t="s">
        <v>84</v>
      </c>
      <c r="D26" s="213"/>
      <c r="E26" s="140" t="s">
        <v>79</v>
      </c>
      <c r="F26" s="213" t="s">
        <v>85</v>
      </c>
      <c r="G26" s="213"/>
      <c r="H26" s="213" t="s">
        <v>82</v>
      </c>
      <c r="I26" s="214"/>
    </row>
    <row r="27" spans="2:9" x14ac:dyDescent="0.2">
      <c r="B27" s="123" t="s">
        <v>1</v>
      </c>
      <c r="C27" s="141">
        <v>406</v>
      </c>
      <c r="D27" s="142" t="s">
        <v>80</v>
      </c>
      <c r="E27" s="143">
        <v>0.22500000000000001</v>
      </c>
      <c r="F27" s="144">
        <f>C27*E27</f>
        <v>91.350000000000009</v>
      </c>
      <c r="G27" s="142" t="s">
        <v>80</v>
      </c>
      <c r="H27" s="144">
        <f>F27*2.205*(44/12)*0.293</f>
        <v>216.39947175000003</v>
      </c>
      <c r="I27" s="145" t="s">
        <v>83</v>
      </c>
    </row>
    <row r="28" spans="2:9" x14ac:dyDescent="0.2">
      <c r="B28" s="127" t="s">
        <v>78</v>
      </c>
      <c r="C28" s="146">
        <v>31</v>
      </c>
      <c r="D28" s="147" t="s">
        <v>81</v>
      </c>
      <c r="E28" s="148">
        <v>0.8</v>
      </c>
      <c r="F28" s="144">
        <f>C28*E28</f>
        <v>24.8</v>
      </c>
      <c r="G28" s="147" t="s">
        <v>81</v>
      </c>
      <c r="H28" s="144">
        <f>F28*2.205*(44/12)</f>
        <v>200.50800000000001</v>
      </c>
      <c r="I28" s="145" t="s">
        <v>83</v>
      </c>
    </row>
    <row r="29" spans="2:9" x14ac:dyDescent="0.2">
      <c r="B29" s="127" t="s">
        <v>77</v>
      </c>
      <c r="C29" s="146">
        <v>33</v>
      </c>
      <c r="D29" s="147" t="s">
        <v>81</v>
      </c>
      <c r="E29" s="148">
        <v>0.8</v>
      </c>
      <c r="F29" s="144">
        <f>C29*E29</f>
        <v>26.400000000000002</v>
      </c>
      <c r="G29" s="147" t="s">
        <v>81</v>
      </c>
      <c r="H29" s="144">
        <f>F29*2.205*(44/12)</f>
        <v>213.44400000000002</v>
      </c>
      <c r="I29" s="145" t="s">
        <v>83</v>
      </c>
    </row>
    <row r="30" spans="2:9" ht="13.5" thickBot="1" x14ac:dyDescent="0.25">
      <c r="B30" s="116" t="s">
        <v>19</v>
      </c>
      <c r="C30" s="149">
        <v>23</v>
      </c>
      <c r="D30" s="150" t="s">
        <v>81</v>
      </c>
      <c r="E30" s="151">
        <v>0.85</v>
      </c>
      <c r="F30" s="152">
        <f>C30*E30</f>
        <v>19.55</v>
      </c>
      <c r="G30" s="150" t="s">
        <v>81</v>
      </c>
      <c r="H30" s="152">
        <f>F30*2.205*(44/12)</f>
        <v>158.06175000000002</v>
      </c>
      <c r="I30" s="153" t="s">
        <v>83</v>
      </c>
    </row>
    <row r="33" spans="2:9" x14ac:dyDescent="0.2">
      <c r="B33" s="104" t="s">
        <v>158</v>
      </c>
    </row>
    <row r="34" spans="2:9" x14ac:dyDescent="0.2">
      <c r="B34" s="154" t="s">
        <v>159</v>
      </c>
    </row>
    <row r="35" spans="2:9" ht="13.5" thickBot="1" x14ac:dyDescent="0.25"/>
    <row r="36" spans="2:9" ht="39" customHeight="1" thickBot="1" x14ac:dyDescent="0.25">
      <c r="B36" s="208" t="s">
        <v>160</v>
      </c>
      <c r="C36" s="133" t="s">
        <v>106</v>
      </c>
      <c r="D36" s="155"/>
      <c r="E36" s="217" t="s">
        <v>164</v>
      </c>
      <c r="F36" s="217"/>
      <c r="G36" s="217"/>
      <c r="H36" s="217"/>
      <c r="I36" s="156"/>
    </row>
    <row r="37" spans="2:9" ht="13.5" thickBot="1" x14ac:dyDescent="0.25">
      <c r="B37" s="209"/>
      <c r="C37" s="157">
        <v>5.5</v>
      </c>
      <c r="D37" s="155"/>
      <c r="E37" s="217"/>
      <c r="F37" s="217"/>
      <c r="G37" s="217"/>
      <c r="H37" s="217"/>
      <c r="I37" s="156"/>
    </row>
    <row r="38" spans="2:9" ht="13.5" thickBot="1" x14ac:dyDescent="0.25">
      <c r="B38" s="137"/>
      <c r="C38" s="158"/>
      <c r="D38" s="159"/>
      <c r="E38" s="217"/>
      <c r="F38" s="217"/>
      <c r="G38" s="217"/>
      <c r="H38" s="217"/>
      <c r="I38" s="156"/>
    </row>
    <row r="39" spans="2:9" x14ac:dyDescent="0.2">
      <c r="B39" s="208" t="s">
        <v>163</v>
      </c>
      <c r="C39" s="211" t="s">
        <v>161</v>
      </c>
      <c r="D39" s="212"/>
      <c r="E39" s="217"/>
      <c r="F39" s="217"/>
      <c r="G39" s="217"/>
      <c r="H39" s="217"/>
    </row>
    <row r="40" spans="2:9" x14ac:dyDescent="0.2">
      <c r="B40" s="210"/>
      <c r="C40" s="160" t="s">
        <v>152</v>
      </c>
      <c r="D40" s="161" t="s">
        <v>128</v>
      </c>
      <c r="E40" s="217"/>
      <c r="F40" s="217"/>
      <c r="G40" s="217"/>
      <c r="H40" s="217"/>
    </row>
    <row r="41" spans="2:9" ht="13.5" thickBot="1" x14ac:dyDescent="0.25">
      <c r="B41" s="209"/>
      <c r="C41" s="118">
        <v>1.1238999999999999</v>
      </c>
      <c r="D41" s="162">
        <v>-1.2E-2</v>
      </c>
      <c r="E41" s="217"/>
      <c r="F41" s="217"/>
      <c r="G41" s="217"/>
      <c r="H41" s="217"/>
    </row>
    <row r="42" spans="2:9" x14ac:dyDescent="0.2">
      <c r="B42" s="137"/>
      <c r="D42" s="163"/>
    </row>
  </sheetData>
  <sheetProtection password="C24F"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6:B37"/>
    <mergeCell ref="B39:B41"/>
    <mergeCell ref="C39:D39"/>
    <mergeCell ref="H26:I26"/>
    <mergeCell ref="D4:E4"/>
    <mergeCell ref="C26:D26"/>
    <mergeCell ref="F26:G26"/>
    <mergeCell ref="E36:H41"/>
  </mergeCells>
  <phoneticPr fontId="11" type="noConversion"/>
  <pageMargins left="0.75" right="0.75" top="1" bottom="1" header="0.5" footer="0.5"/>
  <pageSetup orientation="portrait" horizontalDpi="200" verticalDpi="200"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5"/>
  <sheetViews>
    <sheetView workbookViewId="0">
      <selection activeCell="E45" sqref="E45"/>
    </sheetView>
  </sheetViews>
  <sheetFormatPr defaultRowHeight="12.75" x14ac:dyDescent="0.2"/>
  <cols>
    <col min="1" max="1" width="3.85546875" style="105" customWidth="1"/>
    <col min="2" max="16384" width="9.140625" style="105"/>
  </cols>
  <sheetData>
    <row r="2" spans="2:6" x14ac:dyDescent="0.2">
      <c r="B2" s="104" t="s">
        <v>58</v>
      </c>
    </row>
    <row r="3" spans="2:6" x14ac:dyDescent="0.2">
      <c r="B3" s="104" t="s">
        <v>143</v>
      </c>
    </row>
    <row r="5" spans="2:6" x14ac:dyDescent="0.2">
      <c r="B5" s="104" t="s">
        <v>121</v>
      </c>
      <c r="D5" s="164"/>
    </row>
    <row r="6" spans="2:6" x14ac:dyDescent="0.2">
      <c r="C6" s="165" t="s">
        <v>6</v>
      </c>
      <c r="D6" s="166">
        <f>Parameters!C37</f>
        <v>5.5</v>
      </c>
      <c r="E6" s="167" t="s">
        <v>7</v>
      </c>
    </row>
    <row r="7" spans="2:6" x14ac:dyDescent="0.2">
      <c r="C7" s="165" t="s">
        <v>0</v>
      </c>
      <c r="D7" s="168">
        <f>-LN(0.5)/D6</f>
        <v>0.12602676010180824</v>
      </c>
    </row>
    <row r="8" spans="2:6" x14ac:dyDescent="0.2">
      <c r="C8" s="165" t="s">
        <v>2</v>
      </c>
      <c r="D8" s="169" t="str">
        <f>'GHG Analysis'!E38</f>
        <v>-</v>
      </c>
      <c r="F8" s="164"/>
    </row>
    <row r="9" spans="2:6" x14ac:dyDescent="0.2">
      <c r="C9" s="170" t="s">
        <v>124</v>
      </c>
      <c r="D9" s="105">
        <v>-1</v>
      </c>
      <c r="E9" s="154" t="s">
        <v>122</v>
      </c>
    </row>
    <row r="10" spans="2:6" x14ac:dyDescent="0.2">
      <c r="C10" s="165" t="s">
        <v>5</v>
      </c>
      <c r="D10" s="171" t="e">
        <f>-D9/('GHG Model - Residues'!$D$8-1)</f>
        <v>#VALUE!</v>
      </c>
      <c r="E10" s="154" t="s">
        <v>123</v>
      </c>
    </row>
    <row r="11" spans="2:6" x14ac:dyDescent="0.2">
      <c r="C11" s="165"/>
      <c r="D11" s="171"/>
    </row>
    <row r="12" spans="2:6" x14ac:dyDescent="0.2">
      <c r="C12" s="165"/>
      <c r="D12" s="171"/>
    </row>
    <row r="13" spans="2:6" x14ac:dyDescent="0.2">
      <c r="B13" s="104" t="s">
        <v>59</v>
      </c>
    </row>
    <row r="15" spans="2:6" ht="25.5" x14ac:dyDescent="0.2">
      <c r="B15" s="172" t="s">
        <v>119</v>
      </c>
      <c r="C15" s="172" t="s">
        <v>125</v>
      </c>
      <c r="D15" s="173" t="s">
        <v>4</v>
      </c>
      <c r="E15" s="173" t="s">
        <v>3</v>
      </c>
      <c r="F15" s="173"/>
    </row>
    <row r="16" spans="2:6" x14ac:dyDescent="0.2">
      <c r="B16" s="105">
        <v>1</v>
      </c>
      <c r="C16" s="174">
        <f>EXP(-'GHG Model - Residues'!$D$7*(B16-0.5))</f>
        <v>0.93893091066170631</v>
      </c>
      <c r="D16" s="175" t="e">
        <f>-$D$10*(1-C16)</f>
        <v>#VALUE!</v>
      </c>
      <c r="E16" s="175" t="e">
        <f t="shared" ref="E16:E45" si="0">$D$10+D16</f>
        <v>#VALUE!</v>
      </c>
    </row>
    <row r="17" spans="2:5" x14ac:dyDescent="0.2">
      <c r="B17" s="105">
        <v>2</v>
      </c>
      <c r="C17" s="174">
        <f>EXP(-'GHG Model - Residues'!$D$7*(B17-0.5))</f>
        <v>0.82775327988481073</v>
      </c>
      <c r="D17" s="175" t="e">
        <f t="shared" ref="D17:D45" si="1">-$D$10*(1-C17)</f>
        <v>#VALUE!</v>
      </c>
      <c r="E17" s="175" t="e">
        <f t="shared" si="0"/>
        <v>#VALUE!</v>
      </c>
    </row>
    <row r="18" spans="2:5" x14ac:dyDescent="0.2">
      <c r="B18" s="105">
        <v>3</v>
      </c>
      <c r="C18" s="174">
        <f>EXP(-'GHG Model - Residues'!$D$7*(B18-0.5))</f>
        <v>0.72974005284072307</v>
      </c>
      <c r="D18" s="175" t="e">
        <f t="shared" si="1"/>
        <v>#VALUE!</v>
      </c>
      <c r="E18" s="175" t="e">
        <f t="shared" si="0"/>
        <v>#VALUE!</v>
      </c>
    </row>
    <row r="19" spans="2:5" x14ac:dyDescent="0.2">
      <c r="B19" s="105">
        <v>4</v>
      </c>
      <c r="C19" s="174">
        <f>EXP(-'GHG Model - Residues'!$D$7*(B19-0.5))</f>
        <v>0.64333244900471587</v>
      </c>
      <c r="D19" s="175" t="e">
        <f t="shared" si="1"/>
        <v>#VALUE!</v>
      </c>
      <c r="E19" s="175" t="e">
        <f t="shared" si="0"/>
        <v>#VALUE!</v>
      </c>
    </row>
    <row r="20" spans="2:5" x14ac:dyDescent="0.2">
      <c r="B20" s="105">
        <v>5</v>
      </c>
      <c r="C20" s="174">
        <f>EXP(-'GHG Model - Residues'!$D$7*(B20-0.5))</f>
        <v>0.56715626109773132</v>
      </c>
      <c r="D20" s="175" t="e">
        <f t="shared" si="1"/>
        <v>#VALUE!</v>
      </c>
      <c r="E20" s="175" t="e">
        <f t="shared" si="0"/>
        <v>#VALUE!</v>
      </c>
    </row>
    <row r="21" spans="2:5" x14ac:dyDescent="0.2">
      <c r="B21" s="105">
        <v>6</v>
      </c>
      <c r="C21" s="174">
        <f>EXP(-'GHG Model - Residues'!$D$7*(B21-0.5))</f>
        <v>0.49999999999999994</v>
      </c>
      <c r="D21" s="175" t="e">
        <f t="shared" si="1"/>
        <v>#VALUE!</v>
      </c>
      <c r="E21" s="175" t="e">
        <f t="shared" si="0"/>
        <v>#VALUE!</v>
      </c>
    </row>
    <row r="22" spans="2:5" x14ac:dyDescent="0.2">
      <c r="B22" s="105">
        <v>7</v>
      </c>
      <c r="C22" s="174">
        <f>EXP(-'GHG Model - Residues'!$D$7*(B22-0.5))</f>
        <v>0.4407956274980106</v>
      </c>
      <c r="D22" s="175" t="e">
        <f t="shared" si="1"/>
        <v>#VALUE!</v>
      </c>
      <c r="E22" s="175" t="e">
        <f t="shared" si="0"/>
        <v>#VALUE!</v>
      </c>
    </row>
    <row r="23" spans="2:5" x14ac:dyDescent="0.2">
      <c r="B23" s="105">
        <v>8</v>
      </c>
      <c r="C23" s="174">
        <f>EXP(-'GHG Model - Residues'!$D$7*(B23-0.5))</f>
        <v>0.3886015704427298</v>
      </c>
      <c r="D23" s="175" t="e">
        <f t="shared" si="1"/>
        <v>#VALUE!</v>
      </c>
      <c r="E23" s="175" t="e">
        <f t="shared" si="0"/>
        <v>#VALUE!</v>
      </c>
    </row>
    <row r="24" spans="2:5" x14ac:dyDescent="0.2">
      <c r="B24" s="105">
        <v>9</v>
      </c>
      <c r="C24" s="174">
        <f>EXP(-'GHG Model - Residues'!$D$7*(B24-0.5))</f>
        <v>0.34258774618003091</v>
      </c>
      <c r="D24" s="175" t="e">
        <f t="shared" si="1"/>
        <v>#VALUE!</v>
      </c>
      <c r="E24" s="175" t="e">
        <f t="shared" si="0"/>
        <v>#VALUE!</v>
      </c>
    </row>
    <row r="25" spans="2:5" x14ac:dyDescent="0.2">
      <c r="B25" s="105">
        <v>10</v>
      </c>
      <c r="C25" s="174">
        <f>EXP(-'GHG Model - Residues'!$D$7*(B25-0.5))</f>
        <v>0.3020223611011118</v>
      </c>
      <c r="D25" s="175" t="e">
        <f t="shared" si="1"/>
        <v>#VALUE!</v>
      </c>
      <c r="E25" s="175" t="e">
        <f t="shared" si="0"/>
        <v>#VALUE!</v>
      </c>
    </row>
    <row r="26" spans="2:5" x14ac:dyDescent="0.2">
      <c r="B26" s="105">
        <v>11</v>
      </c>
      <c r="C26" s="174">
        <f>EXP(-'GHG Model - Residues'!$D$7*(B26-0.5))</f>
        <v>0.26626027235999067</v>
      </c>
      <c r="D26" s="175" t="e">
        <f t="shared" si="1"/>
        <v>#VALUE!</v>
      </c>
      <c r="E26" s="175" t="e">
        <f t="shared" si="0"/>
        <v>#VALUE!</v>
      </c>
    </row>
    <row r="27" spans="2:5" x14ac:dyDescent="0.2">
      <c r="B27" s="105">
        <v>12</v>
      </c>
      <c r="C27" s="174">
        <f>EXP(-'GHG Model - Residues'!$D$7*(B27-0.5))</f>
        <v>0.23473272766542655</v>
      </c>
      <c r="D27" s="175" t="e">
        <f t="shared" si="1"/>
        <v>#VALUE!</v>
      </c>
      <c r="E27" s="175" t="e">
        <f t="shared" si="0"/>
        <v>#VALUE!</v>
      </c>
    </row>
    <row r="28" spans="2:5" x14ac:dyDescent="0.2">
      <c r="B28" s="105">
        <v>13</v>
      </c>
      <c r="C28" s="174">
        <f>EXP(-'GHG Model - Residues'!$D$7*(B28-0.5))</f>
        <v>0.20693831997120268</v>
      </c>
      <c r="D28" s="175" t="e">
        <f t="shared" si="1"/>
        <v>#VALUE!</v>
      </c>
      <c r="E28" s="175" t="e">
        <f t="shared" si="0"/>
        <v>#VALUE!</v>
      </c>
    </row>
    <row r="29" spans="2:5" x14ac:dyDescent="0.2">
      <c r="B29" s="105">
        <v>14</v>
      </c>
      <c r="C29" s="174">
        <f>EXP(-'GHG Model - Residues'!$D$7*(B29-0.5))</f>
        <v>0.18243501321018074</v>
      </c>
      <c r="D29" s="175" t="e">
        <f t="shared" si="1"/>
        <v>#VALUE!</v>
      </c>
      <c r="E29" s="175" t="e">
        <f t="shared" si="0"/>
        <v>#VALUE!</v>
      </c>
    </row>
    <row r="30" spans="2:5" x14ac:dyDescent="0.2">
      <c r="B30" s="105">
        <v>15</v>
      </c>
      <c r="C30" s="174">
        <f>EXP(-'GHG Model - Residues'!$D$7*(B30-0.5))</f>
        <v>0.16083311225117897</v>
      </c>
      <c r="D30" s="175" t="e">
        <f t="shared" si="1"/>
        <v>#VALUE!</v>
      </c>
      <c r="E30" s="175" t="e">
        <f t="shared" si="0"/>
        <v>#VALUE!</v>
      </c>
    </row>
    <row r="31" spans="2:5" x14ac:dyDescent="0.2">
      <c r="B31" s="105">
        <v>16</v>
      </c>
      <c r="C31" s="174">
        <f>EXP(-'GHG Model - Residues'!$D$7*(B31-0.5))</f>
        <v>0.1417890652744328</v>
      </c>
      <c r="D31" s="175" t="e">
        <f t="shared" si="1"/>
        <v>#VALUE!</v>
      </c>
      <c r="E31" s="175" t="e">
        <f t="shared" si="0"/>
        <v>#VALUE!</v>
      </c>
    </row>
    <row r="32" spans="2:5" x14ac:dyDescent="0.2">
      <c r="B32" s="105">
        <v>17</v>
      </c>
      <c r="C32" s="174">
        <f>EXP(-'GHG Model - Residues'!$D$7*(B32-0.5))</f>
        <v>0.12499999999999997</v>
      </c>
      <c r="D32" s="175" t="e">
        <f t="shared" si="1"/>
        <v>#VALUE!</v>
      </c>
      <c r="E32" s="175" t="e">
        <f t="shared" si="0"/>
        <v>#VALUE!</v>
      </c>
    </row>
    <row r="33" spans="2:5" x14ac:dyDescent="0.2">
      <c r="B33" s="105">
        <v>18</v>
      </c>
      <c r="C33" s="174">
        <f>EXP(-'GHG Model - Residues'!$D$7*(B33-0.5))</f>
        <v>0.11019890687450264</v>
      </c>
      <c r="D33" s="175" t="e">
        <f t="shared" si="1"/>
        <v>#VALUE!</v>
      </c>
      <c r="E33" s="175" t="e">
        <f t="shared" si="0"/>
        <v>#VALUE!</v>
      </c>
    </row>
    <row r="34" spans="2:5" x14ac:dyDescent="0.2">
      <c r="B34" s="105">
        <v>19</v>
      </c>
      <c r="C34" s="174">
        <f>EXP(-'GHG Model - Residues'!$D$7*(B34-0.5))</f>
        <v>9.7150392610682451E-2</v>
      </c>
      <c r="D34" s="175" t="e">
        <f t="shared" si="1"/>
        <v>#VALUE!</v>
      </c>
      <c r="E34" s="175" t="e">
        <f t="shared" si="0"/>
        <v>#VALUE!</v>
      </c>
    </row>
    <row r="35" spans="2:5" x14ac:dyDescent="0.2">
      <c r="B35" s="105">
        <v>20</v>
      </c>
      <c r="C35" s="174">
        <f>EXP(-'GHG Model - Residues'!$D$7*(B35-0.5))</f>
        <v>8.564693654500774E-2</v>
      </c>
      <c r="D35" s="175" t="e">
        <f t="shared" si="1"/>
        <v>#VALUE!</v>
      </c>
      <c r="E35" s="175" t="e">
        <f t="shared" si="0"/>
        <v>#VALUE!</v>
      </c>
    </row>
    <row r="36" spans="2:5" x14ac:dyDescent="0.2">
      <c r="B36" s="105">
        <v>21</v>
      </c>
      <c r="C36" s="174">
        <f>EXP(-'GHG Model - Residues'!$D$7*(B36-0.5))</f>
        <v>7.5505590275277937E-2</v>
      </c>
      <c r="D36" s="175" t="e">
        <f t="shared" si="1"/>
        <v>#VALUE!</v>
      </c>
      <c r="E36" s="175" t="e">
        <f t="shared" si="0"/>
        <v>#VALUE!</v>
      </c>
    </row>
    <row r="37" spans="2:5" x14ac:dyDescent="0.2">
      <c r="B37" s="105">
        <v>22</v>
      </c>
      <c r="C37" s="174">
        <f>EXP(-'GHG Model - Residues'!$D$7*(B37-0.5))</f>
        <v>6.6565068089997653E-2</v>
      </c>
      <c r="D37" s="175" t="e">
        <f t="shared" si="1"/>
        <v>#VALUE!</v>
      </c>
      <c r="E37" s="175" t="e">
        <f t="shared" si="0"/>
        <v>#VALUE!</v>
      </c>
    </row>
    <row r="38" spans="2:5" x14ac:dyDescent="0.2">
      <c r="B38" s="105">
        <v>23</v>
      </c>
      <c r="C38" s="174">
        <f>EXP(-'GHG Model - Residues'!$D$7*(B38-0.5))</f>
        <v>5.8683181916356644E-2</v>
      </c>
      <c r="D38" s="175" t="e">
        <f t="shared" si="1"/>
        <v>#VALUE!</v>
      </c>
      <c r="E38" s="175" t="e">
        <f t="shared" si="0"/>
        <v>#VALUE!</v>
      </c>
    </row>
    <row r="39" spans="2:5" x14ac:dyDescent="0.2">
      <c r="B39" s="105">
        <v>24</v>
      </c>
      <c r="C39" s="174">
        <f>EXP(-'GHG Model - Residues'!$D$7*(B39-0.5))</f>
        <v>5.1734579992800671E-2</v>
      </c>
      <c r="D39" s="175" t="e">
        <f t="shared" si="1"/>
        <v>#VALUE!</v>
      </c>
      <c r="E39" s="175" t="e">
        <f t="shared" si="0"/>
        <v>#VALUE!</v>
      </c>
    </row>
    <row r="40" spans="2:5" x14ac:dyDescent="0.2">
      <c r="B40" s="105">
        <v>25</v>
      </c>
      <c r="C40" s="174">
        <f>EXP(-'GHG Model - Residues'!$D$7*(B40-0.5))</f>
        <v>4.5608753302545178E-2</v>
      </c>
      <c r="D40" s="175" t="e">
        <f t="shared" si="1"/>
        <v>#VALUE!</v>
      </c>
      <c r="E40" s="175" t="e">
        <f t="shared" si="0"/>
        <v>#VALUE!</v>
      </c>
    </row>
    <row r="41" spans="2:5" x14ac:dyDescent="0.2">
      <c r="B41" s="105">
        <v>26</v>
      </c>
      <c r="C41" s="174">
        <f>EXP(-'GHG Model - Residues'!$D$7*(B41-0.5))</f>
        <v>4.0208278062794735E-2</v>
      </c>
      <c r="D41" s="175" t="e">
        <f t="shared" si="1"/>
        <v>#VALUE!</v>
      </c>
      <c r="E41" s="175" t="e">
        <f t="shared" si="0"/>
        <v>#VALUE!</v>
      </c>
    </row>
    <row r="42" spans="2:5" x14ac:dyDescent="0.2">
      <c r="B42" s="105">
        <v>27</v>
      </c>
      <c r="C42" s="174">
        <f>EXP(-'GHG Model - Residues'!$D$7*(B42-0.5))</f>
        <v>3.54472663186082E-2</v>
      </c>
      <c r="D42" s="175" t="e">
        <f t="shared" si="1"/>
        <v>#VALUE!</v>
      </c>
      <c r="E42" s="175" t="e">
        <f t="shared" si="0"/>
        <v>#VALUE!</v>
      </c>
    </row>
    <row r="43" spans="2:5" x14ac:dyDescent="0.2">
      <c r="B43" s="105">
        <v>28</v>
      </c>
      <c r="C43" s="174">
        <f>EXP(-'GHG Model - Residues'!$D$7*(B43-0.5))</f>
        <v>3.125E-2</v>
      </c>
      <c r="D43" s="175" t="e">
        <f t="shared" si="1"/>
        <v>#VALUE!</v>
      </c>
      <c r="E43" s="175" t="e">
        <f t="shared" si="0"/>
        <v>#VALUE!</v>
      </c>
    </row>
    <row r="44" spans="2:5" x14ac:dyDescent="0.2">
      <c r="B44" s="105">
        <v>29</v>
      </c>
      <c r="C44" s="174">
        <f>EXP(-'GHG Model - Residues'!$D$7*(B44-0.5))</f>
        <v>2.7549726718625652E-2</v>
      </c>
      <c r="D44" s="175" t="e">
        <f t="shared" si="1"/>
        <v>#VALUE!</v>
      </c>
      <c r="E44" s="175" t="e">
        <f t="shared" si="0"/>
        <v>#VALUE!</v>
      </c>
    </row>
    <row r="45" spans="2:5" x14ac:dyDescent="0.2">
      <c r="B45" s="105">
        <v>30</v>
      </c>
      <c r="C45" s="174">
        <f>EXP(-'GHG Model - Residues'!$D$7*(B45-0.5))</f>
        <v>2.4287598152670609E-2</v>
      </c>
      <c r="D45" s="175" t="e">
        <f t="shared" si="1"/>
        <v>#VALUE!</v>
      </c>
      <c r="E45" s="175" t="e">
        <f t="shared" si="0"/>
        <v>#VALUE!</v>
      </c>
    </row>
  </sheetData>
  <sheetProtection password="C24F" sheet="1" objects="1" scenarios="1"/>
  <customSheetViews>
    <customSheetView guid="{C282F3AD-FD8E-4599-82FE-23A64399EB81}">
      <pageMargins left="0.75" right="0.75" top="1" bottom="1" header="0.5" footer="0.5"/>
      <headerFooter alignWithMargins="0"/>
    </customSheetView>
  </customSheetViews>
  <phoneticPr fontId="11" type="noConversion"/>
  <pageMargins left="0.75" right="0.75" top="1" bottom="1" header="0.5" footer="0.5"/>
  <pageSetup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5"/>
  <sheetViews>
    <sheetView workbookViewId="0">
      <selection activeCell="E45" sqref="E45"/>
    </sheetView>
  </sheetViews>
  <sheetFormatPr defaultRowHeight="12.75" x14ac:dyDescent="0.2"/>
  <cols>
    <col min="1" max="1" width="3.85546875" style="105" customWidth="1"/>
    <col min="2" max="3" width="9.140625" style="105"/>
    <col min="4" max="5" width="9.140625" style="105" customWidth="1"/>
    <col min="6" max="16384" width="9.140625" style="105"/>
  </cols>
  <sheetData>
    <row r="2" spans="2:6" x14ac:dyDescent="0.2">
      <c r="B2" s="104" t="s">
        <v>58</v>
      </c>
    </row>
    <row r="3" spans="2:6" x14ac:dyDescent="0.2">
      <c r="B3" s="104" t="s">
        <v>141</v>
      </c>
    </row>
    <row r="5" spans="2:6" x14ac:dyDescent="0.2">
      <c r="B5" s="104" t="s">
        <v>121</v>
      </c>
    </row>
    <row r="7" spans="2:6" x14ac:dyDescent="0.2">
      <c r="E7" s="177"/>
    </row>
    <row r="8" spans="2:6" x14ac:dyDescent="0.2">
      <c r="C8" s="165" t="s">
        <v>2</v>
      </c>
      <c r="D8" s="169" t="str">
        <f>'GHG Analysis'!E38</f>
        <v>-</v>
      </c>
    </row>
    <row r="9" spans="2:6" x14ac:dyDescent="0.2">
      <c r="C9" s="170" t="s">
        <v>124</v>
      </c>
      <c r="D9" s="105">
        <v>-1</v>
      </c>
    </row>
    <row r="10" spans="2:6" x14ac:dyDescent="0.2">
      <c r="C10" s="165" t="s">
        <v>5</v>
      </c>
      <c r="D10" s="171" t="e">
        <f>-D9/('GHG Model - Forest Thinnings'!$D$8-1)</f>
        <v>#VALUE!</v>
      </c>
    </row>
    <row r="12" spans="2:6" x14ac:dyDescent="0.2">
      <c r="B12" s="165"/>
    </row>
    <row r="13" spans="2:6" x14ac:dyDescent="0.2">
      <c r="B13" s="104" t="s">
        <v>59</v>
      </c>
    </row>
    <row r="14" spans="2:6" x14ac:dyDescent="0.2">
      <c r="B14" s="165"/>
    </row>
    <row r="15" spans="2:6" ht="25.5" x14ac:dyDescent="0.2">
      <c r="B15" s="172" t="s">
        <v>119</v>
      </c>
      <c r="C15" s="172" t="s">
        <v>120</v>
      </c>
      <c r="D15" s="173" t="s">
        <v>118</v>
      </c>
      <c r="E15" s="173" t="s">
        <v>3</v>
      </c>
      <c r="F15" s="173"/>
    </row>
    <row r="16" spans="2:6" x14ac:dyDescent="0.2">
      <c r="B16" s="105">
        <v>1</v>
      </c>
      <c r="C16" s="176">
        <f>Parameters!$C$41*EXP(Parameters!$D$41*B16)</f>
        <v>1.1104937980855236</v>
      </c>
      <c r="D16" s="174" t="e">
        <f t="shared" ref="D16:D45" si="0">-$D$10*(1-C16)</f>
        <v>#VALUE!</v>
      </c>
      <c r="E16" s="174" t="e">
        <f t="shared" ref="E16:E45" si="1">$D$10+D16</f>
        <v>#VALUE!</v>
      </c>
    </row>
    <row r="17" spans="2:5" x14ac:dyDescent="0.2">
      <c r="B17" s="105">
        <v>2</v>
      </c>
      <c r="C17" s="176">
        <f>Parameters!$C$41*EXP(Parameters!$D$41*B17)</f>
        <v>1.0972475091969141</v>
      </c>
      <c r="D17" s="174" t="e">
        <f t="shared" si="0"/>
        <v>#VALUE!</v>
      </c>
      <c r="E17" s="174" t="e">
        <f t="shared" si="1"/>
        <v>#VALUE!</v>
      </c>
    </row>
    <row r="18" spans="2:5" x14ac:dyDescent="0.2">
      <c r="B18" s="105">
        <v>3</v>
      </c>
      <c r="C18" s="176">
        <f>Parameters!$C$41*EXP(Parameters!$D$41*B18)</f>
        <v>1.084159225845682</v>
      </c>
      <c r="D18" s="174" t="e">
        <f t="shared" si="0"/>
        <v>#VALUE!</v>
      </c>
      <c r="E18" s="174" t="e">
        <f t="shared" si="1"/>
        <v>#VALUE!</v>
      </c>
    </row>
    <row r="19" spans="2:5" x14ac:dyDescent="0.2">
      <c r="B19" s="105">
        <v>4</v>
      </c>
      <c r="C19" s="176">
        <f>Parameters!$C$41*EXP(Parameters!$D$41*B19)</f>
        <v>1.0712270632964074</v>
      </c>
      <c r="D19" s="174" t="e">
        <f t="shared" si="0"/>
        <v>#VALUE!</v>
      </c>
      <c r="E19" s="174" t="e">
        <f t="shared" si="1"/>
        <v>#VALUE!</v>
      </c>
    </row>
    <row r="20" spans="2:5" x14ac:dyDescent="0.2">
      <c r="B20" s="105">
        <v>5</v>
      </c>
      <c r="C20" s="176">
        <f>Parameters!$C$41*EXP(Parameters!$D$41*B20)</f>
        <v>1.0584491592953371</v>
      </c>
      <c r="D20" s="174" t="e">
        <f t="shared" si="0"/>
        <v>#VALUE!</v>
      </c>
      <c r="E20" s="174" t="e">
        <f t="shared" si="1"/>
        <v>#VALUE!</v>
      </c>
    </row>
    <row r="21" spans="2:5" x14ac:dyDescent="0.2">
      <c r="B21" s="105">
        <v>6</v>
      </c>
      <c r="C21" s="176">
        <f>Parameters!$C$41*EXP(Parameters!$D$41*B21)</f>
        <v>1.045823673802214</v>
      </c>
      <c r="D21" s="174" t="e">
        <f t="shared" si="0"/>
        <v>#VALUE!</v>
      </c>
      <c r="E21" s="174" t="e">
        <f t="shared" si="1"/>
        <v>#VALUE!</v>
      </c>
    </row>
    <row r="22" spans="2:5" x14ac:dyDescent="0.2">
      <c r="B22" s="105">
        <v>7</v>
      </c>
      <c r="C22" s="176">
        <f>Parameters!$C$41*EXP(Parameters!$D$41*B22)</f>
        <v>1.0333487887253106</v>
      </c>
      <c r="D22" s="174" t="e">
        <f t="shared" si="0"/>
        <v>#VALUE!</v>
      </c>
      <c r="E22" s="174" t="e">
        <f t="shared" si="1"/>
        <v>#VALUE!</v>
      </c>
    </row>
    <row r="23" spans="2:5" x14ac:dyDescent="0.2">
      <c r="B23" s="105">
        <v>8</v>
      </c>
      <c r="C23" s="176">
        <f>Parameters!$C$41*EXP(Parameters!$D$41*B23)</f>
        <v>1.0210227076596188</v>
      </c>
      <c r="D23" s="174" t="e">
        <f t="shared" si="0"/>
        <v>#VALUE!</v>
      </c>
      <c r="E23" s="174" t="e">
        <f t="shared" si="1"/>
        <v>#VALUE!</v>
      </c>
    </row>
    <row r="24" spans="2:5" x14ac:dyDescent="0.2">
      <c r="B24" s="105">
        <v>9</v>
      </c>
      <c r="C24" s="176">
        <f>Parameters!$C$41*EXP(Parameters!$D$41*B24)</f>
        <v>1.0088436556281657</v>
      </c>
      <c r="D24" s="174" t="e">
        <f t="shared" si="0"/>
        <v>#VALUE!</v>
      </c>
      <c r="E24" s="174" t="e">
        <f t="shared" si="1"/>
        <v>#VALUE!</v>
      </c>
    </row>
    <row r="25" spans="2:5" x14ac:dyDescent="0.2">
      <c r="B25" s="105">
        <v>10</v>
      </c>
      <c r="C25" s="176">
        <f>Parameters!$C$41*EXP(Parameters!$D$41*B25)</f>
        <v>0.99680987882641325</v>
      </c>
      <c r="D25" s="174" t="e">
        <f t="shared" si="0"/>
        <v>#VALUE!</v>
      </c>
      <c r="E25" s="174" t="e">
        <f t="shared" si="1"/>
        <v>#VALUE!</v>
      </c>
    </row>
    <row r="26" spans="2:5" x14ac:dyDescent="0.2">
      <c r="B26" s="105">
        <v>11</v>
      </c>
      <c r="C26" s="176">
        <f>Parameters!$C$41*EXP(Parameters!$D$41*B26)</f>
        <v>0.98491964436970747</v>
      </c>
      <c r="D26" s="174" t="e">
        <f t="shared" si="0"/>
        <v>#VALUE!</v>
      </c>
      <c r="E26" s="174" t="e">
        <f t="shared" si="1"/>
        <v>#VALUE!</v>
      </c>
    </row>
    <row r="27" spans="2:5" x14ac:dyDescent="0.2">
      <c r="B27" s="105">
        <v>12</v>
      </c>
      <c r="C27" s="176">
        <f>Parameters!$C$41*EXP(Parameters!$D$41*B27)</f>
        <v>0.97317124004374045</v>
      </c>
      <c r="D27" s="174" t="e">
        <f t="shared" si="0"/>
        <v>#VALUE!</v>
      </c>
      <c r="E27" s="174" t="e">
        <f t="shared" si="1"/>
        <v>#VALUE!</v>
      </c>
    </row>
    <row r="28" spans="2:5" x14ac:dyDescent="0.2">
      <c r="B28" s="105">
        <v>13</v>
      </c>
      <c r="C28" s="176">
        <f>Parameters!$C$41*EXP(Parameters!$D$41*B28)</f>
        <v>0.96156297405798752</v>
      </c>
      <c r="D28" s="174" t="e">
        <f t="shared" si="0"/>
        <v>#VALUE!</v>
      </c>
      <c r="E28" s="174" t="e">
        <f t="shared" si="1"/>
        <v>#VALUE!</v>
      </c>
    </row>
    <row r="29" spans="2:5" x14ac:dyDescent="0.2">
      <c r="B29" s="105">
        <v>14</v>
      </c>
      <c r="C29" s="176">
        <f>Parameters!$C$41*EXP(Parameters!$D$41*B29)</f>
        <v>0.95009317480208788</v>
      </c>
      <c r="D29" s="174" t="e">
        <f t="shared" si="0"/>
        <v>#VALUE!</v>
      </c>
      <c r="E29" s="174" t="e">
        <f t="shared" si="1"/>
        <v>#VALUE!</v>
      </c>
    </row>
    <row r="30" spans="2:5" x14ac:dyDescent="0.2">
      <c r="B30" s="105">
        <v>15</v>
      </c>
      <c r="C30" s="176">
        <f>Parameters!$C$41*EXP(Parameters!$D$41*B30)</f>
        <v>0.9387601906051285</v>
      </c>
      <c r="D30" s="174" t="e">
        <f t="shared" si="0"/>
        <v>#VALUE!</v>
      </c>
      <c r="E30" s="174" t="e">
        <f t="shared" si="1"/>
        <v>#VALUE!</v>
      </c>
    </row>
    <row r="31" spans="2:5" x14ac:dyDescent="0.2">
      <c r="B31" s="105">
        <v>16</v>
      </c>
      <c r="C31" s="176">
        <f>Parameters!$C$41*EXP(Parameters!$D$41*B31)</f>
        <v>0.92756238949780168</v>
      </c>
      <c r="D31" s="174" t="e">
        <f t="shared" si="0"/>
        <v>#VALUE!</v>
      </c>
      <c r="E31" s="174" t="e">
        <f t="shared" si="1"/>
        <v>#VALUE!</v>
      </c>
    </row>
    <row r="32" spans="2:5" x14ac:dyDescent="0.2">
      <c r="B32" s="105">
        <v>17</v>
      </c>
      <c r="C32" s="176">
        <f>Parameters!$C$41*EXP(Parameters!$D$41*B32)</f>
        <v>0.91649815897739817</v>
      </c>
      <c r="D32" s="174" t="e">
        <f t="shared" si="0"/>
        <v>#VALUE!</v>
      </c>
      <c r="E32" s="174" t="e">
        <f t="shared" si="1"/>
        <v>#VALUE!</v>
      </c>
    </row>
    <row r="33" spans="2:5" x14ac:dyDescent="0.2">
      <c r="B33" s="105">
        <v>18</v>
      </c>
      <c r="C33" s="176">
        <f>Parameters!$C$41*EXP(Parameters!$D$41*B33)</f>
        <v>0.9055659057756037</v>
      </c>
      <c r="D33" s="174" t="e">
        <f t="shared" si="0"/>
        <v>#VALUE!</v>
      </c>
      <c r="E33" s="174" t="e">
        <f t="shared" si="1"/>
        <v>#VALUE!</v>
      </c>
    </row>
    <row r="34" spans="2:5" x14ac:dyDescent="0.2">
      <c r="B34" s="105">
        <v>19</v>
      </c>
      <c r="C34" s="176">
        <f>Parameters!$C$41*EXP(Parameters!$D$41*B34)</f>
        <v>0.89476405562906636</v>
      </c>
      <c r="D34" s="174" t="e">
        <f t="shared" si="0"/>
        <v>#VALUE!</v>
      </c>
      <c r="E34" s="174" t="e">
        <f t="shared" si="1"/>
        <v>#VALUE!</v>
      </c>
    </row>
    <row r="35" spans="2:5" x14ac:dyDescent="0.2">
      <c r="B35" s="105">
        <v>20</v>
      </c>
      <c r="C35" s="176">
        <f>Parameters!$C$41*EXP(Parameters!$D$41*B35)</f>
        <v>0.88409105305269942</v>
      </c>
      <c r="D35" s="174" t="e">
        <f t="shared" si="0"/>
        <v>#VALUE!</v>
      </c>
      <c r="E35" s="174" t="e">
        <f t="shared" si="1"/>
        <v>#VALUE!</v>
      </c>
    </row>
    <row r="36" spans="2:5" x14ac:dyDescent="0.2">
      <c r="B36" s="105">
        <v>21</v>
      </c>
      <c r="C36" s="176">
        <f>Parameters!$C$41*EXP(Parameters!$D$41*B36)</f>
        <v>0.87354536111568848</v>
      </c>
      <c r="D36" s="174" t="e">
        <f t="shared" si="0"/>
        <v>#VALUE!</v>
      </c>
      <c r="E36" s="174" t="e">
        <f t="shared" si="1"/>
        <v>#VALUE!</v>
      </c>
    </row>
    <row r="37" spans="2:5" x14ac:dyDescent="0.2">
      <c r="B37" s="105">
        <v>22</v>
      </c>
      <c r="C37" s="176">
        <f>Parameters!$C$41*EXP(Parameters!$D$41*B37)</f>
        <v>0.86312546122017197</v>
      </c>
      <c r="D37" s="174" t="e">
        <f t="shared" si="0"/>
        <v>#VALUE!</v>
      </c>
      <c r="E37" s="174" t="e">
        <f t="shared" si="1"/>
        <v>#VALUE!</v>
      </c>
    </row>
    <row r="38" spans="2:5" x14ac:dyDescent="0.2">
      <c r="B38" s="105">
        <v>23</v>
      </c>
      <c r="C38" s="176">
        <f>Parameters!$C$41*EXP(Parameters!$D$41*B38)</f>
        <v>0.85282985288255908</v>
      </c>
      <c r="D38" s="174" t="e">
        <f t="shared" si="0"/>
        <v>#VALUE!</v>
      </c>
      <c r="E38" s="174" t="e">
        <f t="shared" si="1"/>
        <v>#VALUE!</v>
      </c>
    </row>
    <row r="39" spans="2:5" x14ac:dyDescent="0.2">
      <c r="B39" s="105">
        <v>24</v>
      </c>
      <c r="C39" s="176">
        <f>Parameters!$C$41*EXP(Parameters!$D$41*B39)</f>
        <v>0.84265705351745845</v>
      </c>
      <c r="D39" s="174" t="e">
        <f t="shared" si="0"/>
        <v>#VALUE!</v>
      </c>
      <c r="E39" s="174" t="e">
        <f t="shared" si="1"/>
        <v>#VALUE!</v>
      </c>
    </row>
    <row r="40" spans="2:5" x14ac:dyDescent="0.2">
      <c r="B40" s="105">
        <v>25</v>
      </c>
      <c r="C40" s="176">
        <f>Parameters!$C$41*EXP(Parameters!$D$41*B40)</f>
        <v>0.83260559822418267</v>
      </c>
      <c r="D40" s="174" t="e">
        <f t="shared" si="0"/>
        <v>#VALUE!</v>
      </c>
      <c r="E40" s="174" t="e">
        <f t="shared" si="1"/>
        <v>#VALUE!</v>
      </c>
    </row>
    <row r="41" spans="2:5" x14ac:dyDescent="0.2">
      <c r="B41" s="105">
        <v>26</v>
      </c>
      <c r="C41" s="176">
        <f>Parameters!$C$41*EXP(Parameters!$D$41*B41)</f>
        <v>0.82267403957580054</v>
      </c>
      <c r="D41" s="174" t="e">
        <f t="shared" si="0"/>
        <v>#VALUE!</v>
      </c>
      <c r="E41" s="174" t="e">
        <f t="shared" si="1"/>
        <v>#VALUE!</v>
      </c>
    </row>
    <row r="42" spans="2:5" x14ac:dyDescent="0.2">
      <c r="B42" s="105">
        <v>27</v>
      </c>
      <c r="C42" s="176">
        <f>Parameters!$C$41*EXP(Parameters!$D$41*B42)</f>
        <v>0.8128609474107048</v>
      </c>
      <c r="D42" s="174" t="e">
        <f t="shared" si="0"/>
        <v>#VALUE!</v>
      </c>
      <c r="E42" s="174" t="e">
        <f t="shared" si="1"/>
        <v>#VALUE!</v>
      </c>
    </row>
    <row r="43" spans="2:5" x14ac:dyDescent="0.2">
      <c r="B43" s="105">
        <v>28</v>
      </c>
      <c r="C43" s="176">
        <f>Parameters!$C$41*EXP(Parameters!$D$41*B43)</f>
        <v>0.80316490862666667</v>
      </c>
      <c r="D43" s="174" t="e">
        <f t="shared" si="0"/>
        <v>#VALUE!</v>
      </c>
      <c r="E43" s="174" t="e">
        <f t="shared" si="1"/>
        <v>#VALUE!</v>
      </c>
    </row>
    <row r="44" spans="2:5" x14ac:dyDescent="0.2">
      <c r="B44" s="105">
        <v>29</v>
      </c>
      <c r="C44" s="176">
        <f>Parameters!$C$41*EXP(Parameters!$D$41*B44)</f>
        <v>0.79358452697734649</v>
      </c>
      <c r="D44" s="174" t="e">
        <f t="shared" si="0"/>
        <v>#VALUE!</v>
      </c>
      <c r="E44" s="174" t="e">
        <f t="shared" si="1"/>
        <v>#VALUE!</v>
      </c>
    </row>
    <row r="45" spans="2:5" x14ac:dyDescent="0.2">
      <c r="B45" s="105">
        <v>30</v>
      </c>
      <c r="C45" s="176">
        <f>Parameters!$C$41*EXP(Parameters!$D$41*B45)</f>
        <v>0.78411842287123168</v>
      </c>
      <c r="D45" s="174" t="e">
        <f t="shared" si="0"/>
        <v>#VALUE!</v>
      </c>
      <c r="E45" s="174" t="e">
        <f t="shared" si="1"/>
        <v>#VALUE!</v>
      </c>
    </row>
  </sheetData>
  <sheetProtection password="C24F" sheet="1" objects="1" scenarios="1"/>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zoomScale="70" zoomScaleNormal="70" workbookViewId="0"/>
  </sheetViews>
  <sheetFormatPr defaultColWidth="9.140625" defaultRowHeight="15" x14ac:dyDescent="0.25"/>
  <cols>
    <col min="1" max="1" width="2.140625" style="4" customWidth="1"/>
    <col min="2" max="2" width="4.7109375" style="4" customWidth="1"/>
    <col min="3" max="3" width="3.28515625" style="4" customWidth="1"/>
    <col min="4" max="4" width="20.28515625" style="4" customWidth="1"/>
    <col min="5" max="5" width="9.5703125" style="4" bestFit="1" customWidth="1"/>
    <col min="6" max="16384" width="9.140625" style="4"/>
  </cols>
  <sheetData>
    <row r="1" spans="2:10" x14ac:dyDescent="0.25">
      <c r="D1" s="8"/>
    </row>
    <row r="2" spans="2:10" ht="21" x14ac:dyDescent="0.35">
      <c r="B2" s="15" t="s">
        <v>149</v>
      </c>
    </row>
    <row r="4" spans="2:10" ht="18.75" x14ac:dyDescent="0.3">
      <c r="D4" s="6" t="s">
        <v>126</v>
      </c>
      <c r="F4" s="5" t="s">
        <v>139</v>
      </c>
    </row>
    <row r="5" spans="2:10" x14ac:dyDescent="0.25">
      <c r="D5" s="13" t="s">
        <v>137</v>
      </c>
      <c r="E5" s="4">
        <v>0</v>
      </c>
      <c r="F5" s="4">
        <v>10</v>
      </c>
      <c r="G5" s="4">
        <v>20</v>
      </c>
      <c r="H5" s="4">
        <v>30</v>
      </c>
      <c r="I5" s="4">
        <v>40</v>
      </c>
      <c r="J5" s="4">
        <v>50</v>
      </c>
    </row>
    <row r="6" spans="2:10" x14ac:dyDescent="0.25">
      <c r="C6" s="14" t="s">
        <v>134</v>
      </c>
      <c r="D6" s="9"/>
    </row>
    <row r="7" spans="2:10" x14ac:dyDescent="0.25">
      <c r="C7" s="9" t="s">
        <v>127</v>
      </c>
    </row>
    <row r="8" spans="2:10" x14ac:dyDescent="0.25">
      <c r="D8" s="5" t="s">
        <v>129</v>
      </c>
      <c r="E8" s="4">
        <v>0</v>
      </c>
      <c r="F8" s="4">
        <v>0.11</v>
      </c>
      <c r="G8" s="4">
        <v>0.3</v>
      </c>
      <c r="H8" s="4">
        <v>0.47</v>
      </c>
      <c r="I8" s="4">
        <v>0.53</v>
      </c>
      <c r="J8" s="4">
        <v>0.53</v>
      </c>
    </row>
    <row r="9" spans="2:10" x14ac:dyDescent="0.25">
      <c r="D9" s="5" t="s">
        <v>130</v>
      </c>
      <c r="E9" s="4">
        <v>0</v>
      </c>
      <c r="F9" s="4">
        <v>0.28000000000000003</v>
      </c>
      <c r="G9" s="4">
        <v>0.41</v>
      </c>
      <c r="H9" s="4">
        <v>0.54</v>
      </c>
      <c r="I9" s="4">
        <v>0.63</v>
      </c>
      <c r="J9" s="4">
        <v>0.68</v>
      </c>
    </row>
    <row r="10" spans="2:10" x14ac:dyDescent="0.25">
      <c r="C10" s="9" t="s">
        <v>131</v>
      </c>
    </row>
    <row r="11" spans="2:10" x14ac:dyDescent="0.25">
      <c r="D11" s="5" t="s">
        <v>129</v>
      </c>
      <c r="E11" s="4">
        <v>0</v>
      </c>
      <c r="F11" s="4">
        <v>-0.09</v>
      </c>
      <c r="G11" s="4">
        <v>0.11</v>
      </c>
      <c r="H11" s="4">
        <v>0.31</v>
      </c>
      <c r="I11" s="4">
        <v>0.38</v>
      </c>
      <c r="J11" s="4">
        <v>0.38</v>
      </c>
    </row>
    <row r="12" spans="2:10" x14ac:dyDescent="0.25">
      <c r="D12" s="5" t="s">
        <v>130</v>
      </c>
      <c r="E12" s="4">
        <v>0</v>
      </c>
      <c r="F12" s="4">
        <v>-0.12</v>
      </c>
      <c r="G12" s="4">
        <v>-0.04</v>
      </c>
      <c r="H12" s="4">
        <v>0.16</v>
      </c>
      <c r="I12" s="4">
        <v>0.31</v>
      </c>
      <c r="J12" s="4">
        <v>0.39</v>
      </c>
    </row>
    <row r="13" spans="2:10" x14ac:dyDescent="0.25">
      <c r="C13" s="9" t="s">
        <v>132</v>
      </c>
    </row>
    <row r="14" spans="2:10" x14ac:dyDescent="0.25">
      <c r="D14" s="5" t="s">
        <v>129</v>
      </c>
      <c r="E14" s="4">
        <v>0</v>
      </c>
      <c r="F14" s="4">
        <v>0.68</v>
      </c>
      <c r="G14" s="4">
        <v>0.87</v>
      </c>
      <c r="H14" s="4">
        <v>0.93</v>
      </c>
      <c r="I14" s="4">
        <v>0.96</v>
      </c>
      <c r="J14" s="4">
        <v>0.97</v>
      </c>
    </row>
    <row r="15" spans="2:10" x14ac:dyDescent="0.25">
      <c r="D15" s="5" t="s">
        <v>130</v>
      </c>
      <c r="E15" s="4">
        <v>0</v>
      </c>
      <c r="F15" s="4">
        <v>0.68</v>
      </c>
      <c r="G15" s="4">
        <v>0.87</v>
      </c>
      <c r="H15" s="4">
        <v>0.93</v>
      </c>
      <c r="I15" s="4">
        <v>0.96</v>
      </c>
      <c r="J15" s="4">
        <v>0.97</v>
      </c>
    </row>
    <row r="16" spans="2:10" x14ac:dyDescent="0.25">
      <c r="D16" s="5"/>
    </row>
    <row r="17" spans="3:16" x14ac:dyDescent="0.25">
      <c r="C17" s="14" t="s">
        <v>133</v>
      </c>
    </row>
    <row r="18" spans="3:16" x14ac:dyDescent="0.25">
      <c r="C18" s="9" t="s">
        <v>127</v>
      </c>
    </row>
    <row r="19" spans="3:16" x14ac:dyDescent="0.25">
      <c r="D19" s="5" t="s">
        <v>129</v>
      </c>
      <c r="E19" s="4">
        <f>1-E8</f>
        <v>1</v>
      </c>
      <c r="F19" s="4">
        <f t="shared" ref="F19:J20" si="0">1-F8</f>
        <v>0.89</v>
      </c>
      <c r="G19" s="4">
        <f t="shared" si="0"/>
        <v>0.7</v>
      </c>
      <c r="H19" s="4">
        <f t="shared" si="0"/>
        <v>0.53</v>
      </c>
      <c r="I19" s="4">
        <f t="shared" si="0"/>
        <v>0.47</v>
      </c>
      <c r="J19" s="4">
        <f t="shared" si="0"/>
        <v>0.47</v>
      </c>
    </row>
    <row r="20" spans="3:16" x14ac:dyDescent="0.25">
      <c r="D20" s="5" t="s">
        <v>130</v>
      </c>
      <c r="E20" s="4">
        <f>1-E9</f>
        <v>1</v>
      </c>
      <c r="F20" s="4">
        <f t="shared" si="0"/>
        <v>0.72</v>
      </c>
      <c r="G20" s="4">
        <f t="shared" si="0"/>
        <v>0.59000000000000008</v>
      </c>
      <c r="H20" s="4">
        <f t="shared" si="0"/>
        <v>0.45999999999999996</v>
      </c>
      <c r="I20" s="4">
        <f t="shared" si="0"/>
        <v>0.37</v>
      </c>
      <c r="J20" s="4">
        <f t="shared" si="0"/>
        <v>0.31999999999999995</v>
      </c>
    </row>
    <row r="21" spans="3:16" x14ac:dyDescent="0.25">
      <c r="C21" s="9" t="s">
        <v>131</v>
      </c>
    </row>
    <row r="22" spans="3:16" x14ac:dyDescent="0.25">
      <c r="D22" s="5" t="s">
        <v>129</v>
      </c>
      <c r="E22" s="4">
        <f>1-E11</f>
        <v>1</v>
      </c>
      <c r="F22" s="4">
        <f t="shared" ref="F22:J23" si="1">1-F11</f>
        <v>1.0900000000000001</v>
      </c>
      <c r="G22" s="4">
        <f t="shared" si="1"/>
        <v>0.89</v>
      </c>
      <c r="H22" s="4">
        <f t="shared" si="1"/>
        <v>0.69</v>
      </c>
      <c r="I22" s="4">
        <f t="shared" si="1"/>
        <v>0.62</v>
      </c>
      <c r="J22" s="4">
        <f t="shared" si="1"/>
        <v>0.62</v>
      </c>
    </row>
    <row r="23" spans="3:16" x14ac:dyDescent="0.25">
      <c r="D23" s="5" t="s">
        <v>130</v>
      </c>
      <c r="E23" s="4">
        <f>1-E12</f>
        <v>1</v>
      </c>
      <c r="F23" s="4">
        <f t="shared" si="1"/>
        <v>1.1200000000000001</v>
      </c>
      <c r="G23" s="4">
        <f t="shared" si="1"/>
        <v>1.04</v>
      </c>
      <c r="H23" s="4">
        <f t="shared" si="1"/>
        <v>0.84</v>
      </c>
      <c r="I23" s="4">
        <f t="shared" si="1"/>
        <v>0.69</v>
      </c>
      <c r="J23" s="4">
        <f t="shared" si="1"/>
        <v>0.61</v>
      </c>
    </row>
    <row r="24" spans="3:16" x14ac:dyDescent="0.25">
      <c r="C24" s="9" t="s">
        <v>132</v>
      </c>
    </row>
    <row r="25" spans="3:16" x14ac:dyDescent="0.25">
      <c r="D25" s="5" t="s">
        <v>129</v>
      </c>
      <c r="E25" s="4">
        <f>1-E14</f>
        <v>1</v>
      </c>
      <c r="F25" s="4">
        <f t="shared" ref="F25:J26" si="2">1-F14</f>
        <v>0.31999999999999995</v>
      </c>
      <c r="G25" s="4">
        <f t="shared" si="2"/>
        <v>0.13</v>
      </c>
      <c r="H25" s="4">
        <f t="shared" si="2"/>
        <v>6.9999999999999951E-2</v>
      </c>
      <c r="I25" s="4">
        <f t="shared" si="2"/>
        <v>4.0000000000000036E-2</v>
      </c>
      <c r="J25" s="4">
        <f t="shared" si="2"/>
        <v>3.0000000000000027E-2</v>
      </c>
    </row>
    <row r="26" spans="3:16" x14ac:dyDescent="0.25">
      <c r="D26" s="5" t="s">
        <v>130</v>
      </c>
      <c r="E26" s="4">
        <f>1-E15</f>
        <v>1</v>
      </c>
      <c r="F26" s="4">
        <f t="shared" si="2"/>
        <v>0.31999999999999995</v>
      </c>
      <c r="G26" s="4">
        <f t="shared" si="2"/>
        <v>0.13</v>
      </c>
      <c r="H26" s="4">
        <f t="shared" si="2"/>
        <v>6.9999999999999951E-2</v>
      </c>
      <c r="I26" s="4">
        <f t="shared" si="2"/>
        <v>4.0000000000000036E-2</v>
      </c>
      <c r="J26" s="4">
        <f t="shared" si="2"/>
        <v>3.0000000000000027E-2</v>
      </c>
    </row>
    <row r="28" spans="3:16" x14ac:dyDescent="0.25">
      <c r="C28" s="14" t="s">
        <v>138</v>
      </c>
      <c r="E28" s="7">
        <v>0</v>
      </c>
      <c r="F28" s="7">
        <v>10</v>
      </c>
      <c r="G28" s="7">
        <v>20</v>
      </c>
      <c r="H28" s="7">
        <v>30</v>
      </c>
      <c r="I28" s="7">
        <v>40</v>
      </c>
      <c r="J28" s="7">
        <v>50</v>
      </c>
      <c r="K28" s="7">
        <v>60</v>
      </c>
      <c r="L28" s="7">
        <v>70</v>
      </c>
      <c r="M28" s="7">
        <v>80</v>
      </c>
      <c r="N28" s="7">
        <v>90</v>
      </c>
    </row>
    <row r="29" spans="3:16" x14ac:dyDescent="0.25">
      <c r="D29" s="11" t="s">
        <v>135</v>
      </c>
      <c r="E29" s="10">
        <f t="shared" ref="E29:J29" si="3">AVERAGE(E22:E23)</f>
        <v>1</v>
      </c>
      <c r="F29" s="10">
        <f>AVERAGE(F22:F23)</f>
        <v>1.105</v>
      </c>
      <c r="G29" s="10">
        <f t="shared" si="3"/>
        <v>0.96500000000000008</v>
      </c>
      <c r="H29" s="10">
        <f t="shared" si="3"/>
        <v>0.7649999999999999</v>
      </c>
      <c r="I29" s="10">
        <f t="shared" si="3"/>
        <v>0.65500000000000003</v>
      </c>
      <c r="J29" s="10">
        <f t="shared" si="3"/>
        <v>0.61499999999999999</v>
      </c>
    </row>
    <row r="30" spans="3:16" x14ac:dyDescent="0.25">
      <c r="D30" s="11" t="s">
        <v>136</v>
      </c>
      <c r="E30" s="12">
        <f>AVERAGE(E25:E26)</f>
        <v>1</v>
      </c>
      <c r="F30" s="12">
        <f t="shared" ref="F30:J30" si="4">AVERAGE(F25:F26)</f>
        <v>0.31999999999999995</v>
      </c>
      <c r="G30" s="12">
        <f t="shared" si="4"/>
        <v>0.13</v>
      </c>
      <c r="H30" s="12">
        <f t="shared" si="4"/>
        <v>6.9999999999999951E-2</v>
      </c>
      <c r="I30" s="12">
        <f t="shared" si="4"/>
        <v>4.0000000000000036E-2</v>
      </c>
      <c r="J30" s="12">
        <f t="shared" si="4"/>
        <v>3.0000000000000027E-2</v>
      </c>
      <c r="P30" s="18"/>
    </row>
    <row r="31" spans="3:16" x14ac:dyDescent="0.25">
      <c r="D31" s="11"/>
      <c r="E31" s="12"/>
      <c r="F31" s="12"/>
      <c r="G31" s="12"/>
      <c r="H31" s="12"/>
      <c r="I31" s="12"/>
      <c r="J31" s="12"/>
      <c r="P31" s="18"/>
    </row>
    <row r="32" spans="3:16" x14ac:dyDescent="0.25">
      <c r="D32" s="218" t="s">
        <v>151</v>
      </c>
      <c r="E32" s="219"/>
      <c r="F32" s="220"/>
      <c r="G32" s="19"/>
      <c r="H32" s="22" t="s">
        <v>152</v>
      </c>
      <c r="I32" s="23">
        <f>1.1239</f>
        <v>1.1238999999999999</v>
      </c>
      <c r="J32" s="21"/>
      <c r="K32" s="20" t="s">
        <v>128</v>
      </c>
      <c r="L32" s="24">
        <v>-1.2E-2</v>
      </c>
    </row>
    <row r="34" spans="2:17" ht="21" x14ac:dyDescent="0.35">
      <c r="B34" s="15" t="s">
        <v>148</v>
      </c>
    </row>
    <row r="35" spans="2:17" ht="15.75" thickBot="1" x14ac:dyDescent="0.3"/>
    <row r="36" spans="2:17" ht="51.75" customHeight="1" thickBot="1" x14ac:dyDescent="0.3">
      <c r="D36" s="229" t="s">
        <v>140</v>
      </c>
      <c r="E36" s="230"/>
      <c r="F36" s="221" t="s">
        <v>153</v>
      </c>
      <c r="G36" s="222"/>
      <c r="H36" s="221" t="s">
        <v>0</v>
      </c>
      <c r="I36" s="222"/>
      <c r="J36" s="227" t="s">
        <v>116</v>
      </c>
      <c r="K36" s="228"/>
      <c r="L36" s="228"/>
      <c r="M36" s="228"/>
      <c r="N36" s="228"/>
      <c r="O36" s="228"/>
      <c r="P36" s="228"/>
      <c r="Q36" s="228"/>
    </row>
    <row r="37" spans="2:17" ht="15.75" thickBot="1" x14ac:dyDescent="0.3">
      <c r="D37" s="231"/>
      <c r="E37" s="232"/>
      <c r="F37" s="225">
        <v>5</v>
      </c>
      <c r="G37" s="226"/>
      <c r="H37" s="223">
        <f>-LN(0.5)/F37</f>
        <v>0.13862943611198905</v>
      </c>
      <c r="I37" s="224"/>
      <c r="J37" s="227"/>
      <c r="K37" s="228"/>
      <c r="L37" s="228"/>
      <c r="M37" s="228"/>
      <c r="N37" s="228"/>
      <c r="O37" s="228"/>
      <c r="P37" s="228"/>
      <c r="Q37" s="228"/>
    </row>
    <row r="38" spans="2:17" x14ac:dyDescent="0.25">
      <c r="E38" s="1"/>
      <c r="F38" s="2"/>
      <c r="K38" s="3"/>
      <c r="L38" s="3"/>
      <c r="M38" s="3"/>
    </row>
    <row r="39" spans="2:17" x14ac:dyDescent="0.25">
      <c r="D39" s="16" t="s">
        <v>112</v>
      </c>
      <c r="E39"/>
      <c r="K39"/>
      <c r="L39"/>
      <c r="M39"/>
    </row>
    <row r="40" spans="2:17" x14ac:dyDescent="0.25">
      <c r="D40" s="17" t="s">
        <v>110</v>
      </c>
      <c r="E40"/>
      <c r="K40"/>
      <c r="L40"/>
      <c r="M40"/>
    </row>
    <row r="41" spans="2:17" x14ac:dyDescent="0.25">
      <c r="D41" s="17" t="s">
        <v>111</v>
      </c>
      <c r="E41"/>
      <c r="K41"/>
      <c r="L41"/>
      <c r="M41"/>
    </row>
    <row r="42" spans="2:17" x14ac:dyDescent="0.25">
      <c r="D42" s="17" t="s">
        <v>108</v>
      </c>
      <c r="E42"/>
      <c r="K42"/>
      <c r="L42"/>
      <c r="M42"/>
    </row>
    <row r="43" spans="2:17" x14ac:dyDescent="0.25">
      <c r="D43" s="17" t="s">
        <v>109</v>
      </c>
    </row>
    <row r="46" spans="2:17" ht="21" x14ac:dyDescent="0.35">
      <c r="B46" s="15" t="s">
        <v>154</v>
      </c>
    </row>
    <row r="47" spans="2:17" ht="15.75" customHeight="1" thickBot="1" x14ac:dyDescent="0.4">
      <c r="B47" s="15"/>
    </row>
    <row r="48" spans="2:17" ht="32.25" customHeight="1" thickBot="1" x14ac:dyDescent="0.3">
      <c r="I48" s="239" t="s">
        <v>157</v>
      </c>
      <c r="J48" s="240"/>
      <c r="K48" s="240"/>
      <c r="L48" s="240"/>
      <c r="M48" s="240"/>
      <c r="N48" s="241"/>
    </row>
    <row r="49" spans="4:14" ht="36" customHeight="1" thickBot="1" x14ac:dyDescent="0.3">
      <c r="D49" s="25" t="s">
        <v>150</v>
      </c>
      <c r="E49" s="235" t="s">
        <v>142</v>
      </c>
      <c r="F49" s="235" t="s">
        <v>141</v>
      </c>
      <c r="G49" s="237" t="s">
        <v>143</v>
      </c>
      <c r="I49" s="242" t="s">
        <v>155</v>
      </c>
      <c r="K49" s="233" t="s">
        <v>153</v>
      </c>
      <c r="L49" s="234"/>
      <c r="M49" s="233" t="s">
        <v>0</v>
      </c>
      <c r="N49" s="234"/>
    </row>
    <row r="50" spans="4:14" ht="15.75" thickBot="1" x14ac:dyDescent="0.3">
      <c r="D50" s="35" t="s">
        <v>119</v>
      </c>
      <c r="E50" s="236"/>
      <c r="F50" s="236"/>
      <c r="G50" s="238"/>
      <c r="I50" s="243"/>
      <c r="J50" s="36"/>
      <c r="K50" s="225">
        <v>5.5</v>
      </c>
      <c r="L50" s="226"/>
      <c r="M50" s="223">
        <f>-LN(0.5)/K50</f>
        <v>0.12602676010180824</v>
      </c>
      <c r="N50" s="224"/>
    </row>
    <row r="51" spans="4:14" x14ac:dyDescent="0.25">
      <c r="D51" s="32">
        <v>1</v>
      </c>
      <c r="E51" s="33">
        <f>FORECAST(D51,'Carbon Deficit Analyses'!$E$30:$F$30,'Carbon Deficit Analyses'!$E$28:$F$28)</f>
        <v>0.93199999999999994</v>
      </c>
      <c r="F51" s="33">
        <f>$I$32*EXP($L$32*D51)</f>
        <v>1.1104937980855236</v>
      </c>
      <c r="G51" s="34">
        <f>EXP(-$H$37*(D51-0.5))</f>
        <v>0.93303299153680741</v>
      </c>
      <c r="I51" s="37">
        <f>EXP(-$M$50*(D51-0.5))</f>
        <v>0.93893091066170631</v>
      </c>
    </row>
    <row r="52" spans="4:14" x14ac:dyDescent="0.25">
      <c r="D52" s="27">
        <v>2</v>
      </c>
      <c r="E52" s="26"/>
      <c r="F52" s="26">
        <f t="shared" ref="F52:F115" si="5">$I$32*EXP($L$32*D52)</f>
        <v>1.0972475091969141</v>
      </c>
      <c r="G52" s="28">
        <f t="shared" ref="G52:G115" si="6">EXP(-$H$37*(D52-0.5))</f>
        <v>0.81225239635623558</v>
      </c>
      <c r="I52" s="37">
        <f t="shared" ref="I52:I115" si="7">EXP(-$M$50*(D52-0.5))</f>
        <v>0.82775327988481073</v>
      </c>
    </row>
    <row r="53" spans="4:14" x14ac:dyDescent="0.25">
      <c r="D53" s="27">
        <v>3</v>
      </c>
      <c r="E53" s="26"/>
      <c r="F53" s="26">
        <f t="shared" si="5"/>
        <v>1.084159225845682</v>
      </c>
      <c r="G53" s="28">
        <f t="shared" si="6"/>
        <v>0.70710678118654757</v>
      </c>
      <c r="I53" s="37">
        <f t="shared" si="7"/>
        <v>0.72974005284072307</v>
      </c>
    </row>
    <row r="54" spans="4:14" x14ac:dyDescent="0.25">
      <c r="D54" s="27">
        <v>4</v>
      </c>
      <c r="E54" s="26"/>
      <c r="F54" s="26">
        <f t="shared" si="5"/>
        <v>1.0712270632964074</v>
      </c>
      <c r="G54" s="28">
        <f t="shared" si="6"/>
        <v>0.61557220667245816</v>
      </c>
      <c r="I54" s="37">
        <f t="shared" si="7"/>
        <v>0.64333244900471587</v>
      </c>
    </row>
    <row r="55" spans="4:14" x14ac:dyDescent="0.25">
      <c r="D55" s="27">
        <v>5</v>
      </c>
      <c r="E55" s="26"/>
      <c r="F55" s="26">
        <f t="shared" si="5"/>
        <v>1.0584491592953371</v>
      </c>
      <c r="G55" s="28">
        <f t="shared" si="6"/>
        <v>0.53588673126814657</v>
      </c>
      <c r="I55" s="37">
        <f t="shared" si="7"/>
        <v>0.56715626109773132</v>
      </c>
    </row>
    <row r="56" spans="4:14" x14ac:dyDescent="0.25">
      <c r="D56" s="27">
        <v>6</v>
      </c>
      <c r="E56" s="26"/>
      <c r="F56" s="26">
        <f t="shared" si="5"/>
        <v>1.045823673802214</v>
      </c>
      <c r="G56" s="28">
        <f t="shared" si="6"/>
        <v>0.46651649576840371</v>
      </c>
      <c r="I56" s="37">
        <f t="shared" si="7"/>
        <v>0.49999999999999994</v>
      </c>
    </row>
    <row r="57" spans="4:14" x14ac:dyDescent="0.25">
      <c r="D57" s="27">
        <v>7</v>
      </c>
      <c r="E57" s="26"/>
      <c r="F57" s="26">
        <f t="shared" si="5"/>
        <v>1.0333487887253106</v>
      </c>
      <c r="G57" s="28">
        <f t="shared" si="6"/>
        <v>0.40612619817811779</v>
      </c>
      <c r="I57" s="37">
        <f t="shared" si="7"/>
        <v>0.4407956274980106</v>
      </c>
    </row>
    <row r="58" spans="4:14" x14ac:dyDescent="0.25">
      <c r="D58" s="27">
        <v>8</v>
      </c>
      <c r="E58" s="26"/>
      <c r="F58" s="26">
        <f t="shared" si="5"/>
        <v>1.0210227076596188</v>
      </c>
      <c r="G58" s="28">
        <f t="shared" si="6"/>
        <v>0.35355339059327379</v>
      </c>
      <c r="I58" s="37">
        <f t="shared" si="7"/>
        <v>0.3886015704427298</v>
      </c>
    </row>
    <row r="59" spans="4:14" x14ac:dyDescent="0.25">
      <c r="D59" s="27">
        <v>9</v>
      </c>
      <c r="E59" s="26"/>
      <c r="F59" s="26">
        <f t="shared" si="5"/>
        <v>1.0088436556281657</v>
      </c>
      <c r="G59" s="28">
        <f t="shared" si="6"/>
        <v>0.30778610333622908</v>
      </c>
      <c r="I59" s="37">
        <f t="shared" si="7"/>
        <v>0.34258774618003091</v>
      </c>
    </row>
    <row r="60" spans="4:14" x14ac:dyDescent="0.25">
      <c r="D60" s="27">
        <v>10</v>
      </c>
      <c r="E60" s="26">
        <f>F30</f>
        <v>0.31999999999999995</v>
      </c>
      <c r="F60" s="26">
        <f t="shared" si="5"/>
        <v>0.99680987882641325</v>
      </c>
      <c r="G60" s="28">
        <f t="shared" si="6"/>
        <v>0.26794336563407328</v>
      </c>
      <c r="I60" s="37">
        <f t="shared" si="7"/>
        <v>0.3020223611011118</v>
      </c>
    </row>
    <row r="61" spans="4:14" x14ac:dyDescent="0.25">
      <c r="D61" s="27">
        <v>11</v>
      </c>
      <c r="E61" s="26"/>
      <c r="F61" s="26">
        <f t="shared" si="5"/>
        <v>0.98491964436970747</v>
      </c>
      <c r="G61" s="28">
        <f t="shared" si="6"/>
        <v>0.23325824788420185</v>
      </c>
      <c r="I61" s="37">
        <f t="shared" si="7"/>
        <v>0.26626027235999067</v>
      </c>
    </row>
    <row r="62" spans="4:14" x14ac:dyDescent="0.25">
      <c r="D62" s="27">
        <v>12</v>
      </c>
      <c r="E62" s="26"/>
      <c r="F62" s="26">
        <f t="shared" si="5"/>
        <v>0.97317124004374045</v>
      </c>
      <c r="G62" s="28">
        <f t="shared" si="6"/>
        <v>0.2030630990890589</v>
      </c>
      <c r="I62" s="37">
        <f t="shared" si="7"/>
        <v>0.23473272766542655</v>
      </c>
    </row>
    <row r="63" spans="4:14" x14ac:dyDescent="0.25">
      <c r="D63" s="27">
        <v>13</v>
      </c>
      <c r="E63" s="26"/>
      <c r="F63" s="26">
        <f t="shared" si="5"/>
        <v>0.96156297405798752</v>
      </c>
      <c r="G63" s="28">
        <f t="shared" si="6"/>
        <v>0.17677669529663692</v>
      </c>
      <c r="I63" s="37">
        <f t="shared" si="7"/>
        <v>0.20693831997120268</v>
      </c>
    </row>
    <row r="64" spans="4:14" x14ac:dyDescent="0.25">
      <c r="D64" s="27">
        <v>14</v>
      </c>
      <c r="E64" s="26"/>
      <c r="F64" s="26">
        <f t="shared" si="5"/>
        <v>0.95009317480208788</v>
      </c>
      <c r="G64" s="28">
        <f t="shared" si="6"/>
        <v>0.15389305166811457</v>
      </c>
      <c r="I64" s="37">
        <f t="shared" si="7"/>
        <v>0.18243501321018074</v>
      </c>
    </row>
    <row r="65" spans="4:9" x14ac:dyDescent="0.25">
      <c r="D65" s="27">
        <v>15</v>
      </c>
      <c r="E65" s="26"/>
      <c r="F65" s="26">
        <f t="shared" si="5"/>
        <v>0.9387601906051285</v>
      </c>
      <c r="G65" s="28">
        <f t="shared" si="6"/>
        <v>0.13397168281703667</v>
      </c>
      <c r="I65" s="37">
        <f t="shared" si="7"/>
        <v>0.16083311225117897</v>
      </c>
    </row>
    <row r="66" spans="4:9" x14ac:dyDescent="0.25">
      <c r="D66" s="27">
        <v>16</v>
      </c>
      <c r="E66" s="26"/>
      <c r="F66" s="26">
        <f t="shared" si="5"/>
        <v>0.92756238949780168</v>
      </c>
      <c r="G66" s="28">
        <f t="shared" si="6"/>
        <v>0.11662912394210094</v>
      </c>
      <c r="I66" s="37">
        <f t="shared" si="7"/>
        <v>0.1417890652744328</v>
      </c>
    </row>
    <row r="67" spans="4:9" x14ac:dyDescent="0.25">
      <c r="D67" s="27">
        <v>17</v>
      </c>
      <c r="E67" s="26"/>
      <c r="F67" s="26">
        <f t="shared" si="5"/>
        <v>0.91649815897739817</v>
      </c>
      <c r="G67" s="28">
        <f t="shared" si="6"/>
        <v>0.10153154954452946</v>
      </c>
      <c r="I67" s="37">
        <f t="shared" si="7"/>
        <v>0.12499999999999997</v>
      </c>
    </row>
    <row r="68" spans="4:9" x14ac:dyDescent="0.25">
      <c r="D68" s="27">
        <v>18</v>
      </c>
      <c r="E68" s="26"/>
      <c r="F68" s="26">
        <f t="shared" si="5"/>
        <v>0.9055659057756037</v>
      </c>
      <c r="G68" s="28">
        <f t="shared" si="6"/>
        <v>8.8388347648318447E-2</v>
      </c>
      <c r="I68" s="37">
        <f t="shared" si="7"/>
        <v>0.11019890687450264</v>
      </c>
    </row>
    <row r="69" spans="4:9" x14ac:dyDescent="0.25">
      <c r="D69" s="27">
        <v>19</v>
      </c>
      <c r="E69" s="26"/>
      <c r="F69" s="26">
        <f t="shared" si="5"/>
        <v>0.89476405562906636</v>
      </c>
      <c r="G69" s="28">
        <f t="shared" si="6"/>
        <v>7.6946525834057283E-2</v>
      </c>
      <c r="I69" s="37">
        <f t="shared" si="7"/>
        <v>9.7150392610682451E-2</v>
      </c>
    </row>
    <row r="70" spans="4:9" x14ac:dyDescent="0.25">
      <c r="D70" s="27">
        <v>20</v>
      </c>
      <c r="E70" s="26">
        <f>G30</f>
        <v>0.13</v>
      </c>
      <c r="F70" s="26">
        <f t="shared" si="5"/>
        <v>0.88409105305269942</v>
      </c>
      <c r="G70" s="28">
        <f t="shared" si="6"/>
        <v>6.6985841408518335E-2</v>
      </c>
      <c r="I70" s="37">
        <f t="shared" si="7"/>
        <v>8.564693654500774E-2</v>
      </c>
    </row>
    <row r="71" spans="4:9" x14ac:dyDescent="0.25">
      <c r="D71" s="27">
        <v>21</v>
      </c>
      <c r="E71" s="26"/>
      <c r="F71" s="26">
        <f t="shared" si="5"/>
        <v>0.87354536111568848</v>
      </c>
      <c r="G71" s="28">
        <f t="shared" si="6"/>
        <v>5.831456197105047E-2</v>
      </c>
      <c r="I71" s="37">
        <f t="shared" si="7"/>
        <v>7.5505590275277937E-2</v>
      </c>
    </row>
    <row r="72" spans="4:9" x14ac:dyDescent="0.25">
      <c r="D72" s="27">
        <v>22</v>
      </c>
      <c r="E72" s="26"/>
      <c r="F72" s="26">
        <f t="shared" si="5"/>
        <v>0.86312546122017197</v>
      </c>
      <c r="G72" s="28">
        <f t="shared" si="6"/>
        <v>5.0765774772264724E-2</v>
      </c>
      <c r="I72" s="37">
        <f t="shared" si="7"/>
        <v>6.6565068089997653E-2</v>
      </c>
    </row>
    <row r="73" spans="4:9" x14ac:dyDescent="0.25">
      <c r="D73" s="27">
        <v>23</v>
      </c>
      <c r="E73" s="26"/>
      <c r="F73" s="26">
        <f t="shared" si="5"/>
        <v>0.85282985288255908</v>
      </c>
      <c r="G73" s="28">
        <f t="shared" si="6"/>
        <v>4.4194173824159223E-2</v>
      </c>
      <c r="I73" s="37">
        <f t="shared" si="7"/>
        <v>5.8683181916356644E-2</v>
      </c>
    </row>
    <row r="74" spans="4:9" x14ac:dyDescent="0.25">
      <c r="D74" s="27">
        <v>24</v>
      </c>
      <c r="E74" s="26"/>
      <c r="F74" s="26">
        <f t="shared" si="5"/>
        <v>0.84265705351745845</v>
      </c>
      <c r="G74" s="28">
        <f t="shared" si="6"/>
        <v>3.8473262917028635E-2</v>
      </c>
      <c r="I74" s="37">
        <f t="shared" si="7"/>
        <v>5.1734579992800671E-2</v>
      </c>
    </row>
    <row r="75" spans="4:9" x14ac:dyDescent="0.25">
      <c r="D75" s="27">
        <v>25</v>
      </c>
      <c r="E75" s="26"/>
      <c r="F75" s="26">
        <f t="shared" si="5"/>
        <v>0.83260559822418267</v>
      </c>
      <c r="G75" s="28">
        <f t="shared" si="6"/>
        <v>3.3492920704259174E-2</v>
      </c>
      <c r="I75" s="37">
        <f t="shared" si="7"/>
        <v>4.5608753302545178E-2</v>
      </c>
    </row>
    <row r="76" spans="4:9" x14ac:dyDescent="0.25">
      <c r="D76" s="27">
        <v>26</v>
      </c>
      <c r="E76" s="26"/>
      <c r="F76" s="26">
        <f t="shared" si="5"/>
        <v>0.82267403957580054</v>
      </c>
      <c r="G76" s="28">
        <f t="shared" si="6"/>
        <v>2.9157280985525245E-2</v>
      </c>
      <c r="I76" s="37">
        <f t="shared" si="7"/>
        <v>4.0208278062794735E-2</v>
      </c>
    </row>
    <row r="77" spans="4:9" x14ac:dyDescent="0.25">
      <c r="D77" s="27">
        <v>27</v>
      </c>
      <c r="E77" s="26"/>
      <c r="F77" s="26">
        <f t="shared" si="5"/>
        <v>0.8128609474107048</v>
      </c>
      <c r="G77" s="28">
        <f t="shared" si="6"/>
        <v>2.5382887386132372E-2</v>
      </c>
      <c r="I77" s="37">
        <f t="shared" si="7"/>
        <v>3.54472663186082E-2</v>
      </c>
    </row>
    <row r="78" spans="4:9" x14ac:dyDescent="0.25">
      <c r="D78" s="27">
        <v>28</v>
      </c>
      <c r="E78" s="26"/>
      <c r="F78" s="26">
        <f t="shared" si="5"/>
        <v>0.80316490862666667</v>
      </c>
      <c r="G78" s="28">
        <f t="shared" si="6"/>
        <v>2.2097086912079619E-2</v>
      </c>
      <c r="I78" s="37">
        <f t="shared" si="7"/>
        <v>3.125E-2</v>
      </c>
    </row>
    <row r="79" spans="4:9" x14ac:dyDescent="0.25">
      <c r="D79" s="27">
        <v>29</v>
      </c>
      <c r="E79" s="26"/>
      <c r="F79" s="26">
        <f t="shared" si="5"/>
        <v>0.79358452697734649</v>
      </c>
      <c r="G79" s="28">
        <f t="shared" si="6"/>
        <v>1.9236631458514324E-2</v>
      </c>
      <c r="I79" s="37">
        <f t="shared" si="7"/>
        <v>2.7549726718625652E-2</v>
      </c>
    </row>
    <row r="80" spans="4:9" x14ac:dyDescent="0.25">
      <c r="D80" s="27">
        <v>30</v>
      </c>
      <c r="E80" s="26">
        <f>H30</f>
        <v>6.9999999999999951E-2</v>
      </c>
      <c r="F80" s="26">
        <f t="shared" si="5"/>
        <v>0.78411842287123168</v>
      </c>
      <c r="G80" s="28">
        <f t="shared" si="6"/>
        <v>1.6746460352129587E-2</v>
      </c>
      <c r="I80" s="37">
        <f t="shared" si="7"/>
        <v>2.4287598152670609E-2</v>
      </c>
    </row>
    <row r="81" spans="4:9" x14ac:dyDescent="0.25">
      <c r="D81" s="27">
        <v>31</v>
      </c>
      <c r="E81" s="26"/>
      <c r="F81" s="26">
        <f t="shared" si="5"/>
        <v>0.77476523317297352</v>
      </c>
      <c r="G81" s="28">
        <f t="shared" si="6"/>
        <v>1.4578640492762621E-2</v>
      </c>
      <c r="I81" s="37">
        <f t="shared" si="7"/>
        <v>2.1411734136251932E-2</v>
      </c>
    </row>
    <row r="82" spans="4:9" x14ac:dyDescent="0.25">
      <c r="D82" s="27">
        <v>32</v>
      </c>
      <c r="E82" s="26"/>
      <c r="F82" s="26">
        <f t="shared" si="5"/>
        <v>0.76552361100709287</v>
      </c>
      <c r="G82" s="28">
        <f t="shared" si="6"/>
        <v>1.2691443693066184E-2</v>
      </c>
      <c r="I82" s="37">
        <f t="shared" si="7"/>
        <v>1.8876397568819488E-2</v>
      </c>
    </row>
    <row r="83" spans="4:9" x14ac:dyDescent="0.25">
      <c r="D83" s="27">
        <v>33</v>
      </c>
      <c r="E83" s="26"/>
      <c r="F83" s="26">
        <f t="shared" si="5"/>
        <v>0.75639222556402852</v>
      </c>
      <c r="G83" s="28">
        <f t="shared" si="6"/>
        <v>1.1048543456039809E-2</v>
      </c>
      <c r="I83" s="37">
        <f t="shared" si="7"/>
        <v>1.664126702249941E-2</v>
      </c>
    </row>
    <row r="84" spans="4:9" x14ac:dyDescent="0.25">
      <c r="D84" s="27">
        <v>34</v>
      </c>
      <c r="E84" s="26"/>
      <c r="F84" s="26">
        <f t="shared" si="5"/>
        <v>0.74736976190849747</v>
      </c>
      <c r="G84" s="28">
        <f t="shared" si="6"/>
        <v>9.6183157292571621E-3</v>
      </c>
      <c r="I84" s="37">
        <f t="shared" si="7"/>
        <v>1.4670795479089165E-2</v>
      </c>
    </row>
    <row r="85" spans="4:9" x14ac:dyDescent="0.25">
      <c r="D85" s="27">
        <v>35</v>
      </c>
      <c r="E85" s="26"/>
      <c r="F85" s="26">
        <f t="shared" si="5"/>
        <v>0.73845492079014219</v>
      </c>
      <c r="G85" s="28">
        <f t="shared" si="6"/>
        <v>8.3732301760647936E-3</v>
      </c>
      <c r="I85" s="37">
        <f t="shared" si="7"/>
        <v>1.2933644998200166E-2</v>
      </c>
    </row>
    <row r="86" spans="4:9" x14ac:dyDescent="0.25">
      <c r="D86" s="27">
        <v>36</v>
      </c>
      <c r="E86" s="26"/>
      <c r="F86" s="26">
        <f t="shared" si="5"/>
        <v>0.72964641845643718</v>
      </c>
      <c r="G86" s="28">
        <f t="shared" si="6"/>
        <v>7.2893202463813096E-3</v>
      </c>
      <c r="I86" s="37">
        <f t="shared" si="7"/>
        <v>1.1402188325636293E-2</v>
      </c>
    </row>
    <row r="87" spans="4:9" x14ac:dyDescent="0.25">
      <c r="D87" s="27">
        <v>37</v>
      </c>
      <c r="E87" s="26"/>
      <c r="F87" s="26">
        <f t="shared" si="5"/>
        <v>0.72094298646782473</v>
      </c>
      <c r="G87" s="28">
        <f t="shared" si="6"/>
        <v>6.3457218465330914E-3</v>
      </c>
      <c r="I87" s="37">
        <f t="shared" si="7"/>
        <v>1.0052069515698687E-2</v>
      </c>
    </row>
    <row r="88" spans="4:9" x14ac:dyDescent="0.25">
      <c r="D88" s="27">
        <v>38</v>
      </c>
      <c r="E88" s="26"/>
      <c r="F88" s="26">
        <f t="shared" si="5"/>
        <v>0.71234337151505911</v>
      </c>
      <c r="G88" s="28">
        <f t="shared" si="6"/>
        <v>5.5242717280199038E-3</v>
      </c>
      <c r="I88" s="37">
        <f t="shared" si="7"/>
        <v>8.8618165796520484E-3</v>
      </c>
    </row>
    <row r="89" spans="4:9" x14ac:dyDescent="0.25">
      <c r="D89" s="27">
        <v>39</v>
      </c>
      <c r="E89" s="26"/>
      <c r="F89" s="26">
        <f t="shared" si="5"/>
        <v>0.70384633523872708</v>
      </c>
      <c r="G89" s="28">
        <f t="shared" si="6"/>
        <v>4.8091578646285802E-3</v>
      </c>
      <c r="I89" s="37">
        <f t="shared" si="7"/>
        <v>7.8124999999999948E-3</v>
      </c>
    </row>
    <row r="90" spans="4:9" x14ac:dyDescent="0.25">
      <c r="D90" s="27">
        <v>40</v>
      </c>
      <c r="E90" s="26">
        <f>I30</f>
        <v>4.0000000000000036E-2</v>
      </c>
      <c r="F90" s="26">
        <f t="shared" si="5"/>
        <v>0.69545065405092166</v>
      </c>
      <c r="G90" s="28">
        <f t="shared" si="6"/>
        <v>4.1866150880323959E-3</v>
      </c>
      <c r="I90" s="37">
        <f t="shared" si="7"/>
        <v>6.8874316796564148E-3</v>
      </c>
    </row>
    <row r="91" spans="4:9" x14ac:dyDescent="0.25">
      <c r="D91" s="27">
        <v>41</v>
      </c>
      <c r="E91" s="26"/>
      <c r="F91" s="26">
        <f t="shared" si="5"/>
        <v>0.68715511895904413</v>
      </c>
      <c r="G91" s="28">
        <f t="shared" si="6"/>
        <v>3.6446601231906548E-3</v>
      </c>
      <c r="I91" s="37">
        <f t="shared" si="7"/>
        <v>6.0718995381676515E-3</v>
      </c>
    </row>
    <row r="92" spans="4:9" x14ac:dyDescent="0.25">
      <c r="D92" s="27">
        <v>42</v>
      </c>
      <c r="E92" s="26"/>
      <c r="F92" s="26">
        <f t="shared" si="5"/>
        <v>0.67895853539170625</v>
      </c>
      <c r="G92" s="28">
        <f t="shared" si="6"/>
        <v>3.1728609232665457E-3</v>
      </c>
      <c r="I92" s="37">
        <f t="shared" si="7"/>
        <v>5.3529335340629838E-3</v>
      </c>
    </row>
    <row r="93" spans="4:9" x14ac:dyDescent="0.25">
      <c r="D93" s="27">
        <v>43</v>
      </c>
      <c r="E93" s="26"/>
      <c r="F93" s="26">
        <f t="shared" si="5"/>
        <v>0.67085972302671093</v>
      </c>
      <c r="G93" s="28">
        <f t="shared" si="6"/>
        <v>2.7621358640099515E-3</v>
      </c>
      <c r="I93" s="37">
        <f t="shared" si="7"/>
        <v>4.719099392204871E-3</v>
      </c>
    </row>
    <row r="94" spans="4:9" x14ac:dyDescent="0.25">
      <c r="D94" s="27">
        <v>44</v>
      </c>
      <c r="E94" s="26"/>
      <c r="F94" s="26">
        <f t="shared" si="5"/>
        <v>0.66285751562108253</v>
      </c>
      <c r="G94" s="28">
        <f t="shared" si="6"/>
        <v>2.4045789323142901E-3</v>
      </c>
      <c r="I94" s="37">
        <f t="shared" si="7"/>
        <v>4.1603167556248516E-3</v>
      </c>
    </row>
    <row r="95" spans="4:9" x14ac:dyDescent="0.25">
      <c r="D95" s="27">
        <v>45</v>
      </c>
      <c r="E95" s="26"/>
      <c r="F95" s="26">
        <f t="shared" si="5"/>
        <v>0.65495076084312687</v>
      </c>
      <c r="G95" s="28">
        <f t="shared" si="6"/>
        <v>2.093307544016198E-3</v>
      </c>
      <c r="I95" s="37">
        <f t="shared" si="7"/>
        <v>3.6676988697722907E-3</v>
      </c>
    </row>
    <row r="96" spans="4:9" x14ac:dyDescent="0.25">
      <c r="D96" s="27">
        <v>46</v>
      </c>
      <c r="E96" s="26"/>
      <c r="F96" s="26">
        <f t="shared" si="5"/>
        <v>0.64713832010649297</v>
      </c>
      <c r="G96" s="28">
        <f t="shared" si="6"/>
        <v>1.8223300615953272E-3</v>
      </c>
      <c r="I96" s="37">
        <f t="shared" si="7"/>
        <v>3.2334112495500411E-3</v>
      </c>
    </row>
    <row r="97" spans="4:9" x14ac:dyDescent="0.25">
      <c r="D97" s="27">
        <v>47</v>
      </c>
      <c r="E97" s="26"/>
      <c r="F97" s="26">
        <f t="shared" si="5"/>
        <v>0.63941906840621487</v>
      </c>
      <c r="G97" s="28">
        <f t="shared" si="6"/>
        <v>1.5864304616332726E-3</v>
      </c>
      <c r="I97" s="37">
        <f t="shared" si="7"/>
        <v>2.8505470814090728E-3</v>
      </c>
    </row>
    <row r="98" spans="4:9" x14ac:dyDescent="0.25">
      <c r="D98" s="27">
        <v>48</v>
      </c>
      <c r="E98" s="26"/>
      <c r="F98" s="26">
        <f t="shared" si="5"/>
        <v>0.63179189415670867</v>
      </c>
      <c r="G98" s="28">
        <f t="shared" si="6"/>
        <v>1.3810679320049757E-3</v>
      </c>
      <c r="I98" s="37">
        <f t="shared" si="7"/>
        <v>2.5130173789246714E-3</v>
      </c>
    </row>
    <row r="99" spans="4:9" x14ac:dyDescent="0.25">
      <c r="D99" s="27">
        <v>49</v>
      </c>
      <c r="E99" s="26"/>
      <c r="F99" s="26">
        <f t="shared" si="5"/>
        <v>0.62425569903170264</v>
      </c>
      <c r="G99" s="28">
        <f t="shared" si="6"/>
        <v>1.2022894661571459E-3</v>
      </c>
      <c r="I99" s="37">
        <f t="shared" si="7"/>
        <v>2.2154541449130117E-3</v>
      </c>
    </row>
    <row r="100" spans="4:9" x14ac:dyDescent="0.25">
      <c r="D100" s="27">
        <v>50</v>
      </c>
      <c r="E100" s="26">
        <f>J30</f>
        <v>3.0000000000000027E-2</v>
      </c>
      <c r="F100" s="26">
        <f t="shared" si="5"/>
        <v>0.61680939780607624</v>
      </c>
      <c r="G100" s="28">
        <f t="shared" si="6"/>
        <v>1.0466537720080998E-3</v>
      </c>
      <c r="I100" s="37">
        <f t="shared" si="7"/>
        <v>1.953125E-3</v>
      </c>
    </row>
    <row r="101" spans="4:9" x14ac:dyDescent="0.25">
      <c r="D101" s="27">
        <v>51</v>
      </c>
      <c r="E101" s="26">
        <f>FORECAST(D101,'Carbon Deficit Analyses'!$I$30:$J$30,'Carbon Deficit Analyses'!$I$28:$J$28)</f>
        <v>2.9000000000000026E-2</v>
      </c>
      <c r="F101" s="26">
        <f t="shared" si="5"/>
        <v>0.60945191819958566</v>
      </c>
      <c r="G101" s="28">
        <f t="shared" si="6"/>
        <v>9.1116503079766435E-4</v>
      </c>
      <c r="I101" s="37">
        <f t="shared" si="7"/>
        <v>1.7218579199141035E-3</v>
      </c>
    </row>
    <row r="102" spans="4:9" x14ac:dyDescent="0.25">
      <c r="D102" s="27">
        <v>52</v>
      </c>
      <c r="E102" s="26">
        <f>FORECAST(D102,'Carbon Deficit Analyses'!$I$30:$J$30,'Carbon Deficit Analyses'!$I$28:$J$28)</f>
        <v>2.8000000000000025E-2</v>
      </c>
      <c r="F102" s="26">
        <f t="shared" si="5"/>
        <v>0.60218220072245376</v>
      </c>
      <c r="G102" s="28">
        <f t="shared" si="6"/>
        <v>7.9321523081663696E-4</v>
      </c>
      <c r="I102" s="37">
        <f t="shared" si="7"/>
        <v>1.5179748845419124E-3</v>
      </c>
    </row>
    <row r="103" spans="4:9" x14ac:dyDescent="0.25">
      <c r="D103" s="27">
        <v>53</v>
      </c>
      <c r="E103" s="26">
        <f>FORECAST(D103,'Carbon Deficit Analyses'!$I$30:$J$30,'Carbon Deficit Analyses'!$I$28:$J$28)</f>
        <v>2.7000000000000024E-2</v>
      </c>
      <c r="F103" s="26">
        <f t="shared" si="5"/>
        <v>0.5949991985228017</v>
      </c>
      <c r="G103" s="28">
        <f t="shared" si="6"/>
        <v>6.9053396600248841E-4</v>
      </c>
      <c r="I103" s="37">
        <f t="shared" si="7"/>
        <v>1.3382333835157457E-3</v>
      </c>
    </row>
    <row r="104" spans="4:9" x14ac:dyDescent="0.25">
      <c r="D104" s="27">
        <v>54</v>
      </c>
      <c r="E104" s="26">
        <f>FORECAST(D104,'Carbon Deficit Analyses'!$I$30:$J$30,'Carbon Deficit Analyses'!$I$28:$J$28)</f>
        <v>2.6000000000000023E-2</v>
      </c>
      <c r="F104" s="26">
        <f t="shared" si="5"/>
        <v>0.58790187723590059</v>
      </c>
      <c r="G104" s="28">
        <f t="shared" si="6"/>
        <v>6.0114473307857296E-4</v>
      </c>
      <c r="I104" s="37">
        <f t="shared" si="7"/>
        <v>1.1797748480512175E-3</v>
      </c>
    </row>
    <row r="105" spans="4:9" x14ac:dyDescent="0.25">
      <c r="D105" s="27">
        <v>55</v>
      </c>
      <c r="E105" s="26">
        <f>FORECAST(D105,'Carbon Deficit Analyses'!$I$30:$J$30,'Carbon Deficit Analyses'!$I$28:$J$28)</f>
        <v>2.5000000000000022E-2</v>
      </c>
      <c r="F105" s="26">
        <f t="shared" si="5"/>
        <v>0.5808892148352206</v>
      </c>
      <c r="G105" s="28">
        <f t="shared" si="6"/>
        <v>5.2332688600404981E-4</v>
      </c>
      <c r="I105" s="37">
        <f t="shared" si="7"/>
        <v>1.0400791889062129E-3</v>
      </c>
    </row>
    <row r="106" spans="4:9" x14ac:dyDescent="0.25">
      <c r="D106" s="27">
        <v>56</v>
      </c>
      <c r="E106" s="26">
        <f>FORECAST(D106,'Carbon Deficit Analyses'!$I$30:$J$30,'Carbon Deficit Analyses'!$I$28:$J$28)</f>
        <v>2.4000000000000021E-2</v>
      </c>
      <c r="F106" s="26">
        <f t="shared" si="5"/>
        <v>0.5739602014852585</v>
      </c>
      <c r="G106" s="28">
        <f t="shared" si="6"/>
        <v>4.5558251539883212E-4</v>
      </c>
      <c r="I106" s="37">
        <f t="shared" si="7"/>
        <v>9.1692471744307246E-4</v>
      </c>
    </row>
    <row r="107" spans="4:9" x14ac:dyDescent="0.25">
      <c r="D107" s="27">
        <v>57</v>
      </c>
      <c r="E107" s="26">
        <f>FORECAST(D107,'Carbon Deficit Analyses'!$I$30:$J$30,'Carbon Deficit Analyses'!$I$28:$J$28)</f>
        <v>2.300000000000002E-2</v>
      </c>
      <c r="F107" s="26">
        <f t="shared" si="5"/>
        <v>0.56711383939611815</v>
      </c>
      <c r="G107" s="28">
        <f t="shared" si="6"/>
        <v>3.9660761540831843E-4</v>
      </c>
      <c r="I107" s="37">
        <f t="shared" si="7"/>
        <v>8.0835281238751005E-4</v>
      </c>
    </row>
    <row r="108" spans="4:9" x14ac:dyDescent="0.25">
      <c r="D108" s="27">
        <v>58</v>
      </c>
      <c r="E108" s="26">
        <f>FORECAST(D108,'Carbon Deficit Analyses'!$I$30:$J$30,'Carbon Deficit Analyses'!$I$28:$J$28)</f>
        <v>2.200000000000002E-2</v>
      </c>
      <c r="F108" s="26">
        <f t="shared" si="5"/>
        <v>0.56034914267982816</v>
      </c>
      <c r="G108" s="28">
        <f t="shared" si="6"/>
        <v>3.4526698300124415E-4</v>
      </c>
      <c r="I108" s="37">
        <f t="shared" si="7"/>
        <v>7.1263677035226874E-4</v>
      </c>
    </row>
    <row r="109" spans="4:9" x14ac:dyDescent="0.25">
      <c r="D109" s="27">
        <v>59</v>
      </c>
      <c r="E109" s="26">
        <f>FORECAST(D109,'Carbon Deficit Analyses'!$I$30:$J$30,'Carbon Deficit Analyses'!$I$28:$J$28)</f>
        <v>2.1000000000000019E-2</v>
      </c>
      <c r="F109" s="26">
        <f t="shared" si="5"/>
        <v>0.55366513720837218</v>
      </c>
      <c r="G109" s="28">
        <f t="shared" si="6"/>
        <v>3.0057236653928615E-4</v>
      </c>
      <c r="I109" s="37">
        <f t="shared" si="7"/>
        <v>6.2825434473116773E-4</v>
      </c>
    </row>
    <row r="110" spans="4:9" x14ac:dyDescent="0.25">
      <c r="D110" s="27">
        <v>60</v>
      </c>
      <c r="E110" s="26">
        <f>FORECAST(D110,'Carbon Deficit Analyses'!$I$30:$J$30,'Carbon Deficit Analyses'!$I$28:$J$28)</f>
        <v>2.0000000000000018E-2</v>
      </c>
      <c r="F110" s="26">
        <f t="shared" si="5"/>
        <v>0.54706086047341207</v>
      </c>
      <c r="G110" s="28">
        <f t="shared" si="6"/>
        <v>2.6166344300202464E-4</v>
      </c>
      <c r="I110" s="37">
        <f t="shared" si="7"/>
        <v>5.5386353622825291E-4</v>
      </c>
    </row>
    <row r="111" spans="4:9" x14ac:dyDescent="0.25">
      <c r="D111" s="27">
        <v>61</v>
      </c>
      <c r="E111" s="26">
        <f>FORECAST(D111,'Carbon Deficit Analyses'!$I$30:$J$30,'Carbon Deficit Analyses'!$I$28:$J$28)</f>
        <v>1.9000000000000017E-2</v>
      </c>
      <c r="F111" s="26">
        <f t="shared" si="5"/>
        <v>0.54053536144768588</v>
      </c>
      <c r="G111" s="28">
        <f t="shared" si="6"/>
        <v>2.2779125769941584E-4</v>
      </c>
      <c r="I111" s="37">
        <f t="shared" si="7"/>
        <v>4.8828124999999995E-4</v>
      </c>
    </row>
    <row r="112" spans="4:9" x14ac:dyDescent="0.25">
      <c r="D112" s="27">
        <v>62</v>
      </c>
      <c r="E112" s="26">
        <f>FORECAST(D112,'Carbon Deficit Analyses'!$I$30:$J$30,'Carbon Deficit Analyses'!$I$28:$J$28)</f>
        <v>1.8000000000000016E-2</v>
      </c>
      <c r="F112" s="26">
        <f t="shared" si="5"/>
        <v>0.53408770044805776</v>
      </c>
      <c r="G112" s="28">
        <f t="shared" si="6"/>
        <v>1.9830380770415902E-4</v>
      </c>
      <c r="I112" s="37">
        <f t="shared" si="7"/>
        <v>4.3046447997852581E-4</v>
      </c>
    </row>
    <row r="113" spans="4:9" x14ac:dyDescent="0.25">
      <c r="D113" s="27">
        <v>63</v>
      </c>
      <c r="E113" s="26">
        <f>FORECAST(D113,'Carbon Deficit Analyses'!$I$30:$J$30,'Carbon Deficit Analyses'!$I$28:$J$28)</f>
        <v>1.7000000000000015E-2</v>
      </c>
      <c r="F113" s="26">
        <f t="shared" si="5"/>
        <v>0.52771694900020205</v>
      </c>
      <c r="G113" s="28">
        <f t="shared" si="6"/>
        <v>1.7263349150062191E-4</v>
      </c>
      <c r="I113" s="37">
        <f t="shared" si="7"/>
        <v>3.7949372113547805E-4</v>
      </c>
    </row>
    <row r="114" spans="4:9" x14ac:dyDescent="0.25">
      <c r="D114" s="27">
        <v>64</v>
      </c>
      <c r="E114" s="26">
        <f>FORECAST(D114,'Carbon Deficit Analyses'!$I$30:$J$30,'Carbon Deficit Analyses'!$I$28:$J$28)</f>
        <v>1.6000000000000014E-2</v>
      </c>
      <c r="F114" s="26">
        <f t="shared" si="5"/>
        <v>0.52142218970490173</v>
      </c>
      <c r="G114" s="28">
        <f t="shared" si="6"/>
        <v>1.5028618326964308E-4</v>
      </c>
      <c r="I114" s="37">
        <f t="shared" si="7"/>
        <v>3.3455834587893638E-4</v>
      </c>
    </row>
    <row r="115" spans="4:9" x14ac:dyDescent="0.25">
      <c r="D115" s="27">
        <v>65</v>
      </c>
      <c r="E115" s="26">
        <f>FORECAST(D115,'Carbon Deficit Analyses'!$I$30:$J$30,'Carbon Deficit Analyses'!$I$28:$J$28)</f>
        <v>1.5000000000000013E-2</v>
      </c>
      <c r="F115" s="26">
        <f t="shared" si="5"/>
        <v>0.5152025161059407</v>
      </c>
      <c r="G115" s="28">
        <f t="shared" si="6"/>
        <v>1.3083172150101256E-4</v>
      </c>
      <c r="I115" s="37">
        <f t="shared" si="7"/>
        <v>2.9494371201280433E-4</v>
      </c>
    </row>
    <row r="116" spans="4:9" x14ac:dyDescent="0.25">
      <c r="D116" s="27">
        <v>66</v>
      </c>
      <c r="E116" s="26">
        <f>FORECAST(D116,'Carbon Deficit Analyses'!$I$30:$J$30,'Carbon Deficit Analyses'!$I$28:$J$28)</f>
        <v>1.4000000000000012E-2</v>
      </c>
      <c r="F116" s="26">
        <f t="shared" ref="F116:F130" si="8">$I$32*EXP($L$32*D116)</f>
        <v>0.50905703255957313</v>
      </c>
      <c r="G116" s="28">
        <f t="shared" ref="G116:G130" si="9">EXP(-$H$37*(D116-0.5))</f>
        <v>1.1389562884970811E-4</v>
      </c>
      <c r="I116" s="37">
        <f t="shared" ref="I116:I130" si="10">EXP(-$M$50*(D116-0.5))</f>
        <v>2.6001979722655317E-4</v>
      </c>
    </row>
    <row r="117" spans="4:9" x14ac:dyDescent="0.25">
      <c r="D117" s="27">
        <v>67</v>
      </c>
      <c r="E117" s="26">
        <f>FORECAST(D117,'Carbon Deficit Analyses'!$I$30:$J$30,'Carbon Deficit Analyses'!$I$28:$J$28)</f>
        <v>1.3000000000000012E-2</v>
      </c>
      <c r="F117" s="26">
        <f t="shared" si="8"/>
        <v>0.50298485410554905</v>
      </c>
      <c r="G117" s="28">
        <f t="shared" si="9"/>
        <v>9.9151903852079675E-5</v>
      </c>
      <c r="I117" s="37">
        <f t="shared" si="10"/>
        <v>2.2923117936076787E-4</v>
      </c>
    </row>
    <row r="118" spans="4:9" x14ac:dyDescent="0.25">
      <c r="D118" s="27">
        <v>68</v>
      </c>
      <c r="E118" s="26">
        <f>FORECAST(D118,'Carbon Deficit Analyses'!$I$30:$J$30,'Carbon Deficit Analyses'!$I$28:$J$28)</f>
        <v>1.2000000000000011E-2</v>
      </c>
      <c r="F118" s="26">
        <f t="shared" si="8"/>
        <v>0.49698510633967802</v>
      </c>
      <c r="G118" s="28">
        <f t="shared" si="9"/>
        <v>8.6316745750311105E-5</v>
      </c>
      <c r="I118" s="37">
        <f t="shared" si="10"/>
        <v>2.0208820309687767E-4</v>
      </c>
    </row>
    <row r="119" spans="4:9" x14ac:dyDescent="0.25">
      <c r="D119" s="27">
        <v>69</v>
      </c>
      <c r="E119" s="26">
        <f>FORECAST(D119,'Carbon Deficit Analyses'!$I$30:$J$30,'Carbon Deficit Analyses'!$I$28:$J$28)</f>
        <v>1.100000000000001E-2</v>
      </c>
      <c r="F119" s="26">
        <f t="shared" si="8"/>
        <v>0.49105692528791434</v>
      </c>
      <c r="G119" s="28">
        <f t="shared" si="9"/>
        <v>7.5143091634821661E-5</v>
      </c>
      <c r="I119" s="37">
        <f t="shared" si="10"/>
        <v>1.7815919258806713E-4</v>
      </c>
    </row>
    <row r="120" spans="4:9" x14ac:dyDescent="0.25">
      <c r="D120" s="27">
        <v>70</v>
      </c>
      <c r="E120" s="26">
        <f>FORECAST(D120,'Carbon Deficit Analyses'!$I$30:$J$30,'Carbon Deficit Analyses'!$I$28:$J$28)</f>
        <v>1.0000000000000009E-2</v>
      </c>
      <c r="F120" s="26">
        <f t="shared" si="8"/>
        <v>0.48519945728194264</v>
      </c>
      <c r="G120" s="28">
        <f t="shared" si="9"/>
        <v>6.5415860750506267E-5</v>
      </c>
      <c r="I120" s="37">
        <f t="shared" si="10"/>
        <v>1.5706358618279191E-4</v>
      </c>
    </row>
    <row r="121" spans="4:9" x14ac:dyDescent="0.25">
      <c r="D121" s="27">
        <v>71</v>
      </c>
      <c r="E121" s="26">
        <f>FORECAST(D121,'Carbon Deficit Analyses'!$I$30:$J$30,'Carbon Deficit Analyses'!$I$28:$J$28)</f>
        <v>9.000000000000008E-3</v>
      </c>
      <c r="F121" s="26">
        <f t="shared" si="8"/>
        <v>0.47941185883624815</v>
      </c>
      <c r="G121" s="28">
        <f t="shared" si="9"/>
        <v>5.6947814424854049E-5</v>
      </c>
      <c r="I121" s="37">
        <f t="shared" si="10"/>
        <v>1.384658840570632E-4</v>
      </c>
    </row>
    <row r="122" spans="4:9" x14ac:dyDescent="0.25">
      <c r="D122" s="27">
        <v>72</v>
      </c>
      <c r="E122" s="26">
        <f>FORECAST(D122,'Carbon Deficit Analyses'!$I$30:$J$30,'Carbon Deficit Analyses'!$I$28:$J$28)</f>
        <v>8.0000000000000071E-3</v>
      </c>
      <c r="F122" s="26">
        <f t="shared" si="8"/>
        <v>0.47369329652665376</v>
      </c>
      <c r="G122" s="28">
        <f t="shared" si="9"/>
        <v>4.9575951926039837E-5</v>
      </c>
      <c r="I122" s="37">
        <f t="shared" si="10"/>
        <v>1.2207031249999986E-4</v>
      </c>
    </row>
    <row r="123" spans="4:9" x14ac:dyDescent="0.25">
      <c r="D123" s="27">
        <v>73</v>
      </c>
      <c r="E123" s="26">
        <f>FORECAST(D123,'Carbon Deficit Analyses'!$I$30:$J$30,'Carbon Deficit Analyses'!$I$28:$J$28)</f>
        <v>7.0000000000000062E-3</v>
      </c>
      <c r="F123" s="26">
        <f t="shared" si="8"/>
        <v>0.46804294687030512</v>
      </c>
      <c r="G123" s="28">
        <f t="shared" si="9"/>
        <v>4.3158372875155546E-5</v>
      </c>
      <c r="I123" s="37">
        <f t="shared" si="10"/>
        <v>1.0761611999463152E-4</v>
      </c>
    </row>
    <row r="124" spans="4:9" x14ac:dyDescent="0.25">
      <c r="D124" s="27">
        <v>74</v>
      </c>
      <c r="E124" s="26">
        <f>FORECAST(D124,'Carbon Deficit Analyses'!$I$30:$J$30,'Carbon Deficit Analyses'!$I$28:$J$28)</f>
        <v>6.0000000000000053E-3</v>
      </c>
      <c r="F124" s="26">
        <f t="shared" si="8"/>
        <v>0.46245999620708794</v>
      </c>
      <c r="G124" s="28">
        <f t="shared" si="9"/>
        <v>3.7571545817410824E-5</v>
      </c>
      <c r="I124" s="37">
        <f t="shared" si="10"/>
        <v>9.4873430283869581E-5</v>
      </c>
    </row>
    <row r="125" spans="4:9" x14ac:dyDescent="0.25">
      <c r="D125" s="27">
        <v>75</v>
      </c>
      <c r="E125" s="26">
        <f>FORECAST(D125,'Carbon Deficit Analyses'!$I$30:$J$30,'Carbon Deficit Analyses'!$I$28:$J$28)</f>
        <v>5.0000000000000044E-3</v>
      </c>
      <c r="F125" s="26">
        <f t="shared" si="8"/>
        <v>0.45694364058245929</v>
      </c>
      <c r="G125" s="28">
        <f t="shared" si="9"/>
        <v>3.2707930375253134E-5</v>
      </c>
      <c r="I125" s="37">
        <f t="shared" si="10"/>
        <v>8.3639586469734081E-5</v>
      </c>
    </row>
    <row r="126" spans="4:9" x14ac:dyDescent="0.25">
      <c r="D126" s="27">
        <v>76</v>
      </c>
      <c r="E126" s="26">
        <f>FORECAST(D126,'Carbon Deficit Analyses'!$I$30:$J$30,'Carbon Deficit Analyses'!$I$28:$J$28)</f>
        <v>4.0000000000000036E-3</v>
      </c>
      <c r="F126" s="26">
        <f t="shared" si="8"/>
        <v>0.45149308563167689</v>
      </c>
      <c r="G126" s="28">
        <f t="shared" si="9"/>
        <v>2.8473907212427021E-5</v>
      </c>
      <c r="I126" s="37">
        <f t="shared" si="10"/>
        <v>7.3735928003201083E-5</v>
      </c>
    </row>
    <row r="127" spans="4:9" x14ac:dyDescent="0.25">
      <c r="D127" s="27">
        <v>77</v>
      </c>
      <c r="E127" s="26">
        <f>FORECAST(D127,'Carbon Deficit Analyses'!$I$30:$J$30,'Carbon Deficit Analyses'!$I$28:$J$28)</f>
        <v>3.0000000000000027E-3</v>
      </c>
      <c r="F127" s="26">
        <f t="shared" si="8"/>
        <v>0.44610754646540923</v>
      </c>
      <c r="G127" s="28">
        <f t="shared" si="9"/>
        <v>2.4787975963019915E-5</v>
      </c>
      <c r="I127" s="37">
        <f t="shared" si="10"/>
        <v>6.5004949306638279E-5</v>
      </c>
    </row>
    <row r="128" spans="4:9" x14ac:dyDescent="0.25">
      <c r="D128" s="27">
        <v>78</v>
      </c>
      <c r="E128" s="26">
        <f>FORECAST(D128,'Carbon Deficit Analyses'!$I$30:$J$30,'Carbon Deficit Analyses'!$I$28:$J$28)</f>
        <v>2.0000000000000018E-3</v>
      </c>
      <c r="F128" s="26">
        <f t="shared" si="8"/>
        <v>0.4407862475567102</v>
      </c>
      <c r="G128" s="28">
        <f t="shared" si="9"/>
        <v>2.1579186437577773E-5</v>
      </c>
      <c r="I128" s="37">
        <f t="shared" si="10"/>
        <v>5.7307794840192063E-5</v>
      </c>
    </row>
    <row r="129" spans="4:9" x14ac:dyDescent="0.25">
      <c r="D129" s="27">
        <v>79</v>
      </c>
      <c r="E129" s="26">
        <f>FORECAST(D129,'Carbon Deficit Analyses'!$I$30:$J$30,'Carbon Deficit Analyses'!$I$28:$J$28)</f>
        <v>1.0000000000000009E-3</v>
      </c>
      <c r="F129" s="26">
        <f t="shared" si="8"/>
        <v>0.43552842262934155</v>
      </c>
      <c r="G129" s="28">
        <f t="shared" si="9"/>
        <v>1.8785772908705412E-5</v>
      </c>
      <c r="I129" s="37">
        <f t="shared" si="10"/>
        <v>5.0522050774219405E-5</v>
      </c>
    </row>
    <row r="130" spans="4:9" ht="15.75" thickBot="1" x14ac:dyDescent="0.3">
      <c r="D130" s="29">
        <v>80</v>
      </c>
      <c r="E130" s="30">
        <f>FORECAST(D130,'Carbon Deficit Analyses'!$I$30:$J$30,'Carbon Deficit Analyses'!$I$28:$J$28)</f>
        <v>0</v>
      </c>
      <c r="F130" s="30">
        <f t="shared" si="8"/>
        <v>0.4303333145474284</v>
      </c>
      <c r="G130" s="31">
        <f t="shared" si="9"/>
        <v>1.6353965187626563E-5</v>
      </c>
      <c r="I130" s="38">
        <f t="shared" si="10"/>
        <v>4.4539798147016776E-5</v>
      </c>
    </row>
  </sheetData>
  <sheetProtection password="C24F" sheet="1" objects="1" scenarios="1"/>
  <mergeCells count="16">
    <mergeCell ref="J36:Q37"/>
    <mergeCell ref="D36:E37"/>
    <mergeCell ref="K49:L49"/>
    <mergeCell ref="E49:E50"/>
    <mergeCell ref="F49:F50"/>
    <mergeCell ref="G49:G50"/>
    <mergeCell ref="M49:N49"/>
    <mergeCell ref="K50:L50"/>
    <mergeCell ref="M50:N50"/>
    <mergeCell ref="I48:N48"/>
    <mergeCell ref="I49:I50"/>
    <mergeCell ref="D32:F32"/>
    <mergeCell ref="H36:I36"/>
    <mergeCell ref="H37:I37"/>
    <mergeCell ref="F36:G36"/>
    <mergeCell ref="F37:G37"/>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Overall Efficiency - Annual</vt:lpstr>
      <vt:lpstr>GHG Analysis</vt:lpstr>
      <vt:lpstr>Parameters</vt:lpstr>
      <vt:lpstr>GHG Model - Residues</vt:lpstr>
      <vt:lpstr>GHG Model - Forest Thinnings</vt:lpstr>
      <vt:lpstr>Carbon Deficit Analyses</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Eric Steltzer</cp:lastModifiedBy>
  <cp:lastPrinted>2011-10-20T23:41:21Z</cp:lastPrinted>
  <dcterms:created xsi:type="dcterms:W3CDTF">2010-08-29T02:08:46Z</dcterms:created>
  <dcterms:modified xsi:type="dcterms:W3CDTF">2018-09-06T22:57:47Z</dcterms:modified>
</cp:coreProperties>
</file>