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defaultThemeVersion="124226"/>
  <mc:AlternateContent xmlns:mc="http://schemas.openxmlformats.org/markup-compatibility/2006">
    <mc:Choice Requires="x15">
      <x15ac:absPath xmlns:x15ac="http://schemas.microsoft.com/office/spreadsheetml/2010/11/ac" url="https://massgov.sharepoint.com/sites/ENE-Workgroup/Renewables/Rulemakings/RPS Class I/2019 Regulatory Review/Guidelines/Posted 2021- Final/"/>
    </mc:Choice>
  </mc:AlternateContent>
  <xr:revisionPtr revIDLastSave="0" documentId="8_{FB783AAA-CB51-41B5-B2F8-68D3192A8287}" xr6:coauthVersionLast="47" xr6:coauthVersionMax="47" xr10:uidLastSave="{00000000-0000-0000-0000-000000000000}"/>
  <bookViews>
    <workbookView xWindow="-120" yWindow="-120" windowWidth="29040" windowHeight="15840" xr2:uid="{00000000-000D-0000-FFFF-FFFF00000000}"/>
  </bookViews>
  <sheets>
    <sheet name="Instructions" sheetId="18" r:id="rId1"/>
    <sheet name="Overall Efficiency - Annual" sheetId="2" r:id="rId2"/>
    <sheet name="GHG Analysis" sheetId="3" r:id="rId3"/>
    <sheet name="Parameters" sheetId="4" r:id="rId4"/>
    <sheet name="GHG Model - Forest Residues" sheetId="19" r:id="rId5"/>
    <sheet name="GHG Model - Non-Forest Residues" sheetId="6" r:id="rId6"/>
    <sheet name="GHG Model - Forest Salvage" sheetId="20" r:id="rId7"/>
    <sheet name="GHG Model - Forest Thinnings" sheetId="11" r:id="rId8"/>
    <sheet name="Carbon Deficit Analyses" sheetId="22" r:id="rId9"/>
  </sheets>
  <externalReferences>
    <externalReference r:id="rId10"/>
  </externalReferences>
  <definedNames>
    <definedName name="BiomassFuels" localSheetId="8">[1]Parameters!$B$5:$B$8</definedName>
    <definedName name="BiomassFuels">Parameters!$B$5:$B$7</definedName>
    <definedName name="BiomassHeatValues" localSheetId="8">[1]Parameters!$B$5:$E$8</definedName>
    <definedName name="BiomassHeatValues">Parameters!$B$5:$E$7</definedName>
    <definedName name="ConventionalFuelList" localSheetId="8">[1]Parameters!$B$13:$B$17</definedName>
    <definedName name="ConventionalFuelList">Parameters!$B$12:$B$16</definedName>
    <definedName name="ElectricGeneration" localSheetId="8">[1]Parameters!$B$21:$B$22</definedName>
    <definedName name="ElectricGeneration">Parameters!$B$20:$B$21</definedName>
    <definedName name="TypeOfFuel">Parameters!$B$5:$B$6</definedName>
  </definedNames>
  <calcPr calcId="191029"/>
  <customWorkbookViews>
    <customWorkbookView name="Dwayne Breger - Personal View" guid="{C282F3AD-FD8E-4599-82FE-23A64399EB81}" mergeInterval="0" personalView="1" maximized="1" xWindow="1" yWindow="1" windowWidth="1055" windowHeight="738" tabRatio="6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9" l="1"/>
  <c r="M51" i="22"/>
  <c r="M50" i="22"/>
  <c r="M52" i="22"/>
  <c r="D6" i="19"/>
  <c r="D6" i="20"/>
  <c r="D6" i="6"/>
  <c r="H37" i="22"/>
  <c r="G130" i="22"/>
  <c r="I32" i="22"/>
  <c r="F130" i="22"/>
  <c r="G129" i="22"/>
  <c r="F129" i="22"/>
  <c r="G128" i="22"/>
  <c r="F128" i="22"/>
  <c r="G127" i="22"/>
  <c r="F127" i="22"/>
  <c r="G126" i="22"/>
  <c r="F126" i="22"/>
  <c r="G125" i="22"/>
  <c r="F125" i="22"/>
  <c r="G124" i="22"/>
  <c r="F124" i="22"/>
  <c r="G123" i="22"/>
  <c r="F123" i="22"/>
  <c r="G122" i="22"/>
  <c r="F122" i="22"/>
  <c r="G121" i="22"/>
  <c r="F121" i="22"/>
  <c r="G120" i="22"/>
  <c r="F120" i="22"/>
  <c r="G119" i="22"/>
  <c r="F119" i="22"/>
  <c r="G118" i="22"/>
  <c r="F118" i="22"/>
  <c r="G117" i="22"/>
  <c r="F117" i="22"/>
  <c r="G116" i="22"/>
  <c r="F116" i="22"/>
  <c r="G115" i="22"/>
  <c r="F115" i="22"/>
  <c r="G114" i="22"/>
  <c r="F114" i="22"/>
  <c r="G113" i="22"/>
  <c r="F113" i="22"/>
  <c r="G112" i="22"/>
  <c r="F112" i="22"/>
  <c r="G111" i="22"/>
  <c r="F111" i="22"/>
  <c r="G110" i="22"/>
  <c r="F110" i="22"/>
  <c r="G109" i="22"/>
  <c r="F109" i="22"/>
  <c r="G108" i="22"/>
  <c r="F108" i="22"/>
  <c r="G107" i="22"/>
  <c r="F107" i="22"/>
  <c r="G106" i="22"/>
  <c r="F106" i="22"/>
  <c r="G105" i="22"/>
  <c r="F105" i="22"/>
  <c r="G104" i="22"/>
  <c r="F104" i="22"/>
  <c r="G103" i="22"/>
  <c r="F103" i="22"/>
  <c r="G102" i="22"/>
  <c r="F102" i="22"/>
  <c r="G101" i="22"/>
  <c r="F101" i="22"/>
  <c r="G100" i="22"/>
  <c r="F100" i="22"/>
  <c r="J25" i="22"/>
  <c r="J26" i="22"/>
  <c r="J30" i="22"/>
  <c r="E100" i="22"/>
  <c r="G99" i="22"/>
  <c r="F99" i="22"/>
  <c r="G98" i="22"/>
  <c r="F98" i="22"/>
  <c r="G97" i="22"/>
  <c r="F97" i="22"/>
  <c r="G96" i="22"/>
  <c r="F96" i="22"/>
  <c r="G95" i="22"/>
  <c r="F95" i="22"/>
  <c r="G94" i="22"/>
  <c r="F94" i="22"/>
  <c r="G93" i="22"/>
  <c r="F93" i="22"/>
  <c r="G92" i="22"/>
  <c r="F92" i="22"/>
  <c r="G91" i="22"/>
  <c r="F91" i="22"/>
  <c r="G90" i="22"/>
  <c r="F90" i="22"/>
  <c r="I25" i="22"/>
  <c r="I26" i="22"/>
  <c r="I30" i="22"/>
  <c r="E90" i="22"/>
  <c r="G89" i="22"/>
  <c r="F89" i="22"/>
  <c r="G88" i="22"/>
  <c r="F88" i="22"/>
  <c r="G87" i="22"/>
  <c r="F87" i="22"/>
  <c r="G86" i="22"/>
  <c r="F86" i="22"/>
  <c r="G85" i="22"/>
  <c r="F85" i="22"/>
  <c r="G84" i="22"/>
  <c r="F84" i="22"/>
  <c r="G83" i="22"/>
  <c r="F83" i="22"/>
  <c r="G82" i="22"/>
  <c r="F82" i="22"/>
  <c r="G81" i="22"/>
  <c r="F81" i="22"/>
  <c r="G80" i="22"/>
  <c r="F80" i="22"/>
  <c r="H25" i="22"/>
  <c r="H26" i="22"/>
  <c r="H30" i="22"/>
  <c r="E80" i="22"/>
  <c r="G79" i="22"/>
  <c r="F79" i="22"/>
  <c r="G78" i="22"/>
  <c r="F78" i="22"/>
  <c r="G77" i="22"/>
  <c r="F77" i="22"/>
  <c r="G76" i="22"/>
  <c r="F76" i="22"/>
  <c r="G75" i="22"/>
  <c r="F75" i="22"/>
  <c r="G74" i="22"/>
  <c r="F74" i="22"/>
  <c r="G73" i="22"/>
  <c r="F73" i="22"/>
  <c r="G72" i="22"/>
  <c r="F72" i="22"/>
  <c r="G71" i="22"/>
  <c r="F71" i="22"/>
  <c r="F51" i="22"/>
  <c r="G51" i="22"/>
  <c r="F52" i="22"/>
  <c r="G52" i="22"/>
  <c r="F53" i="22"/>
  <c r="G53" i="22"/>
  <c r="F54" i="22"/>
  <c r="G54" i="22"/>
  <c r="F55" i="22"/>
  <c r="G55" i="22"/>
  <c r="F56" i="22"/>
  <c r="G56" i="22"/>
  <c r="F57" i="22"/>
  <c r="G57" i="22"/>
  <c r="F58" i="22"/>
  <c r="G58" i="22"/>
  <c r="F59" i="22"/>
  <c r="G59" i="22"/>
  <c r="F25" i="22"/>
  <c r="F26" i="22"/>
  <c r="F30" i="22"/>
  <c r="E60" i="22"/>
  <c r="F60" i="22"/>
  <c r="G60" i="22"/>
  <c r="G25" i="22"/>
  <c r="G26" i="22"/>
  <c r="G30" i="22"/>
  <c r="E61" i="22"/>
  <c r="F61" i="22"/>
  <c r="G61" i="22"/>
  <c r="E62" i="22"/>
  <c r="F62" i="22"/>
  <c r="G62" i="22"/>
  <c r="E63" i="22"/>
  <c r="F63" i="22"/>
  <c r="G63" i="22"/>
  <c r="E64" i="22"/>
  <c r="F64" i="22"/>
  <c r="G64" i="22"/>
  <c r="E65" i="22"/>
  <c r="F65" i="22"/>
  <c r="G65" i="22"/>
  <c r="E66" i="22"/>
  <c r="F66" i="22"/>
  <c r="G66" i="22"/>
  <c r="E67" i="22"/>
  <c r="F67" i="22"/>
  <c r="G67" i="22"/>
  <c r="E68" i="22"/>
  <c r="F68" i="22"/>
  <c r="G68" i="22"/>
  <c r="E69" i="22"/>
  <c r="F69" i="22"/>
  <c r="G69" i="22"/>
  <c r="E70" i="22"/>
  <c r="F70" i="22"/>
  <c r="G70" i="22"/>
  <c r="O52" i="22"/>
  <c r="U50" i="22"/>
  <c r="F26" i="4"/>
  <c r="H26" i="4"/>
  <c r="D11" i="4"/>
  <c r="E20" i="3"/>
  <c r="E16" i="2"/>
  <c r="E17" i="3"/>
  <c r="E21" i="3"/>
  <c r="C20" i="4"/>
  <c r="E26" i="3"/>
  <c r="E25" i="3"/>
  <c r="E27" i="3"/>
  <c r="E29" i="3"/>
  <c r="E30" i="3"/>
  <c r="E32" i="3"/>
  <c r="F29" i="4"/>
  <c r="H29" i="4"/>
  <c r="D14" i="4"/>
  <c r="E33" i="3"/>
  <c r="E34" i="3"/>
  <c r="E37" i="3"/>
  <c r="E38" i="3"/>
  <c r="D8" i="19"/>
  <c r="D10" i="19"/>
  <c r="C16" i="19"/>
  <c r="D16" i="19"/>
  <c r="C33" i="19"/>
  <c r="E26" i="22"/>
  <c r="E25" i="22"/>
  <c r="J23" i="22"/>
  <c r="I23" i="22"/>
  <c r="H23" i="22"/>
  <c r="G23" i="22"/>
  <c r="F23" i="22"/>
  <c r="E23" i="22"/>
  <c r="J22" i="22"/>
  <c r="I22" i="22"/>
  <c r="H22" i="22"/>
  <c r="G22" i="22"/>
  <c r="F22" i="22"/>
  <c r="E22" i="22"/>
  <c r="J20" i="22"/>
  <c r="I20" i="22"/>
  <c r="H20" i="22"/>
  <c r="G20" i="22"/>
  <c r="F20" i="22"/>
  <c r="E20" i="22"/>
  <c r="J19" i="22"/>
  <c r="I19" i="22"/>
  <c r="H19" i="22"/>
  <c r="G19" i="22"/>
  <c r="F19" i="22"/>
  <c r="E19" i="22"/>
  <c r="E29" i="22"/>
  <c r="I29" i="22"/>
  <c r="E30" i="22"/>
  <c r="F29" i="22"/>
  <c r="H29" i="22"/>
  <c r="J29" i="22"/>
  <c r="G29" i="22"/>
  <c r="D7" i="6"/>
  <c r="C16" i="6"/>
  <c r="D7" i="20"/>
  <c r="C17" i="20"/>
  <c r="C33" i="20"/>
  <c r="C17" i="19"/>
  <c r="E45" i="3"/>
  <c r="E10" i="3"/>
  <c r="F16" i="2"/>
  <c r="E36" i="2"/>
  <c r="E34" i="2"/>
  <c r="E35" i="2"/>
  <c r="E37" i="2"/>
  <c r="F17" i="2"/>
  <c r="F16" i="3"/>
  <c r="C33" i="11"/>
  <c r="C34" i="11"/>
  <c r="C35" i="11"/>
  <c r="C23" i="11"/>
  <c r="C24" i="11"/>
  <c r="C25" i="11"/>
  <c r="C26" i="11"/>
  <c r="C27" i="11"/>
  <c r="C28" i="11"/>
  <c r="C29" i="11"/>
  <c r="C30" i="11"/>
  <c r="C31" i="11"/>
  <c r="C32" i="11"/>
  <c r="C17" i="11"/>
  <c r="C18" i="11"/>
  <c r="C19" i="11"/>
  <c r="C20" i="11"/>
  <c r="C21" i="11"/>
  <c r="C22" i="11"/>
  <c r="C16" i="11"/>
  <c r="D16" i="4"/>
  <c r="F28" i="4"/>
  <c r="H28" i="4"/>
  <c r="D13" i="4"/>
  <c r="F27" i="4"/>
  <c r="H27" i="4"/>
  <c r="D12" i="4"/>
  <c r="E15" i="3"/>
  <c r="E16" i="3"/>
  <c r="D15" i="4"/>
  <c r="C31" i="20"/>
  <c r="C29" i="20"/>
  <c r="C35" i="20"/>
  <c r="C27" i="20"/>
  <c r="C32" i="19"/>
  <c r="C24" i="19"/>
  <c r="C35" i="19"/>
  <c r="C31" i="19"/>
  <c r="C27" i="19"/>
  <c r="C23" i="19"/>
  <c r="C19" i="19"/>
  <c r="C28" i="19"/>
  <c r="C20" i="19"/>
  <c r="C34" i="19"/>
  <c r="C30" i="19"/>
  <c r="C26" i="19"/>
  <c r="C22" i="19"/>
  <c r="C18" i="19"/>
  <c r="C29" i="19"/>
  <c r="C25" i="19"/>
  <c r="C21" i="19"/>
  <c r="C32" i="6"/>
  <c r="C23" i="6"/>
  <c r="C34" i="6"/>
  <c r="C29" i="6"/>
  <c r="C26" i="6"/>
  <c r="C22" i="6"/>
  <c r="C31" i="6"/>
  <c r="C28" i="6"/>
  <c r="C25" i="6"/>
  <c r="C21" i="6"/>
  <c r="C17" i="6"/>
  <c r="C35" i="6"/>
  <c r="C27" i="6"/>
  <c r="C19" i="6"/>
  <c r="C18" i="6"/>
  <c r="C33" i="6"/>
  <c r="C30" i="6"/>
  <c r="C24" i="6"/>
  <c r="C20" i="6"/>
  <c r="C34" i="20"/>
  <c r="C32" i="20"/>
  <c r="C30" i="20"/>
  <c r="C28" i="20"/>
  <c r="C26" i="20"/>
  <c r="C24" i="20"/>
  <c r="C22" i="20"/>
  <c r="C20" i="20"/>
  <c r="C18" i="20"/>
  <c r="C16" i="20"/>
  <c r="C25" i="20"/>
  <c r="C23" i="20"/>
  <c r="C21" i="20"/>
  <c r="C19" i="20"/>
  <c r="D8" i="11"/>
  <c r="D10" i="11"/>
  <c r="E33" i="2"/>
  <c r="E39" i="2"/>
  <c r="D8" i="20"/>
  <c r="D10" i="20"/>
  <c r="D17" i="20"/>
  <c r="E17" i="20"/>
  <c r="D17" i="19"/>
  <c r="E17" i="19"/>
  <c r="D8" i="6"/>
  <c r="D10" i="6"/>
  <c r="D24" i="6"/>
  <c r="E24" i="6"/>
  <c r="D18" i="11"/>
  <c r="E18" i="11"/>
  <c r="D20" i="11"/>
  <c r="E20" i="11"/>
  <c r="D22" i="11"/>
  <c r="E22" i="11"/>
  <c r="D24" i="11"/>
  <c r="E24" i="11"/>
  <c r="D26" i="11"/>
  <c r="E26" i="11"/>
  <c r="D28" i="11"/>
  <c r="E28" i="11"/>
  <c r="D30" i="11"/>
  <c r="E30" i="11"/>
  <c r="D32" i="11"/>
  <c r="E32" i="11"/>
  <c r="D34" i="11"/>
  <c r="E34" i="11"/>
  <c r="D17" i="11"/>
  <c r="E17" i="11"/>
  <c r="D19" i="11"/>
  <c r="E19" i="11"/>
  <c r="D21" i="11"/>
  <c r="E21" i="11"/>
  <c r="D23" i="11"/>
  <c r="E23" i="11"/>
  <c r="D25" i="11"/>
  <c r="E25" i="11"/>
  <c r="D27" i="11"/>
  <c r="E27" i="11"/>
  <c r="D29" i="11"/>
  <c r="E29" i="11"/>
  <c r="D31" i="11"/>
  <c r="E31" i="11"/>
  <c r="D33" i="11"/>
  <c r="E33" i="11"/>
  <c r="D35" i="11"/>
  <c r="E35" i="11"/>
  <c r="D16" i="11"/>
  <c r="E16" i="11"/>
  <c r="D24" i="20"/>
  <c r="E24" i="20"/>
  <c r="D20" i="6"/>
  <c r="E20" i="6"/>
  <c r="D35" i="6"/>
  <c r="E35" i="6"/>
  <c r="D19" i="20"/>
  <c r="E19" i="20"/>
  <c r="D34" i="20"/>
  <c r="E34" i="20"/>
  <c r="D20" i="19"/>
  <c r="E20" i="19"/>
  <c r="D29" i="20"/>
  <c r="E29" i="20"/>
  <c r="D19" i="19"/>
  <c r="E19" i="19"/>
  <c r="D31" i="6"/>
  <c r="E31" i="6"/>
  <c r="D30" i="6"/>
  <c r="E30" i="6"/>
  <c r="D16" i="20"/>
  <c r="E16" i="20"/>
  <c r="D21" i="20"/>
  <c r="E21" i="20"/>
  <c r="D26" i="20"/>
  <c r="E26" i="20"/>
  <c r="D31" i="20"/>
  <c r="E31" i="20"/>
  <c r="D22" i="19"/>
  <c r="E22" i="19"/>
  <c r="D32" i="20"/>
  <c r="E32" i="20"/>
  <c r="D20" i="20"/>
  <c r="E20" i="20"/>
  <c r="D27" i="20"/>
  <c r="E27" i="20"/>
  <c r="D32" i="19"/>
  <c r="E32" i="19"/>
  <c r="D29" i="19"/>
  <c r="E29" i="19"/>
  <c r="E16" i="19"/>
  <c r="D28" i="20"/>
  <c r="E28" i="20"/>
  <c r="D18" i="20"/>
  <c r="E18" i="20"/>
  <c r="D35" i="20"/>
  <c r="E35" i="20"/>
  <c r="D23" i="20"/>
  <c r="E23" i="20"/>
  <c r="D24" i="19"/>
  <c r="E24" i="19"/>
  <c r="D27" i="19"/>
  <c r="E27" i="19"/>
  <c r="D28" i="6"/>
  <c r="E28" i="6"/>
  <c r="D34" i="19"/>
  <c r="E34" i="19"/>
  <c r="D26" i="19"/>
  <c r="E26" i="19"/>
  <c r="D35" i="19"/>
  <c r="E35" i="19"/>
  <c r="D23" i="19"/>
  <c r="E23" i="19"/>
  <c r="D27" i="6"/>
  <c r="E27" i="6"/>
  <c r="D33" i="6"/>
  <c r="E33" i="6"/>
  <c r="D22" i="6"/>
  <c r="E22" i="6"/>
  <c r="D30" i="20"/>
  <c r="E30" i="20"/>
  <c r="D22" i="20"/>
  <c r="E22" i="20"/>
  <c r="D33" i="20"/>
  <c r="E33" i="20"/>
  <c r="D25" i="20"/>
  <c r="E25" i="20"/>
  <c r="D28" i="19"/>
  <c r="E28" i="19"/>
  <c r="D18" i="19"/>
  <c r="E18" i="19"/>
  <c r="D31" i="19"/>
  <c r="E31" i="19"/>
  <c r="D21" i="19"/>
  <c r="E21" i="19"/>
  <c r="D19" i="6"/>
  <c r="E19" i="6"/>
  <c r="D29" i="6"/>
  <c r="E29" i="6"/>
  <c r="D25" i="6"/>
  <c r="E25" i="6"/>
  <c r="D23" i="6"/>
  <c r="E23" i="6"/>
  <c r="D17" i="6"/>
  <c r="E17" i="6"/>
  <c r="D34" i="6"/>
  <c r="E34" i="6"/>
  <c r="D26" i="6"/>
  <c r="E26" i="6"/>
  <c r="D18" i="6"/>
  <c r="E18" i="6"/>
  <c r="D21" i="6"/>
  <c r="E21" i="6"/>
  <c r="D16" i="6"/>
  <c r="E16" i="6"/>
  <c r="D32" i="6"/>
  <c r="E32" i="6"/>
  <c r="D30" i="19"/>
  <c r="E30" i="19"/>
  <c r="D33" i="19"/>
  <c r="E33" i="19"/>
  <c r="D25" i="19"/>
  <c r="E25" i="19"/>
  <c r="E48" i="3"/>
  <c r="E59" i="22"/>
  <c r="E56" i="22"/>
  <c r="E55" i="22"/>
  <c r="E54"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71" i="22"/>
  <c r="E72" i="22"/>
  <c r="E73" i="22"/>
  <c r="E74" i="22"/>
  <c r="E75" i="22"/>
  <c r="E76" i="22"/>
  <c r="E77" i="22"/>
  <c r="E78" i="22"/>
  <c r="E79" i="22"/>
  <c r="E81" i="22"/>
  <c r="E82" i="22"/>
  <c r="E83" i="22"/>
  <c r="E84" i="22"/>
  <c r="E85" i="22"/>
  <c r="E86" i="22"/>
  <c r="E87" i="22"/>
  <c r="E88" i="22"/>
  <c r="E89" i="22"/>
  <c r="E91" i="22"/>
  <c r="E92" i="22"/>
  <c r="E93" i="22"/>
  <c r="E94" i="22"/>
  <c r="E95" i="22"/>
  <c r="E96" i="22"/>
  <c r="E97" i="22"/>
  <c r="E98" i="22"/>
  <c r="E99" i="22"/>
  <c r="E51" i="22"/>
  <c r="E52" i="22"/>
  <c r="E53" i="22"/>
  <c r="E58" i="22"/>
  <c r="E5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40" authorId="0" shapeId="0" xr:uid="{B50647A3-F51E-475F-9671-1555E36EA954}">
      <text>
        <r>
          <rPr>
            <b/>
            <sz val="9"/>
            <color indexed="81"/>
            <rFont val="Tahoma"/>
            <family val="2"/>
          </rPr>
          <t>DOER:</t>
        </r>
        <r>
          <rPr>
            <sz val="9"/>
            <color indexed="81"/>
            <rFont val="Tahoma"/>
            <family val="2"/>
          </rPr>
          <t xml:space="preserve">
As defined in 225 CMR 14.00, please ensure that data entered aligns with the Fuel Supply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5" authorId="0" shapeId="0" xr:uid="{00000000-0006-0000-0300-000001000000}">
      <text>
        <r>
          <rPr>
            <b/>
            <sz val="9"/>
            <color indexed="81"/>
            <rFont val="Tahoma"/>
            <family val="2"/>
          </rPr>
          <t>DOER:</t>
        </r>
        <r>
          <rPr>
            <sz val="9"/>
            <color indexed="81"/>
            <rFont val="Tahoma"/>
            <family val="2"/>
          </rPr>
          <t xml:space="preserve">
assumes 20% MC</t>
        </r>
      </text>
    </comment>
    <comment ref="D6" authorId="0" shapeId="0" xr:uid="{00000000-0006-0000-0300-000002000000}">
      <text>
        <r>
          <rPr>
            <b/>
            <sz val="9"/>
            <color indexed="81"/>
            <rFont val="Tahoma"/>
            <family val="2"/>
          </rPr>
          <t>DOER:</t>
        </r>
        <r>
          <rPr>
            <sz val="9"/>
            <color indexed="81"/>
            <rFont val="Tahoma"/>
            <family val="2"/>
          </rPr>
          <t xml:space="preserve">
assumes 50% MC</t>
        </r>
      </text>
    </comment>
    <comment ref="D7" authorId="0" shapeId="0" xr:uid="{00000000-0006-0000-0300-00000300000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<sst xmlns="http://schemas.openxmlformats.org/spreadsheetml/2006/main" count="277" uniqueCount="174">
  <si>
    <t>Decay Rate</t>
  </si>
  <si>
    <t>Biomass</t>
  </si>
  <si>
    <t>Carbon Debt</t>
  </si>
  <si>
    <t>Net Biomass</t>
  </si>
  <si>
    <t>Residue Decay</t>
  </si>
  <si>
    <t>Biomass Emissions</t>
  </si>
  <si>
    <t>Half Life</t>
  </si>
  <si>
    <t>years</t>
  </si>
  <si>
    <t>Proposed Annual Operation</t>
  </si>
  <si>
    <t>Biomass Fuel Input</t>
  </si>
  <si>
    <t>Wood Pellets</t>
  </si>
  <si>
    <t>Higher Heating Value</t>
  </si>
  <si>
    <t>Input Units</t>
  </si>
  <si>
    <t>Energy Output</t>
  </si>
  <si>
    <t>Delivered to ISO-NE Grid</t>
  </si>
  <si>
    <t>MWh annually</t>
  </si>
  <si>
    <t>Useful Thermal Load</t>
  </si>
  <si>
    <t>Useful Thermal Energy delivered</t>
  </si>
  <si>
    <t>Natural Gas</t>
  </si>
  <si>
    <t>Fuel Oil #2</t>
  </si>
  <si>
    <t>Fuel Oil #6</t>
  </si>
  <si>
    <t>Propane</t>
  </si>
  <si>
    <t>Merchantable Bio-Products</t>
  </si>
  <si>
    <t>Enthalpy of Reaction of Bio-Product</t>
  </si>
  <si>
    <t>Bio-Product Description</t>
  </si>
  <si>
    <t>Annual Production/Sales</t>
  </si>
  <si>
    <t>lbs annually</t>
  </si>
  <si>
    <t>Calculation of Overall Efficiency</t>
  </si>
  <si>
    <t>Biomass Input Heat Content</t>
  </si>
  <si>
    <t>MWh_fuel</t>
  </si>
  <si>
    <t>Renewable Electricity Generated</t>
  </si>
  <si>
    <t>RE Elect - "Behind-the-Meter"</t>
  </si>
  <si>
    <t>RE Elect - delivered to Grid</t>
  </si>
  <si>
    <t>MWh_elec</t>
  </si>
  <si>
    <t>Useful Thermal Energy</t>
  </si>
  <si>
    <t>MWh_therm</t>
  </si>
  <si>
    <t>MWh_chem</t>
  </si>
  <si>
    <t>OVERALL EFFICIENCY</t>
  </si>
  <si>
    <t>Type of Biomass Fuel input to Unit</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</si>
  <si>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</si>
  <si>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</si>
  <si>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</si>
  <si>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</si>
  <si>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</si>
  <si>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</si>
  <si>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</si>
  <si>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</si>
  <si>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</si>
  <si>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</si>
  <si>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</si>
  <si>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</si>
  <si>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</si>
  <si>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</si>
  <si>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</si>
  <si>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</si>
  <si>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Natural Gas, new</t>
  </si>
  <si>
    <t>Net CO2 Emission Reductions</t>
  </si>
  <si>
    <t>Biomass Energy - Debt-Dividend GHG Analysis</t>
  </si>
  <si>
    <t>Single Year Operation</t>
  </si>
  <si>
    <t>input</t>
  </si>
  <si>
    <t>result</t>
  </si>
  <si>
    <t>Describe Load in Text Box</t>
  </si>
  <si>
    <t>Bio-Product Description:</t>
  </si>
  <si>
    <t>Describe Bio-Product in Text Box</t>
  </si>
  <si>
    <t>Massachusetts Department of Energy Resources</t>
  </si>
  <si>
    <t>Worksheet for the Calculation of Lifecycle GHG Analysis</t>
  </si>
  <si>
    <t>Thermal Load Description:</t>
  </si>
  <si>
    <t>Carbon Debt/Dividend Analysis</t>
  </si>
  <si>
    <t>Lifecycle Carbon Intensity, lbs CO2/MWh</t>
  </si>
  <si>
    <t>Parametric Data</t>
  </si>
  <si>
    <t>BTU/lb</t>
  </si>
  <si>
    <t>Bio-Product Credit</t>
  </si>
  <si>
    <t>% input carbon permanently embedded</t>
  </si>
  <si>
    <t>If Merchantable Bio-Products, provide under separate cover, a documentation of the embedded proportion and permanence of the input biomass fuel carbon in the Bio-Product.</t>
  </si>
  <si>
    <t>Fuel Source</t>
  </si>
  <si>
    <t>Oil #6</t>
  </si>
  <si>
    <t>Oil #2</t>
  </si>
  <si>
    <t>Assumed Efficiency</t>
  </si>
  <si>
    <t>kgC/MWh</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</si>
  <si>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</si>
  <si>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</si>
  <si>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</si>
  <si>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</si>
  <si>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</si>
  <si>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</si>
  <si>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(optional user input)</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</si>
  <si>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</si>
  <si>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</si>
  <si>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</si>
  <si>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</si>
  <si>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</si>
  <si>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</si>
  <si>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</si>
  <si>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</si>
  <si>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</si>
  <si>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</si>
  <si>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</si>
  <si>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</si>
  <si>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Merchantable Bio-Products (if applicable)</t>
  </si>
  <si>
    <t>dry tons</t>
  </si>
  <si>
    <t>green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</si>
  <si>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</si>
  <si>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</si>
  <si>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</si>
  <si>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</si>
  <si>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</si>
  <si>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</si>
  <si>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</si>
  <si>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</si>
  <si>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</si>
  <si>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</si>
  <si>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</si>
  <si>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</si>
  <si>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</si>
  <si>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Biomass Recovery</t>
  </si>
  <si>
    <t>Year</t>
  </si>
  <si>
    <t>Deficit Function</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</si>
  <si>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</si>
  <si>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</si>
  <si>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</si>
  <si>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</si>
  <si>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</si>
  <si>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</si>
  <si>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</si>
  <si>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</si>
  <si>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</si>
  <si>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</si>
  <si>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</si>
  <si>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</si>
  <si>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</si>
  <si>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</si>
  <si>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</si>
  <si>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</si>
  <si>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</si>
  <si>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</si>
  <si>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</si>
  <si>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</si>
  <si>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</si>
  <si>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</si>
  <si>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</si>
  <si>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</si>
  <si>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t>choose from drop-down list</t>
  </si>
  <si>
    <t>Wood Chips (dry)</t>
  </si>
  <si>
    <t>Wood Chips (green)</t>
  </si>
  <si>
    <t>Non-Forest Derived Eligible Biomass Deficit Analysis - Residue (Alternative Fate) Decay Rate</t>
  </si>
  <si>
    <t>Forest Derived Biomass Deficit Analysis - Thinnings and Residues Only Curves from Manomet Report</t>
  </si>
  <si>
    <t>Biomass Carbon Deficit Functions (Summary)</t>
  </si>
  <si>
    <t>Thinnings Trendline</t>
  </si>
  <si>
    <t>Coefficient</t>
  </si>
  <si>
    <t xml:space="preserve"> Half Life, years</t>
  </si>
  <si>
    <t>Summary/Consolidation of Carbon Deficit Functions - Residues and Thinnings</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</si>
  <si>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</si>
  <si>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</si>
  <si>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t>Trendline</t>
  </si>
  <si>
    <t>Forest Derived Thinnings</t>
  </si>
  <si>
    <r>
      <t xml:space="preserve">Biomass from </t>
    </r>
    <r>
      <rPr>
        <b/>
        <u/>
        <sz val="10"/>
        <rFont val="Arial"/>
        <family val="2"/>
      </rPr>
      <t>Thinnings</t>
    </r>
  </si>
  <si>
    <t>MWh</t>
  </si>
  <si>
    <t>Used "Behind-the-Meter"</t>
  </si>
  <si>
    <t>chose from drop-down list</t>
  </si>
  <si>
    <t>MMBTUs</t>
  </si>
  <si>
    <t>Amount of Eligible Fuel Used</t>
  </si>
  <si>
    <t>Forest Salvage</t>
  </si>
  <si>
    <t>Non-Forest Derived Residues</t>
  </si>
  <si>
    <t>Total</t>
  </si>
  <si>
    <t xml:space="preserve"> Forest Derived Residues</t>
  </si>
  <si>
    <t>Must equal 100%</t>
  </si>
  <si>
    <t>% reduction in Year 20</t>
  </si>
  <si>
    <t>Forest Residues &amp; Salvage</t>
  </si>
  <si>
    <t>Non Forest Residues</t>
  </si>
  <si>
    <t xml:space="preserve"> Years</t>
  </si>
  <si>
    <t>N/A</t>
  </si>
  <si>
    <t>Applicant must demonstrate at least a 50% reduction by Yr 20</t>
  </si>
  <si>
    <t>Renewable Energy Portfolio Standard - 225 CMR 14.00 &amp; 225 CMR 15.00</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</si>
  <si>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and 225 CMR 15.00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</si>
</sst>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sz val="9"/>
      <color indexed="81"/>
      <name val="Tahoma"/>
      <family val="2"/>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9"/>
      <color indexed="81"/>
      <name val="Tahoma"/>
      <family val="2"/>
    </font>
    <font>
      <sz val="10"/>
      <name val="Arial"/>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99CC"/>
        <bgColor indexed="64"/>
      </patternFill>
    </fill>
  </fills>
  <borders count="5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s>
  <cellStyleXfs count="9">
    <xf numFmtId="0" fontId="0" fillId="0" borderId="0"/>
    <xf numFmtId="9" fontId="7" fillId="0" borderId="0" applyFont="0" applyFill="0" applyBorder="0" applyAlignment="0" applyProtection="0"/>
    <xf numFmtId="0" fontId="6" fillId="0" borderId="0"/>
    <xf numFmtId="0" fontId="5" fillId="0" borderId="0"/>
    <xf numFmtId="0" fontId="4" fillId="0" borderId="0"/>
    <xf numFmtId="0" fontId="32" fillId="0" borderId="0"/>
    <xf numFmtId="0" fontId="4" fillId="0" borderId="0"/>
    <xf numFmtId="0" fontId="3" fillId="0" borderId="0"/>
    <xf numFmtId="0" fontId="7" fillId="0" borderId="0"/>
  </cellStyleXfs>
  <cellXfs count="276">
    <xf numFmtId="0" fontId="0" fillId="0" borderId="0" xfId="0"/>
    <xf numFmtId="0" fontId="0" fillId="3" borderId="0" xfId="0" applyFill="1" applyProtection="1"/>
    <xf numFmtId="0" fontId="0" fillId="5" borderId="6" xfId="0" applyFill="1" applyBorder="1" applyProtection="1">
      <protection locked="0"/>
    </xf>
    <xf numFmtId="0" fontId="0" fillId="5" borderId="6" xfId="0" applyFill="1" applyBorder="1" applyAlignment="1" applyProtection="1">
      <alignment horizontal="center"/>
      <protection locked="0"/>
    </xf>
    <xf numFmtId="0" fontId="0" fillId="5" borderId="5" xfId="0" applyFill="1" applyBorder="1" applyProtection="1">
      <protection locked="0"/>
    </xf>
    <xf numFmtId="1" fontId="0" fillId="5" borderId="6" xfId="0" applyNumberFormat="1" applyFill="1" applyBorder="1" applyProtection="1">
      <protection locked="0"/>
    </xf>
    <xf numFmtId="0" fontId="12" fillId="3" borderId="0" xfId="0" applyFont="1" applyFill="1" applyBorder="1" applyAlignment="1" applyProtection="1"/>
    <xf numFmtId="0" fontId="0" fillId="5" borderId="6" xfId="0" applyFill="1" applyBorder="1" applyProtection="1"/>
    <xf numFmtId="0" fontId="0" fillId="6" borderId="22" xfId="0" applyFill="1" applyBorder="1" applyProtection="1"/>
    <xf numFmtId="0" fontId="0" fillId="3" borderId="44" xfId="0" applyFill="1" applyBorder="1" applyProtection="1"/>
    <xf numFmtId="0" fontId="12" fillId="3" borderId="0" xfId="0" applyFont="1" applyFill="1" applyProtection="1"/>
    <xf numFmtId="0" fontId="12" fillId="3" borderId="9" xfId="0" applyFont="1" applyFill="1" applyBorder="1" applyProtection="1"/>
    <xf numFmtId="0" fontId="0" fillId="3" borderId="1" xfId="0" applyFill="1" applyBorder="1" applyProtection="1"/>
    <xf numFmtId="0" fontId="0" fillId="3" borderId="2" xfId="0" applyFill="1" applyBorder="1" applyProtection="1"/>
    <xf numFmtId="0" fontId="0" fillId="3" borderId="0" xfId="0" applyFill="1" applyBorder="1" applyProtection="1"/>
    <xf numFmtId="0" fontId="0" fillId="3" borderId="3" xfId="0" applyFill="1" applyBorder="1" applyProtection="1"/>
    <xf numFmtId="0" fontId="0" fillId="3" borderId="6" xfId="0" applyFill="1" applyBorder="1" applyProtection="1"/>
    <xf numFmtId="0" fontId="8" fillId="3" borderId="7" xfId="0" applyFont="1" applyFill="1" applyBorder="1" applyProtection="1"/>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4" xfId="0" applyFill="1" applyBorder="1" applyProtection="1"/>
    <xf numFmtId="0" fontId="7" fillId="3" borderId="5" xfId="5" applyFont="1" applyFill="1" applyBorder="1" applyProtection="1"/>
    <xf numFmtId="0" fontId="0" fillId="3" borderId="8" xfId="0" applyFill="1" applyBorder="1" applyAlignment="1" applyProtection="1">
      <alignment horizontal="center" vertical="center"/>
    </xf>
    <xf numFmtId="0" fontId="0" fillId="3" borderId="37" xfId="0" applyFill="1" applyBorder="1" applyProtection="1"/>
    <xf numFmtId="0" fontId="0" fillId="3" borderId="6" xfId="0" applyFill="1" applyBorder="1" applyAlignment="1" applyProtection="1">
      <alignment horizontal="right"/>
    </xf>
    <xf numFmtId="0" fontId="7" fillId="3" borderId="7" xfId="0" applyFont="1" applyFill="1" applyBorder="1" applyProtection="1"/>
    <xf numFmtId="0" fontId="11" fillId="3" borderId="6" xfId="0" applyFont="1" applyFill="1" applyBorder="1" applyAlignment="1" applyProtection="1">
      <alignment horizontal="center"/>
    </xf>
    <xf numFmtId="0" fontId="0" fillId="3" borderId="7" xfId="0" applyFill="1" applyBorder="1" applyProtection="1"/>
    <xf numFmtId="0" fontId="0" fillId="3" borderId="5" xfId="0" applyFill="1" applyBorder="1" applyProtection="1"/>
    <xf numFmtId="0" fontId="7" fillId="3" borderId="8" xfId="0" applyFont="1" applyFill="1" applyBorder="1" applyProtection="1"/>
    <xf numFmtId="0" fontId="0" fillId="3" borderId="8" xfId="0" applyFill="1" applyBorder="1" applyProtection="1"/>
    <xf numFmtId="1" fontId="0" fillId="3" borderId="6" xfId="0" applyNumberFormat="1" applyFill="1" applyBorder="1" applyAlignment="1" applyProtection="1">
      <alignment horizontal="center" vertical="center"/>
    </xf>
    <xf numFmtId="1" fontId="0" fillId="3" borderId="5" xfId="0" applyNumberFormat="1" applyFill="1" applyBorder="1" applyAlignment="1" applyProtection="1">
      <alignment horizontal="center" vertical="center"/>
    </xf>
    <xf numFmtId="0" fontId="12" fillId="3" borderId="10" xfId="0" applyFont="1" applyFill="1" applyBorder="1" applyProtection="1"/>
    <xf numFmtId="0" fontId="24" fillId="3" borderId="12" xfId="0" applyFont="1" applyFill="1" applyBorder="1" applyAlignment="1" applyProtection="1">
      <alignment horizontal="center" vertical="center" wrapText="1"/>
    </xf>
    <xf numFmtId="166" fontId="12" fillId="6" borderId="12" xfId="0" applyNumberFormat="1" applyFont="1" applyFill="1" applyBorder="1" applyAlignment="1" applyProtection="1">
      <alignment horizontal="center" vertical="center"/>
    </xf>
    <xf numFmtId="0" fontId="0" fillId="3" borderId="40" xfId="0" applyFill="1" applyBorder="1" applyProtection="1"/>
    <xf numFmtId="0" fontId="0" fillId="6" borderId="6" xfId="0" applyFill="1" applyBorder="1" applyProtection="1"/>
    <xf numFmtId="0" fontId="7" fillId="3" borderId="0" xfId="0" applyFont="1" applyFill="1" applyBorder="1" applyProtection="1"/>
    <xf numFmtId="0" fontId="0" fillId="3" borderId="6" xfId="0" applyFill="1" applyBorder="1" applyAlignment="1" applyProtection="1">
      <alignment horizontal="center"/>
    </xf>
    <xf numFmtId="164" fontId="0" fillId="3" borderId="6" xfId="0" applyNumberFormat="1" applyFill="1" applyBorder="1" applyProtection="1"/>
    <xf numFmtId="1" fontId="0" fillId="3" borderId="5" xfId="0" applyNumberFormat="1" applyFill="1" applyBorder="1" applyAlignment="1" applyProtection="1">
      <alignment horizontal="right" vertical="center"/>
    </xf>
    <xf numFmtId="1" fontId="0" fillId="3" borderId="6" xfId="0" applyNumberFormat="1" applyFill="1" applyBorder="1" applyProtection="1"/>
    <xf numFmtId="0" fontId="7" fillId="3" borderId="7" xfId="0" applyFont="1" applyFill="1" applyBorder="1" applyAlignment="1" applyProtection="1">
      <alignment vertical="center" wrapText="1"/>
    </xf>
    <xf numFmtId="9" fontId="0" fillId="3" borderId="6" xfId="0" applyNumberFormat="1" applyFill="1" applyBorder="1" applyAlignment="1" applyProtection="1">
      <alignment horizontal="center" vertical="center"/>
    </xf>
    <xf numFmtId="0" fontId="9" fillId="3" borderId="7" xfId="0" applyFont="1" applyFill="1" applyBorder="1" applyProtection="1"/>
    <xf numFmtId="164" fontId="0" fillId="3" borderId="6" xfId="0" applyNumberFormat="1" applyFill="1" applyBorder="1" applyAlignment="1" applyProtection="1">
      <alignment horizontal="center" vertical="center"/>
    </xf>
    <xf numFmtId="166" fontId="0" fillId="3" borderId="6" xfId="0" applyNumberFormat="1" applyFill="1" applyBorder="1" applyAlignment="1" applyProtection="1">
      <alignment horizontal="center" vertical="center"/>
    </xf>
    <xf numFmtId="0" fontId="0" fillId="3" borderId="0" xfId="0" applyFill="1" applyBorder="1" applyAlignment="1" applyProtection="1">
      <alignment horizontal="center" vertical="center"/>
    </xf>
    <xf numFmtId="166" fontId="0" fillId="3" borderId="0" xfId="0" applyNumberFormat="1" applyFill="1" applyBorder="1" applyAlignment="1" applyProtection="1">
      <alignment horizontal="center" vertical="center"/>
    </xf>
    <xf numFmtId="0" fontId="12" fillId="3" borderId="0" xfId="0" applyFont="1" applyFill="1" applyBorder="1" applyAlignment="1" applyProtection="1">
      <alignment horizontal="center" vertical="center"/>
    </xf>
    <xf numFmtId="166" fontId="0" fillId="3" borderId="0" xfId="0" applyNumberFormat="1" applyFill="1" applyBorder="1" applyProtection="1"/>
    <xf numFmtId="0" fontId="0" fillId="3" borderId="0" xfId="0" applyFill="1" applyBorder="1" applyAlignment="1" applyProtection="1">
      <alignment vertical="top" wrapText="1"/>
    </xf>
    <xf numFmtId="0" fontId="7" fillId="3" borderId="6"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9" fontId="0" fillId="3" borderId="0" xfId="1" applyFont="1" applyFill="1" applyBorder="1" applyProtection="1"/>
    <xf numFmtId="0" fontId="7" fillId="3" borderId="37" xfId="0" applyFont="1" applyFill="1" applyBorder="1" applyProtection="1"/>
    <xf numFmtId="0" fontId="12" fillId="3" borderId="0" xfId="0" applyFont="1" applyFill="1" applyBorder="1" applyAlignment="1" applyProtection="1">
      <alignment vertical="center"/>
    </xf>
    <xf numFmtId="9" fontId="0" fillId="5" borderId="6" xfId="1" applyFont="1" applyFill="1" applyBorder="1" applyProtection="1">
      <protection locked="0"/>
    </xf>
    <xf numFmtId="0" fontId="7" fillId="5" borderId="6" xfId="0" applyFont="1" applyFill="1" applyBorder="1" applyAlignment="1" applyProtection="1">
      <alignment horizontal="center"/>
      <protection locked="0"/>
    </xf>
    <xf numFmtId="0" fontId="0" fillId="5" borderId="6" xfId="0" applyFill="1" applyBorder="1" applyAlignment="1" applyProtection="1">
      <alignment horizontal="center" vertical="center"/>
      <protection locked="0"/>
    </xf>
    <xf numFmtId="0" fontId="12" fillId="0" borderId="0" xfId="0" applyFont="1" applyProtection="1"/>
    <xf numFmtId="0" fontId="0" fillId="0" borderId="0" xfId="0" applyProtection="1"/>
    <xf numFmtId="0" fontId="12" fillId="0" borderId="33" xfId="0" applyFont="1" applyBorder="1" applyAlignment="1" applyProtection="1">
      <alignment horizontal="center" vertical="center"/>
    </xf>
    <xf numFmtId="0" fontId="0" fillId="0" borderId="30" xfId="0" applyBorder="1" applyAlignment="1" applyProtection="1">
      <alignment horizontal="center"/>
    </xf>
    <xf numFmtId="0" fontId="8" fillId="0" borderId="13" xfId="0" applyFont="1" applyBorder="1" applyProtection="1"/>
    <xf numFmtId="0" fontId="0" fillId="0" borderId="6" xfId="0" applyBorder="1" applyProtection="1"/>
    <xf numFmtId="0" fontId="0" fillId="2" borderId="6" xfId="0" applyFill="1" applyBorder="1" applyProtection="1"/>
    <xf numFmtId="0" fontId="0" fillId="0" borderId="7" xfId="0" applyBorder="1" applyProtection="1"/>
    <xf numFmtId="0" fontId="0" fillId="0" borderId="14" xfId="0" applyBorder="1" applyProtection="1"/>
    <xf numFmtId="0" fontId="0" fillId="0" borderId="5" xfId="0" applyBorder="1" applyProtection="1"/>
    <xf numFmtId="0" fontId="0" fillId="2" borderId="5" xfId="0" applyFill="1" applyBorder="1" applyProtection="1"/>
    <xf numFmtId="0" fontId="0" fillId="0" borderId="8" xfId="0" applyBorder="1" applyProtection="1"/>
    <xf numFmtId="0" fontId="12" fillId="0" borderId="21"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0" fillId="0" borderId="20" xfId="0" applyBorder="1" applyProtection="1"/>
    <xf numFmtId="2" fontId="0" fillId="2" borderId="29" xfId="0" applyNumberFormat="1" applyFill="1" applyBorder="1" applyAlignment="1" applyProtection="1">
      <alignment horizontal="right"/>
    </xf>
    <xf numFmtId="164" fontId="0" fillId="2" borderId="18" xfId="0" applyNumberFormat="1" applyFill="1" applyBorder="1" applyProtection="1"/>
    <xf numFmtId="0" fontId="9" fillId="0" borderId="0" xfId="0" applyFont="1" applyAlignment="1" applyProtection="1">
      <alignment horizontal="left"/>
    </xf>
    <xf numFmtId="0" fontId="0" fillId="0" borderId="13" xfId="0" applyBorder="1" applyProtection="1"/>
    <xf numFmtId="2" fontId="0" fillId="2" borderId="6" xfId="0" applyNumberFormat="1" applyFill="1" applyBorder="1" applyProtection="1"/>
    <xf numFmtId="164" fontId="0" fillId="2" borderId="7" xfId="0" applyNumberFormat="1" applyFill="1" applyBorder="1" applyProtection="1"/>
    <xf numFmtId="2" fontId="0" fillId="2" borderId="5" xfId="0" applyNumberFormat="1" applyFill="1" applyBorder="1" applyProtection="1"/>
    <xf numFmtId="164" fontId="0" fillId="2" borderId="8" xfId="0" applyNumberFormat="1" applyFill="1" applyBorder="1" applyProtection="1"/>
    <xf numFmtId="1" fontId="9" fillId="0" borderId="0" xfId="0" applyNumberFormat="1" applyFont="1" applyAlignment="1" applyProtection="1">
      <alignment horizontal="left"/>
    </xf>
    <xf numFmtId="0" fontId="0" fillId="0" borderId="19" xfId="0" applyBorder="1" applyAlignment="1" applyProtection="1">
      <alignment horizontal="center" vertical="center" wrapText="1"/>
    </xf>
    <xf numFmtId="1" fontId="0" fillId="2" borderId="18" xfId="0" applyNumberFormat="1" applyFill="1" applyBorder="1" applyProtection="1"/>
    <xf numFmtId="0" fontId="8" fillId="0" borderId="0" xfId="0" applyFont="1" applyAlignment="1" applyProtection="1">
      <alignment horizontal="left"/>
    </xf>
    <xf numFmtId="0" fontId="0" fillId="2" borderId="8" xfId="0" applyFill="1" applyBorder="1" applyAlignment="1" applyProtection="1">
      <alignment horizontal="right"/>
    </xf>
    <xf numFmtId="0" fontId="0" fillId="0" borderId="0" xfId="0" applyBorder="1" applyProtection="1"/>
    <xf numFmtId="0" fontId="0" fillId="0" borderId="0" xfId="0" applyFill="1" applyBorder="1" applyAlignment="1" applyProtection="1">
      <alignment horizontal="right"/>
    </xf>
    <xf numFmtId="0" fontId="0" fillId="0" borderId="21" xfId="0" applyBorder="1" applyAlignment="1" applyProtection="1">
      <alignment wrapText="1"/>
    </xf>
    <xf numFmtId="0" fontId="0" fillId="0" borderId="23" xfId="0" applyBorder="1" applyAlignment="1" applyProtection="1">
      <alignment wrapText="1"/>
    </xf>
    <xf numFmtId="0" fontId="0" fillId="0" borderId="24" xfId="0" applyBorder="1" applyProtection="1"/>
    <xf numFmtId="0" fontId="0" fillId="0" borderId="17" xfId="0" applyBorder="1" applyProtection="1"/>
    <xf numFmtId="0" fontId="0" fillId="0" borderId="29" xfId="0" applyBorder="1" applyAlignment="1" applyProtection="1">
      <alignment horizontal="center"/>
    </xf>
    <xf numFmtId="164" fontId="0" fillId="0" borderId="25" xfId="0" applyNumberFormat="1" applyBorder="1" applyProtection="1"/>
    <xf numFmtId="0" fontId="0" fillId="0" borderId="27" xfId="0" applyBorder="1" applyProtection="1"/>
    <xf numFmtId="0" fontId="0" fillId="0" borderId="25" xfId="0" applyBorder="1" applyProtection="1"/>
    <xf numFmtId="0" fontId="0" fillId="0" borderId="15" xfId="0" applyBorder="1" applyProtection="1"/>
    <xf numFmtId="0" fontId="0" fillId="0" borderId="6" xfId="0" applyBorder="1" applyAlignment="1" applyProtection="1">
      <alignment horizontal="center"/>
    </xf>
    <xf numFmtId="0" fontId="0" fillId="0" borderId="26" xfId="0" applyBorder="1" applyProtection="1"/>
    <xf numFmtId="0" fontId="0" fillId="0" borderId="16" xfId="0" applyBorder="1" applyProtection="1"/>
    <xf numFmtId="0" fontId="0" fillId="0" borderId="5" xfId="0" applyBorder="1" applyAlignment="1" applyProtection="1">
      <alignment horizontal="center"/>
    </xf>
    <xf numFmtId="164" fontId="0" fillId="0" borderId="26" xfId="0" applyNumberFormat="1" applyBorder="1" applyProtection="1"/>
    <xf numFmtId="0" fontId="0" fillId="0" borderId="28" xfId="0" applyBorder="1" applyProtection="1"/>
    <xf numFmtId="0" fontId="8" fillId="0" borderId="0" xfId="0" applyFont="1" applyProtection="1"/>
    <xf numFmtId="0" fontId="11" fillId="0" borderId="3" xfId="0" applyFont="1" applyBorder="1" applyAlignment="1" applyProtection="1">
      <alignment vertical="top" wrapText="1"/>
    </xf>
    <xf numFmtId="0" fontId="13" fillId="0" borderId="0" xfId="0" applyFont="1" applyBorder="1" applyAlignment="1" applyProtection="1">
      <alignment vertical="top" wrapText="1"/>
    </xf>
    <xf numFmtId="0" fontId="0" fillId="2" borderId="36" xfId="0" applyFill="1" applyBorder="1" applyProtection="1"/>
    <xf numFmtId="0" fontId="0" fillId="0" borderId="0" xfId="0" applyFill="1" applyBorder="1" applyProtection="1"/>
    <xf numFmtId="0" fontId="14" fillId="0" borderId="0" xfId="0" applyFont="1" applyAlignment="1" applyProtection="1">
      <alignment horizontal="left" inden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0" fillId="2" borderId="8" xfId="0" applyFill="1" applyBorder="1" applyProtection="1"/>
    <xf numFmtId="0" fontId="13" fillId="0" borderId="0" xfId="0" applyFont="1" applyAlignment="1" applyProtection="1">
      <alignment horizontal="left" indent="1"/>
    </xf>
    <xf numFmtId="0" fontId="0" fillId="0" borderId="0" xfId="0" applyFill="1" applyProtection="1"/>
    <xf numFmtId="0" fontId="0" fillId="0" borderId="0" xfId="0" applyAlignment="1" applyProtection="1">
      <alignment horizontal="right"/>
    </xf>
    <xf numFmtId="164" fontId="10" fillId="4" borderId="6" xfId="0" applyNumberFormat="1" applyFont="1" applyFill="1" applyBorder="1" applyProtection="1"/>
    <xf numFmtId="0" fontId="10" fillId="0" borderId="0" xfId="0" applyFont="1" applyProtection="1"/>
    <xf numFmtId="165" fontId="9" fillId="0" borderId="0" xfId="0" applyNumberFormat="1" applyFont="1" applyProtection="1"/>
    <xf numFmtId="9" fontId="10" fillId="4" borderId="6" xfId="0" applyNumberFormat="1" applyFont="1" applyFill="1" applyBorder="1" applyProtection="1"/>
    <xf numFmtId="0" fontId="8" fillId="0" borderId="0" xfId="0" applyFont="1" applyAlignment="1" applyProtection="1">
      <alignment horizontal="right"/>
    </xf>
    <xf numFmtId="2" fontId="0" fillId="0" borderId="0" xfId="0" applyNumberFormat="1" applyProtection="1"/>
    <xf numFmtId="0" fontId="8" fillId="0" borderId="0" xfId="0" applyFont="1" applyAlignment="1" applyProtection="1">
      <alignment horizontal="center" vertical="center" wrapText="1"/>
    </xf>
    <xf numFmtId="0" fontId="0" fillId="0" borderId="0" xfId="0" applyAlignment="1" applyProtection="1">
      <alignment horizontal="center" vertical="center" wrapText="1"/>
    </xf>
    <xf numFmtId="165" fontId="0" fillId="0" borderId="0" xfId="0" applyNumberFormat="1" applyProtection="1"/>
    <xf numFmtId="165" fontId="0" fillId="0" borderId="0" xfId="0" applyNumberFormat="1" applyFill="1" applyProtection="1"/>
    <xf numFmtId="167" fontId="0" fillId="0" borderId="0" xfId="0" applyNumberFormat="1" applyProtection="1"/>
    <xf numFmtId="0" fontId="7" fillId="0" borderId="0" xfId="0" applyFont="1" applyProtection="1"/>
    <xf numFmtId="0" fontId="7" fillId="3" borderId="0" xfId="0" applyFont="1" applyFill="1" applyProtection="1"/>
    <xf numFmtId="166" fontId="0" fillId="6" borderId="6" xfId="0" applyNumberFormat="1" applyFill="1" applyBorder="1" applyAlignment="1" applyProtection="1">
      <alignment horizontal="center" vertical="center"/>
    </xf>
    <xf numFmtId="0" fontId="11" fillId="0" borderId="0" xfId="0" applyFont="1" applyBorder="1" applyAlignment="1" applyProtection="1">
      <alignment vertical="top" wrapText="1"/>
    </xf>
    <xf numFmtId="0" fontId="12" fillId="0" borderId="33" xfId="0" applyFont="1" applyBorder="1" applyAlignment="1" applyProtection="1">
      <alignment vertical="center" wrapText="1"/>
    </xf>
    <xf numFmtId="0" fontId="12" fillId="0" borderId="21" xfId="0" applyFont="1" applyBorder="1" applyAlignment="1" applyProtection="1">
      <alignment vertical="center" wrapText="1"/>
    </xf>
    <xf numFmtId="0" fontId="3" fillId="0" borderId="0" xfId="7"/>
    <xf numFmtId="0" fontId="20" fillId="0" borderId="0" xfId="7" applyFont="1"/>
    <xf numFmtId="0" fontId="25" fillId="0" borderId="0" xfId="7" applyFont="1"/>
    <xf numFmtId="0" fontId="16" fillId="0" borderId="0" xfId="7" applyFont="1"/>
    <xf numFmtId="0" fontId="15" fillId="0" borderId="0" xfId="7" applyFont="1"/>
    <xf numFmtId="0" fontId="3" fillId="0" borderId="0" xfId="7" applyAlignment="1">
      <alignment horizontal="right"/>
    </xf>
    <xf numFmtId="0" fontId="22" fillId="0" borderId="0" xfId="7" applyFont="1"/>
    <xf numFmtId="0" fontId="18" fillId="0" borderId="0" xfId="7" applyFont="1"/>
    <xf numFmtId="0" fontId="19" fillId="0" borderId="0" xfId="7" applyFont="1"/>
    <xf numFmtId="0" fontId="21" fillId="0" borderId="0" xfId="7" applyFont="1"/>
    <xf numFmtId="0" fontId="15" fillId="0" borderId="25" xfId="7" applyFont="1" applyBorder="1"/>
    <xf numFmtId="165" fontId="15" fillId="0" borderId="41" xfId="7" applyNumberFormat="1" applyFont="1" applyBorder="1" applyAlignment="1">
      <alignment horizontal="right"/>
    </xf>
    <xf numFmtId="165" fontId="15" fillId="0" borderId="15" xfId="7" applyNumberFormat="1" applyFont="1" applyBorder="1"/>
    <xf numFmtId="0" fontId="15" fillId="0" borderId="41" xfId="7" applyFont="1" applyBorder="1"/>
    <xf numFmtId="0" fontId="15" fillId="0" borderId="41" xfId="7" applyFont="1" applyBorder="1" applyAlignment="1">
      <alignment horizontal="right"/>
    </xf>
    <xf numFmtId="167" fontId="15" fillId="0" borderId="15" xfId="7" applyNumberFormat="1" applyFont="1" applyBorder="1"/>
    <xf numFmtId="0" fontId="7" fillId="0" borderId="0" xfId="8" applyAlignment="1">
      <alignment horizontal="right"/>
    </xf>
    <xf numFmtId="165" fontId="7" fillId="0" borderId="0" xfId="8" applyNumberFormat="1"/>
    <xf numFmtId="0" fontId="11" fillId="0" borderId="0" xfId="8" applyFont="1" applyAlignment="1">
      <alignment vertical="top" wrapText="1"/>
    </xf>
    <xf numFmtId="0" fontId="27" fillId="0" borderId="0" xfId="8" applyFont="1" applyAlignment="1">
      <alignment horizontal="left" indent="1"/>
    </xf>
    <xf numFmtId="0" fontId="7" fillId="0" borderId="0" xfId="8"/>
    <xf numFmtId="0" fontId="7" fillId="0" borderId="0" xfId="8" applyAlignment="1">
      <alignment horizontal="left" indent="1"/>
    </xf>
    <xf numFmtId="0" fontId="17" fillId="0" borderId="32" xfId="8" applyFont="1" applyBorder="1" applyAlignment="1">
      <alignment horizontal="center" vertical="center" wrapText="1"/>
    </xf>
    <xf numFmtId="0" fontId="7" fillId="0" borderId="0" xfId="8" applyAlignment="1">
      <alignment vertical="center" wrapText="1"/>
    </xf>
    <xf numFmtId="0" fontId="7" fillId="0" borderId="13" xfId="8" applyBorder="1"/>
    <xf numFmtId="167" fontId="7" fillId="0" borderId="6" xfId="8" applyNumberFormat="1" applyBorder="1"/>
    <xf numFmtId="167" fontId="3" fillId="0" borderId="0" xfId="7" applyNumberFormat="1"/>
    <xf numFmtId="167" fontId="15" fillId="0" borderId="0" xfId="7" applyNumberFormat="1" applyFont="1"/>
    <xf numFmtId="165" fontId="7" fillId="0" borderId="0" xfId="8" applyNumberFormat="1" applyBorder="1"/>
    <xf numFmtId="0" fontId="3" fillId="0" borderId="0" xfId="7" applyBorder="1"/>
    <xf numFmtId="0" fontId="0" fillId="0" borderId="13" xfId="0" applyBorder="1"/>
    <xf numFmtId="167" fontId="0" fillId="0" borderId="6" xfId="0" applyNumberFormat="1" applyBorder="1"/>
    <xf numFmtId="165" fontId="0" fillId="0" borderId="7" xfId="0" applyNumberFormat="1" applyBorder="1"/>
    <xf numFmtId="0" fontId="0" fillId="0" borderId="14" xfId="0" applyBorder="1"/>
    <xf numFmtId="167" fontId="0" fillId="0" borderId="5" xfId="0" applyNumberFormat="1" applyBorder="1"/>
    <xf numFmtId="165" fontId="0" fillId="0" borderId="8" xfId="0" applyNumberFormat="1" applyBorder="1"/>
    <xf numFmtId="0" fontId="2" fillId="0" borderId="0" xfId="7" applyFont="1"/>
    <xf numFmtId="0" fontId="17" fillId="0" borderId="0" xfId="0" applyFont="1" applyBorder="1" applyAlignment="1">
      <alignment vertical="center" wrapText="1"/>
    </xf>
    <xf numFmtId="0" fontId="7" fillId="0" borderId="0" xfId="8" applyBorder="1"/>
    <xf numFmtId="0" fontId="7" fillId="0" borderId="0" xfId="8" applyFill="1" applyBorder="1"/>
    <xf numFmtId="0" fontId="7" fillId="0" borderId="47" xfId="8" applyBorder="1" applyAlignment="1">
      <alignment horizontal="right"/>
    </xf>
    <xf numFmtId="0" fontId="7" fillId="0" borderId="32" xfId="8" applyBorder="1"/>
    <xf numFmtId="167" fontId="7" fillId="0" borderId="31" xfId="8" applyNumberFormat="1" applyBorder="1"/>
    <xf numFmtId="165" fontId="7" fillId="0" borderId="34" xfId="8" applyNumberFormat="1" applyBorder="1"/>
    <xf numFmtId="165" fontId="7" fillId="0" borderId="7" xfId="8" applyNumberFormat="1" applyBorder="1"/>
    <xf numFmtId="0" fontId="7" fillId="3" borderId="5" xfId="0" applyFont="1" applyFill="1" applyBorder="1" applyAlignment="1" applyProtection="1">
      <alignment horizontal="right" vertical="center" wrapText="1"/>
    </xf>
    <xf numFmtId="166" fontId="0" fillId="6" borderId="5" xfId="0" applyNumberFormat="1" applyFill="1" applyBorder="1" applyAlignment="1" applyProtection="1">
      <alignment horizontal="center" vertical="center"/>
    </xf>
    <xf numFmtId="0" fontId="7" fillId="3" borderId="8" xfId="0" applyFont="1" applyFill="1" applyBorder="1" applyAlignment="1" applyProtection="1">
      <alignment vertical="center"/>
    </xf>
    <xf numFmtId="0" fontId="26" fillId="0" borderId="0" xfId="8" applyFont="1" applyBorder="1" applyAlignment="1">
      <alignment vertical="center" wrapText="1"/>
    </xf>
    <xf numFmtId="0" fontId="12" fillId="0" borderId="0" xfId="8" applyFont="1" applyBorder="1" applyAlignment="1">
      <alignment vertical="center" wrapText="1"/>
    </xf>
    <xf numFmtId="0" fontId="26" fillId="0" borderId="0" xfId="8" applyFont="1" applyFill="1" applyBorder="1" applyAlignment="1">
      <alignment vertical="center" wrapText="1"/>
    </xf>
    <xf numFmtId="0" fontId="3" fillId="0" borderId="0" xfId="7" applyFill="1"/>
    <xf numFmtId="165" fontId="28" fillId="0" borderId="0" xfId="8" applyNumberFormat="1" applyFont="1" applyFill="1" applyBorder="1" applyAlignment="1"/>
    <xf numFmtId="165" fontId="28" fillId="3" borderId="19" xfId="8" applyNumberFormat="1" applyFont="1" applyFill="1" applyBorder="1" applyAlignment="1">
      <alignment horizontal="center" vertical="center"/>
    </xf>
    <xf numFmtId="164" fontId="0" fillId="2" borderId="36" xfId="0" applyNumberFormat="1" applyFill="1" applyBorder="1" applyProtection="1"/>
    <xf numFmtId="0" fontId="26" fillId="0" borderId="34" xfId="8" applyFont="1" applyBorder="1" applyAlignment="1">
      <alignment horizontal="center" vertical="center" wrapText="1"/>
    </xf>
    <xf numFmtId="0" fontId="11" fillId="5" borderId="9" xfId="0" applyFont="1"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0" fillId="5" borderId="37" xfId="0" applyFill="1" applyBorder="1" applyAlignment="1" applyProtection="1">
      <alignment vertical="top" wrapText="1"/>
      <protection locked="0"/>
    </xf>
    <xf numFmtId="0" fontId="0" fillId="5" borderId="4"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7" fillId="5" borderId="10" xfId="0" applyFont="1" applyFill="1" applyBorder="1" applyAlignment="1" applyProtection="1">
      <alignment horizontal="center"/>
      <protection locked="0"/>
    </xf>
    <xf numFmtId="0" fontId="0" fillId="5" borderId="40" xfId="0" applyFill="1" applyBorder="1" applyAlignment="1" applyProtection="1">
      <alignment horizontal="center"/>
      <protection locked="0"/>
    </xf>
    <xf numFmtId="0" fontId="12" fillId="3" borderId="4" xfId="0" applyFont="1" applyFill="1" applyBorder="1" applyAlignment="1" applyProtection="1">
      <alignment horizontal="center"/>
    </xf>
    <xf numFmtId="0" fontId="12" fillId="3" borderId="38" xfId="0" applyFont="1" applyFill="1" applyBorder="1" applyAlignment="1" applyProtection="1">
      <alignment horizontal="center"/>
    </xf>
    <xf numFmtId="0" fontId="12" fillId="3" borderId="39" xfId="0" applyFont="1" applyFill="1" applyBorder="1" applyAlignment="1" applyProtection="1">
      <alignment horizontal="center"/>
    </xf>
    <xf numFmtId="0" fontId="12" fillId="3" borderId="0" xfId="0" applyFont="1" applyFill="1" applyAlignment="1" applyProtection="1">
      <alignment horizontal="right"/>
    </xf>
    <xf numFmtId="0" fontId="12" fillId="3" borderId="37" xfId="0" applyFont="1" applyFill="1" applyBorder="1" applyAlignment="1" applyProtection="1">
      <alignment horizontal="right"/>
    </xf>
    <xf numFmtId="0" fontId="12" fillId="3" borderId="9" xfId="0" applyFont="1" applyFill="1" applyBorder="1" applyAlignment="1" applyProtection="1">
      <alignment horizontal="center"/>
    </xf>
    <xf numFmtId="0" fontId="12" fillId="3" borderId="1" xfId="0" applyFont="1" applyFill="1" applyBorder="1" applyAlignment="1" applyProtection="1">
      <alignment horizontal="center"/>
    </xf>
    <xf numFmtId="0" fontId="12" fillId="3" borderId="2" xfId="0" applyFont="1" applyFill="1" applyBorder="1" applyAlignment="1" applyProtection="1">
      <alignment horizontal="center"/>
    </xf>
    <xf numFmtId="0" fontId="12" fillId="3" borderId="3" xfId="0" applyFont="1" applyFill="1" applyBorder="1" applyAlignment="1" applyProtection="1">
      <alignment horizontal="center"/>
    </xf>
    <xf numFmtId="0" fontId="12" fillId="3" borderId="0" xfId="0" applyFont="1" applyFill="1" applyBorder="1" applyAlignment="1" applyProtection="1">
      <alignment horizontal="center"/>
    </xf>
    <xf numFmtId="0" fontId="12" fillId="3" borderId="37"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0" fillId="3" borderId="10" xfId="0" applyFill="1" applyBorder="1" applyAlignment="1" applyProtection="1">
      <alignment horizontal="center"/>
    </xf>
    <xf numFmtId="0" fontId="0" fillId="3" borderId="40" xfId="0" applyFill="1" applyBorder="1" applyAlignment="1" applyProtection="1">
      <alignment horizontal="center"/>
    </xf>
    <xf numFmtId="0" fontId="0" fillId="3" borderId="6"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vertical="center" wrapText="1"/>
    </xf>
    <xf numFmtId="0" fontId="0" fillId="3" borderId="7" xfId="0" applyFill="1" applyBorder="1" applyAlignment="1" applyProtection="1">
      <alignment vertical="center" wrapText="1"/>
    </xf>
    <xf numFmtId="0" fontId="12" fillId="0" borderId="33"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0" fillId="0" borderId="23" xfId="0" applyBorder="1" applyAlignment="1" applyProtection="1">
      <alignment horizontal="center" wrapText="1"/>
    </xf>
    <xf numFmtId="0" fontId="0" fillId="0" borderId="19" xfId="0" applyBorder="1" applyAlignment="1" applyProtection="1">
      <alignment horizontal="center" wrapText="1"/>
    </xf>
    <xf numFmtId="0" fontId="0" fillId="0" borderId="42" xfId="0" applyBorder="1" applyAlignment="1" applyProtection="1">
      <alignment horizontal="center" vertical="center" wrapText="1"/>
    </xf>
    <xf numFmtId="0" fontId="0" fillId="0" borderId="2" xfId="0" applyBorder="1" applyAlignment="1" applyProtection="1">
      <alignment horizontal="center" vertical="center" wrapText="1"/>
    </xf>
    <xf numFmtId="0" fontId="11" fillId="0" borderId="0" xfId="0" applyFont="1" applyBorder="1" applyAlignment="1" applyProtection="1">
      <alignment horizontal="left" vertical="center" wrapText="1" indent="1"/>
    </xf>
    <xf numFmtId="167" fontId="26" fillId="0" borderId="23" xfId="8" applyNumberFormat="1" applyFont="1" applyBorder="1" applyAlignment="1">
      <alignment horizontal="center" vertical="center" wrapText="1"/>
    </xf>
    <xf numFmtId="0" fontId="28" fillId="0" borderId="14" xfId="8" applyFont="1" applyFill="1" applyBorder="1" applyAlignment="1">
      <alignment horizontal="center"/>
    </xf>
    <xf numFmtId="0" fontId="28" fillId="0" borderId="5" xfId="8" applyFont="1" applyFill="1" applyBorder="1" applyAlignment="1">
      <alignment horizontal="center"/>
    </xf>
    <xf numFmtId="165" fontId="28" fillId="3" borderId="5" xfId="8" applyNumberFormat="1" applyFont="1" applyFill="1" applyBorder="1" applyAlignment="1">
      <alignment horizontal="center"/>
    </xf>
    <xf numFmtId="165" fontId="28" fillId="3" borderId="8" xfId="8" applyNumberFormat="1" applyFont="1" applyFill="1" applyBorder="1" applyAlignment="1">
      <alignment horizontal="center"/>
    </xf>
    <xf numFmtId="0" fontId="12" fillId="0" borderId="10" xfId="8" applyFont="1" applyBorder="1" applyAlignment="1">
      <alignment horizontal="center" vertical="center" wrapText="1"/>
    </xf>
    <xf numFmtId="0" fontId="12" fillId="0" borderId="11" xfId="8" applyFont="1" applyBorder="1" applyAlignment="1">
      <alignment horizontal="center" vertic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26" fillId="0" borderId="32" xfId="8" applyFont="1" applyBorder="1" applyAlignment="1">
      <alignment horizontal="center" vertical="center" wrapText="1"/>
    </xf>
    <xf numFmtId="0" fontId="26" fillId="0" borderId="31" xfId="8" applyFont="1" applyBorder="1" applyAlignment="1">
      <alignment horizontal="center" vertical="center" wrapText="1"/>
    </xf>
    <xf numFmtId="0" fontId="26" fillId="0" borderId="34" xfId="8" applyFont="1" applyBorder="1" applyAlignment="1">
      <alignment horizontal="center" vertical="center" wrapText="1"/>
    </xf>
    <xf numFmtId="1" fontId="26" fillId="0" borderId="47" xfId="8" applyNumberFormat="1" applyFont="1" applyBorder="1" applyAlignment="1">
      <alignment horizontal="center" vertical="center" wrapText="1"/>
    </xf>
    <xf numFmtId="1" fontId="26" fillId="0" borderId="22" xfId="8" applyNumberFormat="1" applyFont="1" applyBorder="1" applyAlignment="1">
      <alignment horizontal="center" vertical="center" wrapText="1"/>
    </xf>
    <xf numFmtId="167" fontId="26" fillId="0" borderId="22" xfId="8" applyNumberFormat="1" applyFont="1" applyBorder="1" applyAlignment="1">
      <alignment horizontal="center" vertical="center" wrapText="1"/>
    </xf>
    <xf numFmtId="0" fontId="1" fillId="0" borderId="50" xfId="7" applyFont="1" applyBorder="1" applyAlignment="1">
      <alignment horizontal="center" vertical="center"/>
    </xf>
    <xf numFmtId="0" fontId="3" fillId="0" borderId="49" xfId="7" applyBorder="1" applyAlignment="1">
      <alignment horizontal="center" vertical="center"/>
    </xf>
    <xf numFmtId="164" fontId="28" fillId="0" borderId="53" xfId="8" applyNumberFormat="1" applyFont="1" applyBorder="1" applyAlignment="1">
      <alignment horizontal="center" vertical="center" wrapText="1"/>
    </xf>
    <xf numFmtId="164" fontId="28" fillId="0" borderId="23" xfId="8" applyNumberFormat="1" applyFont="1" applyBorder="1" applyAlignment="1">
      <alignment horizontal="center" vertical="center" wrapText="1"/>
    </xf>
    <xf numFmtId="167" fontId="26" fillId="0" borderId="52" xfId="8" applyNumberFormat="1" applyFont="1" applyBorder="1" applyAlignment="1">
      <alignment horizontal="center" vertical="center" wrapText="1"/>
    </xf>
    <xf numFmtId="167" fontId="26" fillId="0" borderId="51" xfId="8" applyNumberFormat="1" applyFont="1" applyBorder="1" applyAlignment="1">
      <alignment horizontal="center" vertical="center" wrapText="1"/>
    </xf>
    <xf numFmtId="1" fontId="26" fillId="0" borderId="3" xfId="8" applyNumberFormat="1" applyFont="1" applyBorder="1" applyAlignment="1">
      <alignment horizontal="center" vertical="center" wrapText="1"/>
    </xf>
    <xf numFmtId="1" fontId="26" fillId="0" borderId="51" xfId="8" applyNumberFormat="1" applyFont="1" applyBorder="1" applyAlignment="1">
      <alignment horizontal="center" vertical="center" wrapText="1"/>
    </xf>
    <xf numFmtId="165" fontId="28" fillId="0" borderId="21" xfId="8" applyNumberFormat="1" applyFont="1" applyBorder="1" applyAlignment="1">
      <alignment horizontal="center"/>
    </xf>
    <xf numFmtId="165" fontId="28" fillId="0" borderId="19" xfId="8" applyNumberFormat="1" applyFont="1" applyBorder="1" applyAlignment="1">
      <alignment horizontal="center"/>
    </xf>
    <xf numFmtId="0" fontId="7" fillId="0" borderId="46" xfId="8" applyBorder="1" applyAlignment="1">
      <alignment horizontal="center" vertical="center" wrapText="1"/>
    </xf>
    <xf numFmtId="0" fontId="7" fillId="0" borderId="48" xfId="8" applyBorder="1" applyAlignment="1">
      <alignment horizontal="center" vertical="center" wrapText="1"/>
    </xf>
    <xf numFmtId="0" fontId="7" fillId="0" borderId="45" xfId="8" applyBorder="1" applyAlignment="1">
      <alignment horizontal="center" vertical="center" wrapText="1"/>
    </xf>
    <xf numFmtId="0" fontId="7" fillId="0" borderId="49" xfId="8" applyBorder="1" applyAlignment="1">
      <alignment horizontal="center" vertical="center" wrapText="1"/>
    </xf>
    <xf numFmtId="0" fontId="7" fillId="0" borderId="0" xfId="8" applyBorder="1" applyAlignment="1">
      <alignment horizontal="center" vertical="center" wrapText="1"/>
    </xf>
    <xf numFmtId="0" fontId="15" fillId="0" borderId="25" xfId="7" applyFont="1" applyBorder="1" applyAlignment="1">
      <alignment horizontal="right"/>
    </xf>
    <xf numFmtId="0" fontId="15" fillId="0" borderId="41" xfId="7" applyFont="1" applyBorder="1" applyAlignment="1">
      <alignment horizontal="right"/>
    </xf>
    <xf numFmtId="0" fontId="15" fillId="0" borderId="15" xfId="7" applyFont="1" applyBorder="1" applyAlignment="1">
      <alignment horizontal="right"/>
    </xf>
    <xf numFmtId="0" fontId="28" fillId="0" borderId="9" xfId="8" applyFont="1" applyBorder="1" applyAlignment="1">
      <alignment horizontal="center" vertical="center" wrapText="1"/>
    </xf>
    <xf numFmtId="0" fontId="28" fillId="0" borderId="2" xfId="8" applyFont="1" applyBorder="1" applyAlignment="1">
      <alignment horizontal="center" vertical="center" wrapText="1"/>
    </xf>
    <xf numFmtId="0" fontId="28" fillId="0" borderId="4" xfId="8" applyFont="1" applyBorder="1" applyAlignment="1">
      <alignment horizontal="center" vertical="center" wrapText="1"/>
    </xf>
    <xf numFmtId="0" fontId="28" fillId="0" borderId="39" xfId="8" applyFont="1" applyBorder="1" applyAlignment="1">
      <alignment horizontal="center" vertical="center" wrapText="1"/>
    </xf>
    <xf numFmtId="0" fontId="26" fillId="0" borderId="10" xfId="8" applyFont="1" applyBorder="1" applyAlignment="1">
      <alignment horizontal="center" vertical="center" wrapText="1"/>
    </xf>
    <xf numFmtId="0" fontId="26" fillId="0" borderId="40" xfId="8" applyFont="1" applyBorder="1" applyAlignment="1">
      <alignment horizontal="center" vertical="center" wrapText="1"/>
    </xf>
    <xf numFmtId="0" fontId="7" fillId="0" borderId="3" xfId="8" applyBorder="1" applyAlignment="1">
      <alignment horizontal="left" vertical="center" wrapText="1" indent="1"/>
    </xf>
    <xf numFmtId="0" fontId="7" fillId="0" borderId="0" xfId="8" applyAlignment="1">
      <alignment horizontal="left" vertical="center" wrapText="1" indent="1"/>
    </xf>
    <xf numFmtId="0" fontId="28" fillId="3" borderId="10" xfId="8" applyFont="1" applyFill="1" applyBorder="1" applyAlignment="1">
      <alignment horizontal="center"/>
    </xf>
    <xf numFmtId="0" fontId="28" fillId="3" borderId="40" xfId="8" applyFont="1" applyFill="1" applyBorder="1" applyAlignment="1">
      <alignment horizontal="center"/>
    </xf>
    <xf numFmtId="165" fontId="28" fillId="3" borderId="10" xfId="8" applyNumberFormat="1" applyFont="1" applyFill="1" applyBorder="1" applyAlignment="1">
      <alignment horizontal="center"/>
    </xf>
    <xf numFmtId="165" fontId="28" fillId="3" borderId="40" xfId="8" applyNumberFormat="1" applyFont="1" applyFill="1" applyBorder="1" applyAlignment="1">
      <alignment horizontal="center"/>
    </xf>
  </cellXfs>
  <cellStyles count="9">
    <cellStyle name="Normal" xfId="0" builtinId="0"/>
    <cellStyle name="Normal 2" xfId="2" xr:uid="{00000000-0005-0000-0000-000001000000}"/>
    <cellStyle name="Normal 2 2" xfId="5" xr:uid="{00000000-0005-0000-0000-000002000000}"/>
    <cellStyle name="Normal 3" xfId="3" xr:uid="{00000000-0005-0000-0000-000003000000}"/>
    <cellStyle name="Normal 3 2" xfId="6" xr:uid="{00000000-0005-0000-0000-000004000000}"/>
    <cellStyle name="Normal 3 3" xfId="7" xr:uid="{1222D5C0-4A94-4DA5-84A3-3260C002C6B0}"/>
    <cellStyle name="Normal 4" xfId="4" xr:uid="{00000000-0005-0000-0000-000005000000}"/>
    <cellStyle name="Normal 5" xfId="8" xr:uid="{6F4CE34B-00A5-42A2-A95D-E5215048D7DE}"/>
    <cellStyle name="Percent" xfId="1" builtinId="5"/>
  </cellStyles>
  <dxfs count="10">
    <dxf>
      <fill>
        <patternFill>
          <bgColor rgb="FFFF0000"/>
        </patternFill>
      </fill>
    </dxf>
    <dxf>
      <fill>
        <patternFill>
          <bgColor rgb="FFFF0000"/>
        </patternFill>
      </fill>
    </dxf>
    <dxf>
      <fill>
        <patternFill>
          <bgColor rgb="FF00B050"/>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s>
  <tableStyles count="0" defaultTableStyle="TableStyleMedium9"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c:ext xmlns:c16="http://schemas.microsoft.com/office/drawing/2014/chart" uri="{C3380CC4-5D6E-409C-BE32-E72D297353CC}">
              <c16:uniqueId val="{00000001-733D-4557-A3D2-A8542D9D5DFD}"/>
            </c:ext>
          </c:extLst>
        </c:ser>
        <c:ser>
          <c:idx val="1"/>
          <c:order val="1"/>
          <c:tx>
            <c:strRef>
              <c:f>'Carbon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c:ext xmlns:c16="http://schemas.microsoft.com/office/drawing/2014/chart" uri="{C3380CC4-5D6E-409C-BE32-E72D297353CC}">
              <c16:uniqueId val="{00000009-733D-4557-A3D2-A8542D9D5DFD}"/>
            </c:ext>
          </c:extLst>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Deficit Analyses'!$F$49:$F$50</c:f>
              <c:strCache>
                <c:ptCount val="2"/>
                <c:pt idx="0">
                  <c:v>Forest Thinnings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c:ext xmlns:c16="http://schemas.microsoft.com/office/drawing/2014/chart" uri="{C3380CC4-5D6E-409C-BE32-E72D297353CC}">
              <c16:uniqueId val="{00000000-C329-4B98-9969-816E38435B27}"/>
            </c:ext>
          </c:extLst>
        </c:ser>
        <c:ser>
          <c:idx val="0"/>
          <c:order val="1"/>
          <c:tx>
            <c:strRef>
              <c:f>'Carbon Deficit Analyses'!$E$49:$E$50</c:f>
              <c:strCache>
                <c:ptCount val="2"/>
                <c:pt idx="0">
                  <c:v>Forest Residues &amp; Salvage</c:v>
                </c:pt>
              </c:strCache>
            </c:strRef>
          </c:tx>
          <c:marker>
            <c:symbol val="none"/>
          </c:marker>
          <c:xVal>
            <c:numRef>
              <c:f>('Carbon Deficit Analyses'!$D$51,'Carbon Deficit Analyses'!$D$60,'Carbon Deficit Analyses'!$D$70,'Carbon Deficit Analyses'!$D$80,'Carbon Deficit Analyses'!$D$90,'Carbon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Deficit Analyses'!$E$51,'Carbon Deficit Analyses'!$E$60,'Carbon Deficit Analyses'!$E$70,'Carbon Deficit Analyses'!$E$80,'Carbon Deficit Analyses'!$E$90,'Carbon Deficit Analyses'!$E$100:$E$130)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c:ext xmlns:c16="http://schemas.microsoft.com/office/drawing/2014/chart" uri="{C3380CC4-5D6E-409C-BE32-E72D297353CC}">
              <c16:uniqueId val="{00000001-C329-4B98-9969-816E38435B27}"/>
            </c:ext>
          </c:extLst>
        </c:ser>
        <c:ser>
          <c:idx val="2"/>
          <c:order val="2"/>
          <c:tx>
            <c:strRef>
              <c:f>'Carbon Deficit Analyses'!$G$49:$G$50</c:f>
              <c:strCache>
                <c:ptCount val="2"/>
                <c:pt idx="0">
                  <c:v>Non-Forest Residues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c:ext xmlns:c16="http://schemas.microsoft.com/office/drawing/2014/chart" uri="{C3380CC4-5D6E-409C-BE32-E72D297353CC}">
              <c16:uniqueId val="{00000002-C329-4B98-9969-816E38435B27}"/>
            </c:ext>
          </c:extLst>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0</xdr:rowOff>
    </xdr:from>
    <xdr:to>
      <xdr:col>14</xdr:col>
      <xdr:colOff>0</xdr:colOff>
      <xdr:row>52</xdr:row>
      <xdr:rowOff>38099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0" y="158750"/>
          <a:ext cx="8039100" cy="813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 &amp;</a:t>
          </a:r>
          <a:r>
            <a:rPr lang="en-US" sz="1100" b="1" baseline="0"/>
            <a:t> 225 CMR 15.00</a:t>
          </a:r>
          <a:endParaRPr lang="en-US"/>
        </a:p>
        <a:p>
          <a:pPr algn="ctr"/>
          <a:r>
            <a:rPr lang="en-US" sz="1100" b="1"/>
            <a:t> </a:t>
          </a:r>
          <a:endParaRPr lang="en-US"/>
        </a:p>
        <a:p>
          <a:pPr algn="ctr"/>
          <a:r>
            <a:rPr lang="en-US" sz="1100" b="1"/>
            <a:t>Guideline on</a:t>
          </a:r>
          <a:r>
            <a:rPr lang="en-US" sz="1100" b="1" baseline="0"/>
            <a:t> Overall Efficiency and Lifecycle GHG Analysis</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Under 225 CMR 14.00 and</a:t>
          </a:r>
          <a:r>
            <a:rPr lang="en-US" sz="1100" baseline="0">
              <a:solidFill>
                <a:schemeClr val="dk1"/>
              </a:solidFill>
              <a:effectLst/>
              <a:latin typeface="+mn-lt"/>
              <a:ea typeface="+mn-ea"/>
              <a:cs typeface="+mn-cs"/>
            </a:rPr>
            <a:t> 225 CMR 15.00, any operator or owner of a Renewable Generation Unit (RGU) applying to the Department of Energy Resources (DOER), and utilizing Eligible Biomass Woody Fuel or Manufactured Biomass Fuel, must meet certain conditions pertaining to the Overall Efficiency of the Unit (as provided in 225 CMR 14.05(1)(a)7.c. and 225 CMR 15.05(1)(a)8.c.) and the Lifecycle Greenhouse Gas Emissions from the RGU (as provided in 225 CMR 14.05(1)(a)7.d. and 225 CMR 15.05(1)(a)8.d.).  This Guideline provides a set of worksheets to be used by the applicant to demonstrate that the RGU meets these two criteria, when applying to participate in the RPS program.</a:t>
          </a:r>
          <a:endParaRPr lang="en-US">
            <a:effectLst/>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Overall Efficiency</a:t>
          </a:r>
        </a:p>
        <a:p>
          <a:r>
            <a:rPr lang="en-US" sz="1100" u="none" baseline="0">
              <a:solidFill>
                <a:schemeClr val="dk1"/>
              </a:solidFill>
              <a:effectLst/>
              <a:latin typeface="+mn-lt"/>
              <a:ea typeface="+mn-ea"/>
              <a:cs typeface="+mn-cs"/>
            </a:rPr>
            <a:t>The applicant shall input required information about the RGU into the yellow shaded cells of the </a:t>
          </a:r>
          <a:r>
            <a:rPr lang="en-US" sz="1100" i="1" u="none" baseline="0">
              <a:solidFill>
                <a:schemeClr val="dk1"/>
              </a:solidFill>
              <a:effectLst/>
              <a:latin typeface="+mn-lt"/>
              <a:ea typeface="+mn-ea"/>
              <a:cs typeface="+mn-cs"/>
            </a:rPr>
            <a:t>Overall Efficiency - Annual </a:t>
          </a:r>
          <a:r>
            <a:rPr lang="en-US" sz="1100" i="0" u="none" baseline="0">
              <a:solidFill>
                <a:schemeClr val="dk1"/>
              </a:solidFill>
              <a:effectLst/>
              <a:latin typeface="+mn-lt"/>
              <a:ea typeface="+mn-ea"/>
              <a:cs typeface="+mn-cs"/>
            </a:rPr>
            <a:t>worksheet.  The applicant shall also enter additional descriptive information in the yellow shaded text cells, as necessary.  The applicant may provide further description under seperate cover, and DOER may request additional information to assist its review of the application.  Data are to be inputted into the worksheet based on the applicant's projected </a:t>
          </a:r>
          <a:r>
            <a:rPr lang="en-US" sz="1100" i="1" u="none" baseline="0">
              <a:solidFill>
                <a:schemeClr val="dk1"/>
              </a:solidFill>
              <a:effectLst/>
              <a:latin typeface="+mn-lt"/>
              <a:ea typeface="+mn-ea"/>
              <a:cs typeface="+mn-cs"/>
            </a:rPr>
            <a:t>annual</a:t>
          </a:r>
          <a:r>
            <a:rPr lang="en-US" sz="1100" i="0" u="none" baseline="0">
              <a:solidFill>
                <a:schemeClr val="dk1"/>
              </a:solidFill>
              <a:effectLst/>
              <a:latin typeface="+mn-lt"/>
              <a:ea typeface="+mn-ea"/>
              <a:cs typeface="+mn-cs"/>
            </a:rPr>
            <a:t> (one Calendar Year) system performance.  The worksheet is used to determine if an applicant meets the regulatory requirement for Overall Efficiency.</a:t>
          </a:r>
          <a:endParaRPr lang="en-US" sz="1100" u="none"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a:solidFill>
                <a:schemeClr val="dk1"/>
              </a:solidFill>
              <a:effectLst/>
              <a:latin typeface="+mn-lt"/>
              <a:ea typeface="+mn-ea"/>
              <a:cs typeface="+mn-cs"/>
            </a:rPr>
            <a:t>Lifecycle Greenhouse Gas Analysis</a:t>
          </a:r>
        </a:p>
        <a:p>
          <a:r>
            <a:rPr lang="en-US" sz="1100" i="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GHG Analysis</a:t>
          </a:r>
          <a:r>
            <a:rPr lang="en-US" sz="1100" i="0" baseline="0">
              <a:solidFill>
                <a:schemeClr val="dk1"/>
              </a:solidFill>
              <a:effectLst/>
              <a:latin typeface="+mn-lt"/>
              <a:ea typeface="+mn-ea"/>
              <a:cs typeface="+mn-cs"/>
            </a:rPr>
            <a:t> worksheet and its supporting worksheets are provided by DOER as a tool for the RGU to demonstrate that it meets the regulatory criterion of reducing lifecycle Greenhouse Gas Emissions by at least 50% over 20 years compared to a natural gas combined cycle electricity generation unit.</a:t>
          </a:r>
          <a:endParaRPr lang="en-US" sz="1100" u="none">
            <a:solidFill>
              <a:schemeClr val="dk1"/>
            </a:solidFill>
            <a:effectLst/>
            <a:latin typeface="+mn-lt"/>
            <a:ea typeface="+mn-ea"/>
            <a:cs typeface="+mn-cs"/>
          </a:endParaRPr>
        </a:p>
        <a:p>
          <a:endParaRPr lang="en-US" sz="1100" u="none">
            <a:solidFill>
              <a:schemeClr val="dk1"/>
            </a:solidFill>
            <a:effectLst/>
            <a:latin typeface="+mn-lt"/>
            <a:ea typeface="+mn-ea"/>
            <a:cs typeface="+mn-cs"/>
          </a:endParaRPr>
        </a:p>
        <a:p>
          <a:r>
            <a:rPr lang="en-US" sz="1100" u="none">
              <a:solidFill>
                <a:schemeClr val="dk1"/>
              </a:solidFill>
              <a:effectLst/>
              <a:latin typeface="+mn-lt"/>
              <a:ea typeface="+mn-ea"/>
              <a:cs typeface="+mn-cs"/>
            </a:rPr>
            <a:t>The applicant shall input</a:t>
          </a:r>
          <a:r>
            <a:rPr lang="en-US" sz="1100" u="none" baseline="0">
              <a:solidFill>
                <a:schemeClr val="dk1"/>
              </a:solidFill>
              <a:effectLst/>
              <a:latin typeface="+mn-lt"/>
              <a:ea typeface="+mn-ea"/>
              <a:cs typeface="+mn-cs"/>
            </a:rPr>
            <a:t> required information about the RGU into the yellow shaded cells of the </a:t>
          </a:r>
          <a:r>
            <a:rPr lang="en-US" sz="1100" i="1" u="none" baseline="0">
              <a:solidFill>
                <a:schemeClr val="dk1"/>
              </a:solidFill>
              <a:effectLst/>
              <a:latin typeface="+mn-lt"/>
              <a:ea typeface="+mn-ea"/>
              <a:cs typeface="+mn-cs"/>
            </a:rPr>
            <a:t>GHG Analysis </a:t>
          </a:r>
          <a:r>
            <a:rPr lang="en-US" sz="1100" i="0" u="none" baseline="0">
              <a:solidFill>
                <a:schemeClr val="dk1"/>
              </a:solidFill>
              <a:effectLst/>
              <a:latin typeface="+mn-lt"/>
              <a:ea typeface="+mn-ea"/>
              <a:cs typeface="+mn-cs"/>
            </a:rPr>
            <a:t>worksheet.  The applicant shall also enter additional descriptive information in the yellow shaded text cell, if the standard assumption for the thermal boiler efficiency is not used. Other cells will be automatically completed as calculations based on data from other supporting worksheets.  </a:t>
          </a:r>
        </a:p>
        <a:p>
          <a:endParaRPr lang="en-US" sz="1100" i="0" u="none" baseline="0">
            <a:solidFill>
              <a:schemeClr val="dk1"/>
            </a:solidFill>
            <a:effectLst/>
            <a:latin typeface="+mn-lt"/>
            <a:ea typeface="+mn-ea"/>
            <a:cs typeface="+mn-cs"/>
          </a:endParaRPr>
        </a:p>
        <a:p>
          <a:r>
            <a:rPr lang="en-US" sz="1100" i="0" baseline="0">
              <a:solidFill>
                <a:schemeClr val="dk1"/>
              </a:solidFill>
              <a:effectLst/>
              <a:latin typeface="+mn-lt"/>
              <a:ea typeface="+mn-ea"/>
              <a:cs typeface="+mn-cs"/>
            </a:rPr>
            <a:t>Applicants who wish to utilize parameter values different than those used in this template may propose alternative asssumptions, with justification and full documentation of methodology, to DOER for approval.  DOER will consult with MassDEP on any alternative approaches.  Such analysis must be deemed complete, acceptable to DOER, and in compliance with the efficiency and lifecycle greenhouse gas emission requirements of the regulation.  If an alternative to this template is provided, the applicant must also submit a </a:t>
          </a:r>
          <a:r>
            <a:rPr lang="en-US" sz="1100" i="1" baseline="0">
              <a:solidFill>
                <a:schemeClr val="dk1"/>
              </a:solidFill>
              <a:effectLst/>
              <a:latin typeface="+mn-lt"/>
              <a:ea typeface="+mn-ea"/>
              <a:cs typeface="+mn-cs"/>
            </a:rPr>
            <a:t>GHG Analysis, </a:t>
          </a:r>
          <a:r>
            <a:rPr lang="en-US" sz="1100" i="0" baseline="0">
              <a:solidFill>
                <a:schemeClr val="dk1"/>
              </a:solidFill>
              <a:effectLst/>
              <a:latin typeface="+mn-lt"/>
              <a:ea typeface="+mn-ea"/>
              <a:cs typeface="+mn-cs"/>
            </a:rPr>
            <a:t>completed as much as possible, to DOER.  Additionally, an applicant must submit documentation explaining the limitations of the methodology and how they are addressed in the applicant's alternative analysis.</a:t>
          </a:r>
        </a:p>
        <a:p>
          <a:endParaRPr lang="en-US" sz="1100" i="0" u="none" baseline="0">
            <a:solidFill>
              <a:schemeClr val="dk1"/>
            </a:solidFill>
            <a:effectLst/>
            <a:latin typeface="+mn-lt"/>
            <a:ea typeface="+mn-ea"/>
            <a:cs typeface="+mn-cs"/>
          </a:endParaRPr>
        </a:p>
        <a:p>
          <a:r>
            <a:rPr lang="en-US" sz="1100" i="0" u="none" baseline="0">
              <a:solidFill>
                <a:schemeClr val="dk1"/>
              </a:solidFill>
              <a:effectLst/>
              <a:latin typeface="+mn-lt"/>
              <a:ea typeface="+mn-ea"/>
              <a:cs typeface="+mn-cs"/>
            </a:rPr>
            <a:t>If DOER, in consultation with MassDEP, deems that a project sufficiently departs from the standard design and operation of a biomass RGU as provided in this tool, DOER may require the applicant to utilize this tool with different assumptions or parameters,  or submit an independent analysis to the satisfaction of DOER.</a:t>
          </a:r>
          <a:r>
            <a:rPr lang="en-US" sz="1100">
              <a:solidFill>
                <a:schemeClr val="dk1"/>
              </a:solidFill>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276412</xdr:colOff>
      <xdr:row>26</xdr:row>
      <xdr:rowOff>164650</xdr:rowOff>
    </xdr:to>
    <xdr:graphicFrame macro="">
      <xdr:nvGraphicFramePr>
        <xdr:cNvPr id="2" name="Chart 1">
          <a:extLst>
            <a:ext uri="{FF2B5EF4-FFF2-40B4-BE49-F238E27FC236}">
              <a16:creationId xmlns:a16="http://schemas.microsoft.com/office/drawing/2014/main" id="{AEAB801E-706E-4979-898F-6ADB0F95B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620060</xdr:colOff>
      <xdr:row>53</xdr:row>
      <xdr:rowOff>14941</xdr:rowOff>
    </xdr:from>
    <xdr:to>
      <xdr:col>19</xdr:col>
      <xdr:colOff>211312</xdr:colOff>
      <xdr:row>79</xdr:row>
      <xdr:rowOff>4537</xdr:rowOff>
    </xdr:to>
    <xdr:graphicFrame macro="">
      <xdr:nvGraphicFramePr>
        <xdr:cNvPr id="3" name="Chart 2">
          <a:extLst>
            <a:ext uri="{FF2B5EF4-FFF2-40B4-BE49-F238E27FC236}">
              <a16:creationId xmlns:a16="http://schemas.microsoft.com/office/drawing/2014/main" id="{8DD190B8-0A91-4BA5-8B34-E3EA8DA3B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NE-Saltonstall-WKGRP\Tm-AltTech\Rulemakings\RPS%20Class%20I\2019%20Regulatory%20Review\Analysis\Biomass%20Technical%20Analysis\Task%20C\Guideline%20on%20Overall%20Efficiency%20and%20GHG%20Analysis%2030%20Years,%20Expanded%20Feedstock%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Efficiency - Annual"/>
      <sheetName val="GHG Analysis"/>
      <sheetName val="Parameters"/>
      <sheetName val="Positive GHG Analysis"/>
      <sheetName val="GHG Model - Forest Residues"/>
      <sheetName val="GHG Model - Non Forest Residues"/>
      <sheetName val="GHG Model - Forest Salvage"/>
      <sheetName val="GHG Model - Forest Thinnings"/>
      <sheetName val="Carbon Deficit Analyses"/>
    </sheetNames>
    <sheetDataSet>
      <sheetData sheetId="0"/>
      <sheetData sheetId="1"/>
      <sheetData sheetId="2"/>
      <sheetData sheetId="3">
        <row r="5">
          <cell r="B5" t="str">
            <v>Bio-Oil</v>
          </cell>
          <cell r="C5" t="str">
            <v>gallons</v>
          </cell>
          <cell r="D5">
            <v>71200</v>
          </cell>
          <cell r="E5" t="str">
            <v>BTU/gal</v>
          </cell>
        </row>
        <row r="6">
          <cell r="B6" t="str">
            <v>Wood Chips (dry)</v>
          </cell>
          <cell r="C6" t="str">
            <v>dry tons</v>
          </cell>
          <cell r="D6">
            <v>6800</v>
          </cell>
          <cell r="E6" t="str">
            <v>BTU/lb</v>
          </cell>
        </row>
        <row r="7">
          <cell r="B7" t="str">
            <v>Wood Chips (green)</v>
          </cell>
          <cell r="C7" t="str">
            <v>green tons</v>
          </cell>
          <cell r="D7">
            <v>4250</v>
          </cell>
          <cell r="E7" t="str">
            <v>BTU/lb</v>
          </cell>
        </row>
        <row r="8">
          <cell r="B8" t="str">
            <v>Wood Pellets</v>
          </cell>
          <cell r="C8" t="str">
            <v>dry tons</v>
          </cell>
          <cell r="D8">
            <v>8000</v>
          </cell>
          <cell r="E8" t="str">
            <v>BTU/lb</v>
          </cell>
        </row>
        <row r="13">
          <cell r="B13" t="str">
            <v>Fuel Oil #2</v>
          </cell>
        </row>
        <row r="14">
          <cell r="B14" t="str">
            <v>Fuel Oil #6</v>
          </cell>
        </row>
        <row r="15">
          <cell r="B15" t="str">
            <v>Natural Gas</v>
          </cell>
        </row>
        <row r="16">
          <cell r="B16" t="str">
            <v>Natural Gas, new</v>
          </cell>
        </row>
        <row r="17">
          <cell r="B17" t="str">
            <v>Propane</v>
          </cell>
        </row>
        <row r="21">
          <cell r="B21" t="str">
            <v>Natural Gas - Combined Cycle</v>
          </cell>
        </row>
        <row r="22">
          <cell r="B22" t="str">
            <v>Other</v>
          </cell>
        </row>
      </sheetData>
      <sheetData sheetId="4"/>
      <sheetData sheetId="5"/>
      <sheetData sheetId="6"/>
      <sheetData sheetId="7"/>
      <sheetData sheetId="8"/>
      <sheetData sheetId="9">
        <row r="28">
          <cell r="E2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heetViews>
  <sheetFormatPr defaultColWidth="8.85546875" defaultRowHeight="12.75" x14ac:dyDescent="0.2"/>
  <cols>
    <col min="1" max="1" width="3.140625" style="1" customWidth="1"/>
    <col min="2" max="16384" width="8.85546875" style="1"/>
  </cols>
  <sheetData/>
  <sheetProtection algorithmName="SHA-512" hashValue="e4VhUNVbMe3AIVBloxRC0AhGl0JmGHjlADLhOf/V/wDcef4ZgqNmeX/uHSgjH1ZC97zuz2vLTbMLlgxerTeHRQ==" saltValue="r02j/7qLyTyJyrQNRJE+T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B1:K39"/>
  <sheetViews>
    <sheetView zoomScaleNormal="100" workbookViewId="0"/>
  </sheetViews>
  <sheetFormatPr defaultColWidth="9.140625" defaultRowHeight="12.75" x14ac:dyDescent="0.2"/>
  <cols>
    <col min="1" max="1" width="2.42578125" style="1" customWidth="1"/>
    <col min="2" max="2" width="4.28515625" style="1" customWidth="1"/>
    <col min="3" max="3" width="9.7109375" style="1" customWidth="1"/>
    <col min="4" max="4" width="32.42578125" style="1" customWidth="1"/>
    <col min="5" max="5" width="28.5703125" style="1" customWidth="1"/>
    <col min="6" max="6" width="24.7109375" style="1" customWidth="1"/>
    <col min="7" max="7" width="3.28515625" style="1" customWidth="1"/>
    <col min="8" max="16384" width="9.140625" style="1"/>
  </cols>
  <sheetData>
    <row r="1" spans="2:8" ht="13.5" thickBot="1" x14ac:dyDescent="0.25"/>
    <row r="2" spans="2:8" x14ac:dyDescent="0.2">
      <c r="B2" s="6"/>
      <c r="C2" s="208" t="s">
        <v>64</v>
      </c>
      <c r="D2" s="209"/>
      <c r="E2" s="209"/>
      <c r="F2" s="210"/>
    </row>
    <row r="3" spans="2:8" x14ac:dyDescent="0.2">
      <c r="B3" s="6"/>
      <c r="C3" s="211" t="s">
        <v>172</v>
      </c>
      <c r="D3" s="212"/>
      <c r="E3" s="212"/>
      <c r="F3" s="213"/>
    </row>
    <row r="4" spans="2:8" x14ac:dyDescent="0.2">
      <c r="B4" s="6"/>
      <c r="C4" s="211"/>
      <c r="D4" s="212"/>
      <c r="E4" s="212"/>
      <c r="F4" s="213"/>
    </row>
    <row r="5" spans="2:8" x14ac:dyDescent="0.2">
      <c r="B5" s="6"/>
      <c r="C5" s="211" t="s">
        <v>97</v>
      </c>
      <c r="D5" s="212"/>
      <c r="E5" s="212"/>
      <c r="F5" s="213"/>
    </row>
    <row r="6" spans="2:8" ht="13.5" thickBot="1" x14ac:dyDescent="0.25">
      <c r="B6" s="6"/>
      <c r="C6" s="203" t="s">
        <v>101</v>
      </c>
      <c r="D6" s="204"/>
      <c r="E6" s="204"/>
      <c r="F6" s="205"/>
    </row>
    <row r="7" spans="2:8" x14ac:dyDescent="0.2">
      <c r="F7" s="131"/>
    </row>
    <row r="9" spans="2:8" ht="13.5" thickBot="1" x14ac:dyDescent="0.25">
      <c r="H9" s="7" t="s">
        <v>59</v>
      </c>
    </row>
    <row r="10" spans="2:8" ht="13.5" thickBot="1" x14ac:dyDescent="0.25">
      <c r="B10" s="206" t="s">
        <v>94</v>
      </c>
      <c r="C10" s="206"/>
      <c r="D10" s="207"/>
      <c r="E10" s="201"/>
      <c r="F10" s="202"/>
      <c r="H10" s="8" t="s">
        <v>60</v>
      </c>
    </row>
    <row r="11" spans="2:8" x14ac:dyDescent="0.2">
      <c r="H11" s="9"/>
    </row>
    <row r="12" spans="2:8" x14ac:dyDescent="0.2">
      <c r="B12" s="10" t="s">
        <v>8</v>
      </c>
    </row>
    <row r="13" spans="2:8" ht="13.5" thickBot="1" x14ac:dyDescent="0.25"/>
    <row r="14" spans="2:8" x14ac:dyDescent="0.2">
      <c r="C14" s="11" t="s">
        <v>9</v>
      </c>
      <c r="D14" s="12"/>
      <c r="E14" s="12"/>
      <c r="F14" s="13"/>
      <c r="G14" s="14"/>
    </row>
    <row r="15" spans="2:8" x14ac:dyDescent="0.2">
      <c r="C15" s="15"/>
      <c r="D15" s="16" t="s">
        <v>38</v>
      </c>
      <c r="E15" s="3"/>
      <c r="F15" s="17" t="s">
        <v>141</v>
      </c>
      <c r="G15" s="14"/>
    </row>
    <row r="16" spans="2:8" x14ac:dyDescent="0.2">
      <c r="C16" s="15"/>
      <c r="D16" s="16" t="s">
        <v>11</v>
      </c>
      <c r="E16" s="18" t="str">
        <f>IFERROR(VLOOKUP(E15,BiomassHeatValues,3),"-")</f>
        <v>-</v>
      </c>
      <c r="F16" s="19" t="str">
        <f>IFERROR(VLOOKUP(E15,BiomassHeatValues,4),"-")</f>
        <v>-</v>
      </c>
      <c r="G16" s="14"/>
    </row>
    <row r="17" spans="3:11" ht="13.5" thickBot="1" x14ac:dyDescent="0.25">
      <c r="C17" s="20"/>
      <c r="D17" s="21" t="s">
        <v>160</v>
      </c>
      <c r="E17" s="4"/>
      <c r="F17" s="22" t="str">
        <f>IFERROR(VLOOKUP(E15,BiomassHeatValues,2),"-")</f>
        <v>-</v>
      </c>
      <c r="G17" s="14"/>
    </row>
    <row r="18" spans="3:11" ht="13.5" thickBot="1" x14ac:dyDescent="0.25"/>
    <row r="19" spans="3:11" ht="13.5" thickBot="1" x14ac:dyDescent="0.25">
      <c r="C19" s="11" t="s">
        <v>13</v>
      </c>
      <c r="D19" s="12"/>
      <c r="E19" s="12"/>
      <c r="F19" s="13"/>
    </row>
    <row r="20" spans="3:11" x14ac:dyDescent="0.2">
      <c r="C20" s="15"/>
      <c r="D20" s="16" t="s">
        <v>30</v>
      </c>
      <c r="E20" s="14"/>
      <c r="F20" s="23"/>
      <c r="H20" s="192" t="s">
        <v>66</v>
      </c>
      <c r="I20" s="193"/>
      <c r="J20" s="193"/>
      <c r="K20" s="194"/>
    </row>
    <row r="21" spans="3:11" x14ac:dyDescent="0.2">
      <c r="C21" s="15"/>
      <c r="D21" s="24" t="s">
        <v>157</v>
      </c>
      <c r="E21" s="5"/>
      <c r="F21" s="25" t="s">
        <v>156</v>
      </c>
      <c r="H21" s="195"/>
      <c r="I21" s="196"/>
      <c r="J21" s="196"/>
      <c r="K21" s="197"/>
    </row>
    <row r="22" spans="3:11" x14ac:dyDescent="0.2">
      <c r="C22" s="15"/>
      <c r="D22" s="24" t="s">
        <v>14</v>
      </c>
      <c r="E22" s="5"/>
      <c r="F22" s="25" t="s">
        <v>156</v>
      </c>
      <c r="H22" s="195"/>
      <c r="I22" s="196"/>
      <c r="J22" s="196"/>
      <c r="K22" s="197"/>
    </row>
    <row r="23" spans="3:11" ht="13.5" thickBot="1" x14ac:dyDescent="0.25">
      <c r="C23" s="15"/>
      <c r="D23" s="16" t="s">
        <v>16</v>
      </c>
      <c r="E23" s="26" t="s">
        <v>61</v>
      </c>
      <c r="F23" s="27"/>
      <c r="H23" s="198"/>
      <c r="I23" s="199"/>
      <c r="J23" s="199"/>
      <c r="K23" s="200"/>
    </row>
    <row r="24" spans="3:11" ht="13.5" thickBot="1" x14ac:dyDescent="0.25">
      <c r="C24" s="20"/>
      <c r="D24" s="28" t="s">
        <v>17</v>
      </c>
      <c r="E24" s="4"/>
      <c r="F24" s="29" t="s">
        <v>159</v>
      </c>
    </row>
    <row r="25" spans="3:11" ht="13.5" thickBot="1" x14ac:dyDescent="0.25"/>
    <row r="26" spans="3:11" x14ac:dyDescent="0.2">
      <c r="C26" s="11" t="s">
        <v>98</v>
      </c>
      <c r="D26" s="12"/>
      <c r="E26" s="12"/>
      <c r="F26" s="13"/>
      <c r="H26" s="192" t="s">
        <v>62</v>
      </c>
      <c r="I26" s="193"/>
      <c r="J26" s="193"/>
      <c r="K26" s="194"/>
    </row>
    <row r="27" spans="3:11" x14ac:dyDescent="0.2">
      <c r="C27" s="15"/>
      <c r="D27" s="16" t="s">
        <v>24</v>
      </c>
      <c r="E27" s="26" t="s">
        <v>63</v>
      </c>
      <c r="F27" s="23"/>
      <c r="H27" s="195"/>
      <c r="I27" s="196"/>
      <c r="J27" s="196"/>
      <c r="K27" s="197"/>
    </row>
    <row r="28" spans="3:11" x14ac:dyDescent="0.2">
      <c r="C28" s="15"/>
      <c r="D28" s="16" t="s">
        <v>23</v>
      </c>
      <c r="E28" s="2"/>
      <c r="F28" s="27" t="s">
        <v>70</v>
      </c>
      <c r="H28" s="195"/>
      <c r="I28" s="196"/>
      <c r="J28" s="196"/>
      <c r="K28" s="197"/>
    </row>
    <row r="29" spans="3:11" ht="13.5" thickBot="1" x14ac:dyDescent="0.25">
      <c r="C29" s="20"/>
      <c r="D29" s="28" t="s">
        <v>25</v>
      </c>
      <c r="E29" s="4"/>
      <c r="F29" s="30" t="s">
        <v>26</v>
      </c>
      <c r="H29" s="198"/>
      <c r="I29" s="199"/>
      <c r="J29" s="199"/>
      <c r="K29" s="200"/>
    </row>
    <row r="31" spans="3:11" ht="13.5" thickBot="1" x14ac:dyDescent="0.25"/>
    <row r="32" spans="3:11" x14ac:dyDescent="0.2">
      <c r="C32" s="11" t="s">
        <v>27</v>
      </c>
      <c r="D32" s="12"/>
      <c r="E32" s="12"/>
      <c r="F32" s="13"/>
    </row>
    <row r="33" spans="3:8" x14ac:dyDescent="0.2">
      <c r="C33" s="15"/>
      <c r="D33" s="16" t="s">
        <v>28</v>
      </c>
      <c r="E33" s="31" t="str">
        <f>IFERROR(IF(F16="BTU/lb",E16*E17*2000/3412000,E16*E17/3412000),"-")</f>
        <v>-</v>
      </c>
      <c r="F33" s="27" t="s">
        <v>29</v>
      </c>
    </row>
    <row r="34" spans="3:8" x14ac:dyDescent="0.2">
      <c r="C34" s="15"/>
      <c r="D34" s="16" t="s">
        <v>31</v>
      </c>
      <c r="E34" s="31">
        <f>E21</f>
        <v>0</v>
      </c>
      <c r="F34" s="27" t="s">
        <v>33</v>
      </c>
    </row>
    <row r="35" spans="3:8" x14ac:dyDescent="0.2">
      <c r="C35" s="15"/>
      <c r="D35" s="16" t="s">
        <v>32</v>
      </c>
      <c r="E35" s="31">
        <f>E22</f>
        <v>0</v>
      </c>
      <c r="F35" s="27" t="s">
        <v>33</v>
      </c>
    </row>
    <row r="36" spans="3:8" x14ac:dyDescent="0.2">
      <c r="C36" s="15"/>
      <c r="D36" s="16" t="s">
        <v>34</v>
      </c>
      <c r="E36" s="31">
        <f>E24*1000/3412</f>
        <v>0</v>
      </c>
      <c r="F36" s="27" t="s">
        <v>35</v>
      </c>
    </row>
    <row r="37" spans="3:8" ht="13.5" thickBot="1" x14ac:dyDescent="0.25">
      <c r="C37" s="20"/>
      <c r="D37" s="28" t="s">
        <v>22</v>
      </c>
      <c r="E37" s="32">
        <f>E28*E29/3412000</f>
        <v>0</v>
      </c>
      <c r="F37" s="30" t="s">
        <v>36</v>
      </c>
    </row>
    <row r="38" spans="3:8" ht="13.5" thickBot="1" x14ac:dyDescent="0.25"/>
    <row r="39" spans="3:8" ht="13.5" thickBot="1" x14ac:dyDescent="0.25">
      <c r="C39" s="33" t="s">
        <v>37</v>
      </c>
      <c r="D39" s="34"/>
      <c r="E39" s="35" t="str">
        <f>IFERROR((E34/(1-0.06)+E35+E36+E37)/E33,"-")</f>
        <v>-</v>
      </c>
      <c r="F39" s="36"/>
      <c r="H39" s="131"/>
    </row>
  </sheetData>
  <sheetProtection algorithmName="SHA-512" hashValue="msn9CmaKxzHhzEzUgAMu1UOrXlC0pmrIsV7r+XCylNp3saaH7wkzRgY18NajCFBfZ3ym1SrRoLIYSKZ2fOpQ6A==" saltValue="S61T76PnpLVuzTy2LLIW/A==" spinCount="100000" sheet="1" objects="1" scenarios="1"/>
  <protectedRanges>
    <protectedRange sqref="E10 E15 E17 E21:E22 E24 E28:E29 H20 H26"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6:K29"/>
    <mergeCell ref="E10:F10"/>
    <mergeCell ref="C6:F6"/>
    <mergeCell ref="B10:D10"/>
    <mergeCell ref="C2:F2"/>
    <mergeCell ref="C3:F3"/>
    <mergeCell ref="C4:F4"/>
    <mergeCell ref="C5:F5"/>
    <mergeCell ref="H20:K23"/>
  </mergeCells>
  <phoneticPr fontId="11" type="noConversion"/>
  <conditionalFormatting sqref="E34:E37">
    <cfRule type="cellIs" dxfId="9" priority="1" operator="equal">
      <formula>0</formula>
    </cfRule>
  </conditionalFormatting>
  <dataValidations count="3">
    <dataValidation type="list" allowBlank="1" showInputMessage="1" showErrorMessage="1" sqref="E15" xr:uid="{00000000-0002-0000-0100-000000000000}">
      <formula1>BiomassFuels</formula1>
    </dataValidation>
    <dataValidation type="whole" allowBlank="1" showInputMessage="1" showErrorMessage="1" sqref="E17 E24" xr:uid="{00000000-0002-0000-0100-000001000000}">
      <formula1>1</formula1>
      <formula2>1000000</formula2>
    </dataValidation>
    <dataValidation type="whole" allowBlank="1" showInputMessage="1" showErrorMessage="1" sqref="E28:E29 E21:E22" xr:uid="{00000000-0002-0000-0100-000002000000}">
      <formula1>0</formula1>
      <formula2>1000000</formula2>
    </dataValidation>
  </dataValidations>
  <pageMargins left="0.75" right="0.75" top="1" bottom="1" header="0.5" footer="0.5"/>
  <pageSetup orientation="portrait" horizontalDpi="200" verticalDpi="2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pageSetUpPr fitToPage="1"/>
  </sheetPr>
  <dimension ref="B1:O48"/>
  <sheetViews>
    <sheetView workbookViewId="0"/>
  </sheetViews>
  <sheetFormatPr defaultColWidth="9.140625" defaultRowHeight="12.75" x14ac:dyDescent="0.2"/>
  <cols>
    <col min="1" max="1" width="2.5703125" style="1" customWidth="1"/>
    <col min="2" max="2" width="5.42578125" style="1" customWidth="1"/>
    <col min="3" max="3" width="10.85546875" style="1" customWidth="1"/>
    <col min="4" max="4" width="27.140625" style="1" customWidth="1"/>
    <col min="5" max="5" width="28" style="1" customWidth="1"/>
    <col min="6" max="6" width="38.28515625" style="1" customWidth="1"/>
    <col min="7" max="7" width="2.5703125" style="1" customWidth="1"/>
    <col min="8" max="8" width="12" style="1" bestFit="1" customWidth="1"/>
    <col min="9" max="10" width="9.140625" style="1"/>
    <col min="11" max="11" width="9.85546875" style="1" customWidth="1"/>
    <col min="12" max="16384" width="9.140625" style="1"/>
  </cols>
  <sheetData>
    <row r="1" spans="2:8" ht="13.5" thickBot="1" x14ac:dyDescent="0.25"/>
    <row r="2" spans="2:8" x14ac:dyDescent="0.2">
      <c r="C2" s="208" t="s">
        <v>64</v>
      </c>
      <c r="D2" s="209"/>
      <c r="E2" s="209"/>
      <c r="F2" s="210"/>
      <c r="G2" s="6"/>
    </row>
    <row r="3" spans="2:8" x14ac:dyDescent="0.2">
      <c r="C3" s="211" t="s">
        <v>172</v>
      </c>
      <c r="D3" s="212"/>
      <c r="E3" s="212"/>
      <c r="F3" s="213"/>
      <c r="G3" s="6"/>
    </row>
    <row r="4" spans="2:8" x14ac:dyDescent="0.2">
      <c r="C4" s="211"/>
      <c r="D4" s="212"/>
      <c r="E4" s="212"/>
      <c r="F4" s="213"/>
      <c r="G4" s="6"/>
    </row>
    <row r="5" spans="2:8" x14ac:dyDescent="0.2">
      <c r="C5" s="211" t="s">
        <v>97</v>
      </c>
      <c r="D5" s="212"/>
      <c r="E5" s="212"/>
      <c r="F5" s="213"/>
      <c r="G5" s="6"/>
    </row>
    <row r="6" spans="2:8" ht="13.5" thickBot="1" x14ac:dyDescent="0.25">
      <c r="C6" s="203" t="s">
        <v>65</v>
      </c>
      <c r="D6" s="204"/>
      <c r="E6" s="204"/>
      <c r="F6" s="205"/>
      <c r="G6" s="6"/>
    </row>
    <row r="8" spans="2:8" x14ac:dyDescent="0.2">
      <c r="H8" s="7" t="s">
        <v>59</v>
      </c>
    </row>
    <row r="9" spans="2:8" ht="13.5" thickBot="1" x14ac:dyDescent="0.25">
      <c r="H9" s="37" t="s">
        <v>60</v>
      </c>
    </row>
    <row r="10" spans="2:8" ht="13.5" thickBot="1" x14ac:dyDescent="0.25">
      <c r="B10" s="206" t="s">
        <v>94</v>
      </c>
      <c r="C10" s="206"/>
      <c r="D10" s="207"/>
      <c r="E10" s="215">
        <f>'Overall Efficiency - Annual'!E10:F10</f>
        <v>0</v>
      </c>
      <c r="F10" s="216"/>
      <c r="H10" s="14"/>
    </row>
    <row r="11" spans="2:8" x14ac:dyDescent="0.2">
      <c r="H11" s="14"/>
    </row>
    <row r="12" spans="2:8" x14ac:dyDescent="0.2">
      <c r="C12" s="10" t="s">
        <v>39</v>
      </c>
      <c r="H12" s="38"/>
    </row>
    <row r="13" spans="2:8" ht="13.5" thickBot="1" x14ac:dyDescent="0.25">
      <c r="H13" s="14"/>
    </row>
    <row r="14" spans="2:8" x14ac:dyDescent="0.2">
      <c r="C14" s="11" t="s">
        <v>109</v>
      </c>
      <c r="D14" s="12"/>
      <c r="E14" s="12"/>
      <c r="F14" s="13"/>
    </row>
    <row r="15" spans="2:8" x14ac:dyDescent="0.2">
      <c r="C15" s="15"/>
      <c r="D15" s="217" t="s">
        <v>40</v>
      </c>
      <c r="E15" s="39">
        <f>'Overall Efficiency - Annual'!E15</f>
        <v>0</v>
      </c>
      <c r="F15" s="27" t="s">
        <v>38</v>
      </c>
    </row>
    <row r="16" spans="2:8" x14ac:dyDescent="0.2">
      <c r="C16" s="15"/>
      <c r="D16" s="217"/>
      <c r="E16" s="24">
        <f>'Overall Efficiency - Annual'!E17</f>
        <v>0</v>
      </c>
      <c r="F16" s="27" t="str">
        <f>'Overall Efficiency - Annual'!F17</f>
        <v>-</v>
      </c>
    </row>
    <row r="17" spans="3:11" x14ac:dyDescent="0.2">
      <c r="C17" s="15"/>
      <c r="D17" s="217"/>
      <c r="E17" s="24">
        <f>IFERROR('Overall Efficiency - Annual'!E16/1000000*'Overall Efficiency - Annual'!E17*2000,0)</f>
        <v>0</v>
      </c>
      <c r="F17" s="27" t="s">
        <v>42</v>
      </c>
    </row>
    <row r="18" spans="3:11" ht="39" customHeight="1" x14ac:dyDescent="0.2">
      <c r="C18" s="15"/>
      <c r="D18" s="217" t="s">
        <v>71</v>
      </c>
      <c r="E18" s="219" t="s">
        <v>73</v>
      </c>
      <c r="F18" s="220"/>
    </row>
    <row r="19" spans="3:11" x14ac:dyDescent="0.2">
      <c r="C19" s="15"/>
      <c r="D19" s="217"/>
      <c r="E19" s="58"/>
      <c r="F19" s="25" t="s">
        <v>72</v>
      </c>
    </row>
    <row r="20" spans="3:11" x14ac:dyDescent="0.2">
      <c r="C20" s="15"/>
      <c r="D20" s="217" t="s">
        <v>43</v>
      </c>
      <c r="E20" s="40">
        <f>Parameters!D11</f>
        <v>216.39947175000003</v>
      </c>
      <c r="F20" s="27" t="s">
        <v>89</v>
      </c>
    </row>
    <row r="21" spans="3:11" ht="13.5" thickBot="1" x14ac:dyDescent="0.25">
      <c r="C21" s="20"/>
      <c r="D21" s="218"/>
      <c r="E21" s="41">
        <f>IFERROR((E20*(1-E19))/2000*E17,0)</f>
        <v>0</v>
      </c>
      <c r="F21" s="30" t="s">
        <v>41</v>
      </c>
    </row>
    <row r="22" spans="3:11" ht="13.5" thickBot="1" x14ac:dyDescent="0.25"/>
    <row r="23" spans="3:11" x14ac:dyDescent="0.2">
      <c r="C23" s="11" t="s">
        <v>110</v>
      </c>
      <c r="D23" s="12"/>
      <c r="E23" s="12"/>
      <c r="F23" s="13"/>
    </row>
    <row r="24" spans="3:11" x14ac:dyDescent="0.2">
      <c r="C24" s="15"/>
      <c r="D24" s="217" t="s">
        <v>44</v>
      </c>
      <c r="E24" s="59"/>
      <c r="F24" s="17" t="s">
        <v>141</v>
      </c>
    </row>
    <row r="25" spans="3:11" x14ac:dyDescent="0.2">
      <c r="C25" s="15"/>
      <c r="D25" s="217"/>
      <c r="E25" s="42">
        <f>'Overall Efficiency - Annual'!E21/(1-0.06)+'Overall Efficiency - Annual'!E22</f>
        <v>0</v>
      </c>
      <c r="F25" s="27" t="s">
        <v>15</v>
      </c>
    </row>
    <row r="26" spans="3:11" x14ac:dyDescent="0.2">
      <c r="C26" s="15"/>
      <c r="D26" s="217"/>
      <c r="E26" s="31" t="str">
        <f>IFERROR(VLOOKUP(E24,Parameters!B20:C21,2),"-")</f>
        <v>-</v>
      </c>
      <c r="F26" s="27" t="s">
        <v>45</v>
      </c>
    </row>
    <row r="27" spans="3:11" x14ac:dyDescent="0.2">
      <c r="C27" s="15"/>
      <c r="D27" s="217"/>
      <c r="E27" s="31" t="str">
        <f>IFERROR((E26/2000)*E25,"-")</f>
        <v>-</v>
      </c>
      <c r="F27" s="27" t="s">
        <v>41</v>
      </c>
    </row>
    <row r="28" spans="3:11" ht="25.5" customHeight="1" thickBot="1" x14ac:dyDescent="0.25">
      <c r="C28" s="15"/>
      <c r="D28" s="217" t="s">
        <v>50</v>
      </c>
      <c r="E28" s="60"/>
      <c r="F28" s="43" t="s">
        <v>158</v>
      </c>
    </row>
    <row r="29" spans="3:11" x14ac:dyDescent="0.2">
      <c r="C29" s="15"/>
      <c r="D29" s="217"/>
      <c r="E29" s="16">
        <f>'Overall Efficiency - Annual'!E24</f>
        <v>0</v>
      </c>
      <c r="F29" s="27" t="s">
        <v>51</v>
      </c>
      <c r="H29" s="192" t="s">
        <v>86</v>
      </c>
      <c r="I29" s="193"/>
      <c r="J29" s="193"/>
      <c r="K29" s="194"/>
    </row>
    <row r="30" spans="3:11" x14ac:dyDescent="0.2">
      <c r="C30" s="15"/>
      <c r="D30" s="217"/>
      <c r="E30" s="44" t="str">
        <f>IFERROR(VLOOKUP(E28,Parameters!B12:D16,2),"-")</f>
        <v>-</v>
      </c>
      <c r="F30" s="45" t="s">
        <v>95</v>
      </c>
      <c r="H30" s="195"/>
      <c r="I30" s="196"/>
      <c r="J30" s="196"/>
      <c r="K30" s="197"/>
    </row>
    <row r="31" spans="3:11" x14ac:dyDescent="0.2">
      <c r="C31" s="15"/>
      <c r="D31" s="217"/>
      <c r="E31" s="58"/>
      <c r="F31" s="45" t="s">
        <v>85</v>
      </c>
      <c r="H31" s="195"/>
      <c r="I31" s="196"/>
      <c r="J31" s="196"/>
      <c r="K31" s="197"/>
    </row>
    <row r="32" spans="3:11" ht="13.5" thickBot="1" x14ac:dyDescent="0.25">
      <c r="C32" s="15"/>
      <c r="D32" s="217"/>
      <c r="E32" s="31" t="str">
        <f>IFERROR(IF(OR(E31="",E31=0),E29/E30,E29/E31),"-")</f>
        <v>-</v>
      </c>
      <c r="F32" s="27" t="s">
        <v>53</v>
      </c>
      <c r="H32" s="198"/>
      <c r="I32" s="199"/>
      <c r="J32" s="199"/>
      <c r="K32" s="200"/>
    </row>
    <row r="33" spans="3:15" x14ac:dyDescent="0.2">
      <c r="C33" s="15"/>
      <c r="D33" s="217"/>
      <c r="E33" s="46" t="str">
        <f>IFERROR(VLOOKUP(E28,Parameters!B12:D16,3),"-")</f>
        <v>-</v>
      </c>
      <c r="F33" s="27" t="s">
        <v>52</v>
      </c>
    </row>
    <row r="34" spans="3:15" ht="13.5" thickBot="1" x14ac:dyDescent="0.25">
      <c r="C34" s="20"/>
      <c r="D34" s="218"/>
      <c r="E34" s="32" t="str">
        <f>IFERROR(E32*(E33/2000),"-")</f>
        <v>-</v>
      </c>
      <c r="F34" s="30" t="s">
        <v>41</v>
      </c>
    </row>
    <row r="35" spans="3:15" ht="13.5" thickBot="1" x14ac:dyDescent="0.25"/>
    <row r="36" spans="3:15" x14ac:dyDescent="0.2">
      <c r="C36" s="11" t="s">
        <v>67</v>
      </c>
      <c r="D36" s="12"/>
      <c r="E36" s="12"/>
      <c r="F36" s="13"/>
    </row>
    <row r="37" spans="3:15" x14ac:dyDescent="0.2">
      <c r="C37" s="15"/>
      <c r="D37" s="217" t="s">
        <v>2</v>
      </c>
      <c r="E37" s="31" t="str">
        <f>IFERROR(E21-E27-E34,"-")</f>
        <v>-</v>
      </c>
      <c r="F37" s="27" t="s">
        <v>41</v>
      </c>
      <c r="L37" s="14"/>
      <c r="M37" s="14"/>
      <c r="N37" s="14"/>
      <c r="O37" s="14"/>
    </row>
    <row r="38" spans="3:15" x14ac:dyDescent="0.2">
      <c r="C38" s="15"/>
      <c r="D38" s="217"/>
      <c r="E38" s="47" t="str">
        <f>IFERROR(E37/E21,"-")</f>
        <v>-</v>
      </c>
      <c r="F38" s="27" t="s">
        <v>54</v>
      </c>
      <c r="K38" s="14"/>
      <c r="L38" s="14"/>
      <c r="M38" s="14"/>
      <c r="N38" s="14"/>
      <c r="O38" s="14"/>
    </row>
    <row r="39" spans="3:15" x14ac:dyDescent="0.2">
      <c r="C39" s="15"/>
      <c r="D39" s="48"/>
      <c r="E39" s="49"/>
      <c r="F39" s="23"/>
      <c r="K39" s="14"/>
      <c r="L39" s="14"/>
      <c r="M39" s="14"/>
      <c r="N39" s="14"/>
      <c r="O39" s="14"/>
    </row>
    <row r="40" spans="3:15" x14ac:dyDescent="0.2">
      <c r="C40" s="15"/>
      <c r="D40" s="50" t="s">
        <v>113</v>
      </c>
      <c r="E40" s="51"/>
      <c r="F40" s="23"/>
      <c r="H40" s="14"/>
      <c r="I40" s="14"/>
      <c r="J40" s="14"/>
      <c r="K40" s="14"/>
      <c r="L40" s="14"/>
      <c r="M40" s="14"/>
      <c r="N40" s="14"/>
      <c r="O40" s="14"/>
    </row>
    <row r="41" spans="3:15" ht="12.75" customHeight="1" x14ac:dyDescent="0.2">
      <c r="C41" s="15"/>
      <c r="D41" s="53" t="s">
        <v>164</v>
      </c>
      <c r="E41" s="58"/>
      <c r="F41" s="17" t="s">
        <v>140</v>
      </c>
      <c r="H41" s="214"/>
      <c r="I41" s="214"/>
      <c r="J41" s="214"/>
      <c r="K41" s="214"/>
      <c r="L41" s="52"/>
      <c r="M41" s="52"/>
      <c r="N41" s="52"/>
      <c r="O41" s="52"/>
    </row>
    <row r="42" spans="3:15" ht="12.75" customHeight="1" x14ac:dyDescent="0.2">
      <c r="C42" s="15"/>
      <c r="D42" s="53" t="s">
        <v>162</v>
      </c>
      <c r="E42" s="58"/>
      <c r="F42" s="17" t="s">
        <v>140</v>
      </c>
      <c r="H42" s="214"/>
      <c r="I42" s="214"/>
      <c r="J42" s="214"/>
      <c r="K42" s="214"/>
      <c r="L42" s="52"/>
      <c r="M42" s="52"/>
      <c r="N42" s="52"/>
      <c r="O42" s="52"/>
    </row>
    <row r="43" spans="3:15" ht="12.75" customHeight="1" x14ac:dyDescent="0.2">
      <c r="C43" s="15"/>
      <c r="D43" s="53" t="s">
        <v>161</v>
      </c>
      <c r="E43" s="58"/>
      <c r="F43" s="17" t="s">
        <v>140</v>
      </c>
      <c r="H43" s="214"/>
      <c r="I43" s="214"/>
      <c r="J43" s="214"/>
      <c r="K43" s="214"/>
      <c r="L43" s="52"/>
      <c r="M43" s="52"/>
      <c r="N43" s="52"/>
      <c r="O43" s="52"/>
    </row>
    <row r="44" spans="3:15" x14ac:dyDescent="0.2">
      <c r="C44" s="15"/>
      <c r="D44" s="53" t="s">
        <v>154</v>
      </c>
      <c r="E44" s="58"/>
      <c r="F44" s="25" t="s">
        <v>140</v>
      </c>
      <c r="H44" s="214"/>
      <c r="I44" s="214"/>
      <c r="J44" s="214"/>
      <c r="K44" s="214"/>
      <c r="L44" s="52"/>
      <c r="M44" s="52"/>
      <c r="N44" s="52"/>
      <c r="O44" s="52"/>
    </row>
    <row r="45" spans="3:15" x14ac:dyDescent="0.2">
      <c r="C45" s="15"/>
      <c r="D45" s="53" t="s">
        <v>163</v>
      </c>
      <c r="E45" s="132">
        <f>SUM(E41:E44)</f>
        <v>0</v>
      </c>
      <c r="F45" s="25" t="s">
        <v>165</v>
      </c>
      <c r="H45" s="214"/>
      <c r="I45" s="214"/>
      <c r="J45" s="214"/>
      <c r="K45" s="214"/>
      <c r="L45" s="52"/>
      <c r="M45" s="52"/>
      <c r="N45" s="52"/>
      <c r="O45" s="52"/>
    </row>
    <row r="46" spans="3:15" x14ac:dyDescent="0.2">
      <c r="C46" s="15"/>
      <c r="D46" s="54"/>
      <c r="E46" s="55"/>
      <c r="F46" s="56"/>
      <c r="H46" s="214"/>
      <c r="I46" s="214"/>
      <c r="J46" s="214"/>
      <c r="K46" s="214"/>
      <c r="L46" s="52"/>
      <c r="M46" s="52"/>
      <c r="N46" s="52"/>
      <c r="O46" s="52"/>
    </row>
    <row r="47" spans="3:15" x14ac:dyDescent="0.2">
      <c r="C47" s="15"/>
      <c r="D47" s="57" t="s">
        <v>56</v>
      </c>
      <c r="E47" s="14"/>
      <c r="F47" s="23"/>
      <c r="H47" s="214"/>
      <c r="I47" s="214"/>
      <c r="J47" s="214"/>
      <c r="K47" s="214"/>
      <c r="L47" s="52"/>
      <c r="M47" s="52"/>
      <c r="N47" s="52"/>
      <c r="O47" s="52"/>
    </row>
    <row r="48" spans="3:15" ht="27.75" customHeight="1" thickBot="1" x14ac:dyDescent="0.25">
      <c r="C48" s="20"/>
      <c r="D48" s="181" t="s">
        <v>171</v>
      </c>
      <c r="E48" s="182" t="str">
        <f>IFERROR(1+('GHG Model - Forest Residues'!E35*$E$41)+('GHG Model - Non-Forest Residues'!E35*$E$42)+('GHG Model - Forest Salvage'!E35*$E$43)+('GHG Model - Forest Thinnings'!E35*'GHG Analysis'!$E$44),"-")</f>
        <v>-</v>
      </c>
      <c r="F48" s="183" t="s">
        <v>166</v>
      </c>
      <c r="G48" s="10"/>
      <c r="L48" s="52"/>
      <c r="M48" s="52"/>
      <c r="N48" s="52"/>
      <c r="O48" s="52"/>
    </row>
  </sheetData>
  <sheetProtection algorithmName="SHA-512" hashValue="ytKQeSY4kH0laKeKanUEsOiBeCUCkA5sZeACnf9yO9yzskhU7UeJaZ+3R8fbYUO6uG0SpBaAn/H+8JyOjJf82A==" saltValue="ssWXw6402I7t8uPEBNTjKQ==" spinCount="100000" sheet="1" objects="1" scenarios="1"/>
  <protectedRanges>
    <protectedRange sqref="E19 E24 E28 E31 H29 H41:H43 E41:E43"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6">
    <mergeCell ref="H41:K47"/>
    <mergeCell ref="E10:F10"/>
    <mergeCell ref="D24:D27"/>
    <mergeCell ref="D28:D34"/>
    <mergeCell ref="D15:D17"/>
    <mergeCell ref="D20:D21"/>
    <mergeCell ref="D37:D38"/>
    <mergeCell ref="E18:F18"/>
    <mergeCell ref="H29:K32"/>
    <mergeCell ref="D18:D19"/>
    <mergeCell ref="B10:D10"/>
    <mergeCell ref="C6:F6"/>
    <mergeCell ref="C2:F2"/>
    <mergeCell ref="C3:F3"/>
    <mergeCell ref="C4:F4"/>
    <mergeCell ref="C5:F5"/>
  </mergeCells>
  <phoneticPr fontId="11" type="noConversion"/>
  <conditionalFormatting sqref="E10:F10">
    <cfRule type="cellIs" dxfId="8" priority="9" operator="equal">
      <formula>0</formula>
    </cfRule>
  </conditionalFormatting>
  <conditionalFormatting sqref="E16">
    <cfRule type="cellIs" dxfId="7" priority="7" operator="equal">
      <formula>0</formula>
    </cfRule>
  </conditionalFormatting>
  <conditionalFormatting sqref="E15">
    <cfRule type="cellIs" dxfId="6" priority="8" operator="equal">
      <formula>0</formula>
    </cfRule>
  </conditionalFormatting>
  <conditionalFormatting sqref="E27">
    <cfRule type="cellIs" dxfId="5" priority="6" operator="equal">
      <formula>0</formula>
    </cfRule>
  </conditionalFormatting>
  <conditionalFormatting sqref="E21">
    <cfRule type="cellIs" dxfId="4" priority="5" operator="equal">
      <formula>0</formula>
    </cfRule>
  </conditionalFormatting>
  <conditionalFormatting sqref="E17">
    <cfRule type="cellIs" dxfId="3" priority="4" operator="equal">
      <formula>0</formula>
    </cfRule>
  </conditionalFormatting>
  <conditionalFormatting sqref="E45">
    <cfRule type="cellIs" dxfId="2" priority="1" stopIfTrue="1" operator="equal">
      <formula>1</formula>
    </cfRule>
    <cfRule type="cellIs" dxfId="1" priority="2" operator="greaterThan">
      <formula>1</formula>
    </cfRule>
    <cfRule type="cellIs" dxfId="0" priority="3" operator="lessThan">
      <formula>1</formula>
    </cfRule>
  </conditionalFormatting>
  <dataValidations count="5">
    <dataValidation type="list" allowBlank="1" showInputMessage="1" showErrorMessage="1" sqref="E28" xr:uid="{00000000-0002-0000-0200-000000000000}">
      <formula1>ConventionalFuelList</formula1>
    </dataValidation>
    <dataValidation type="list" allowBlank="1" showInputMessage="1" showErrorMessage="1" sqref="E24" xr:uid="{00000000-0002-0000-0200-000001000000}">
      <formula1>ElectricGeneration</formula1>
    </dataValidation>
    <dataValidation type="decimal" allowBlank="1" showInputMessage="1" showErrorMessage="1" sqref="E41:E44" xr:uid="{00000000-0002-0000-0200-000002000000}">
      <formula1>0</formula1>
      <formula2>1</formula2>
    </dataValidation>
    <dataValidation type="decimal" allowBlank="1" showInputMessage="1" showErrorMessage="1" sqref="E19 E31" xr:uid="{00000000-0002-0000-0200-000003000000}">
      <formula1>0</formula1>
      <formula2>0.999</formula2>
    </dataValidation>
    <dataValidation type="custom" allowBlank="1" showInputMessage="1" showErrorMessage="1" sqref="E45" xr:uid="{604E489C-24B6-4588-87E4-1517AA145EDB}">
      <formula1>SUM($E$41:$E$44)&lt;=1</formula1>
    </dataValidation>
  </dataValidations>
  <printOptions horizontalCentered="1"/>
  <pageMargins left="0.32" right="0.33" top="1" bottom="1" header="0.5" footer="0.5"/>
  <pageSetup scale="53" orientation="portrait" horizontalDpi="300" verticalDpi="300"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I43"/>
  <sheetViews>
    <sheetView workbookViewId="0"/>
  </sheetViews>
  <sheetFormatPr defaultColWidth="9.140625" defaultRowHeight="12.75" x14ac:dyDescent="0.2"/>
  <cols>
    <col min="1" max="1" width="3.42578125" style="62" customWidth="1"/>
    <col min="2" max="2" width="27" style="62" customWidth="1"/>
    <col min="3" max="9" width="17.7109375" style="62" customWidth="1"/>
    <col min="10" max="16384" width="9.140625" style="62"/>
  </cols>
  <sheetData>
    <row r="2" spans="2:6" x14ac:dyDescent="0.2">
      <c r="B2" s="61" t="s">
        <v>69</v>
      </c>
    </row>
    <row r="3" spans="2:6" ht="13.5" thickBot="1" x14ac:dyDescent="0.25"/>
    <row r="4" spans="2:6" x14ac:dyDescent="0.2">
      <c r="B4" s="63" t="s">
        <v>91</v>
      </c>
      <c r="C4" s="64" t="s">
        <v>12</v>
      </c>
      <c r="D4" s="228" t="s">
        <v>93</v>
      </c>
      <c r="E4" s="229"/>
    </row>
    <row r="5" spans="2:6" x14ac:dyDescent="0.2">
      <c r="B5" s="65" t="s">
        <v>142</v>
      </c>
      <c r="C5" s="66" t="s">
        <v>99</v>
      </c>
      <c r="D5" s="67">
        <v>6800</v>
      </c>
      <c r="E5" s="68" t="s">
        <v>70</v>
      </c>
    </row>
    <row r="6" spans="2:6" x14ac:dyDescent="0.2">
      <c r="B6" s="65" t="s">
        <v>143</v>
      </c>
      <c r="C6" s="66" t="s">
        <v>100</v>
      </c>
      <c r="D6" s="67">
        <v>4250</v>
      </c>
      <c r="E6" s="68" t="s">
        <v>70</v>
      </c>
    </row>
    <row r="7" spans="2:6" ht="13.5" thickBot="1" x14ac:dyDescent="0.25">
      <c r="B7" s="69" t="s">
        <v>10</v>
      </c>
      <c r="C7" s="70" t="s">
        <v>99</v>
      </c>
      <c r="D7" s="71">
        <v>8000</v>
      </c>
      <c r="E7" s="72" t="s">
        <v>70</v>
      </c>
    </row>
    <row r="9" spans="2:6" ht="13.5" thickBot="1" x14ac:dyDescent="0.25"/>
    <row r="10" spans="2:6" ht="39" thickBot="1" x14ac:dyDescent="0.25">
      <c r="B10" s="73" t="s">
        <v>92</v>
      </c>
      <c r="C10" s="74" t="s">
        <v>87</v>
      </c>
      <c r="D10" s="75" t="s">
        <v>88</v>
      </c>
      <c r="F10" s="130"/>
    </row>
    <row r="11" spans="2:6" x14ac:dyDescent="0.2">
      <c r="B11" s="76" t="s">
        <v>1</v>
      </c>
      <c r="C11" s="77" t="s">
        <v>90</v>
      </c>
      <c r="D11" s="78">
        <f>H26</f>
        <v>216.39947175000003</v>
      </c>
      <c r="E11" s="79" t="s">
        <v>96</v>
      </c>
    </row>
    <row r="12" spans="2:6" x14ac:dyDescent="0.2">
      <c r="B12" s="80" t="s">
        <v>19</v>
      </c>
      <c r="C12" s="81">
        <v>0.75</v>
      </c>
      <c r="D12" s="82">
        <f>H27</f>
        <v>200.50800000000001</v>
      </c>
      <c r="E12" s="79" t="s">
        <v>96</v>
      </c>
    </row>
    <row r="13" spans="2:6" x14ac:dyDescent="0.2">
      <c r="B13" s="80" t="s">
        <v>20</v>
      </c>
      <c r="C13" s="81">
        <v>0.75</v>
      </c>
      <c r="D13" s="82">
        <f>H28</f>
        <v>213.44400000000002</v>
      </c>
      <c r="E13" s="79" t="s">
        <v>96</v>
      </c>
    </row>
    <row r="14" spans="2:6" x14ac:dyDescent="0.2">
      <c r="B14" s="80" t="s">
        <v>18</v>
      </c>
      <c r="C14" s="81">
        <v>0.8</v>
      </c>
      <c r="D14" s="82">
        <f>H29</f>
        <v>158.06175000000002</v>
      </c>
      <c r="E14" s="79" t="s">
        <v>96</v>
      </c>
    </row>
    <row r="15" spans="2:6" x14ac:dyDescent="0.2">
      <c r="B15" s="80" t="s">
        <v>55</v>
      </c>
      <c r="C15" s="81">
        <v>0.85</v>
      </c>
      <c r="D15" s="82">
        <f>H29</f>
        <v>158.06175000000002</v>
      </c>
      <c r="E15" s="79" t="s">
        <v>96</v>
      </c>
    </row>
    <row r="16" spans="2:6" ht="13.5" thickBot="1" x14ac:dyDescent="0.25">
      <c r="B16" s="69" t="s">
        <v>21</v>
      </c>
      <c r="C16" s="83">
        <v>0.8</v>
      </c>
      <c r="D16" s="84">
        <f>63.07*2.205*(AVERAGE(31/25,23/17))</f>
        <v>180.29932200000002</v>
      </c>
      <c r="E16" s="85" t="s">
        <v>103</v>
      </c>
    </row>
    <row r="18" spans="2:9" ht="13.5" thickBot="1" x14ac:dyDescent="0.25"/>
    <row r="19" spans="2:9" ht="39" thickBot="1" x14ac:dyDescent="0.25">
      <c r="B19" s="73" t="s">
        <v>49</v>
      </c>
      <c r="C19" s="86" t="s">
        <v>68</v>
      </c>
    </row>
    <row r="20" spans="2:9" x14ac:dyDescent="0.2">
      <c r="B20" s="76" t="s">
        <v>46</v>
      </c>
      <c r="C20" s="87">
        <f>136*2.205*(44/12)</f>
        <v>1099.56</v>
      </c>
      <c r="D20" s="88" t="s">
        <v>111</v>
      </c>
    </row>
    <row r="21" spans="2:9" ht="13.5" thickBot="1" x14ac:dyDescent="0.25">
      <c r="B21" s="69" t="s">
        <v>47</v>
      </c>
      <c r="C21" s="89" t="s">
        <v>48</v>
      </c>
    </row>
    <row r="22" spans="2:9" x14ac:dyDescent="0.2">
      <c r="B22" s="90"/>
      <c r="C22" s="91"/>
    </row>
    <row r="23" spans="2:9" x14ac:dyDescent="0.2">
      <c r="B23" s="90"/>
      <c r="C23" s="91"/>
    </row>
    <row r="24" spans="2:9" ht="13.5" thickBot="1" x14ac:dyDescent="0.25">
      <c r="B24" s="61" t="s">
        <v>84</v>
      </c>
    </row>
    <row r="25" spans="2:9" ht="13.5" thickBot="1" x14ac:dyDescent="0.25">
      <c r="B25" s="92" t="s">
        <v>74</v>
      </c>
      <c r="C25" s="226" t="s">
        <v>82</v>
      </c>
      <c r="D25" s="226"/>
      <c r="E25" s="93" t="s">
        <v>77</v>
      </c>
      <c r="F25" s="226" t="s">
        <v>83</v>
      </c>
      <c r="G25" s="226"/>
      <c r="H25" s="226" t="s">
        <v>80</v>
      </c>
      <c r="I25" s="227"/>
    </row>
    <row r="26" spans="2:9" x14ac:dyDescent="0.2">
      <c r="B26" s="76" t="s">
        <v>1</v>
      </c>
      <c r="C26" s="94">
        <v>406</v>
      </c>
      <c r="D26" s="95" t="s">
        <v>78</v>
      </c>
      <c r="E26" s="96">
        <v>0.22500000000000001</v>
      </c>
      <c r="F26" s="97">
        <f>C26*E26</f>
        <v>91.350000000000009</v>
      </c>
      <c r="G26" s="95" t="s">
        <v>78</v>
      </c>
      <c r="H26" s="97">
        <f>F26*2.205*(44/12)*0.293</f>
        <v>216.39947175000003</v>
      </c>
      <c r="I26" s="98" t="s">
        <v>81</v>
      </c>
    </row>
    <row r="27" spans="2:9" x14ac:dyDescent="0.2">
      <c r="B27" s="80" t="s">
        <v>76</v>
      </c>
      <c r="C27" s="99">
        <v>31</v>
      </c>
      <c r="D27" s="100" t="s">
        <v>79</v>
      </c>
      <c r="E27" s="101">
        <v>0.8</v>
      </c>
      <c r="F27" s="97">
        <f>C27*E27</f>
        <v>24.8</v>
      </c>
      <c r="G27" s="100" t="s">
        <v>79</v>
      </c>
      <c r="H27" s="97">
        <f>F27*2.205*(44/12)</f>
        <v>200.50800000000001</v>
      </c>
      <c r="I27" s="98" t="s">
        <v>81</v>
      </c>
    </row>
    <row r="28" spans="2:9" x14ac:dyDescent="0.2">
      <c r="B28" s="80" t="s">
        <v>75</v>
      </c>
      <c r="C28" s="99">
        <v>33</v>
      </c>
      <c r="D28" s="100" t="s">
        <v>79</v>
      </c>
      <c r="E28" s="101">
        <v>0.8</v>
      </c>
      <c r="F28" s="97">
        <f>C28*E28</f>
        <v>26.400000000000002</v>
      </c>
      <c r="G28" s="100" t="s">
        <v>79</v>
      </c>
      <c r="H28" s="97">
        <f>F28*2.205*(44/12)</f>
        <v>213.44400000000002</v>
      </c>
      <c r="I28" s="98" t="s">
        <v>81</v>
      </c>
    </row>
    <row r="29" spans="2:9" ht="13.5" thickBot="1" x14ac:dyDescent="0.25">
      <c r="B29" s="69" t="s">
        <v>18</v>
      </c>
      <c r="C29" s="102">
        <v>23</v>
      </c>
      <c r="D29" s="103" t="s">
        <v>79</v>
      </c>
      <c r="E29" s="104">
        <v>0.85</v>
      </c>
      <c r="F29" s="105">
        <f>C29*E29</f>
        <v>19.55</v>
      </c>
      <c r="G29" s="103" t="s">
        <v>79</v>
      </c>
      <c r="H29" s="105">
        <f>F29*2.205*(44/12)</f>
        <v>158.06175000000002</v>
      </c>
      <c r="I29" s="106" t="s">
        <v>81</v>
      </c>
    </row>
    <row r="32" spans="2:9" x14ac:dyDescent="0.2">
      <c r="B32" s="61" t="s">
        <v>151</v>
      </c>
    </row>
    <row r="33" spans="2:9" x14ac:dyDescent="0.2">
      <c r="B33" s="107" t="s">
        <v>152</v>
      </c>
    </row>
    <row r="34" spans="2:9" ht="13.5" thickBot="1" x14ac:dyDescent="0.25"/>
    <row r="35" spans="2:9" ht="26.25" thickBot="1" x14ac:dyDescent="0.25">
      <c r="B35" s="134"/>
      <c r="C35" s="86" t="s">
        <v>102</v>
      </c>
      <c r="D35" s="108"/>
      <c r="E35" s="230" t="s">
        <v>173</v>
      </c>
      <c r="F35" s="230"/>
      <c r="G35" s="230"/>
      <c r="H35" s="230"/>
      <c r="I35" s="109"/>
    </row>
    <row r="36" spans="2:9" ht="13.5" thickBot="1" x14ac:dyDescent="0.25">
      <c r="B36" s="134" t="s">
        <v>138</v>
      </c>
      <c r="C36" s="190">
        <v>7.3529338705882399</v>
      </c>
      <c r="D36" s="108"/>
      <c r="E36" s="230"/>
      <c r="F36" s="230"/>
      <c r="G36" s="230"/>
      <c r="H36" s="230"/>
      <c r="I36" s="109"/>
    </row>
    <row r="37" spans="2:9" ht="13.5" thickBot="1" x14ac:dyDescent="0.25">
      <c r="B37" s="134" t="s">
        <v>168</v>
      </c>
      <c r="C37" s="110">
        <v>5</v>
      </c>
      <c r="D37" s="133"/>
      <c r="E37" s="230"/>
      <c r="F37" s="230"/>
      <c r="G37" s="230"/>
      <c r="H37" s="230"/>
      <c r="I37" s="109"/>
    </row>
    <row r="38" spans="2:9" ht="13.5" thickBot="1" x14ac:dyDescent="0.25">
      <c r="B38" s="135" t="s">
        <v>161</v>
      </c>
      <c r="C38" s="190">
        <v>7.3529338705882399</v>
      </c>
      <c r="D38" s="133"/>
      <c r="E38" s="230"/>
      <c r="F38" s="230"/>
      <c r="G38" s="230"/>
      <c r="H38" s="230"/>
      <c r="I38" s="109"/>
    </row>
    <row r="39" spans="2:9" ht="13.5" thickBot="1" x14ac:dyDescent="0.25">
      <c r="B39" s="90"/>
      <c r="C39" s="111"/>
      <c r="D39" s="112"/>
      <c r="E39" s="230"/>
      <c r="F39" s="230"/>
      <c r="G39" s="230"/>
      <c r="H39" s="230"/>
      <c r="I39" s="109"/>
    </row>
    <row r="40" spans="2:9" x14ac:dyDescent="0.2">
      <c r="B40" s="221" t="s">
        <v>155</v>
      </c>
      <c r="C40" s="224" t="s">
        <v>153</v>
      </c>
      <c r="D40" s="225"/>
      <c r="E40" s="230"/>
      <c r="F40" s="230"/>
      <c r="G40" s="230"/>
      <c r="H40" s="230"/>
    </row>
    <row r="41" spans="2:9" x14ac:dyDescent="0.2">
      <c r="B41" s="222"/>
      <c r="C41" s="113" t="s">
        <v>148</v>
      </c>
      <c r="D41" s="114" t="s">
        <v>124</v>
      </c>
      <c r="E41" s="230"/>
      <c r="F41" s="230"/>
      <c r="G41" s="230"/>
      <c r="H41" s="230"/>
    </row>
    <row r="42" spans="2:9" ht="13.5" thickBot="1" x14ac:dyDescent="0.25">
      <c r="B42" s="223"/>
      <c r="C42" s="71">
        <v>1.1238999999999999</v>
      </c>
      <c r="D42" s="115">
        <v>-1.2E-2</v>
      </c>
      <c r="E42" s="230"/>
      <c r="F42" s="230"/>
      <c r="G42" s="230"/>
      <c r="H42" s="230"/>
    </row>
    <row r="43" spans="2:9" x14ac:dyDescent="0.2">
      <c r="B43" s="90"/>
      <c r="D43" s="116"/>
    </row>
  </sheetData>
  <sheetProtection algorithmName="SHA-512" hashValue="SzkHQ6EbcLqrATrkqhZd2mn8gtwVS/pcZjSsmmjQmUwI7fWBYjxL2rK0oS67VLbjRqmQtUoywplxyF9vDoJgiA==" saltValue="B8wXzbwowHQh9HFvecvVFw==" spinCount="100000"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7">
    <mergeCell ref="B40:B42"/>
    <mergeCell ref="C40:D40"/>
    <mergeCell ref="H25:I25"/>
    <mergeCell ref="D4:E4"/>
    <mergeCell ref="C25:D25"/>
    <mergeCell ref="F25:G25"/>
    <mergeCell ref="E35:H42"/>
  </mergeCells>
  <phoneticPr fontId="11" type="noConversion"/>
  <pageMargins left="0.75" right="0.75" top="1" bottom="1" header="0.5" footer="0.5"/>
  <pageSetup orientation="portrait" horizontalDpi="200" verticalDpi="200"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C6C5-17B0-4AE8-8D9D-FC2F52ACA1B6}">
  <sheetPr codeName="Sheet5"/>
  <dimension ref="B2:K45"/>
  <sheetViews>
    <sheetView workbookViewId="0"/>
  </sheetViews>
  <sheetFormatPr defaultColWidth="9.140625" defaultRowHeight="12.75" x14ac:dyDescent="0.2"/>
  <cols>
    <col min="1" max="1" width="3.85546875" style="62" customWidth="1"/>
    <col min="2" max="16384" width="9.140625" style="62"/>
  </cols>
  <sheetData>
    <row r="2" spans="2:6" x14ac:dyDescent="0.2">
      <c r="B2" s="61" t="s">
        <v>57</v>
      </c>
    </row>
    <row r="3" spans="2:6" x14ac:dyDescent="0.2">
      <c r="B3" s="61" t="s">
        <v>138</v>
      </c>
    </row>
    <row r="5" spans="2:6" x14ac:dyDescent="0.2">
      <c r="B5" s="61" t="s">
        <v>117</v>
      </c>
      <c r="D5" s="117"/>
    </row>
    <row r="6" spans="2:6" x14ac:dyDescent="0.2">
      <c r="C6" s="118" t="s">
        <v>6</v>
      </c>
      <c r="D6" s="119">
        <f>Parameters!C36</f>
        <v>7.3529338705882399</v>
      </c>
      <c r="E6" s="120" t="s">
        <v>7</v>
      </c>
    </row>
    <row r="7" spans="2:6" x14ac:dyDescent="0.2">
      <c r="C7" s="118" t="s">
        <v>0</v>
      </c>
      <c r="D7" s="121">
        <f>-LN(0.5)/D6</f>
        <v>9.4268110220946819E-2</v>
      </c>
    </row>
    <row r="8" spans="2:6" x14ac:dyDescent="0.2">
      <c r="C8" s="118" t="s">
        <v>2</v>
      </c>
      <c r="D8" s="122" t="str">
        <f>'GHG Analysis'!E38</f>
        <v>-</v>
      </c>
      <c r="F8" s="117"/>
    </row>
    <row r="9" spans="2:6" x14ac:dyDescent="0.2">
      <c r="C9" s="123" t="s">
        <v>120</v>
      </c>
      <c r="D9" s="62">
        <v>-1</v>
      </c>
      <c r="E9" s="107" t="s">
        <v>118</v>
      </c>
    </row>
    <row r="10" spans="2:6" x14ac:dyDescent="0.2">
      <c r="C10" s="118" t="s">
        <v>5</v>
      </c>
      <c r="D10" s="124" t="e">
        <f>-D9/($D$8-1)</f>
        <v>#VALUE!</v>
      </c>
      <c r="E10" s="107" t="s">
        <v>119</v>
      </c>
    </row>
    <row r="11" spans="2:6" x14ac:dyDescent="0.2">
      <c r="C11" s="118"/>
      <c r="D11" s="124"/>
    </row>
    <row r="12" spans="2:6" x14ac:dyDescent="0.2">
      <c r="C12" s="118"/>
      <c r="D12" s="124"/>
    </row>
    <row r="13" spans="2:6" x14ac:dyDescent="0.2">
      <c r="B13" s="61" t="s">
        <v>58</v>
      </c>
    </row>
    <row r="15" spans="2:6" ht="25.5" x14ac:dyDescent="0.2">
      <c r="B15" s="125" t="s">
        <v>115</v>
      </c>
      <c r="C15" s="125" t="s">
        <v>121</v>
      </c>
      <c r="D15" s="126" t="s">
        <v>4</v>
      </c>
      <c r="E15" s="126" t="s">
        <v>3</v>
      </c>
      <c r="F15" s="126"/>
    </row>
    <row r="16" spans="2:6" x14ac:dyDescent="0.2">
      <c r="B16" s="62">
        <v>1</v>
      </c>
      <c r="C16" s="127">
        <f>EXP(-$D$7*(B16-0.5))</f>
        <v>0.9539595058713467</v>
      </c>
      <c r="D16" s="128" t="e">
        <f>-$D$10*(1-C16)</f>
        <v>#VALUE!</v>
      </c>
      <c r="E16" s="128" t="e">
        <f>$D$10+D16</f>
        <v>#VALUE!</v>
      </c>
    </row>
    <row r="17" spans="2:11" x14ac:dyDescent="0.2">
      <c r="B17" s="62">
        <v>2</v>
      </c>
      <c r="C17" s="127">
        <f t="shared" ref="C17:C35" si="0">EXP(-$D$7*(B17-0.5))</f>
        <v>0.86814010562978772</v>
      </c>
      <c r="D17" s="128" t="e">
        <f t="shared" ref="D17:D35" si="1">-$D$10*(1-C17)</f>
        <v>#VALUE!</v>
      </c>
      <c r="E17" s="128" t="e">
        <f t="shared" ref="E17:E35" si="2">$D$10+D17</f>
        <v>#VALUE!</v>
      </c>
    </row>
    <row r="18" spans="2:11" x14ac:dyDescent="0.2">
      <c r="B18" s="62">
        <v>3</v>
      </c>
      <c r="C18" s="127">
        <f t="shared" si="0"/>
        <v>0.79004112686575645</v>
      </c>
      <c r="D18" s="128" t="e">
        <f t="shared" si="1"/>
        <v>#VALUE!</v>
      </c>
      <c r="E18" s="128" t="e">
        <f t="shared" si="2"/>
        <v>#VALUE!</v>
      </c>
    </row>
    <row r="19" spans="2:11" x14ac:dyDescent="0.2">
      <c r="B19" s="62">
        <v>4</v>
      </c>
      <c r="C19" s="127">
        <f t="shared" si="0"/>
        <v>0.71896803072646565</v>
      </c>
      <c r="D19" s="128" t="e">
        <f t="shared" si="1"/>
        <v>#VALUE!</v>
      </c>
      <c r="E19" s="128" t="e">
        <f t="shared" si="2"/>
        <v>#VALUE!</v>
      </c>
    </row>
    <row r="20" spans="2:11" x14ac:dyDescent="0.2">
      <c r="B20" s="62">
        <v>5</v>
      </c>
      <c r="C20" s="127">
        <f t="shared" si="0"/>
        <v>0.6542887599502476</v>
      </c>
      <c r="D20" s="128" t="e">
        <f t="shared" si="1"/>
        <v>#VALUE!</v>
      </c>
      <c r="E20" s="128" t="e">
        <f t="shared" si="2"/>
        <v>#VALUE!</v>
      </c>
    </row>
    <row r="21" spans="2:11" x14ac:dyDescent="0.2">
      <c r="B21" s="62">
        <v>6</v>
      </c>
      <c r="C21" s="127">
        <f t="shared" si="0"/>
        <v>0.59542811794381822</v>
      </c>
      <c r="D21" s="128" t="e">
        <f t="shared" si="1"/>
        <v>#VALUE!</v>
      </c>
      <c r="E21" s="128" t="e">
        <f t="shared" si="2"/>
        <v>#VALUE!</v>
      </c>
    </row>
    <row r="22" spans="2:11" x14ac:dyDescent="0.2">
      <c r="B22" s="62">
        <v>7</v>
      </c>
      <c r="C22" s="127">
        <f t="shared" si="0"/>
        <v>0.54186265352483898</v>
      </c>
      <c r="D22" s="128" t="e">
        <f t="shared" si="1"/>
        <v>#VALUE!</v>
      </c>
      <c r="E22" s="128" t="e">
        <f t="shared" si="2"/>
        <v>#VALUE!</v>
      </c>
      <c r="F22" s="127"/>
    </row>
    <row r="23" spans="2:11" x14ac:dyDescent="0.2">
      <c r="B23" s="62">
        <v>8</v>
      </c>
      <c r="C23" s="127">
        <f t="shared" si="0"/>
        <v>0.49311600583948867</v>
      </c>
      <c r="D23" s="128" t="e">
        <f>-$D$10*(1-C23)</f>
        <v>#VALUE!</v>
      </c>
      <c r="E23" s="128" t="e">
        <f t="shared" si="2"/>
        <v>#VALUE!</v>
      </c>
      <c r="H23" s="127"/>
      <c r="K23" s="127"/>
    </row>
    <row r="24" spans="2:11" x14ac:dyDescent="0.2">
      <c r="B24" s="62">
        <v>9</v>
      </c>
      <c r="C24" s="127">
        <f t="shared" si="0"/>
        <v>0.44875466805712244</v>
      </c>
      <c r="D24" s="128" t="e">
        <f t="shared" si="1"/>
        <v>#VALUE!</v>
      </c>
      <c r="E24" s="128" t="e">
        <f t="shared" si="2"/>
        <v>#VALUE!</v>
      </c>
      <c r="H24" s="127"/>
      <c r="K24" s="127"/>
    </row>
    <row r="25" spans="2:11" x14ac:dyDescent="0.2">
      <c r="B25" s="62">
        <v>10</v>
      </c>
      <c r="C25" s="127">
        <f t="shared" si="0"/>
        <v>0.40838413216830038</v>
      </c>
      <c r="D25" s="128" t="e">
        <f t="shared" si="1"/>
        <v>#VALUE!</v>
      </c>
      <c r="E25" s="128" t="e">
        <f t="shared" si="2"/>
        <v>#VALUE!</v>
      </c>
      <c r="H25" s="127"/>
      <c r="K25" s="127"/>
    </row>
    <row r="26" spans="2:11" x14ac:dyDescent="0.2">
      <c r="B26" s="62">
        <v>11</v>
      </c>
      <c r="C26" s="127">
        <f t="shared" si="0"/>
        <v>0.37164538060164887</v>
      </c>
      <c r="D26" s="128" t="e">
        <f t="shared" si="1"/>
        <v>#VALUE!</v>
      </c>
      <c r="E26" s="128" t="e">
        <f t="shared" si="2"/>
        <v>#VALUE!</v>
      </c>
      <c r="H26" s="127"/>
      <c r="K26" s="127"/>
    </row>
    <row r="27" spans="2:11" x14ac:dyDescent="0.2">
      <c r="B27" s="62">
        <v>12</v>
      </c>
      <c r="C27" s="127">
        <f t="shared" si="0"/>
        <v>0.33821169345929253</v>
      </c>
      <c r="D27" s="128" t="e">
        <f t="shared" si="1"/>
        <v>#VALUE!</v>
      </c>
      <c r="E27" s="128" t="e">
        <f t="shared" si="2"/>
        <v>#VALUE!</v>
      </c>
      <c r="H27" s="127"/>
      <c r="K27" s="127"/>
    </row>
    <row r="28" spans="2:11" x14ac:dyDescent="0.2">
      <c r="B28" s="62">
        <v>13</v>
      </c>
      <c r="C28" s="127">
        <f t="shared" si="0"/>
        <v>0.30778574297741446</v>
      </c>
      <c r="D28" s="128" t="e">
        <f t="shared" si="1"/>
        <v>#VALUE!</v>
      </c>
      <c r="E28" s="128" t="e">
        <f t="shared" si="2"/>
        <v>#VALUE!</v>
      </c>
      <c r="H28" s="127"/>
      <c r="K28" s="127"/>
    </row>
    <row r="29" spans="2:11" x14ac:dyDescent="0.2">
      <c r="B29" s="62">
        <v>14</v>
      </c>
      <c r="C29" s="127">
        <f t="shared" si="0"/>
        <v>0.28009694937280771</v>
      </c>
      <c r="D29" s="128" t="e">
        <f t="shared" si="1"/>
        <v>#VALUE!</v>
      </c>
      <c r="E29" s="128" t="e">
        <f t="shared" si="2"/>
        <v>#VALUE!</v>
      </c>
      <c r="H29" s="127"/>
      <c r="K29" s="127"/>
    </row>
    <row r="30" spans="2:11" x14ac:dyDescent="0.2">
      <c r="B30" s="62">
        <v>15</v>
      </c>
      <c r="C30" s="127">
        <f t="shared" si="0"/>
        <v>0.25489907456080657</v>
      </c>
      <c r="D30" s="128" t="e">
        <f t="shared" si="1"/>
        <v>#VALUE!</v>
      </c>
      <c r="E30" s="128" t="e">
        <f t="shared" si="2"/>
        <v>#VALUE!</v>
      </c>
      <c r="H30" s="127"/>
      <c r="K30" s="127"/>
    </row>
    <row r="31" spans="2:11" x14ac:dyDescent="0.2">
      <c r="B31" s="62">
        <v>16</v>
      </c>
      <c r="C31" s="127">
        <f t="shared" si="0"/>
        <v>0.23196803234538682</v>
      </c>
      <c r="D31" s="128" t="e">
        <f t="shared" si="1"/>
        <v>#VALUE!</v>
      </c>
      <c r="E31" s="128" t="e">
        <f t="shared" si="2"/>
        <v>#VALUE!</v>
      </c>
      <c r="H31" s="127"/>
      <c r="K31" s="127"/>
    </row>
    <row r="32" spans="2:11" x14ac:dyDescent="0.2">
      <c r="B32" s="62">
        <v>17</v>
      </c>
      <c r="C32" s="127">
        <f t="shared" si="0"/>
        <v>0.21109989560732662</v>
      </c>
      <c r="D32" s="128" t="e">
        <f t="shared" si="1"/>
        <v>#VALUE!</v>
      </c>
      <c r="E32" s="128" t="e">
        <f t="shared" si="2"/>
        <v>#VALUE!</v>
      </c>
      <c r="H32" s="127"/>
      <c r="K32" s="127"/>
    </row>
    <row r="33" spans="2:8" x14ac:dyDescent="0.2">
      <c r="B33" s="62">
        <v>18</v>
      </c>
      <c r="C33" s="127">
        <f>EXP(-$D$7*(B33-0.5))</f>
        <v>0.19210908276823352</v>
      </c>
      <c r="D33" s="128" t="e">
        <f t="shared" si="1"/>
        <v>#VALUE!</v>
      </c>
      <c r="E33" s="128" t="e">
        <f t="shared" si="2"/>
        <v>#VALUE!</v>
      </c>
      <c r="H33" s="127"/>
    </row>
    <row r="34" spans="2:8" x14ac:dyDescent="0.2">
      <c r="B34" s="62">
        <v>19</v>
      </c>
      <c r="C34" s="127">
        <f t="shared" si="0"/>
        <v>0.17482670740255501</v>
      </c>
      <c r="D34" s="128" t="e">
        <f t="shared" si="1"/>
        <v>#VALUE!</v>
      </c>
      <c r="E34" s="128" t="e">
        <f t="shared" si="2"/>
        <v>#VALUE!</v>
      </c>
      <c r="H34" s="127"/>
    </row>
    <row r="35" spans="2:8" x14ac:dyDescent="0.2">
      <c r="B35" s="62">
        <v>20</v>
      </c>
      <c r="C35" s="127">
        <f t="shared" si="0"/>
        <v>0.15909907632057363</v>
      </c>
      <c r="D35" s="128" t="e">
        <f t="shared" si="1"/>
        <v>#VALUE!</v>
      </c>
      <c r="E35" s="128" t="e">
        <f t="shared" si="2"/>
        <v>#VALUE!</v>
      </c>
    </row>
    <row r="36" spans="2:8" x14ac:dyDescent="0.2">
      <c r="C36" s="127"/>
      <c r="D36" s="128"/>
      <c r="E36" s="128"/>
    </row>
    <row r="37" spans="2:8" x14ac:dyDescent="0.2">
      <c r="C37" s="127"/>
      <c r="D37" s="128"/>
      <c r="E37" s="128"/>
    </row>
    <row r="38" spans="2:8" x14ac:dyDescent="0.2">
      <c r="C38" s="127"/>
      <c r="D38" s="128"/>
      <c r="E38" s="128"/>
    </row>
    <row r="39" spans="2:8" x14ac:dyDescent="0.2">
      <c r="C39" s="127"/>
      <c r="D39" s="128"/>
      <c r="E39" s="128"/>
    </row>
    <row r="40" spans="2:8" x14ac:dyDescent="0.2">
      <c r="C40" s="127"/>
      <c r="D40" s="128"/>
      <c r="E40" s="128"/>
    </row>
    <row r="41" spans="2:8" x14ac:dyDescent="0.2">
      <c r="C41" s="127"/>
      <c r="D41" s="128"/>
      <c r="E41" s="128"/>
    </row>
    <row r="42" spans="2:8" x14ac:dyDescent="0.2">
      <c r="C42" s="127"/>
      <c r="D42" s="128"/>
      <c r="E42" s="128"/>
    </row>
    <row r="43" spans="2:8" x14ac:dyDescent="0.2">
      <c r="C43" s="127"/>
      <c r="D43" s="128"/>
      <c r="E43" s="128"/>
    </row>
    <row r="44" spans="2:8" x14ac:dyDescent="0.2">
      <c r="C44" s="127"/>
      <c r="D44" s="128"/>
      <c r="E44" s="128"/>
    </row>
    <row r="45" spans="2:8" x14ac:dyDescent="0.2">
      <c r="C45" s="127"/>
      <c r="D45" s="128"/>
      <c r="E45" s="128"/>
    </row>
  </sheetData>
  <sheetProtection algorithmName="SHA-512" hashValue="hEKb0f9VFkyjT0gHaGzX9RVAjWEWGYIzfoTqgK3oiwRdeh4E2DbR6eoszs/DtLJY8oFpSQjyLDZqGK7DEssxdQ==" saltValue="Wl/6YW2zSDvTjGEwgqhRIQ==" spinCount="100000" sheet="1" objects="1" scenarios="1"/>
  <pageMargins left="0.75" right="0.75" top="1" bottom="1" header="0.5" footer="0.5"/>
  <pageSetup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F45"/>
  <sheetViews>
    <sheetView workbookViewId="0"/>
  </sheetViews>
  <sheetFormatPr defaultColWidth="9.140625" defaultRowHeight="12.75" x14ac:dyDescent="0.2"/>
  <cols>
    <col min="1" max="1" width="3.85546875" style="62" customWidth="1"/>
    <col min="2" max="16384" width="9.140625" style="62"/>
  </cols>
  <sheetData>
    <row r="2" spans="2:6" x14ac:dyDescent="0.2">
      <c r="B2" s="61" t="s">
        <v>57</v>
      </c>
    </row>
    <row r="3" spans="2:6" x14ac:dyDescent="0.2">
      <c r="B3" s="61" t="s">
        <v>139</v>
      </c>
    </row>
    <row r="5" spans="2:6" x14ac:dyDescent="0.2">
      <c r="B5" s="61" t="s">
        <v>117</v>
      </c>
      <c r="D5" s="117"/>
    </row>
    <row r="6" spans="2:6" x14ac:dyDescent="0.2">
      <c r="C6" s="118" t="s">
        <v>6</v>
      </c>
      <c r="D6" s="119">
        <f>Parameters!C37</f>
        <v>5</v>
      </c>
      <c r="E6" s="120" t="s">
        <v>7</v>
      </c>
    </row>
    <row r="7" spans="2:6" x14ac:dyDescent="0.2">
      <c r="C7" s="118" t="s">
        <v>0</v>
      </c>
      <c r="D7" s="121">
        <f>-LN(0.5)/D6</f>
        <v>0.13862943611198905</v>
      </c>
    </row>
    <row r="8" spans="2:6" x14ac:dyDescent="0.2">
      <c r="C8" s="118" t="s">
        <v>2</v>
      </c>
      <c r="D8" s="122" t="str">
        <f>'GHG Analysis'!E38</f>
        <v>-</v>
      </c>
      <c r="F8" s="117"/>
    </row>
    <row r="9" spans="2:6" x14ac:dyDescent="0.2">
      <c r="C9" s="123" t="s">
        <v>120</v>
      </c>
      <c r="D9" s="62">
        <v>-1</v>
      </c>
      <c r="E9" s="107" t="s">
        <v>118</v>
      </c>
    </row>
    <row r="10" spans="2:6" x14ac:dyDescent="0.2">
      <c r="C10" s="118" t="s">
        <v>5</v>
      </c>
      <c r="D10" s="124" t="e">
        <f>-D9/($D$8-1)</f>
        <v>#VALUE!</v>
      </c>
      <c r="E10" s="107" t="s">
        <v>119</v>
      </c>
    </row>
    <row r="11" spans="2:6" x14ac:dyDescent="0.2">
      <c r="C11" s="118"/>
      <c r="D11" s="124"/>
    </row>
    <row r="12" spans="2:6" x14ac:dyDescent="0.2">
      <c r="C12" s="118"/>
      <c r="D12" s="124"/>
    </row>
    <row r="13" spans="2:6" x14ac:dyDescent="0.2">
      <c r="B13" s="61" t="s">
        <v>58</v>
      </c>
    </row>
    <row r="15" spans="2:6" ht="25.5" x14ac:dyDescent="0.2">
      <c r="B15" s="125" t="s">
        <v>115</v>
      </c>
      <c r="C15" s="125" t="s">
        <v>121</v>
      </c>
      <c r="D15" s="126" t="s">
        <v>4</v>
      </c>
      <c r="E15" s="126" t="s">
        <v>3</v>
      </c>
      <c r="F15" s="126"/>
    </row>
    <row r="16" spans="2:6" x14ac:dyDescent="0.2">
      <c r="B16" s="62">
        <v>1</v>
      </c>
      <c r="C16" s="127">
        <f>EXP(-$D$7*(B16-0.5))</f>
        <v>0.93303299153680741</v>
      </c>
      <c r="D16" s="128" t="e">
        <f>-$D$10*(1-C16)</f>
        <v>#VALUE!</v>
      </c>
      <c r="E16" s="128" t="e">
        <f t="shared" ref="E16" si="0">$D$10+D16</f>
        <v>#VALUE!</v>
      </c>
    </row>
    <row r="17" spans="2:5" x14ac:dyDescent="0.2">
      <c r="B17" s="62">
        <v>2</v>
      </c>
      <c r="C17" s="127">
        <f t="shared" ref="C17:C35" si="1">EXP(-$D$7*(B17-0.5))</f>
        <v>0.81225239635623558</v>
      </c>
      <c r="D17" s="128" t="e">
        <f t="shared" ref="D17:D35" si="2">-$D$10*(1-C17)</f>
        <v>#VALUE!</v>
      </c>
      <c r="E17" s="128" t="e">
        <f t="shared" ref="E17:E35" si="3">$D$10+D17</f>
        <v>#VALUE!</v>
      </c>
    </row>
    <row r="18" spans="2:5" x14ac:dyDescent="0.2">
      <c r="B18" s="62">
        <v>3</v>
      </c>
      <c r="C18" s="127">
        <f t="shared" si="1"/>
        <v>0.70710678118654757</v>
      </c>
      <c r="D18" s="128" t="e">
        <f t="shared" si="2"/>
        <v>#VALUE!</v>
      </c>
      <c r="E18" s="128" t="e">
        <f t="shared" si="3"/>
        <v>#VALUE!</v>
      </c>
    </row>
    <row r="19" spans="2:5" x14ac:dyDescent="0.2">
      <c r="B19" s="62">
        <v>4</v>
      </c>
      <c r="C19" s="127">
        <f t="shared" si="1"/>
        <v>0.61557220667245816</v>
      </c>
      <c r="D19" s="128" t="e">
        <f t="shared" si="2"/>
        <v>#VALUE!</v>
      </c>
      <c r="E19" s="128" t="e">
        <f t="shared" si="3"/>
        <v>#VALUE!</v>
      </c>
    </row>
    <row r="20" spans="2:5" x14ac:dyDescent="0.2">
      <c r="B20" s="62">
        <v>5</v>
      </c>
      <c r="C20" s="127">
        <f t="shared" si="1"/>
        <v>0.53588673126814657</v>
      </c>
      <c r="D20" s="128" t="e">
        <f t="shared" si="2"/>
        <v>#VALUE!</v>
      </c>
      <c r="E20" s="128" t="e">
        <f t="shared" si="3"/>
        <v>#VALUE!</v>
      </c>
    </row>
    <row r="21" spans="2:5" x14ac:dyDescent="0.2">
      <c r="B21" s="62">
        <v>6</v>
      </c>
      <c r="C21" s="127">
        <f t="shared" si="1"/>
        <v>0.46651649576840371</v>
      </c>
      <c r="D21" s="128" t="e">
        <f t="shared" si="2"/>
        <v>#VALUE!</v>
      </c>
      <c r="E21" s="128" t="e">
        <f t="shared" si="3"/>
        <v>#VALUE!</v>
      </c>
    </row>
    <row r="22" spans="2:5" x14ac:dyDescent="0.2">
      <c r="B22" s="62">
        <v>7</v>
      </c>
      <c r="C22" s="127">
        <f t="shared" si="1"/>
        <v>0.40612619817811779</v>
      </c>
      <c r="D22" s="128" t="e">
        <f t="shared" si="2"/>
        <v>#VALUE!</v>
      </c>
      <c r="E22" s="128" t="e">
        <f t="shared" si="3"/>
        <v>#VALUE!</v>
      </c>
    </row>
    <row r="23" spans="2:5" x14ac:dyDescent="0.2">
      <c r="B23" s="62">
        <v>8</v>
      </c>
      <c r="C23" s="127">
        <f t="shared" si="1"/>
        <v>0.35355339059327379</v>
      </c>
      <c r="D23" s="128" t="e">
        <f t="shared" si="2"/>
        <v>#VALUE!</v>
      </c>
      <c r="E23" s="128" t="e">
        <f t="shared" si="3"/>
        <v>#VALUE!</v>
      </c>
    </row>
    <row r="24" spans="2:5" x14ac:dyDescent="0.2">
      <c r="B24" s="62">
        <v>9</v>
      </c>
      <c r="C24" s="127">
        <f t="shared" si="1"/>
        <v>0.30778610333622908</v>
      </c>
      <c r="D24" s="128" t="e">
        <f t="shared" si="2"/>
        <v>#VALUE!</v>
      </c>
      <c r="E24" s="128" t="e">
        <f t="shared" si="3"/>
        <v>#VALUE!</v>
      </c>
    </row>
    <row r="25" spans="2:5" x14ac:dyDescent="0.2">
      <c r="B25" s="62">
        <v>10</v>
      </c>
      <c r="C25" s="127">
        <f t="shared" si="1"/>
        <v>0.26794336563407328</v>
      </c>
      <c r="D25" s="128" t="e">
        <f t="shared" si="2"/>
        <v>#VALUE!</v>
      </c>
      <c r="E25" s="128" t="e">
        <f t="shared" si="3"/>
        <v>#VALUE!</v>
      </c>
    </row>
    <row r="26" spans="2:5" x14ac:dyDescent="0.2">
      <c r="B26" s="62">
        <v>11</v>
      </c>
      <c r="C26" s="127">
        <f t="shared" si="1"/>
        <v>0.23325824788420185</v>
      </c>
      <c r="D26" s="128" t="e">
        <f t="shared" si="2"/>
        <v>#VALUE!</v>
      </c>
      <c r="E26" s="128" t="e">
        <f t="shared" si="3"/>
        <v>#VALUE!</v>
      </c>
    </row>
    <row r="27" spans="2:5" x14ac:dyDescent="0.2">
      <c r="B27" s="62">
        <v>12</v>
      </c>
      <c r="C27" s="127">
        <f t="shared" si="1"/>
        <v>0.2030630990890589</v>
      </c>
      <c r="D27" s="128" t="e">
        <f t="shared" si="2"/>
        <v>#VALUE!</v>
      </c>
      <c r="E27" s="128" t="e">
        <f t="shared" si="3"/>
        <v>#VALUE!</v>
      </c>
    </row>
    <row r="28" spans="2:5" x14ac:dyDescent="0.2">
      <c r="B28" s="62">
        <v>13</v>
      </c>
      <c r="C28" s="127">
        <f t="shared" si="1"/>
        <v>0.17677669529663692</v>
      </c>
      <c r="D28" s="128" t="e">
        <f t="shared" si="2"/>
        <v>#VALUE!</v>
      </c>
      <c r="E28" s="128" t="e">
        <f t="shared" si="3"/>
        <v>#VALUE!</v>
      </c>
    </row>
    <row r="29" spans="2:5" x14ac:dyDescent="0.2">
      <c r="B29" s="62">
        <v>14</v>
      </c>
      <c r="C29" s="127">
        <f t="shared" si="1"/>
        <v>0.15389305166811457</v>
      </c>
      <c r="D29" s="128" t="e">
        <f t="shared" si="2"/>
        <v>#VALUE!</v>
      </c>
      <c r="E29" s="128" t="e">
        <f t="shared" si="3"/>
        <v>#VALUE!</v>
      </c>
    </row>
    <row r="30" spans="2:5" x14ac:dyDescent="0.2">
      <c r="B30" s="62">
        <v>15</v>
      </c>
      <c r="C30" s="127">
        <f t="shared" si="1"/>
        <v>0.13397168281703667</v>
      </c>
      <c r="D30" s="128" t="e">
        <f t="shared" si="2"/>
        <v>#VALUE!</v>
      </c>
      <c r="E30" s="128" t="e">
        <f t="shared" si="3"/>
        <v>#VALUE!</v>
      </c>
    </row>
    <row r="31" spans="2:5" x14ac:dyDescent="0.2">
      <c r="B31" s="62">
        <v>16</v>
      </c>
      <c r="C31" s="127">
        <f t="shared" si="1"/>
        <v>0.11662912394210094</v>
      </c>
      <c r="D31" s="128" t="e">
        <f t="shared" si="2"/>
        <v>#VALUE!</v>
      </c>
      <c r="E31" s="128" t="e">
        <f t="shared" si="3"/>
        <v>#VALUE!</v>
      </c>
    </row>
    <row r="32" spans="2:5" x14ac:dyDescent="0.2">
      <c r="B32" s="62">
        <v>17</v>
      </c>
      <c r="C32" s="127">
        <f t="shared" si="1"/>
        <v>0.10153154954452946</v>
      </c>
      <c r="D32" s="128" t="e">
        <f t="shared" si="2"/>
        <v>#VALUE!</v>
      </c>
      <c r="E32" s="128" t="e">
        <f t="shared" si="3"/>
        <v>#VALUE!</v>
      </c>
    </row>
    <row r="33" spans="2:5" x14ac:dyDescent="0.2">
      <c r="B33" s="62">
        <v>18</v>
      </c>
      <c r="C33" s="127">
        <f t="shared" si="1"/>
        <v>8.8388347648318447E-2</v>
      </c>
      <c r="D33" s="128" t="e">
        <f t="shared" si="2"/>
        <v>#VALUE!</v>
      </c>
      <c r="E33" s="128" t="e">
        <f t="shared" si="3"/>
        <v>#VALUE!</v>
      </c>
    </row>
    <row r="34" spans="2:5" x14ac:dyDescent="0.2">
      <c r="B34" s="62">
        <v>19</v>
      </c>
      <c r="C34" s="127">
        <f t="shared" si="1"/>
        <v>7.6946525834057283E-2</v>
      </c>
      <c r="D34" s="128" t="e">
        <f t="shared" si="2"/>
        <v>#VALUE!</v>
      </c>
      <c r="E34" s="128" t="e">
        <f t="shared" si="3"/>
        <v>#VALUE!</v>
      </c>
    </row>
    <row r="35" spans="2:5" x14ac:dyDescent="0.2">
      <c r="B35" s="62">
        <v>20</v>
      </c>
      <c r="C35" s="127">
        <f t="shared" si="1"/>
        <v>6.6985841408518335E-2</v>
      </c>
      <c r="D35" s="128" t="e">
        <f t="shared" si="2"/>
        <v>#VALUE!</v>
      </c>
      <c r="E35" s="128" t="e">
        <f t="shared" si="3"/>
        <v>#VALUE!</v>
      </c>
    </row>
    <row r="36" spans="2:5" x14ac:dyDescent="0.2">
      <c r="C36" s="127"/>
      <c r="D36" s="128"/>
      <c r="E36" s="128"/>
    </row>
    <row r="37" spans="2:5" x14ac:dyDescent="0.2">
      <c r="C37" s="127"/>
      <c r="D37" s="128"/>
      <c r="E37" s="128"/>
    </row>
    <row r="38" spans="2:5" x14ac:dyDescent="0.2">
      <c r="C38" s="127"/>
      <c r="D38" s="128"/>
      <c r="E38" s="128"/>
    </row>
    <row r="39" spans="2:5" x14ac:dyDescent="0.2">
      <c r="C39" s="127"/>
      <c r="D39" s="128"/>
      <c r="E39" s="128"/>
    </row>
    <row r="40" spans="2:5" x14ac:dyDescent="0.2">
      <c r="C40" s="127"/>
      <c r="D40" s="128"/>
      <c r="E40" s="128"/>
    </row>
    <row r="41" spans="2:5" x14ac:dyDescent="0.2">
      <c r="C41" s="127"/>
      <c r="D41" s="128"/>
      <c r="E41" s="128"/>
    </row>
    <row r="42" spans="2:5" x14ac:dyDescent="0.2">
      <c r="C42" s="127"/>
      <c r="D42" s="128"/>
      <c r="E42" s="128"/>
    </row>
    <row r="43" spans="2:5" x14ac:dyDescent="0.2">
      <c r="C43" s="127"/>
      <c r="D43" s="128"/>
      <c r="E43" s="128"/>
    </row>
    <row r="44" spans="2:5" x14ac:dyDescent="0.2">
      <c r="C44" s="127"/>
      <c r="D44" s="128"/>
      <c r="E44" s="128"/>
    </row>
    <row r="45" spans="2:5" x14ac:dyDescent="0.2">
      <c r="C45" s="127"/>
      <c r="D45" s="128"/>
      <c r="E45" s="128"/>
    </row>
  </sheetData>
  <sheetProtection algorithmName="SHA-512" hashValue="i2GJvpzzAPidVmqq1MI3GydRfRINSSGbErFgxD+3Rr1cM780n/173sx6TjXiZdP0sAl1Q5+0gTfBc7zBdPAzeA==" saltValue="YqOwYRj/TkiAPJsW2b9QaQ==" spinCount="100000" sheet="1" objects="1" scenarios="1"/>
  <customSheetViews>
    <customSheetView guid="{C282F3AD-FD8E-4599-82FE-23A64399EB81}">
      <pageMargins left="0.75" right="0.75" top="1" bottom="1" header="0.5" footer="0.5"/>
      <headerFooter alignWithMargins="0"/>
    </customSheetView>
  </customSheetViews>
  <phoneticPr fontId="11"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6A1CF-CE66-44B1-B1EB-5AE87C66F5F8}">
  <sheetPr codeName="Sheet9"/>
  <dimension ref="B2:F45"/>
  <sheetViews>
    <sheetView workbookViewId="0"/>
  </sheetViews>
  <sheetFormatPr defaultColWidth="9.140625" defaultRowHeight="12.75" x14ac:dyDescent="0.2"/>
  <cols>
    <col min="1" max="1" width="3.85546875" style="62" customWidth="1"/>
    <col min="2" max="16384" width="9.140625" style="62"/>
  </cols>
  <sheetData>
    <row r="2" spans="2:6" x14ac:dyDescent="0.2">
      <c r="B2" s="61" t="s">
        <v>57</v>
      </c>
    </row>
    <row r="3" spans="2:6" x14ac:dyDescent="0.2">
      <c r="B3" s="61" t="s">
        <v>161</v>
      </c>
    </row>
    <row r="5" spans="2:6" x14ac:dyDescent="0.2">
      <c r="B5" s="61" t="s">
        <v>117</v>
      </c>
      <c r="D5" s="117"/>
    </row>
    <row r="6" spans="2:6" x14ac:dyDescent="0.2">
      <c r="C6" s="118" t="s">
        <v>6</v>
      </c>
      <c r="D6" s="119">
        <f>Parameters!C38</f>
        <v>7.3529338705882399</v>
      </c>
      <c r="E6" s="120" t="s">
        <v>7</v>
      </c>
    </row>
    <row r="7" spans="2:6" x14ac:dyDescent="0.2">
      <c r="C7" s="118" t="s">
        <v>0</v>
      </c>
      <c r="D7" s="121">
        <f>-LN(0.5)/D6</f>
        <v>9.4268110220946819E-2</v>
      </c>
    </row>
    <row r="8" spans="2:6" x14ac:dyDescent="0.2">
      <c r="C8" s="118" t="s">
        <v>2</v>
      </c>
      <c r="D8" s="122" t="str">
        <f>'GHG Analysis'!E38</f>
        <v>-</v>
      </c>
      <c r="F8" s="117"/>
    </row>
    <row r="9" spans="2:6" x14ac:dyDescent="0.2">
      <c r="C9" s="123" t="s">
        <v>120</v>
      </c>
      <c r="D9" s="62">
        <v>-1</v>
      </c>
      <c r="E9" s="107" t="s">
        <v>118</v>
      </c>
    </row>
    <row r="10" spans="2:6" x14ac:dyDescent="0.2">
      <c r="C10" s="118" t="s">
        <v>5</v>
      </c>
      <c r="D10" s="124" t="e">
        <f>-D9/(D8-1)</f>
        <v>#VALUE!</v>
      </c>
      <c r="E10" s="107" t="s">
        <v>119</v>
      </c>
    </row>
    <row r="11" spans="2:6" x14ac:dyDescent="0.2">
      <c r="C11" s="118"/>
      <c r="D11" s="124"/>
    </row>
    <row r="12" spans="2:6" x14ac:dyDescent="0.2">
      <c r="C12" s="118"/>
      <c r="D12" s="124"/>
    </row>
    <row r="13" spans="2:6" x14ac:dyDescent="0.2">
      <c r="B13" s="61" t="s">
        <v>58</v>
      </c>
    </row>
    <row r="15" spans="2:6" ht="25.5" x14ac:dyDescent="0.2">
      <c r="B15" s="125" t="s">
        <v>115</v>
      </c>
      <c r="C15" s="125" t="s">
        <v>121</v>
      </c>
      <c r="D15" s="126" t="s">
        <v>4</v>
      </c>
      <c r="E15" s="126" t="s">
        <v>3</v>
      </c>
      <c r="F15" s="126"/>
    </row>
    <row r="16" spans="2:6" x14ac:dyDescent="0.2">
      <c r="B16" s="62">
        <v>1</v>
      </c>
      <c r="C16" s="127">
        <f>EXP(-$D$7*(B16-0.5))</f>
        <v>0.9539595058713467</v>
      </c>
      <c r="D16" s="128" t="e">
        <f>-$D$10*(1-C16)</f>
        <v>#VALUE!</v>
      </c>
      <c r="E16" s="128" t="e">
        <f>$D$10+D16</f>
        <v>#VALUE!</v>
      </c>
    </row>
    <row r="17" spans="2:5" x14ac:dyDescent="0.2">
      <c r="B17" s="62">
        <v>2</v>
      </c>
      <c r="C17" s="127">
        <f t="shared" ref="C17:C35" si="0">EXP(-$D$7*(B17-0.5))</f>
        <v>0.86814010562978772</v>
      </c>
      <c r="D17" s="128" t="e">
        <f t="shared" ref="D17:D35" si="1">-$D$10*(1-C17)</f>
        <v>#VALUE!</v>
      </c>
      <c r="E17" s="128" t="e">
        <f t="shared" ref="E17:E35" si="2">$D$10+D17</f>
        <v>#VALUE!</v>
      </c>
    </row>
    <row r="18" spans="2:5" x14ac:dyDescent="0.2">
      <c r="B18" s="62">
        <v>3</v>
      </c>
      <c r="C18" s="127">
        <f t="shared" si="0"/>
        <v>0.79004112686575645</v>
      </c>
      <c r="D18" s="128" t="e">
        <f t="shared" si="1"/>
        <v>#VALUE!</v>
      </c>
      <c r="E18" s="128" t="e">
        <f t="shared" si="2"/>
        <v>#VALUE!</v>
      </c>
    </row>
    <row r="19" spans="2:5" x14ac:dyDescent="0.2">
      <c r="B19" s="62">
        <v>4</v>
      </c>
      <c r="C19" s="127">
        <f t="shared" si="0"/>
        <v>0.71896803072646565</v>
      </c>
      <c r="D19" s="128" t="e">
        <f t="shared" si="1"/>
        <v>#VALUE!</v>
      </c>
      <c r="E19" s="128" t="e">
        <f t="shared" si="2"/>
        <v>#VALUE!</v>
      </c>
    </row>
    <row r="20" spans="2:5" x14ac:dyDescent="0.2">
      <c r="B20" s="62">
        <v>5</v>
      </c>
      <c r="C20" s="127">
        <f t="shared" si="0"/>
        <v>0.6542887599502476</v>
      </c>
      <c r="D20" s="128" t="e">
        <f t="shared" si="1"/>
        <v>#VALUE!</v>
      </c>
      <c r="E20" s="128" t="e">
        <f t="shared" si="2"/>
        <v>#VALUE!</v>
      </c>
    </row>
    <row r="21" spans="2:5" x14ac:dyDescent="0.2">
      <c r="B21" s="62">
        <v>6</v>
      </c>
      <c r="C21" s="127">
        <f t="shared" si="0"/>
        <v>0.59542811794381822</v>
      </c>
      <c r="D21" s="128" t="e">
        <f t="shared" si="1"/>
        <v>#VALUE!</v>
      </c>
      <c r="E21" s="128" t="e">
        <f t="shared" si="2"/>
        <v>#VALUE!</v>
      </c>
    </row>
    <row r="22" spans="2:5" x14ac:dyDescent="0.2">
      <c r="B22" s="62">
        <v>7</v>
      </c>
      <c r="C22" s="127">
        <f t="shared" si="0"/>
        <v>0.54186265352483898</v>
      </c>
      <c r="D22" s="128" t="e">
        <f t="shared" si="1"/>
        <v>#VALUE!</v>
      </c>
      <c r="E22" s="128" t="e">
        <f t="shared" si="2"/>
        <v>#VALUE!</v>
      </c>
    </row>
    <row r="23" spans="2:5" x14ac:dyDescent="0.2">
      <c r="B23" s="62">
        <v>8</v>
      </c>
      <c r="C23" s="127">
        <f t="shared" si="0"/>
        <v>0.49311600583948867</v>
      </c>
      <c r="D23" s="128" t="e">
        <f t="shared" si="1"/>
        <v>#VALUE!</v>
      </c>
      <c r="E23" s="128" t="e">
        <f t="shared" si="2"/>
        <v>#VALUE!</v>
      </c>
    </row>
    <row r="24" spans="2:5" x14ac:dyDescent="0.2">
      <c r="B24" s="62">
        <v>9</v>
      </c>
      <c r="C24" s="127">
        <f t="shared" si="0"/>
        <v>0.44875466805712244</v>
      </c>
      <c r="D24" s="128" t="e">
        <f t="shared" si="1"/>
        <v>#VALUE!</v>
      </c>
      <c r="E24" s="128" t="e">
        <f t="shared" si="2"/>
        <v>#VALUE!</v>
      </c>
    </row>
    <row r="25" spans="2:5" x14ac:dyDescent="0.2">
      <c r="B25" s="62">
        <v>10</v>
      </c>
      <c r="C25" s="127">
        <f t="shared" si="0"/>
        <v>0.40838413216830038</v>
      </c>
      <c r="D25" s="128" t="e">
        <f t="shared" si="1"/>
        <v>#VALUE!</v>
      </c>
      <c r="E25" s="128" t="e">
        <f t="shared" si="2"/>
        <v>#VALUE!</v>
      </c>
    </row>
    <row r="26" spans="2:5" x14ac:dyDescent="0.2">
      <c r="B26" s="62">
        <v>11</v>
      </c>
      <c r="C26" s="127">
        <f t="shared" si="0"/>
        <v>0.37164538060164887</v>
      </c>
      <c r="D26" s="128" t="e">
        <f t="shared" si="1"/>
        <v>#VALUE!</v>
      </c>
      <c r="E26" s="128" t="e">
        <f t="shared" si="2"/>
        <v>#VALUE!</v>
      </c>
    </row>
    <row r="27" spans="2:5" x14ac:dyDescent="0.2">
      <c r="B27" s="62">
        <v>12</v>
      </c>
      <c r="C27" s="127">
        <f t="shared" si="0"/>
        <v>0.33821169345929253</v>
      </c>
      <c r="D27" s="128" t="e">
        <f t="shared" si="1"/>
        <v>#VALUE!</v>
      </c>
      <c r="E27" s="128" t="e">
        <f t="shared" si="2"/>
        <v>#VALUE!</v>
      </c>
    </row>
    <row r="28" spans="2:5" x14ac:dyDescent="0.2">
      <c r="B28" s="62">
        <v>13</v>
      </c>
      <c r="C28" s="127">
        <f t="shared" si="0"/>
        <v>0.30778574297741446</v>
      </c>
      <c r="D28" s="128" t="e">
        <f t="shared" si="1"/>
        <v>#VALUE!</v>
      </c>
      <c r="E28" s="128" t="e">
        <f t="shared" si="2"/>
        <v>#VALUE!</v>
      </c>
    </row>
    <row r="29" spans="2:5" x14ac:dyDescent="0.2">
      <c r="B29" s="62">
        <v>14</v>
      </c>
      <c r="C29" s="127">
        <f t="shared" si="0"/>
        <v>0.28009694937280771</v>
      </c>
      <c r="D29" s="128" t="e">
        <f t="shared" si="1"/>
        <v>#VALUE!</v>
      </c>
      <c r="E29" s="128" t="e">
        <f t="shared" si="2"/>
        <v>#VALUE!</v>
      </c>
    </row>
    <row r="30" spans="2:5" x14ac:dyDescent="0.2">
      <c r="B30" s="62">
        <v>15</v>
      </c>
      <c r="C30" s="127">
        <f t="shared" si="0"/>
        <v>0.25489907456080657</v>
      </c>
      <c r="D30" s="128" t="e">
        <f t="shared" si="1"/>
        <v>#VALUE!</v>
      </c>
      <c r="E30" s="128" t="e">
        <f t="shared" si="2"/>
        <v>#VALUE!</v>
      </c>
    </row>
    <row r="31" spans="2:5" x14ac:dyDescent="0.2">
      <c r="B31" s="62">
        <v>16</v>
      </c>
      <c r="C31" s="127">
        <f t="shared" si="0"/>
        <v>0.23196803234538682</v>
      </c>
      <c r="D31" s="128" t="e">
        <f t="shared" si="1"/>
        <v>#VALUE!</v>
      </c>
      <c r="E31" s="128" t="e">
        <f t="shared" si="2"/>
        <v>#VALUE!</v>
      </c>
    </row>
    <row r="32" spans="2:5" x14ac:dyDescent="0.2">
      <c r="B32" s="62">
        <v>17</v>
      </c>
      <c r="C32" s="127">
        <f t="shared" si="0"/>
        <v>0.21109989560732662</v>
      </c>
      <c r="D32" s="128" t="e">
        <f t="shared" si="1"/>
        <v>#VALUE!</v>
      </c>
      <c r="E32" s="128" t="e">
        <f t="shared" si="2"/>
        <v>#VALUE!</v>
      </c>
    </row>
    <row r="33" spans="2:5" x14ac:dyDescent="0.2">
      <c r="B33" s="62">
        <v>18</v>
      </c>
      <c r="C33" s="127">
        <f t="shared" si="0"/>
        <v>0.19210908276823352</v>
      </c>
      <c r="D33" s="128" t="e">
        <f t="shared" si="1"/>
        <v>#VALUE!</v>
      </c>
      <c r="E33" s="128" t="e">
        <f t="shared" si="2"/>
        <v>#VALUE!</v>
      </c>
    </row>
    <row r="34" spans="2:5" x14ac:dyDescent="0.2">
      <c r="B34" s="62">
        <v>19</v>
      </c>
      <c r="C34" s="127">
        <f t="shared" si="0"/>
        <v>0.17482670740255501</v>
      </c>
      <c r="D34" s="128" t="e">
        <f t="shared" si="1"/>
        <v>#VALUE!</v>
      </c>
      <c r="E34" s="128" t="e">
        <f t="shared" si="2"/>
        <v>#VALUE!</v>
      </c>
    </row>
    <row r="35" spans="2:5" x14ac:dyDescent="0.2">
      <c r="B35" s="62">
        <v>20</v>
      </c>
      <c r="C35" s="127">
        <f t="shared" si="0"/>
        <v>0.15909907632057363</v>
      </c>
      <c r="D35" s="128" t="e">
        <f t="shared" si="1"/>
        <v>#VALUE!</v>
      </c>
      <c r="E35" s="128" t="e">
        <f t="shared" si="2"/>
        <v>#VALUE!</v>
      </c>
    </row>
    <row r="36" spans="2:5" x14ac:dyDescent="0.2">
      <c r="C36" s="127"/>
      <c r="D36" s="128"/>
      <c r="E36" s="128"/>
    </row>
    <row r="37" spans="2:5" x14ac:dyDescent="0.2">
      <c r="C37" s="127"/>
      <c r="D37" s="128"/>
      <c r="E37" s="128"/>
    </row>
    <row r="38" spans="2:5" x14ac:dyDescent="0.2">
      <c r="C38" s="127"/>
      <c r="D38" s="128"/>
      <c r="E38" s="128"/>
    </row>
    <row r="39" spans="2:5" x14ac:dyDescent="0.2">
      <c r="C39" s="127"/>
      <c r="D39" s="128"/>
      <c r="E39" s="128"/>
    </row>
    <row r="40" spans="2:5" x14ac:dyDescent="0.2">
      <c r="C40" s="127"/>
      <c r="D40" s="128"/>
      <c r="E40" s="128"/>
    </row>
    <row r="41" spans="2:5" x14ac:dyDescent="0.2">
      <c r="C41" s="127"/>
      <c r="D41" s="128"/>
      <c r="E41" s="128"/>
    </row>
    <row r="42" spans="2:5" x14ac:dyDescent="0.2">
      <c r="C42" s="127"/>
      <c r="D42" s="128"/>
      <c r="E42" s="128"/>
    </row>
    <row r="43" spans="2:5" x14ac:dyDescent="0.2">
      <c r="C43" s="127"/>
      <c r="D43" s="128"/>
      <c r="E43" s="128"/>
    </row>
    <row r="44" spans="2:5" x14ac:dyDescent="0.2">
      <c r="C44" s="127"/>
      <c r="D44" s="128"/>
      <c r="E44" s="128"/>
    </row>
    <row r="45" spans="2:5" x14ac:dyDescent="0.2">
      <c r="C45" s="127"/>
      <c r="D45" s="128"/>
      <c r="E45" s="128"/>
    </row>
  </sheetData>
  <sheetProtection algorithmName="SHA-512" hashValue="s90nikJ0CThylG1qbxKQs4tQc1Wz2M5E63WPkIdCK+YdldxGD3CBX1EnQI6xlhwle/hHvj7mSsVLSomMwfMwIg==" saltValue="55srlmbfEO3bLvib04mFug==" spinCount="100000" sheet="1" objects="1" scenarios="1"/>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F45"/>
  <sheetViews>
    <sheetView workbookViewId="0"/>
  </sheetViews>
  <sheetFormatPr defaultColWidth="9.140625" defaultRowHeight="12.75" x14ac:dyDescent="0.2"/>
  <cols>
    <col min="1" max="1" width="3.85546875" style="62" customWidth="1"/>
    <col min="2" max="3" width="9.140625" style="62"/>
    <col min="4" max="5" width="9.140625" style="62" customWidth="1"/>
    <col min="6" max="16384" width="9.140625" style="62"/>
  </cols>
  <sheetData>
    <row r="2" spans="2:6" x14ac:dyDescent="0.2">
      <c r="B2" s="61" t="s">
        <v>57</v>
      </c>
    </row>
    <row r="3" spans="2:6" x14ac:dyDescent="0.2">
      <c r="B3" s="61" t="s">
        <v>137</v>
      </c>
    </row>
    <row r="5" spans="2:6" x14ac:dyDescent="0.2">
      <c r="B5" s="61" t="s">
        <v>117</v>
      </c>
    </row>
    <row r="7" spans="2:6" x14ac:dyDescent="0.2">
      <c r="E7" s="130"/>
    </row>
    <row r="8" spans="2:6" x14ac:dyDescent="0.2">
      <c r="C8" s="118" t="s">
        <v>2</v>
      </c>
      <c r="D8" s="122" t="str">
        <f>'GHG Analysis'!E38</f>
        <v>-</v>
      </c>
    </row>
    <row r="9" spans="2:6" x14ac:dyDescent="0.2">
      <c r="C9" s="123" t="s">
        <v>120</v>
      </c>
      <c r="D9" s="62">
        <v>-1</v>
      </c>
    </row>
    <row r="10" spans="2:6" x14ac:dyDescent="0.2">
      <c r="C10" s="118" t="s">
        <v>5</v>
      </c>
      <c r="D10" s="124" t="e">
        <f>-D9/('GHG Model - Forest Thinnings'!$D$8-1)</f>
        <v>#VALUE!</v>
      </c>
    </row>
    <row r="12" spans="2:6" x14ac:dyDescent="0.2">
      <c r="B12" s="118"/>
    </row>
    <row r="13" spans="2:6" x14ac:dyDescent="0.2">
      <c r="B13" s="61" t="s">
        <v>58</v>
      </c>
    </row>
    <row r="14" spans="2:6" x14ac:dyDescent="0.2">
      <c r="B14" s="118"/>
    </row>
    <row r="15" spans="2:6" ht="25.5" x14ac:dyDescent="0.2">
      <c r="B15" s="125" t="s">
        <v>115</v>
      </c>
      <c r="C15" s="125" t="s">
        <v>116</v>
      </c>
      <c r="D15" s="126" t="s">
        <v>114</v>
      </c>
      <c r="E15" s="126" t="s">
        <v>3</v>
      </c>
      <c r="F15" s="126"/>
    </row>
    <row r="16" spans="2:6" x14ac:dyDescent="0.2">
      <c r="B16" s="62">
        <v>1</v>
      </c>
      <c r="C16" s="129">
        <f>Parameters!$C$42*EXP(Parameters!$D$42*B16)</f>
        <v>1.1104937980855236</v>
      </c>
      <c r="D16" s="127" t="e">
        <f t="shared" ref="D16:D35" si="0">-$D$10*(1-C16)</f>
        <v>#VALUE!</v>
      </c>
      <c r="E16" s="127" t="e">
        <f t="shared" ref="E16:E35" si="1">$D$10+D16</f>
        <v>#VALUE!</v>
      </c>
    </row>
    <row r="17" spans="2:5" x14ac:dyDescent="0.2">
      <c r="B17" s="62">
        <v>2</v>
      </c>
      <c r="C17" s="129">
        <f>Parameters!$C$42*EXP(Parameters!$D$42*B17)</f>
        <v>1.0972475091969141</v>
      </c>
      <c r="D17" s="127" t="e">
        <f t="shared" si="0"/>
        <v>#VALUE!</v>
      </c>
      <c r="E17" s="127" t="e">
        <f t="shared" si="1"/>
        <v>#VALUE!</v>
      </c>
    </row>
    <row r="18" spans="2:5" x14ac:dyDescent="0.2">
      <c r="B18" s="62">
        <v>3</v>
      </c>
      <c r="C18" s="129">
        <f>Parameters!$C$42*EXP(Parameters!$D$42*B18)</f>
        <v>1.084159225845682</v>
      </c>
      <c r="D18" s="127" t="e">
        <f t="shared" si="0"/>
        <v>#VALUE!</v>
      </c>
      <c r="E18" s="127" t="e">
        <f t="shared" si="1"/>
        <v>#VALUE!</v>
      </c>
    </row>
    <row r="19" spans="2:5" x14ac:dyDescent="0.2">
      <c r="B19" s="62">
        <v>4</v>
      </c>
      <c r="C19" s="129">
        <f>Parameters!$C$42*EXP(Parameters!$D$42*B19)</f>
        <v>1.0712270632964074</v>
      </c>
      <c r="D19" s="127" t="e">
        <f t="shared" si="0"/>
        <v>#VALUE!</v>
      </c>
      <c r="E19" s="127" t="e">
        <f t="shared" si="1"/>
        <v>#VALUE!</v>
      </c>
    </row>
    <row r="20" spans="2:5" x14ac:dyDescent="0.2">
      <c r="B20" s="62">
        <v>5</v>
      </c>
      <c r="C20" s="129">
        <f>Parameters!$C$42*EXP(Parameters!$D$42*B20)</f>
        <v>1.0584491592953371</v>
      </c>
      <c r="D20" s="127" t="e">
        <f t="shared" si="0"/>
        <v>#VALUE!</v>
      </c>
      <c r="E20" s="127" t="e">
        <f t="shared" si="1"/>
        <v>#VALUE!</v>
      </c>
    </row>
    <row r="21" spans="2:5" x14ac:dyDescent="0.2">
      <c r="B21" s="62">
        <v>6</v>
      </c>
      <c r="C21" s="129">
        <f>Parameters!$C$42*EXP(Parameters!$D$42*B21)</f>
        <v>1.045823673802214</v>
      </c>
      <c r="D21" s="127" t="e">
        <f t="shared" si="0"/>
        <v>#VALUE!</v>
      </c>
      <c r="E21" s="127" t="e">
        <f t="shared" si="1"/>
        <v>#VALUE!</v>
      </c>
    </row>
    <row r="22" spans="2:5" x14ac:dyDescent="0.2">
      <c r="B22" s="62">
        <v>7</v>
      </c>
      <c r="C22" s="129">
        <f>Parameters!$C$42*EXP(Parameters!$D$42*B22)</f>
        <v>1.0333487887253106</v>
      </c>
      <c r="D22" s="127" t="e">
        <f t="shared" si="0"/>
        <v>#VALUE!</v>
      </c>
      <c r="E22" s="127" t="e">
        <f t="shared" si="1"/>
        <v>#VALUE!</v>
      </c>
    </row>
    <row r="23" spans="2:5" x14ac:dyDescent="0.2">
      <c r="B23" s="62">
        <v>8</v>
      </c>
      <c r="C23" s="129">
        <f>Parameters!$C$42*EXP(Parameters!$D$42*B23)</f>
        <v>1.0210227076596188</v>
      </c>
      <c r="D23" s="127" t="e">
        <f t="shared" si="0"/>
        <v>#VALUE!</v>
      </c>
      <c r="E23" s="127" t="e">
        <f t="shared" si="1"/>
        <v>#VALUE!</v>
      </c>
    </row>
    <row r="24" spans="2:5" x14ac:dyDescent="0.2">
      <c r="B24" s="62">
        <v>9</v>
      </c>
      <c r="C24" s="129">
        <f>Parameters!$C$42*EXP(Parameters!$D$42*B24)</f>
        <v>1.0088436556281657</v>
      </c>
      <c r="D24" s="127" t="e">
        <f t="shared" si="0"/>
        <v>#VALUE!</v>
      </c>
      <c r="E24" s="127" t="e">
        <f t="shared" si="1"/>
        <v>#VALUE!</v>
      </c>
    </row>
    <row r="25" spans="2:5" x14ac:dyDescent="0.2">
      <c r="B25" s="62">
        <v>10</v>
      </c>
      <c r="C25" s="129">
        <f>Parameters!$C$42*EXP(Parameters!$D$42*B25)</f>
        <v>0.99680987882641325</v>
      </c>
      <c r="D25" s="127" t="e">
        <f t="shared" si="0"/>
        <v>#VALUE!</v>
      </c>
      <c r="E25" s="127" t="e">
        <f t="shared" si="1"/>
        <v>#VALUE!</v>
      </c>
    </row>
    <row r="26" spans="2:5" x14ac:dyDescent="0.2">
      <c r="B26" s="62">
        <v>11</v>
      </c>
      <c r="C26" s="129">
        <f>Parameters!$C$42*EXP(Parameters!$D$42*B26)</f>
        <v>0.98491964436970747</v>
      </c>
      <c r="D26" s="127" t="e">
        <f t="shared" si="0"/>
        <v>#VALUE!</v>
      </c>
      <c r="E26" s="127" t="e">
        <f t="shared" si="1"/>
        <v>#VALUE!</v>
      </c>
    </row>
    <row r="27" spans="2:5" x14ac:dyDescent="0.2">
      <c r="B27" s="62">
        <v>12</v>
      </c>
      <c r="C27" s="129">
        <f>Parameters!$C$42*EXP(Parameters!$D$42*B27)</f>
        <v>0.97317124004374045</v>
      </c>
      <c r="D27" s="127" t="e">
        <f t="shared" si="0"/>
        <v>#VALUE!</v>
      </c>
      <c r="E27" s="127" t="e">
        <f t="shared" si="1"/>
        <v>#VALUE!</v>
      </c>
    </row>
    <row r="28" spans="2:5" x14ac:dyDescent="0.2">
      <c r="B28" s="62">
        <v>13</v>
      </c>
      <c r="C28" s="129">
        <f>Parameters!$C$42*EXP(Parameters!$D$42*B28)</f>
        <v>0.96156297405798752</v>
      </c>
      <c r="D28" s="127" t="e">
        <f t="shared" si="0"/>
        <v>#VALUE!</v>
      </c>
      <c r="E28" s="127" t="e">
        <f t="shared" si="1"/>
        <v>#VALUE!</v>
      </c>
    </row>
    <row r="29" spans="2:5" x14ac:dyDescent="0.2">
      <c r="B29" s="62">
        <v>14</v>
      </c>
      <c r="C29" s="129">
        <f>Parameters!$C$42*EXP(Parameters!$D$42*B29)</f>
        <v>0.95009317480208788</v>
      </c>
      <c r="D29" s="127" t="e">
        <f t="shared" si="0"/>
        <v>#VALUE!</v>
      </c>
      <c r="E29" s="127" t="e">
        <f t="shared" si="1"/>
        <v>#VALUE!</v>
      </c>
    </row>
    <row r="30" spans="2:5" x14ac:dyDescent="0.2">
      <c r="B30" s="62">
        <v>15</v>
      </c>
      <c r="C30" s="129">
        <f>Parameters!$C$42*EXP(Parameters!$D$42*B30)</f>
        <v>0.9387601906051285</v>
      </c>
      <c r="D30" s="127" t="e">
        <f t="shared" si="0"/>
        <v>#VALUE!</v>
      </c>
      <c r="E30" s="127" t="e">
        <f t="shared" si="1"/>
        <v>#VALUE!</v>
      </c>
    </row>
    <row r="31" spans="2:5" x14ac:dyDescent="0.2">
      <c r="B31" s="62">
        <v>16</v>
      </c>
      <c r="C31" s="129">
        <f>Parameters!$C$42*EXP(Parameters!$D$42*B31)</f>
        <v>0.92756238949780168</v>
      </c>
      <c r="D31" s="127" t="e">
        <f t="shared" si="0"/>
        <v>#VALUE!</v>
      </c>
      <c r="E31" s="127" t="e">
        <f t="shared" si="1"/>
        <v>#VALUE!</v>
      </c>
    </row>
    <row r="32" spans="2:5" x14ac:dyDescent="0.2">
      <c r="B32" s="62">
        <v>17</v>
      </c>
      <c r="C32" s="129">
        <f>Parameters!$C$42*EXP(Parameters!$D$42*B32)</f>
        <v>0.91649815897739817</v>
      </c>
      <c r="D32" s="127" t="e">
        <f t="shared" si="0"/>
        <v>#VALUE!</v>
      </c>
      <c r="E32" s="127" t="e">
        <f t="shared" si="1"/>
        <v>#VALUE!</v>
      </c>
    </row>
    <row r="33" spans="2:5" x14ac:dyDescent="0.2">
      <c r="B33" s="62">
        <v>18</v>
      </c>
      <c r="C33" s="129">
        <f>Parameters!$C$42*EXP(Parameters!$D$42*B33)</f>
        <v>0.9055659057756037</v>
      </c>
      <c r="D33" s="127" t="e">
        <f t="shared" si="0"/>
        <v>#VALUE!</v>
      </c>
      <c r="E33" s="127" t="e">
        <f t="shared" si="1"/>
        <v>#VALUE!</v>
      </c>
    </row>
    <row r="34" spans="2:5" x14ac:dyDescent="0.2">
      <c r="B34" s="62">
        <v>19</v>
      </c>
      <c r="C34" s="129">
        <f>Parameters!$C$42*EXP(Parameters!$D$42*B34)</f>
        <v>0.89476405562906636</v>
      </c>
      <c r="D34" s="127" t="e">
        <f t="shared" si="0"/>
        <v>#VALUE!</v>
      </c>
      <c r="E34" s="127" t="e">
        <f t="shared" si="1"/>
        <v>#VALUE!</v>
      </c>
    </row>
    <row r="35" spans="2:5" x14ac:dyDescent="0.2">
      <c r="B35" s="62">
        <v>20</v>
      </c>
      <c r="C35" s="129">
        <f>Parameters!$C$42*EXP(Parameters!$D$42*B35)</f>
        <v>0.88409105305269942</v>
      </c>
      <c r="D35" s="127" t="e">
        <f t="shared" si="0"/>
        <v>#VALUE!</v>
      </c>
      <c r="E35" s="127" t="e">
        <f t="shared" si="1"/>
        <v>#VALUE!</v>
      </c>
    </row>
    <row r="36" spans="2:5" x14ac:dyDescent="0.2">
      <c r="C36" s="129"/>
      <c r="D36" s="127"/>
      <c r="E36" s="127"/>
    </row>
    <row r="37" spans="2:5" x14ac:dyDescent="0.2">
      <c r="C37" s="129"/>
      <c r="D37" s="127"/>
      <c r="E37" s="127"/>
    </row>
    <row r="38" spans="2:5" x14ac:dyDescent="0.2">
      <c r="C38" s="129"/>
      <c r="D38" s="127"/>
      <c r="E38" s="127"/>
    </row>
    <row r="39" spans="2:5" x14ac:dyDescent="0.2">
      <c r="C39" s="129"/>
      <c r="D39" s="127"/>
      <c r="E39" s="127"/>
    </row>
    <row r="40" spans="2:5" x14ac:dyDescent="0.2">
      <c r="C40" s="129"/>
      <c r="D40" s="127"/>
      <c r="E40" s="127"/>
    </row>
    <row r="41" spans="2:5" x14ac:dyDescent="0.2">
      <c r="C41" s="129"/>
      <c r="D41" s="127"/>
      <c r="E41" s="127"/>
    </row>
    <row r="42" spans="2:5" x14ac:dyDescent="0.2">
      <c r="C42" s="129"/>
      <c r="D42" s="127"/>
      <c r="E42" s="127"/>
    </row>
    <row r="43" spans="2:5" x14ac:dyDescent="0.2">
      <c r="C43" s="129"/>
      <c r="D43" s="127"/>
      <c r="E43" s="127"/>
    </row>
    <row r="44" spans="2:5" x14ac:dyDescent="0.2">
      <c r="C44" s="129"/>
      <c r="D44" s="127"/>
      <c r="E44" s="127"/>
    </row>
    <row r="45" spans="2:5" x14ac:dyDescent="0.2">
      <c r="C45" s="129"/>
      <c r="D45" s="127"/>
      <c r="E45" s="127"/>
    </row>
  </sheetData>
  <sheetProtection algorithmName="SHA-512" hashValue="Y3aZAftu0jyXuxxSwulQuIvBMQXjUSUjPQrvpb+3NGJuCO1fbL5pxuMGk9XXFWpmC7JLiQnabG6HGnKkGAEiyQ==" saltValue="8Ec4b/AwOmPXc7VQYkS8lg==" spinCount="100000" sheet="1" objects="1" scenarios="1"/>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202B-D859-4C77-9E9A-9753FE66A0FA}">
  <dimension ref="B1:V157"/>
  <sheetViews>
    <sheetView topLeftCell="B1" zoomScale="85" zoomScaleNormal="85" workbookViewId="0">
      <selection activeCell="B1" sqref="B1"/>
    </sheetView>
  </sheetViews>
  <sheetFormatPr defaultColWidth="9.140625" defaultRowHeight="15" x14ac:dyDescent="0.25"/>
  <cols>
    <col min="1" max="1" width="2.140625" style="136" customWidth="1"/>
    <col min="2" max="2" width="4.7109375" style="136" customWidth="1"/>
    <col min="3" max="3" width="3.28515625" style="136" customWidth="1"/>
    <col min="4" max="4" width="20.28515625" style="136" customWidth="1"/>
    <col min="5" max="5" width="9.5703125" style="136" bestFit="1" customWidth="1"/>
    <col min="6" max="14" width="9.140625" style="136"/>
    <col min="15" max="16" width="13.28515625" style="136" customWidth="1"/>
    <col min="17" max="16384" width="9.140625" style="136"/>
  </cols>
  <sheetData>
    <row r="1" spans="2:10" x14ac:dyDescent="0.25">
      <c r="D1" s="137"/>
    </row>
    <row r="2" spans="2:10" ht="21" x14ac:dyDescent="0.35">
      <c r="B2" s="138" t="s">
        <v>145</v>
      </c>
    </row>
    <row r="4" spans="2:10" ht="18.75" x14ac:dyDescent="0.3">
      <c r="D4" s="139" t="s">
        <v>122</v>
      </c>
      <c r="F4" s="140" t="s">
        <v>135</v>
      </c>
    </row>
    <row r="5" spans="2:10" x14ac:dyDescent="0.25">
      <c r="D5" s="141" t="s">
        <v>133</v>
      </c>
      <c r="E5" s="136">
        <v>0</v>
      </c>
      <c r="F5" s="136">
        <v>10</v>
      </c>
      <c r="G5" s="136">
        <v>20</v>
      </c>
      <c r="H5" s="136">
        <v>30</v>
      </c>
      <c r="I5" s="136">
        <v>40</v>
      </c>
      <c r="J5" s="136">
        <v>50</v>
      </c>
    </row>
    <row r="6" spans="2:10" x14ac:dyDescent="0.25">
      <c r="C6" s="142" t="s">
        <v>130</v>
      </c>
    </row>
    <row r="7" spans="2:10" x14ac:dyDescent="0.25">
      <c r="C7" s="136" t="s">
        <v>123</v>
      </c>
    </row>
    <row r="8" spans="2:10" x14ac:dyDescent="0.25">
      <c r="D8" s="140" t="s">
        <v>125</v>
      </c>
      <c r="E8" s="136">
        <v>0</v>
      </c>
      <c r="F8" s="136">
        <v>0.11</v>
      </c>
      <c r="G8" s="136">
        <v>0.3</v>
      </c>
      <c r="H8" s="136">
        <v>0.47</v>
      </c>
      <c r="I8" s="136">
        <v>0.53</v>
      </c>
      <c r="J8" s="136">
        <v>0.53</v>
      </c>
    </row>
    <row r="9" spans="2:10" x14ac:dyDescent="0.25">
      <c r="D9" s="140" t="s">
        <v>126</v>
      </c>
      <c r="E9" s="136">
        <v>0</v>
      </c>
      <c r="F9" s="136">
        <v>0.28000000000000003</v>
      </c>
      <c r="G9" s="136">
        <v>0.41</v>
      </c>
      <c r="H9" s="136">
        <v>0.54</v>
      </c>
      <c r="I9" s="136">
        <v>0.63</v>
      </c>
      <c r="J9" s="136">
        <v>0.68</v>
      </c>
    </row>
    <row r="10" spans="2:10" x14ac:dyDescent="0.25">
      <c r="C10" s="136" t="s">
        <v>127</v>
      </c>
    </row>
    <row r="11" spans="2:10" x14ac:dyDescent="0.25">
      <c r="D11" s="140" t="s">
        <v>125</v>
      </c>
      <c r="E11" s="136">
        <v>0</v>
      </c>
      <c r="F11" s="136">
        <v>-0.09</v>
      </c>
      <c r="G11" s="136">
        <v>0.11</v>
      </c>
      <c r="H11" s="136">
        <v>0.31</v>
      </c>
      <c r="I11" s="136">
        <v>0.38</v>
      </c>
      <c r="J11" s="136">
        <v>0.38</v>
      </c>
    </row>
    <row r="12" spans="2:10" x14ac:dyDescent="0.25">
      <c r="D12" s="140" t="s">
        <v>126</v>
      </c>
      <c r="E12" s="136">
        <v>0</v>
      </c>
      <c r="F12" s="136">
        <v>-0.12</v>
      </c>
      <c r="G12" s="136">
        <v>-0.04</v>
      </c>
      <c r="H12" s="136">
        <v>0.16</v>
      </c>
      <c r="I12" s="136">
        <v>0.31</v>
      </c>
      <c r="J12" s="136">
        <v>0.39</v>
      </c>
    </row>
    <row r="13" spans="2:10" x14ac:dyDescent="0.25">
      <c r="C13" s="136" t="s">
        <v>128</v>
      </c>
    </row>
    <row r="14" spans="2:10" x14ac:dyDescent="0.25">
      <c r="D14" s="140" t="s">
        <v>125</v>
      </c>
      <c r="E14" s="136">
        <v>0</v>
      </c>
      <c r="F14" s="136">
        <v>0.68</v>
      </c>
      <c r="G14" s="136">
        <v>0.87</v>
      </c>
      <c r="H14" s="136">
        <v>0.93</v>
      </c>
      <c r="I14" s="136">
        <v>0.96</v>
      </c>
      <c r="J14" s="136">
        <v>0.97</v>
      </c>
    </row>
    <row r="15" spans="2:10" x14ac:dyDescent="0.25">
      <c r="D15" s="140" t="s">
        <v>126</v>
      </c>
      <c r="E15" s="136">
        <v>0</v>
      </c>
      <c r="F15" s="136">
        <v>0.68</v>
      </c>
      <c r="G15" s="136">
        <v>0.87</v>
      </c>
      <c r="H15" s="136">
        <v>0.93</v>
      </c>
      <c r="I15" s="136">
        <v>0.96</v>
      </c>
      <c r="J15" s="136">
        <v>0.97</v>
      </c>
    </row>
    <row r="16" spans="2:10" x14ac:dyDescent="0.25">
      <c r="D16" s="140"/>
    </row>
    <row r="17" spans="3:14" x14ac:dyDescent="0.25">
      <c r="C17" s="142" t="s">
        <v>129</v>
      </c>
    </row>
    <row r="18" spans="3:14" x14ac:dyDescent="0.25">
      <c r="C18" s="136" t="s">
        <v>123</v>
      </c>
    </row>
    <row r="19" spans="3:14" x14ac:dyDescent="0.25">
      <c r="D19" s="140" t="s">
        <v>125</v>
      </c>
      <c r="E19" s="136">
        <f>1-E8</f>
        <v>1</v>
      </c>
      <c r="F19" s="136">
        <f t="shared" ref="F19:J20" si="0">1-F8</f>
        <v>0.89</v>
      </c>
      <c r="G19" s="136">
        <f t="shared" si="0"/>
        <v>0.7</v>
      </c>
      <c r="H19" s="136">
        <f t="shared" si="0"/>
        <v>0.53</v>
      </c>
      <c r="I19" s="136">
        <f t="shared" si="0"/>
        <v>0.47</v>
      </c>
      <c r="J19" s="136">
        <f t="shared" si="0"/>
        <v>0.47</v>
      </c>
    </row>
    <row r="20" spans="3:14" x14ac:dyDescent="0.25">
      <c r="D20" s="140" t="s">
        <v>126</v>
      </c>
      <c r="E20" s="136">
        <f>1-E9</f>
        <v>1</v>
      </c>
      <c r="F20" s="136">
        <f t="shared" si="0"/>
        <v>0.72</v>
      </c>
      <c r="G20" s="136">
        <f t="shared" si="0"/>
        <v>0.59000000000000008</v>
      </c>
      <c r="H20" s="136">
        <f t="shared" si="0"/>
        <v>0.45999999999999996</v>
      </c>
      <c r="I20" s="136">
        <f t="shared" si="0"/>
        <v>0.37</v>
      </c>
      <c r="J20" s="136">
        <f t="shared" si="0"/>
        <v>0.31999999999999995</v>
      </c>
    </row>
    <row r="21" spans="3:14" x14ac:dyDescent="0.25">
      <c r="C21" s="136" t="s">
        <v>127</v>
      </c>
    </row>
    <row r="22" spans="3:14" x14ac:dyDescent="0.25">
      <c r="D22" s="140" t="s">
        <v>125</v>
      </c>
      <c r="E22" s="136">
        <f>1-E11</f>
        <v>1</v>
      </c>
      <c r="F22" s="136">
        <f t="shared" ref="F22:J23" si="1">1-F11</f>
        <v>1.0900000000000001</v>
      </c>
      <c r="G22" s="136">
        <f t="shared" si="1"/>
        <v>0.89</v>
      </c>
      <c r="H22" s="136">
        <f t="shared" si="1"/>
        <v>0.69</v>
      </c>
      <c r="I22" s="136">
        <f t="shared" si="1"/>
        <v>0.62</v>
      </c>
      <c r="J22" s="136">
        <f t="shared" si="1"/>
        <v>0.62</v>
      </c>
    </row>
    <row r="23" spans="3:14" x14ac:dyDescent="0.25">
      <c r="D23" s="140" t="s">
        <v>126</v>
      </c>
      <c r="E23" s="136">
        <f>1-E12</f>
        <v>1</v>
      </c>
      <c r="F23" s="136">
        <f t="shared" si="1"/>
        <v>1.1200000000000001</v>
      </c>
      <c r="G23" s="136">
        <f t="shared" si="1"/>
        <v>1.04</v>
      </c>
      <c r="H23" s="136">
        <f t="shared" si="1"/>
        <v>0.84</v>
      </c>
      <c r="I23" s="136">
        <f t="shared" si="1"/>
        <v>0.69</v>
      </c>
      <c r="J23" s="136">
        <f t="shared" si="1"/>
        <v>0.61</v>
      </c>
    </row>
    <row r="24" spans="3:14" x14ac:dyDescent="0.25">
      <c r="C24" s="136" t="s">
        <v>128</v>
      </c>
    </row>
    <row r="25" spans="3:14" x14ac:dyDescent="0.25">
      <c r="D25" s="140" t="s">
        <v>125</v>
      </c>
      <c r="E25" s="136">
        <f>1-E14</f>
        <v>1</v>
      </c>
      <c r="F25" s="136">
        <f>1-F14</f>
        <v>0.31999999999999995</v>
      </c>
      <c r="G25" s="136">
        <f t="shared" ref="G25:J26" si="2">1-G14</f>
        <v>0.13</v>
      </c>
      <c r="H25" s="136">
        <f t="shared" si="2"/>
        <v>6.9999999999999951E-2</v>
      </c>
      <c r="I25" s="136">
        <f t="shared" si="2"/>
        <v>4.0000000000000036E-2</v>
      </c>
      <c r="J25" s="136">
        <f t="shared" si="2"/>
        <v>3.0000000000000027E-2</v>
      </c>
    </row>
    <row r="26" spans="3:14" x14ac:dyDescent="0.25">
      <c r="D26" s="140" t="s">
        <v>126</v>
      </c>
      <c r="E26" s="136">
        <f>1-E15</f>
        <v>1</v>
      </c>
      <c r="F26" s="136">
        <f>1-F15</f>
        <v>0.31999999999999995</v>
      </c>
      <c r="G26" s="136">
        <f t="shared" si="2"/>
        <v>0.13</v>
      </c>
      <c r="H26" s="136">
        <f t="shared" si="2"/>
        <v>6.9999999999999951E-2</v>
      </c>
      <c r="I26" s="136">
        <f t="shared" si="2"/>
        <v>4.0000000000000036E-2</v>
      </c>
      <c r="J26" s="136">
        <f t="shared" si="2"/>
        <v>3.0000000000000027E-2</v>
      </c>
    </row>
    <row r="28" spans="3:14" x14ac:dyDescent="0.25">
      <c r="C28" s="142" t="s">
        <v>134</v>
      </c>
      <c r="E28" s="143">
        <v>0</v>
      </c>
      <c r="F28" s="143">
        <v>10</v>
      </c>
      <c r="G28" s="143">
        <v>20</v>
      </c>
      <c r="H28" s="143">
        <v>30</v>
      </c>
      <c r="I28" s="143">
        <v>40</v>
      </c>
      <c r="J28" s="143">
        <v>50</v>
      </c>
      <c r="K28" s="143">
        <v>60</v>
      </c>
      <c r="L28" s="143">
        <v>70</v>
      </c>
      <c r="M28" s="143">
        <v>80</v>
      </c>
      <c r="N28" s="143">
        <v>90</v>
      </c>
    </row>
    <row r="29" spans="3:14" x14ac:dyDescent="0.25">
      <c r="D29" s="136" t="s">
        <v>131</v>
      </c>
      <c r="E29" s="144">
        <f t="shared" ref="E29:J29" si="3">AVERAGE(E22:E23)</f>
        <v>1</v>
      </c>
      <c r="F29" s="144">
        <f>AVERAGE(F22:F23)</f>
        <v>1.105</v>
      </c>
      <c r="G29" s="144">
        <f t="shared" si="3"/>
        <v>0.96500000000000008</v>
      </c>
      <c r="H29" s="144">
        <f t="shared" si="3"/>
        <v>0.7649999999999999</v>
      </c>
      <c r="I29" s="144">
        <f t="shared" si="3"/>
        <v>0.65500000000000003</v>
      </c>
      <c r="J29" s="144">
        <f t="shared" si="3"/>
        <v>0.61499999999999999</v>
      </c>
    </row>
    <row r="30" spans="3:14" x14ac:dyDescent="0.25">
      <c r="D30" s="136" t="s">
        <v>132</v>
      </c>
      <c r="E30" s="145">
        <f>AVERAGE(E25:E26)</f>
        <v>1</v>
      </c>
      <c r="F30" s="145">
        <f>AVERAGE(F25:F26)</f>
        <v>0.31999999999999995</v>
      </c>
      <c r="G30" s="145">
        <f t="shared" ref="G30:J30" si="4">AVERAGE(G25:G26)</f>
        <v>0.13</v>
      </c>
      <c r="H30" s="145">
        <f t="shared" si="4"/>
        <v>6.9999999999999951E-2</v>
      </c>
      <c r="I30" s="145">
        <f t="shared" si="4"/>
        <v>4.0000000000000036E-2</v>
      </c>
      <c r="J30" s="145">
        <f t="shared" si="4"/>
        <v>3.0000000000000027E-2</v>
      </c>
    </row>
    <row r="31" spans="3:14" x14ac:dyDescent="0.25">
      <c r="E31" s="145"/>
      <c r="F31" s="145"/>
      <c r="G31" s="145"/>
      <c r="H31" s="145"/>
      <c r="I31" s="145"/>
      <c r="J31" s="145"/>
    </row>
    <row r="32" spans="3:14" x14ac:dyDescent="0.25">
      <c r="D32" s="261" t="s">
        <v>147</v>
      </c>
      <c r="E32" s="262"/>
      <c r="F32" s="263"/>
      <c r="G32" s="146"/>
      <c r="H32" s="147" t="s">
        <v>148</v>
      </c>
      <c r="I32" s="148">
        <f>1.1239</f>
        <v>1.1238999999999999</v>
      </c>
      <c r="J32" s="149"/>
      <c r="K32" s="150" t="s">
        <v>124</v>
      </c>
      <c r="L32" s="151">
        <v>-1.2E-2</v>
      </c>
    </row>
    <row r="34" spans="2:22" ht="21" x14ac:dyDescent="0.35">
      <c r="B34" s="138" t="s">
        <v>144</v>
      </c>
    </row>
    <row r="35" spans="2:22" ht="15.75" thickBot="1" x14ac:dyDescent="0.3"/>
    <row r="36" spans="2:22" ht="51.75" customHeight="1" thickBot="1" x14ac:dyDescent="0.3">
      <c r="D36" s="264" t="s">
        <v>136</v>
      </c>
      <c r="E36" s="265"/>
      <c r="F36" s="268" t="s">
        <v>149</v>
      </c>
      <c r="G36" s="269"/>
      <c r="H36" s="268" t="s">
        <v>0</v>
      </c>
      <c r="I36" s="269"/>
      <c r="J36" s="270" t="s">
        <v>112</v>
      </c>
      <c r="K36" s="271"/>
      <c r="L36" s="271"/>
      <c r="M36" s="271"/>
      <c r="N36" s="271"/>
      <c r="O36" s="271"/>
      <c r="P36" s="271"/>
      <c r="Q36" s="271"/>
      <c r="R36" s="271"/>
    </row>
    <row r="37" spans="2:22" ht="15.75" thickBot="1" x14ac:dyDescent="0.3">
      <c r="D37" s="266"/>
      <c r="E37" s="267"/>
      <c r="F37" s="272">
        <v>5</v>
      </c>
      <c r="G37" s="273"/>
      <c r="H37" s="274">
        <f>-LN(0.5)/F37</f>
        <v>0.13862943611198905</v>
      </c>
      <c r="I37" s="275"/>
      <c r="J37" s="270"/>
      <c r="K37" s="271"/>
      <c r="L37" s="271"/>
      <c r="M37" s="271"/>
      <c r="N37" s="271"/>
      <c r="O37" s="271"/>
      <c r="P37" s="271"/>
      <c r="Q37" s="271"/>
      <c r="R37" s="271"/>
    </row>
    <row r="38" spans="2:22" x14ac:dyDescent="0.25">
      <c r="E38" s="152"/>
      <c r="F38" s="153"/>
      <c r="K38" s="154"/>
      <c r="L38" s="154"/>
      <c r="M38" s="154"/>
    </row>
    <row r="39" spans="2:22" x14ac:dyDescent="0.25">
      <c r="D39" s="155" t="s">
        <v>108</v>
      </c>
      <c r="E39" s="156"/>
      <c r="K39" s="156"/>
      <c r="L39" s="156"/>
      <c r="M39" s="156"/>
    </row>
    <row r="40" spans="2:22" x14ac:dyDescent="0.25">
      <c r="D40" s="157" t="s">
        <v>106</v>
      </c>
      <c r="E40" s="156"/>
      <c r="K40" s="156"/>
      <c r="L40" s="156"/>
      <c r="M40" s="156"/>
    </row>
    <row r="41" spans="2:22" x14ac:dyDescent="0.25">
      <c r="D41" s="157" t="s">
        <v>107</v>
      </c>
      <c r="E41" s="156"/>
      <c r="K41" s="156"/>
      <c r="L41" s="156"/>
      <c r="M41" s="156"/>
    </row>
    <row r="42" spans="2:22" x14ac:dyDescent="0.25">
      <c r="D42" s="157" t="s">
        <v>104</v>
      </c>
      <c r="E42" s="156"/>
      <c r="K42" s="156"/>
      <c r="L42" s="156"/>
      <c r="M42" s="156"/>
    </row>
    <row r="43" spans="2:22" x14ac:dyDescent="0.25">
      <c r="D43" s="157" t="s">
        <v>105</v>
      </c>
    </row>
    <row r="46" spans="2:22" ht="21" x14ac:dyDescent="0.35">
      <c r="B46" s="138" t="s">
        <v>150</v>
      </c>
    </row>
    <row r="47" spans="2:22" ht="15.75" customHeight="1" thickBot="1" x14ac:dyDescent="0.4">
      <c r="B47" s="138"/>
    </row>
    <row r="48" spans="2:22" ht="32.25" customHeight="1" thickBot="1" x14ac:dyDescent="0.3">
      <c r="D48" s="172"/>
      <c r="I48" s="236" t="s">
        <v>167</v>
      </c>
      <c r="J48" s="237"/>
      <c r="K48" s="238"/>
      <c r="L48" s="238"/>
      <c r="M48" s="238"/>
      <c r="N48" s="238"/>
      <c r="O48" s="239"/>
      <c r="Q48" s="236" t="s">
        <v>139</v>
      </c>
      <c r="R48" s="237"/>
      <c r="S48" s="238"/>
      <c r="T48" s="238"/>
      <c r="U48" s="238"/>
      <c r="V48" s="239"/>
    </row>
    <row r="49" spans="4:22" ht="36" customHeight="1" x14ac:dyDescent="0.25">
      <c r="D49" s="158" t="s">
        <v>146</v>
      </c>
      <c r="E49" s="256" t="s">
        <v>167</v>
      </c>
      <c r="F49" s="256" t="s">
        <v>137</v>
      </c>
      <c r="G49" s="258" t="s">
        <v>139</v>
      </c>
      <c r="H49" s="260"/>
      <c r="I49" s="156"/>
      <c r="K49" s="240" t="s">
        <v>169</v>
      </c>
      <c r="L49" s="241"/>
      <c r="M49" s="241" t="s">
        <v>116</v>
      </c>
      <c r="N49" s="241"/>
      <c r="O49" s="191" t="s">
        <v>0</v>
      </c>
      <c r="P49" s="186"/>
      <c r="Q49" s="184"/>
      <c r="S49" s="240" t="s">
        <v>149</v>
      </c>
      <c r="T49" s="241"/>
      <c r="U49" s="241" t="s">
        <v>0</v>
      </c>
      <c r="V49" s="242"/>
    </row>
    <row r="50" spans="4:22" ht="15.75" thickBot="1" x14ac:dyDescent="0.3">
      <c r="D50" s="176" t="s">
        <v>115</v>
      </c>
      <c r="E50" s="257"/>
      <c r="F50" s="257"/>
      <c r="G50" s="259"/>
      <c r="H50" s="260"/>
      <c r="I50" s="156"/>
      <c r="J50" s="159"/>
      <c r="K50" s="243">
        <v>7</v>
      </c>
      <c r="L50" s="244"/>
      <c r="M50" s="245">
        <f>E57</f>
        <v>0.52400000000000002</v>
      </c>
      <c r="N50" s="245"/>
      <c r="O50" s="246" t="s">
        <v>170</v>
      </c>
      <c r="P50" s="187"/>
      <c r="Q50" s="156"/>
      <c r="R50" s="159"/>
      <c r="S50" s="232">
        <v>5</v>
      </c>
      <c r="T50" s="233"/>
      <c r="U50" s="234">
        <f>-LN(0.5)/S50</f>
        <v>0.13862943611198905</v>
      </c>
      <c r="V50" s="235"/>
    </row>
    <row r="51" spans="4:22" ht="15.75" thickBot="1" x14ac:dyDescent="0.3">
      <c r="D51" s="177">
        <v>1</v>
      </c>
      <c r="E51" s="178">
        <f>FORECAST(D51,'Carbon Deficit Analyses'!$E$30:$F$30,'Carbon Deficit Analyses'!$E$28:$F$28)</f>
        <v>0.93199999999999994</v>
      </c>
      <c r="F51" s="178">
        <f>$I$32*EXP($L$32*D51)</f>
        <v>1.1104937980855236</v>
      </c>
      <c r="G51" s="179">
        <f>EXP(-$H$37*(D51-0.5))</f>
        <v>0.93303299153680741</v>
      </c>
      <c r="H51" s="164"/>
      <c r="I51" s="153"/>
      <c r="J51" s="165"/>
      <c r="K51" s="252">
        <v>8</v>
      </c>
      <c r="L51" s="253"/>
      <c r="M51" s="250">
        <f>E58</f>
        <v>0.45599999999999996</v>
      </c>
      <c r="N51" s="251"/>
      <c r="O51" s="247"/>
      <c r="P51" s="188"/>
      <c r="Q51" s="156"/>
    </row>
    <row r="52" spans="4:22" ht="15.75" thickBot="1" x14ac:dyDescent="0.3">
      <c r="D52" s="160">
        <v>2</v>
      </c>
      <c r="E52" s="161">
        <f>FORECAST(D52,'Carbon Deficit Analyses'!$E$30:$F$30,'Carbon Deficit Analyses'!$E$28:$F$28)</f>
        <v>0.86399999999999999</v>
      </c>
      <c r="F52" s="161">
        <f t="shared" ref="F52:F115" si="5">$I$32*EXP($L$32*D52)</f>
        <v>1.0972475091969141</v>
      </c>
      <c r="G52" s="180">
        <f t="shared" ref="G52:G115" si="6">EXP(-$H$37*(D52-0.5))</f>
        <v>0.81225239635623558</v>
      </c>
      <c r="H52" s="164"/>
      <c r="I52" s="254" t="s">
        <v>6</v>
      </c>
      <c r="J52" s="255"/>
      <c r="K52" s="248">
        <v>7.3529338705882399</v>
      </c>
      <c r="L52" s="249"/>
      <c r="M52" s="231">
        <f>FORECAST(K52,M50:M51,K50:K51)</f>
        <v>0.50000049679999969</v>
      </c>
      <c r="N52" s="231"/>
      <c r="O52" s="189">
        <f>-LN(0.5)/K52</f>
        <v>9.4268110220946819E-2</v>
      </c>
      <c r="P52" s="187"/>
      <c r="Q52" s="156"/>
    </row>
    <row r="53" spans="4:22" x14ac:dyDescent="0.25">
      <c r="D53" s="160">
        <v>3</v>
      </c>
      <c r="E53" s="161">
        <f>FORECAST(D53,'Carbon Deficit Analyses'!$E$30:$F$30,'Carbon Deficit Analyses'!$E$28:$F$28)</f>
        <v>0.79600000000000004</v>
      </c>
      <c r="F53" s="161">
        <f t="shared" si="5"/>
        <v>1.084159225845682</v>
      </c>
      <c r="G53" s="180">
        <f t="shared" si="6"/>
        <v>0.70710678118654757</v>
      </c>
      <c r="H53" s="164"/>
      <c r="I53" s="185"/>
      <c r="Q53" s="156"/>
    </row>
    <row r="54" spans="4:22" x14ac:dyDescent="0.25">
      <c r="D54" s="160">
        <v>4</v>
      </c>
      <c r="E54" s="161">
        <f>FORECAST(D54,'Carbon Deficit Analyses'!$E$30:$F$30,'Carbon Deficit Analyses'!$E$28:$F$28)</f>
        <v>0.72799999999999998</v>
      </c>
      <c r="F54" s="161">
        <f t="shared" si="5"/>
        <v>1.0712270632964074</v>
      </c>
      <c r="G54" s="180">
        <f t="shared" si="6"/>
        <v>0.61557220667245816</v>
      </c>
      <c r="H54" s="164"/>
      <c r="I54" s="164"/>
      <c r="J54" s="185"/>
      <c r="K54" s="185"/>
      <c r="L54" s="185"/>
      <c r="M54" s="185"/>
      <c r="N54" s="185"/>
      <c r="O54" s="185"/>
      <c r="Q54" s="156"/>
    </row>
    <row r="55" spans="4:22" x14ac:dyDescent="0.25">
      <c r="D55" s="160">
        <v>5</v>
      </c>
      <c r="E55" s="161">
        <f>FORECAST(D55,'Carbon Deficit Analyses'!$E$30:$F$30,'Carbon Deficit Analyses'!$E$28:$F$28)</f>
        <v>0.65999999999999992</v>
      </c>
      <c r="F55" s="161">
        <f t="shared" si="5"/>
        <v>1.0584491592953371</v>
      </c>
      <c r="G55" s="180">
        <f>EXP(-$H$37*(D55-0.5))</f>
        <v>0.53588673126814657</v>
      </c>
      <c r="H55" s="164"/>
      <c r="I55" s="164"/>
      <c r="J55" s="185"/>
      <c r="K55" s="185"/>
      <c r="L55" s="185"/>
      <c r="M55" s="185"/>
      <c r="N55" s="185"/>
      <c r="O55" s="185"/>
      <c r="Q55" s="156"/>
    </row>
    <row r="56" spans="4:22" x14ac:dyDescent="0.25">
      <c r="D56" s="160">
        <v>6</v>
      </c>
      <c r="E56" s="161">
        <f>FORECAST(D56,'Carbon Deficit Analyses'!$E$30:$F$30,'Carbon Deficit Analyses'!$E$28:$F$28)</f>
        <v>0.59199999999999997</v>
      </c>
      <c r="F56" s="161">
        <f t="shared" si="5"/>
        <v>1.045823673802214</v>
      </c>
      <c r="G56" s="180">
        <f t="shared" si="6"/>
        <v>0.46651649576840371</v>
      </c>
      <c r="H56" s="164"/>
      <c r="I56" s="164"/>
      <c r="J56" s="185"/>
      <c r="K56" s="185"/>
      <c r="L56" s="185"/>
      <c r="M56" s="185"/>
      <c r="N56" s="185"/>
      <c r="O56" s="185"/>
      <c r="Q56" s="156"/>
    </row>
    <row r="57" spans="4:22" x14ac:dyDescent="0.25">
      <c r="D57" s="160">
        <v>7</v>
      </c>
      <c r="E57" s="161">
        <f>FORECAST(D57,'Carbon Deficit Analyses'!$E$30:$F$30,'Carbon Deficit Analyses'!$E$28:$F$28)</f>
        <v>0.52400000000000002</v>
      </c>
      <c r="F57" s="161">
        <f t="shared" si="5"/>
        <v>1.0333487887253106</v>
      </c>
      <c r="G57" s="180">
        <f t="shared" si="6"/>
        <v>0.40612619817811779</v>
      </c>
      <c r="H57" s="164"/>
      <c r="I57" s="164"/>
      <c r="J57" s="185"/>
      <c r="K57" s="185"/>
      <c r="L57" s="185"/>
      <c r="M57" s="185"/>
      <c r="N57" s="185"/>
      <c r="O57" s="185"/>
      <c r="Q57" s="156"/>
    </row>
    <row r="58" spans="4:22" x14ac:dyDescent="0.25">
      <c r="D58" s="160">
        <v>8</v>
      </c>
      <c r="E58" s="161">
        <f>FORECAST(D58,'Carbon Deficit Analyses'!$E$30:$F$30,'Carbon Deficit Analyses'!$E$28:$F$28)</f>
        <v>0.45599999999999996</v>
      </c>
      <c r="F58" s="161">
        <f t="shared" si="5"/>
        <v>1.0210227076596188</v>
      </c>
      <c r="G58" s="180">
        <f t="shared" si="6"/>
        <v>0.35355339059327379</v>
      </c>
      <c r="H58" s="164"/>
      <c r="I58" s="153"/>
      <c r="J58" s="162"/>
      <c r="Q58" s="156"/>
    </row>
    <row r="59" spans="4:22" x14ac:dyDescent="0.25">
      <c r="D59" s="160">
        <v>9</v>
      </c>
      <c r="E59" s="161">
        <f>FORECAST(D59,'Carbon Deficit Analyses'!$E$30:$F$30,'Carbon Deficit Analyses'!$E$28:$F$28)</f>
        <v>0.3879999999999999</v>
      </c>
      <c r="F59" s="161">
        <f t="shared" si="5"/>
        <v>1.0088436556281657</v>
      </c>
      <c r="G59" s="180">
        <f t="shared" si="6"/>
        <v>0.30778610333622908</v>
      </c>
      <c r="H59" s="164"/>
      <c r="I59" s="153"/>
      <c r="J59" s="162"/>
      <c r="Q59" s="156"/>
    </row>
    <row r="60" spans="4:22" x14ac:dyDescent="0.25">
      <c r="D60" s="160">
        <v>10</v>
      </c>
      <c r="E60" s="161">
        <f>F30</f>
        <v>0.31999999999999995</v>
      </c>
      <c r="F60" s="161">
        <f t="shared" si="5"/>
        <v>0.99680987882641325</v>
      </c>
      <c r="G60" s="180">
        <f t="shared" si="6"/>
        <v>0.26794336563407328</v>
      </c>
      <c r="H60" s="164"/>
      <c r="I60" s="153"/>
      <c r="J60" s="162"/>
      <c r="Q60" s="156"/>
    </row>
    <row r="61" spans="4:22" x14ac:dyDescent="0.25">
      <c r="D61" s="160">
        <v>11</v>
      </c>
      <c r="E61" s="161">
        <f>FORECAST(D61,'Carbon Deficit Analyses'!$F$30:$G$30,'Carbon Deficit Analyses'!$F$28:$G$28)</f>
        <v>0.30099999999999993</v>
      </c>
      <c r="F61" s="161">
        <f t="shared" si="5"/>
        <v>0.98491964436970747</v>
      </c>
      <c r="G61" s="180">
        <f t="shared" si="6"/>
        <v>0.23325824788420185</v>
      </c>
      <c r="H61" s="164"/>
      <c r="I61" s="153"/>
      <c r="J61" s="162"/>
      <c r="Q61" s="156"/>
    </row>
    <row r="62" spans="4:22" x14ac:dyDescent="0.25">
      <c r="D62" s="160">
        <v>12</v>
      </c>
      <c r="E62" s="161">
        <f>FORECAST(D62,'Carbon Deficit Analyses'!$F$30:$G$30,'Carbon Deficit Analyses'!$F$28:$G$28)</f>
        <v>0.28199999999999992</v>
      </c>
      <c r="F62" s="161">
        <f t="shared" si="5"/>
        <v>0.97317124004374045</v>
      </c>
      <c r="G62" s="180">
        <f t="shared" si="6"/>
        <v>0.2030630990890589</v>
      </c>
      <c r="H62" s="164"/>
      <c r="I62" s="153"/>
      <c r="J62" s="162"/>
      <c r="Q62" s="156"/>
    </row>
    <row r="63" spans="4:22" x14ac:dyDescent="0.25">
      <c r="D63" s="160">
        <v>13</v>
      </c>
      <c r="E63" s="161">
        <f>FORECAST(D63,'Carbon Deficit Analyses'!$F$30:$G$30,'Carbon Deficit Analyses'!$F$28:$G$28)</f>
        <v>0.26299999999999996</v>
      </c>
      <c r="F63" s="161">
        <f t="shared" si="5"/>
        <v>0.96156297405798752</v>
      </c>
      <c r="G63" s="180">
        <f t="shared" si="6"/>
        <v>0.17677669529663692</v>
      </c>
      <c r="H63" s="164"/>
      <c r="I63" s="153"/>
      <c r="J63" s="162"/>
      <c r="Q63" s="156"/>
    </row>
    <row r="64" spans="4:22" x14ac:dyDescent="0.25">
      <c r="D64" s="160">
        <v>14</v>
      </c>
      <c r="E64" s="161">
        <f>FORECAST(D64,'Carbon Deficit Analyses'!$F$30:$G$30,'Carbon Deficit Analyses'!$F$28:$G$28)</f>
        <v>0.24399999999999994</v>
      </c>
      <c r="F64" s="161">
        <f t="shared" si="5"/>
        <v>0.95009317480208788</v>
      </c>
      <c r="G64" s="180">
        <f t="shared" si="6"/>
        <v>0.15389305166811457</v>
      </c>
      <c r="H64" s="164"/>
      <c r="I64" s="153"/>
      <c r="J64" s="162"/>
      <c r="Q64" s="156"/>
    </row>
    <row r="65" spans="3:17" x14ac:dyDescent="0.25">
      <c r="D65" s="160">
        <v>15</v>
      </c>
      <c r="E65" s="161">
        <f>FORECAST(D65,'Carbon Deficit Analyses'!$F$30:$G$30,'Carbon Deficit Analyses'!$F$28:$G$28)</f>
        <v>0.22499999999999998</v>
      </c>
      <c r="F65" s="161">
        <f t="shared" si="5"/>
        <v>0.9387601906051285</v>
      </c>
      <c r="G65" s="180">
        <f t="shared" si="6"/>
        <v>0.13397168281703667</v>
      </c>
      <c r="H65" s="164"/>
      <c r="I65" s="153"/>
      <c r="J65" s="162"/>
      <c r="Q65" s="156"/>
    </row>
    <row r="66" spans="3:17" x14ac:dyDescent="0.25">
      <c r="D66" s="160">
        <v>16</v>
      </c>
      <c r="E66" s="161">
        <f>FORECAST(D66,'Carbon Deficit Analyses'!$F$30:$G$30,'Carbon Deficit Analyses'!$F$28:$G$28)</f>
        <v>0.20599999999999996</v>
      </c>
      <c r="F66" s="161">
        <f t="shared" si="5"/>
        <v>0.92756238949780168</v>
      </c>
      <c r="G66" s="180">
        <f t="shared" si="6"/>
        <v>0.11662912394210094</v>
      </c>
      <c r="H66" s="164"/>
      <c r="I66" s="153"/>
      <c r="J66" s="162"/>
      <c r="Q66" s="156"/>
    </row>
    <row r="67" spans="3:17" x14ac:dyDescent="0.25">
      <c r="D67" s="160">
        <v>17</v>
      </c>
      <c r="E67" s="161">
        <f>FORECAST(D67,'Carbon Deficit Analyses'!$F$30:$G$30,'Carbon Deficit Analyses'!$F$28:$G$28)</f>
        <v>0.18699999999999994</v>
      </c>
      <c r="F67" s="161">
        <f t="shared" si="5"/>
        <v>0.91649815897739817</v>
      </c>
      <c r="G67" s="180">
        <f t="shared" si="6"/>
        <v>0.10153154954452946</v>
      </c>
      <c r="H67" s="164"/>
      <c r="I67" s="153"/>
      <c r="J67" s="162"/>
      <c r="Q67" s="156"/>
    </row>
    <row r="68" spans="3:17" x14ac:dyDescent="0.25">
      <c r="D68" s="160">
        <v>18</v>
      </c>
      <c r="E68" s="161">
        <f>FORECAST(D68,'Carbon Deficit Analyses'!$F$30:$G$30,'Carbon Deficit Analyses'!$F$28:$G$28)</f>
        <v>0.16799999999999998</v>
      </c>
      <c r="F68" s="161">
        <f t="shared" si="5"/>
        <v>0.9055659057756037</v>
      </c>
      <c r="G68" s="180">
        <f t="shared" si="6"/>
        <v>8.8388347648318447E-2</v>
      </c>
      <c r="H68" s="164"/>
      <c r="I68" s="153"/>
      <c r="J68" s="162"/>
      <c r="Q68" s="156"/>
    </row>
    <row r="69" spans="3:17" x14ac:dyDescent="0.25">
      <c r="D69" s="160">
        <v>19</v>
      </c>
      <c r="E69" s="161">
        <f>FORECAST(D69,'Carbon Deficit Analyses'!$F$30:$G$30,'Carbon Deficit Analyses'!$F$28:$G$28)</f>
        <v>0.14899999999999997</v>
      </c>
      <c r="F69" s="161">
        <f t="shared" si="5"/>
        <v>0.89476405562906636</v>
      </c>
      <c r="G69" s="180">
        <f t="shared" si="6"/>
        <v>7.6946525834057283E-2</v>
      </c>
      <c r="H69" s="164"/>
      <c r="I69" s="153"/>
      <c r="J69" s="163"/>
      <c r="Q69" s="156"/>
    </row>
    <row r="70" spans="3:17" x14ac:dyDescent="0.25">
      <c r="D70" s="160">
        <v>20</v>
      </c>
      <c r="E70" s="161">
        <f>G30</f>
        <v>0.13</v>
      </c>
      <c r="F70" s="161">
        <f t="shared" si="5"/>
        <v>0.88409105305269942</v>
      </c>
      <c r="G70" s="180">
        <f t="shared" si="6"/>
        <v>6.6985841408518335E-2</v>
      </c>
      <c r="H70" s="164"/>
      <c r="I70" s="156"/>
      <c r="Q70" s="156"/>
    </row>
    <row r="71" spans="3:17" s="156" customFormat="1" ht="12.75" x14ac:dyDescent="0.2">
      <c r="D71" s="166">
        <v>21</v>
      </c>
      <c r="E71" s="161">
        <f>FORECAST(D71,'Carbon Deficit Analyses'!$G$30:$H$30,'Carbon Deficit Analyses'!$G$28:$H$28)</f>
        <v>0.124</v>
      </c>
      <c r="F71" s="167">
        <f t="shared" si="5"/>
        <v>0.87354536111568848</v>
      </c>
      <c r="G71" s="168">
        <f t="shared" si="6"/>
        <v>5.831456197105047E-2</v>
      </c>
    </row>
    <row r="72" spans="3:17" s="156" customFormat="1" ht="12.75" x14ac:dyDescent="0.2">
      <c r="C72" s="174"/>
      <c r="D72" s="166">
        <v>22</v>
      </c>
      <c r="E72" s="161">
        <f>FORECAST(D72,'Carbon Deficit Analyses'!$G$30:$H$30,'Carbon Deficit Analyses'!$G$28:$H$28)</f>
        <v>0.11799999999999999</v>
      </c>
      <c r="F72" s="167">
        <f t="shared" si="5"/>
        <v>0.86312546122017197</v>
      </c>
      <c r="G72" s="168">
        <f t="shared" si="6"/>
        <v>5.0765774772264724E-2</v>
      </c>
      <c r="H72" s="174"/>
      <c r="I72" s="174"/>
      <c r="J72" s="174"/>
      <c r="K72" s="174"/>
    </row>
    <row r="73" spans="3:17" s="156" customFormat="1" ht="12.75" x14ac:dyDescent="0.2">
      <c r="C73" s="174"/>
      <c r="D73" s="166">
        <v>23</v>
      </c>
      <c r="E73" s="161">
        <f>FORECAST(D73,'Carbon Deficit Analyses'!$G$30:$H$30,'Carbon Deficit Analyses'!$G$28:$H$28)</f>
        <v>0.11199999999999999</v>
      </c>
      <c r="F73" s="167">
        <f t="shared" si="5"/>
        <v>0.85282985288255908</v>
      </c>
      <c r="G73" s="168">
        <f t="shared" si="6"/>
        <v>4.4194173824159223E-2</v>
      </c>
      <c r="H73" s="174"/>
      <c r="I73" s="174"/>
      <c r="J73" s="174"/>
      <c r="K73" s="174"/>
    </row>
    <row r="74" spans="3:17" s="156" customFormat="1" ht="12.75" x14ac:dyDescent="0.2">
      <c r="C74" s="174"/>
      <c r="D74" s="166">
        <v>24</v>
      </c>
      <c r="E74" s="161">
        <f>FORECAST(D74,'Carbon Deficit Analyses'!$G$30:$H$30,'Carbon Deficit Analyses'!$G$28:$H$28)</f>
        <v>0.10599999999999998</v>
      </c>
      <c r="F74" s="167">
        <f t="shared" si="5"/>
        <v>0.84265705351745845</v>
      </c>
      <c r="G74" s="168">
        <f t="shared" si="6"/>
        <v>3.8473262917028635E-2</v>
      </c>
      <c r="H74" s="174"/>
      <c r="I74" s="174"/>
      <c r="J74" s="174"/>
      <c r="K74" s="174"/>
    </row>
    <row r="75" spans="3:17" s="156" customFormat="1" ht="12.75" x14ac:dyDescent="0.2">
      <c r="C75" s="174"/>
      <c r="D75" s="166">
        <v>25</v>
      </c>
      <c r="E75" s="161">
        <f>FORECAST(D75,'Carbon Deficit Analyses'!$G$30:$H$30,'Carbon Deficit Analyses'!$G$28:$H$28)</f>
        <v>9.9999999999999978E-2</v>
      </c>
      <c r="F75" s="167">
        <f t="shared" si="5"/>
        <v>0.83260559822418267</v>
      </c>
      <c r="G75" s="168">
        <f t="shared" si="6"/>
        <v>3.3492920704259174E-2</v>
      </c>
      <c r="H75" s="175"/>
      <c r="I75" s="175"/>
      <c r="J75" s="175"/>
      <c r="K75" s="174"/>
    </row>
    <row r="76" spans="3:17" s="156" customFormat="1" ht="12.75" x14ac:dyDescent="0.2">
      <c r="C76" s="174"/>
      <c r="D76" s="166">
        <v>26</v>
      </c>
      <c r="E76" s="161">
        <f>FORECAST(D76,'Carbon Deficit Analyses'!$G$30:$H$30,'Carbon Deficit Analyses'!$G$28:$H$28)</f>
        <v>9.3999999999999972E-2</v>
      </c>
      <c r="F76" s="167">
        <f t="shared" si="5"/>
        <v>0.82267403957580054</v>
      </c>
      <c r="G76" s="168">
        <f t="shared" si="6"/>
        <v>2.9157280985525245E-2</v>
      </c>
      <c r="H76" s="175"/>
      <c r="I76" s="175"/>
      <c r="J76" s="175"/>
      <c r="K76" s="174"/>
    </row>
    <row r="77" spans="3:17" s="156" customFormat="1" ht="12.75" x14ac:dyDescent="0.2">
      <c r="C77" s="174"/>
      <c r="D77" s="166">
        <v>27</v>
      </c>
      <c r="E77" s="161">
        <f>FORECAST(D77,'Carbon Deficit Analyses'!$G$30:$H$30,'Carbon Deficit Analyses'!$G$28:$H$28)</f>
        <v>8.7999999999999967E-2</v>
      </c>
      <c r="F77" s="167">
        <f t="shared" si="5"/>
        <v>0.8128609474107048</v>
      </c>
      <c r="G77" s="168">
        <f t="shared" si="6"/>
        <v>2.5382887386132372E-2</v>
      </c>
      <c r="H77" s="175"/>
      <c r="I77" s="175"/>
      <c r="J77" s="175"/>
      <c r="K77" s="174"/>
    </row>
    <row r="78" spans="3:17" s="156" customFormat="1" ht="12.75" x14ac:dyDescent="0.2">
      <c r="C78" s="174"/>
      <c r="D78" s="166">
        <v>28</v>
      </c>
      <c r="E78" s="161">
        <f>FORECAST(D78,'Carbon Deficit Analyses'!$G$30:$H$30,'Carbon Deficit Analyses'!$G$28:$H$28)</f>
        <v>8.1999999999999962E-2</v>
      </c>
      <c r="F78" s="167">
        <f t="shared" si="5"/>
        <v>0.80316490862666667</v>
      </c>
      <c r="G78" s="168">
        <f t="shared" si="6"/>
        <v>2.2097086912079619E-2</v>
      </c>
      <c r="H78" s="175"/>
      <c r="I78" s="175"/>
      <c r="J78" s="175"/>
      <c r="K78" s="174"/>
    </row>
    <row r="79" spans="3:17" s="156" customFormat="1" ht="12.75" x14ac:dyDescent="0.2">
      <c r="C79" s="174"/>
      <c r="D79" s="166">
        <v>29</v>
      </c>
      <c r="E79" s="161">
        <f>FORECAST(D79,'Carbon Deficit Analyses'!$G$30:$H$30,'Carbon Deficit Analyses'!$G$28:$H$28)</f>
        <v>7.5999999999999956E-2</v>
      </c>
      <c r="F79" s="167">
        <f t="shared" si="5"/>
        <v>0.79358452697734649</v>
      </c>
      <c r="G79" s="168">
        <f t="shared" si="6"/>
        <v>1.9236631458514324E-2</v>
      </c>
      <c r="H79" s="175"/>
      <c r="I79" s="175"/>
      <c r="J79" s="175"/>
      <c r="K79" s="174"/>
    </row>
    <row r="80" spans="3:17" s="156" customFormat="1" ht="12.75" x14ac:dyDescent="0.2">
      <c r="C80" s="174"/>
      <c r="D80" s="166">
        <v>30</v>
      </c>
      <c r="E80" s="167">
        <f>H30</f>
        <v>6.9999999999999951E-2</v>
      </c>
      <c r="F80" s="167">
        <f t="shared" si="5"/>
        <v>0.78411842287123168</v>
      </c>
      <c r="G80" s="168">
        <f t="shared" si="6"/>
        <v>1.6746460352129587E-2</v>
      </c>
      <c r="H80" s="175"/>
      <c r="I80" s="175"/>
      <c r="J80" s="175"/>
      <c r="K80" s="174"/>
    </row>
    <row r="81" spans="3:11" s="156" customFormat="1" ht="12.75" x14ac:dyDescent="0.2">
      <c r="C81" s="174"/>
      <c r="D81" s="166">
        <v>31</v>
      </c>
      <c r="E81" s="161">
        <f>FORECAST(D81,'Carbon Deficit Analyses'!$H$30:$I$30,'Carbon Deficit Analyses'!$H$28:$I$28)</f>
        <v>6.6999999999999962E-2</v>
      </c>
      <c r="F81" s="167">
        <f t="shared" si="5"/>
        <v>0.77476523317297352</v>
      </c>
      <c r="G81" s="168">
        <f t="shared" si="6"/>
        <v>1.4578640492762621E-2</v>
      </c>
      <c r="H81" s="175"/>
      <c r="I81" s="175"/>
      <c r="J81" s="175"/>
      <c r="K81" s="174"/>
    </row>
    <row r="82" spans="3:11" s="156" customFormat="1" ht="12.75" x14ac:dyDescent="0.2">
      <c r="C82" s="174"/>
      <c r="D82" s="166">
        <v>32</v>
      </c>
      <c r="E82" s="161">
        <f>FORECAST(D82,'Carbon Deficit Analyses'!$H$30:$I$30,'Carbon Deficit Analyses'!$H$28:$I$28)</f>
        <v>6.3999999999999974E-2</v>
      </c>
      <c r="F82" s="167">
        <f t="shared" si="5"/>
        <v>0.76552361100709287</v>
      </c>
      <c r="G82" s="168">
        <f t="shared" si="6"/>
        <v>1.2691443693066184E-2</v>
      </c>
      <c r="H82" s="175"/>
      <c r="I82" s="175"/>
      <c r="J82" s="175"/>
      <c r="K82" s="174"/>
    </row>
    <row r="83" spans="3:11" s="156" customFormat="1" ht="12.75" x14ac:dyDescent="0.2">
      <c r="C83" s="174"/>
      <c r="D83" s="166">
        <v>33</v>
      </c>
      <c r="E83" s="161">
        <f>FORECAST(D83,'Carbon Deficit Analyses'!$H$30:$I$30,'Carbon Deficit Analyses'!$H$28:$I$28)</f>
        <v>6.0999999999999985E-2</v>
      </c>
      <c r="F83" s="167">
        <f t="shared" si="5"/>
        <v>0.75639222556402852</v>
      </c>
      <c r="G83" s="168">
        <f t="shared" si="6"/>
        <v>1.1048543456039809E-2</v>
      </c>
      <c r="H83" s="175"/>
      <c r="I83" s="175"/>
      <c r="J83" s="175"/>
      <c r="K83" s="174"/>
    </row>
    <row r="84" spans="3:11" s="156" customFormat="1" ht="12.75" x14ac:dyDescent="0.2">
      <c r="C84" s="174"/>
      <c r="D84" s="166">
        <v>34</v>
      </c>
      <c r="E84" s="161">
        <f>FORECAST(D84,'Carbon Deficit Analyses'!$H$30:$I$30,'Carbon Deficit Analyses'!$H$28:$I$28)</f>
        <v>5.7999999999999996E-2</v>
      </c>
      <c r="F84" s="167">
        <f t="shared" si="5"/>
        <v>0.74736976190849747</v>
      </c>
      <c r="G84" s="168">
        <f t="shared" si="6"/>
        <v>9.6183157292571621E-3</v>
      </c>
      <c r="H84" s="175"/>
      <c r="I84" s="175"/>
      <c r="J84" s="175"/>
      <c r="K84" s="174"/>
    </row>
    <row r="85" spans="3:11" s="156" customFormat="1" ht="12.75" x14ac:dyDescent="0.2">
      <c r="C85" s="174"/>
      <c r="D85" s="166">
        <v>35</v>
      </c>
      <c r="E85" s="161">
        <f>FORECAST(D85,'Carbon Deficit Analyses'!$H$30:$I$30,'Carbon Deficit Analyses'!$H$28:$I$28)</f>
        <v>5.4999999999999993E-2</v>
      </c>
      <c r="F85" s="167">
        <f t="shared" si="5"/>
        <v>0.73845492079014219</v>
      </c>
      <c r="G85" s="168">
        <f t="shared" si="6"/>
        <v>8.3732301760647936E-3</v>
      </c>
      <c r="H85" s="175"/>
      <c r="I85" s="175"/>
      <c r="J85" s="175"/>
      <c r="K85" s="174"/>
    </row>
    <row r="86" spans="3:11" s="156" customFormat="1" ht="12.75" x14ac:dyDescent="0.2">
      <c r="C86" s="174"/>
      <c r="D86" s="166">
        <v>36</v>
      </c>
      <c r="E86" s="161">
        <f>FORECAST(D86,'Carbon Deficit Analyses'!$H$30:$I$30,'Carbon Deficit Analyses'!$H$28:$I$28)</f>
        <v>5.2000000000000005E-2</v>
      </c>
      <c r="F86" s="167">
        <f t="shared" si="5"/>
        <v>0.72964641845643718</v>
      </c>
      <c r="G86" s="168">
        <f t="shared" si="6"/>
        <v>7.2893202463813096E-3</v>
      </c>
      <c r="H86" s="175"/>
      <c r="I86" s="175"/>
      <c r="J86" s="175"/>
      <c r="K86" s="174"/>
    </row>
    <row r="87" spans="3:11" s="156" customFormat="1" ht="12.75" x14ac:dyDescent="0.2">
      <c r="C87" s="174"/>
      <c r="D87" s="166">
        <v>37</v>
      </c>
      <c r="E87" s="161">
        <f>FORECAST(D87,'Carbon Deficit Analyses'!$H$30:$I$30,'Carbon Deficit Analyses'!$H$28:$I$28)</f>
        <v>4.9000000000000016E-2</v>
      </c>
      <c r="F87" s="167">
        <f t="shared" si="5"/>
        <v>0.72094298646782473</v>
      </c>
      <c r="G87" s="168">
        <f t="shared" si="6"/>
        <v>6.3457218465330914E-3</v>
      </c>
      <c r="H87" s="175"/>
      <c r="I87" s="175"/>
      <c r="J87" s="175"/>
      <c r="K87" s="174"/>
    </row>
    <row r="88" spans="3:11" s="156" customFormat="1" ht="12.75" x14ac:dyDescent="0.2">
      <c r="C88" s="174"/>
      <c r="D88" s="166">
        <v>38</v>
      </c>
      <c r="E88" s="161">
        <f>FORECAST(D88,'Carbon Deficit Analyses'!$H$30:$I$30,'Carbon Deficit Analyses'!$H$28:$I$28)</f>
        <v>4.6000000000000027E-2</v>
      </c>
      <c r="F88" s="167">
        <f t="shared" si="5"/>
        <v>0.71234337151505911</v>
      </c>
      <c r="G88" s="168">
        <f t="shared" si="6"/>
        <v>5.5242717280199038E-3</v>
      </c>
      <c r="H88" s="175"/>
      <c r="I88" s="175"/>
      <c r="J88" s="175"/>
      <c r="K88" s="174"/>
    </row>
    <row r="89" spans="3:11" s="156" customFormat="1" ht="12.75" x14ac:dyDescent="0.2">
      <c r="C89" s="174"/>
      <c r="D89" s="166">
        <v>39</v>
      </c>
      <c r="E89" s="161">
        <f>FORECAST(D89,'Carbon Deficit Analyses'!$H$30:$I$30,'Carbon Deficit Analyses'!$H$28:$I$28)</f>
        <v>4.3000000000000038E-2</v>
      </c>
      <c r="F89" s="167">
        <f t="shared" si="5"/>
        <v>0.70384633523872708</v>
      </c>
      <c r="G89" s="168">
        <f t="shared" si="6"/>
        <v>4.8091578646285802E-3</v>
      </c>
      <c r="H89" s="175"/>
      <c r="I89" s="175"/>
      <c r="J89" s="175"/>
      <c r="K89" s="174"/>
    </row>
    <row r="90" spans="3:11" s="156" customFormat="1" ht="12.75" x14ac:dyDescent="0.2">
      <c r="C90" s="174"/>
      <c r="D90" s="166">
        <v>40</v>
      </c>
      <c r="E90" s="167">
        <f>I30</f>
        <v>4.0000000000000036E-2</v>
      </c>
      <c r="F90" s="167">
        <f t="shared" si="5"/>
        <v>0.69545065405092166</v>
      </c>
      <c r="G90" s="168">
        <f t="shared" si="6"/>
        <v>4.1866150880323959E-3</v>
      </c>
      <c r="H90" s="175"/>
      <c r="I90" s="175"/>
      <c r="J90" s="175"/>
      <c r="K90" s="174"/>
    </row>
    <row r="91" spans="3:11" s="156" customFormat="1" ht="12.75" x14ac:dyDescent="0.2">
      <c r="C91" s="174"/>
      <c r="D91" s="166">
        <v>41</v>
      </c>
      <c r="E91" s="161">
        <f>FORECAST(D91,'Carbon Deficit Analyses'!$I$30:$J$30,'Carbon Deficit Analyses'!$I$28:$J$28)</f>
        <v>3.9000000000000035E-2</v>
      </c>
      <c r="F91" s="167">
        <f t="shared" si="5"/>
        <v>0.68715511895904413</v>
      </c>
      <c r="G91" s="168">
        <f t="shared" si="6"/>
        <v>3.6446601231906548E-3</v>
      </c>
      <c r="H91" s="175"/>
      <c r="I91" s="175"/>
      <c r="J91" s="175"/>
      <c r="K91" s="174"/>
    </row>
    <row r="92" spans="3:11" s="156" customFormat="1" ht="12.75" x14ac:dyDescent="0.2">
      <c r="C92" s="174"/>
      <c r="D92" s="166">
        <v>42</v>
      </c>
      <c r="E92" s="161">
        <f>FORECAST(D92,'Carbon Deficit Analyses'!$I$30:$J$30,'Carbon Deficit Analyses'!$I$28:$J$28)</f>
        <v>3.8000000000000034E-2</v>
      </c>
      <c r="F92" s="167">
        <f t="shared" si="5"/>
        <v>0.67895853539170625</v>
      </c>
      <c r="G92" s="168">
        <f t="shared" si="6"/>
        <v>3.1728609232665457E-3</v>
      </c>
      <c r="H92" s="175"/>
      <c r="I92" s="175"/>
      <c r="J92" s="175"/>
      <c r="K92" s="174"/>
    </row>
    <row r="93" spans="3:11" s="156" customFormat="1" ht="12.75" x14ac:dyDescent="0.2">
      <c r="C93" s="174"/>
      <c r="D93" s="166">
        <v>43</v>
      </c>
      <c r="E93" s="161">
        <f>FORECAST(D93,'Carbon Deficit Analyses'!$I$30:$J$30,'Carbon Deficit Analyses'!$I$28:$J$28)</f>
        <v>3.7000000000000033E-2</v>
      </c>
      <c r="F93" s="167">
        <f t="shared" si="5"/>
        <v>0.67085972302671093</v>
      </c>
      <c r="G93" s="168">
        <f t="shared" si="6"/>
        <v>2.7621358640099515E-3</v>
      </c>
      <c r="H93" s="175"/>
      <c r="I93" s="175"/>
      <c r="J93" s="175"/>
      <c r="K93" s="174"/>
    </row>
    <row r="94" spans="3:11" s="156" customFormat="1" ht="12.75" x14ac:dyDescent="0.2">
      <c r="C94" s="174"/>
      <c r="D94" s="166">
        <v>44</v>
      </c>
      <c r="E94" s="161">
        <f>FORECAST(D94,'Carbon Deficit Analyses'!$I$30:$J$30,'Carbon Deficit Analyses'!$I$28:$J$28)</f>
        <v>3.6000000000000032E-2</v>
      </c>
      <c r="F94" s="167">
        <f t="shared" si="5"/>
        <v>0.66285751562108253</v>
      </c>
      <c r="G94" s="168">
        <f t="shared" si="6"/>
        <v>2.4045789323142901E-3</v>
      </c>
      <c r="H94" s="175"/>
      <c r="I94" s="175"/>
      <c r="J94" s="175"/>
      <c r="K94" s="174"/>
    </row>
    <row r="95" spans="3:11" s="156" customFormat="1" ht="12.75" x14ac:dyDescent="0.2">
      <c r="C95" s="174"/>
      <c r="D95" s="166">
        <v>45</v>
      </c>
      <c r="E95" s="161">
        <f>FORECAST(D95,'Carbon Deficit Analyses'!$I$30:$J$30,'Carbon Deficit Analyses'!$I$28:$J$28)</f>
        <v>3.5000000000000031E-2</v>
      </c>
      <c r="F95" s="167">
        <f t="shared" si="5"/>
        <v>0.65495076084312687</v>
      </c>
      <c r="G95" s="168">
        <f t="shared" si="6"/>
        <v>2.093307544016198E-3</v>
      </c>
      <c r="H95" s="175"/>
      <c r="I95" s="175"/>
      <c r="J95" s="175"/>
      <c r="K95" s="174"/>
    </row>
    <row r="96" spans="3:11" s="156" customFormat="1" ht="12.75" x14ac:dyDescent="0.2">
      <c r="C96" s="174"/>
      <c r="D96" s="166">
        <v>46</v>
      </c>
      <c r="E96" s="161">
        <f>FORECAST(D96,'Carbon Deficit Analyses'!$I$30:$J$30,'Carbon Deficit Analyses'!$I$28:$J$28)</f>
        <v>3.400000000000003E-2</v>
      </c>
      <c r="F96" s="167">
        <f t="shared" si="5"/>
        <v>0.64713832010649297</v>
      </c>
      <c r="G96" s="168">
        <f t="shared" si="6"/>
        <v>1.8223300615953272E-3</v>
      </c>
      <c r="H96" s="175"/>
      <c r="I96" s="175"/>
      <c r="J96" s="175"/>
      <c r="K96" s="174"/>
    </row>
    <row r="97" spans="3:11" s="156" customFormat="1" ht="12.75" x14ac:dyDescent="0.2">
      <c r="C97" s="174"/>
      <c r="D97" s="166">
        <v>47</v>
      </c>
      <c r="E97" s="161">
        <f>FORECAST(D97,'Carbon Deficit Analyses'!$I$30:$J$30,'Carbon Deficit Analyses'!$I$28:$J$28)</f>
        <v>3.3000000000000029E-2</v>
      </c>
      <c r="F97" s="167">
        <f t="shared" si="5"/>
        <v>0.63941906840621487</v>
      </c>
      <c r="G97" s="168">
        <f t="shared" si="6"/>
        <v>1.5864304616332726E-3</v>
      </c>
      <c r="H97" s="175"/>
      <c r="I97" s="175"/>
      <c r="J97" s="175"/>
      <c r="K97" s="174"/>
    </row>
    <row r="98" spans="3:11" s="156" customFormat="1" ht="12.75" x14ac:dyDescent="0.2">
      <c r="C98" s="174"/>
      <c r="D98" s="166">
        <v>48</v>
      </c>
      <c r="E98" s="161">
        <f>FORECAST(D98,'Carbon Deficit Analyses'!$I$30:$J$30,'Carbon Deficit Analyses'!$I$28:$J$28)</f>
        <v>3.2000000000000028E-2</v>
      </c>
      <c r="F98" s="167">
        <f t="shared" si="5"/>
        <v>0.63179189415670867</v>
      </c>
      <c r="G98" s="168">
        <f t="shared" si="6"/>
        <v>1.3810679320049757E-3</v>
      </c>
      <c r="H98" s="174"/>
      <c r="I98" s="174"/>
      <c r="J98" s="174"/>
      <c r="K98" s="174"/>
    </row>
    <row r="99" spans="3:11" s="156" customFormat="1" ht="12.75" x14ac:dyDescent="0.2">
      <c r="C99" s="174"/>
      <c r="D99" s="166">
        <v>49</v>
      </c>
      <c r="E99" s="161">
        <f>FORECAST(D99,'Carbon Deficit Analyses'!$I$30:$J$30,'Carbon Deficit Analyses'!$I$28:$J$28)</f>
        <v>3.1000000000000028E-2</v>
      </c>
      <c r="F99" s="167">
        <f t="shared" si="5"/>
        <v>0.62425569903170264</v>
      </c>
      <c r="G99" s="168">
        <f t="shared" si="6"/>
        <v>1.2022894661571459E-3</v>
      </c>
      <c r="H99" s="174"/>
      <c r="I99" s="174"/>
      <c r="J99" s="174"/>
      <c r="K99" s="174"/>
    </row>
    <row r="100" spans="3:11" s="156" customFormat="1" ht="12.75" x14ac:dyDescent="0.2">
      <c r="C100" s="174"/>
      <c r="D100" s="166">
        <v>50</v>
      </c>
      <c r="E100" s="167">
        <f>J30</f>
        <v>3.0000000000000027E-2</v>
      </c>
      <c r="F100" s="167">
        <f t="shared" si="5"/>
        <v>0.61680939780607624</v>
      </c>
      <c r="G100" s="168">
        <f t="shared" si="6"/>
        <v>1.0466537720080998E-3</v>
      </c>
      <c r="H100" s="174"/>
      <c r="I100" s="174"/>
      <c r="J100" s="174"/>
      <c r="K100" s="174"/>
    </row>
    <row r="101" spans="3:11" s="156" customFormat="1" ht="12.75" x14ac:dyDescent="0.2">
      <c r="C101" s="174"/>
      <c r="D101" s="166">
        <v>51</v>
      </c>
      <c r="E101" s="167">
        <f>FORECAST(D101,$I$30:$J$30,$I$28:$J$28)</f>
        <v>2.9000000000000026E-2</v>
      </c>
      <c r="F101" s="167">
        <f t="shared" si="5"/>
        <v>0.60945191819958566</v>
      </c>
      <c r="G101" s="168">
        <f t="shared" si="6"/>
        <v>9.1116503079766435E-4</v>
      </c>
      <c r="H101" s="174"/>
      <c r="I101" s="174"/>
      <c r="J101" s="174"/>
      <c r="K101" s="174"/>
    </row>
    <row r="102" spans="3:11" s="156" customFormat="1" ht="12.75" x14ac:dyDescent="0.2">
      <c r="C102" s="174"/>
      <c r="D102" s="166">
        <v>52</v>
      </c>
      <c r="E102" s="167">
        <f t="shared" ref="E102:E130" si="7">FORECAST(D102,$I$30:$J$30,$I$28:$J$28)</f>
        <v>2.8000000000000025E-2</v>
      </c>
      <c r="F102" s="167">
        <f t="shared" si="5"/>
        <v>0.60218220072245376</v>
      </c>
      <c r="G102" s="168">
        <f t="shared" si="6"/>
        <v>7.9321523081663696E-4</v>
      </c>
      <c r="H102" s="174"/>
      <c r="I102" s="174"/>
      <c r="J102" s="174"/>
      <c r="K102" s="174"/>
    </row>
    <row r="103" spans="3:11" s="156" customFormat="1" ht="12.75" x14ac:dyDescent="0.2">
      <c r="C103" s="174"/>
      <c r="D103" s="166">
        <v>53</v>
      </c>
      <c r="E103" s="167">
        <f t="shared" si="7"/>
        <v>2.7000000000000024E-2</v>
      </c>
      <c r="F103" s="167">
        <f t="shared" si="5"/>
        <v>0.5949991985228017</v>
      </c>
      <c r="G103" s="168">
        <f t="shared" si="6"/>
        <v>6.9053396600248841E-4</v>
      </c>
      <c r="H103" s="174"/>
      <c r="I103" s="174"/>
      <c r="J103" s="174"/>
      <c r="K103" s="174"/>
    </row>
    <row r="104" spans="3:11" s="156" customFormat="1" ht="12.75" x14ac:dyDescent="0.2">
      <c r="C104" s="174"/>
      <c r="D104" s="166">
        <v>54</v>
      </c>
      <c r="E104" s="167">
        <f t="shared" si="7"/>
        <v>2.6000000000000023E-2</v>
      </c>
      <c r="F104" s="167">
        <f t="shared" si="5"/>
        <v>0.58790187723590059</v>
      </c>
      <c r="G104" s="168">
        <f t="shared" si="6"/>
        <v>6.0114473307857296E-4</v>
      </c>
      <c r="H104" s="174"/>
      <c r="I104" s="174"/>
      <c r="J104" s="174"/>
      <c r="K104" s="174"/>
    </row>
    <row r="105" spans="3:11" s="156" customFormat="1" ht="12.75" x14ac:dyDescent="0.2">
      <c r="C105" s="174"/>
      <c r="D105" s="166">
        <v>55</v>
      </c>
      <c r="E105" s="167">
        <f t="shared" si="7"/>
        <v>2.5000000000000022E-2</v>
      </c>
      <c r="F105" s="167">
        <f t="shared" si="5"/>
        <v>0.5808892148352206</v>
      </c>
      <c r="G105" s="168">
        <f t="shared" si="6"/>
        <v>5.2332688600404981E-4</v>
      </c>
      <c r="H105" s="174"/>
      <c r="I105" s="174"/>
      <c r="J105" s="174"/>
      <c r="K105" s="174"/>
    </row>
    <row r="106" spans="3:11" s="156" customFormat="1" ht="12.75" x14ac:dyDescent="0.2">
      <c r="C106" s="174"/>
      <c r="D106" s="166">
        <v>56</v>
      </c>
      <c r="E106" s="167">
        <f t="shared" si="7"/>
        <v>2.4000000000000021E-2</v>
      </c>
      <c r="F106" s="167">
        <f t="shared" si="5"/>
        <v>0.5739602014852585</v>
      </c>
      <c r="G106" s="168">
        <f t="shared" si="6"/>
        <v>4.5558251539883212E-4</v>
      </c>
      <c r="H106" s="174"/>
      <c r="I106" s="174"/>
      <c r="J106" s="174"/>
      <c r="K106" s="174"/>
    </row>
    <row r="107" spans="3:11" s="156" customFormat="1" ht="12.75" x14ac:dyDescent="0.2">
      <c r="C107" s="174"/>
      <c r="D107" s="166">
        <v>57</v>
      </c>
      <c r="E107" s="167">
        <f t="shared" si="7"/>
        <v>2.300000000000002E-2</v>
      </c>
      <c r="F107" s="167">
        <f t="shared" si="5"/>
        <v>0.56711383939611815</v>
      </c>
      <c r="G107" s="168">
        <f t="shared" si="6"/>
        <v>3.9660761540831843E-4</v>
      </c>
      <c r="H107" s="174"/>
      <c r="I107" s="174"/>
      <c r="J107" s="174"/>
      <c r="K107" s="174"/>
    </row>
    <row r="108" spans="3:11" s="156" customFormat="1" ht="12.75" x14ac:dyDescent="0.2">
      <c r="C108" s="174"/>
      <c r="D108" s="166">
        <v>58</v>
      </c>
      <c r="E108" s="167">
        <f t="shared" si="7"/>
        <v>2.200000000000002E-2</v>
      </c>
      <c r="F108" s="167">
        <f t="shared" si="5"/>
        <v>0.56034914267982816</v>
      </c>
      <c r="G108" s="168">
        <f t="shared" si="6"/>
        <v>3.4526698300124415E-4</v>
      </c>
      <c r="H108" s="174"/>
      <c r="I108" s="174"/>
      <c r="J108" s="174"/>
      <c r="K108" s="174"/>
    </row>
    <row r="109" spans="3:11" s="156" customFormat="1" ht="12.75" x14ac:dyDescent="0.2">
      <c r="C109" s="174"/>
      <c r="D109" s="166">
        <v>59</v>
      </c>
      <c r="E109" s="167">
        <f t="shared" si="7"/>
        <v>2.1000000000000019E-2</v>
      </c>
      <c r="F109" s="167">
        <f t="shared" si="5"/>
        <v>0.55366513720837218</v>
      </c>
      <c r="G109" s="168">
        <f t="shared" si="6"/>
        <v>3.0057236653928615E-4</v>
      </c>
      <c r="H109" s="174"/>
      <c r="I109" s="174"/>
      <c r="J109" s="174"/>
      <c r="K109" s="174"/>
    </row>
    <row r="110" spans="3:11" s="156" customFormat="1" ht="12.75" x14ac:dyDescent="0.2">
      <c r="C110" s="174"/>
      <c r="D110" s="166">
        <v>60</v>
      </c>
      <c r="E110" s="167">
        <f t="shared" si="7"/>
        <v>2.0000000000000018E-2</v>
      </c>
      <c r="F110" s="167">
        <f t="shared" si="5"/>
        <v>0.54706086047341207</v>
      </c>
      <c r="G110" s="168">
        <f t="shared" si="6"/>
        <v>2.6166344300202464E-4</v>
      </c>
      <c r="H110" s="174"/>
      <c r="I110" s="174"/>
      <c r="J110" s="174"/>
      <c r="K110" s="174"/>
    </row>
    <row r="111" spans="3:11" s="156" customFormat="1" ht="12.75" x14ac:dyDescent="0.2">
      <c r="C111" s="174"/>
      <c r="D111" s="166">
        <v>61</v>
      </c>
      <c r="E111" s="167">
        <f t="shared" si="7"/>
        <v>1.9000000000000017E-2</v>
      </c>
      <c r="F111" s="167">
        <f t="shared" si="5"/>
        <v>0.54053536144768588</v>
      </c>
      <c r="G111" s="168">
        <f t="shared" si="6"/>
        <v>2.2779125769941584E-4</v>
      </c>
      <c r="H111" s="174"/>
      <c r="I111" s="174"/>
      <c r="J111" s="174"/>
      <c r="K111" s="174"/>
    </row>
    <row r="112" spans="3:11" s="156" customFormat="1" ht="12.75" x14ac:dyDescent="0.2">
      <c r="C112" s="174"/>
      <c r="D112" s="166">
        <v>62</v>
      </c>
      <c r="E112" s="167">
        <f t="shared" si="7"/>
        <v>1.8000000000000016E-2</v>
      </c>
      <c r="F112" s="167">
        <f t="shared" si="5"/>
        <v>0.53408770044805776</v>
      </c>
      <c r="G112" s="168">
        <f t="shared" si="6"/>
        <v>1.9830380770415902E-4</v>
      </c>
      <c r="H112" s="174"/>
      <c r="I112" s="174"/>
      <c r="J112" s="174"/>
      <c r="K112" s="174"/>
    </row>
    <row r="113" spans="3:11" s="156" customFormat="1" ht="12.75" x14ac:dyDescent="0.2">
      <c r="C113" s="174"/>
      <c r="D113" s="166">
        <v>63</v>
      </c>
      <c r="E113" s="167">
        <f t="shared" si="7"/>
        <v>1.7000000000000015E-2</v>
      </c>
      <c r="F113" s="167">
        <f t="shared" si="5"/>
        <v>0.52771694900020205</v>
      </c>
      <c r="G113" s="168">
        <f t="shared" si="6"/>
        <v>1.7263349150062191E-4</v>
      </c>
      <c r="H113" s="174"/>
      <c r="I113" s="174"/>
      <c r="J113" s="174"/>
      <c r="K113" s="174"/>
    </row>
    <row r="114" spans="3:11" s="156" customFormat="1" ht="12.75" x14ac:dyDescent="0.2">
      <c r="C114" s="174"/>
      <c r="D114" s="166">
        <v>64</v>
      </c>
      <c r="E114" s="167">
        <f t="shared" si="7"/>
        <v>1.6000000000000014E-2</v>
      </c>
      <c r="F114" s="167">
        <f t="shared" si="5"/>
        <v>0.52142218970490173</v>
      </c>
      <c r="G114" s="168">
        <f t="shared" si="6"/>
        <v>1.5028618326964308E-4</v>
      </c>
      <c r="H114" s="174"/>
      <c r="I114" s="174"/>
      <c r="J114" s="174"/>
      <c r="K114" s="174"/>
    </row>
    <row r="115" spans="3:11" s="156" customFormat="1" ht="12.75" x14ac:dyDescent="0.2">
      <c r="C115" s="174"/>
      <c r="D115" s="166">
        <v>65</v>
      </c>
      <c r="E115" s="167">
        <f t="shared" si="7"/>
        <v>1.5000000000000013E-2</v>
      </c>
      <c r="F115" s="167">
        <f t="shared" si="5"/>
        <v>0.5152025161059407</v>
      </c>
      <c r="G115" s="168">
        <f t="shared" si="6"/>
        <v>1.3083172150101256E-4</v>
      </c>
      <c r="H115" s="174"/>
      <c r="I115" s="174"/>
      <c r="J115" s="174"/>
      <c r="K115" s="174"/>
    </row>
    <row r="116" spans="3:11" s="156" customFormat="1" ht="12.75" x14ac:dyDescent="0.2">
      <c r="C116" s="174"/>
      <c r="D116" s="166">
        <v>66</v>
      </c>
      <c r="E116" s="167">
        <f t="shared" si="7"/>
        <v>1.4000000000000012E-2</v>
      </c>
      <c r="F116" s="167">
        <f t="shared" ref="F116:F130" si="8">$I$32*EXP($L$32*D116)</f>
        <v>0.50905703255957313</v>
      </c>
      <c r="G116" s="168">
        <f t="shared" ref="G116:G130" si="9">EXP(-$H$37*(D116-0.5))</f>
        <v>1.1389562884970811E-4</v>
      </c>
      <c r="H116" s="174"/>
      <c r="I116" s="174"/>
      <c r="J116" s="174"/>
      <c r="K116" s="174"/>
    </row>
    <row r="117" spans="3:11" s="156" customFormat="1" ht="12.75" x14ac:dyDescent="0.2">
      <c r="C117" s="174"/>
      <c r="D117" s="166">
        <v>67</v>
      </c>
      <c r="E117" s="167">
        <f t="shared" si="7"/>
        <v>1.3000000000000012E-2</v>
      </c>
      <c r="F117" s="167">
        <f t="shared" si="8"/>
        <v>0.50298485410554905</v>
      </c>
      <c r="G117" s="168">
        <f t="shared" si="9"/>
        <v>9.9151903852079675E-5</v>
      </c>
      <c r="H117" s="174"/>
      <c r="I117" s="174"/>
      <c r="J117" s="174"/>
      <c r="K117" s="174"/>
    </row>
    <row r="118" spans="3:11" s="156" customFormat="1" ht="12.75" x14ac:dyDescent="0.2">
      <c r="C118" s="174"/>
      <c r="D118" s="166">
        <v>68</v>
      </c>
      <c r="E118" s="167">
        <f t="shared" si="7"/>
        <v>1.2000000000000011E-2</v>
      </c>
      <c r="F118" s="167">
        <f t="shared" si="8"/>
        <v>0.49698510633967802</v>
      </c>
      <c r="G118" s="168">
        <f t="shared" si="9"/>
        <v>8.6316745750311105E-5</v>
      </c>
      <c r="H118" s="174"/>
      <c r="I118" s="174"/>
      <c r="J118" s="174"/>
      <c r="K118" s="174"/>
    </row>
    <row r="119" spans="3:11" s="156" customFormat="1" ht="12.75" x14ac:dyDescent="0.2">
      <c r="C119" s="174"/>
      <c r="D119" s="166">
        <v>69</v>
      </c>
      <c r="E119" s="167">
        <f t="shared" si="7"/>
        <v>1.100000000000001E-2</v>
      </c>
      <c r="F119" s="167">
        <f t="shared" si="8"/>
        <v>0.49105692528791434</v>
      </c>
      <c r="G119" s="168">
        <f t="shared" si="9"/>
        <v>7.5143091634821661E-5</v>
      </c>
      <c r="H119" s="174"/>
      <c r="I119" s="174"/>
      <c r="J119" s="174"/>
      <c r="K119" s="174"/>
    </row>
    <row r="120" spans="3:11" s="156" customFormat="1" ht="12.75" x14ac:dyDescent="0.2">
      <c r="C120" s="174"/>
      <c r="D120" s="166">
        <v>70</v>
      </c>
      <c r="E120" s="167">
        <f t="shared" si="7"/>
        <v>1.0000000000000009E-2</v>
      </c>
      <c r="F120" s="167">
        <f t="shared" si="8"/>
        <v>0.48519945728194264</v>
      </c>
      <c r="G120" s="168">
        <f t="shared" si="9"/>
        <v>6.5415860750506267E-5</v>
      </c>
      <c r="H120" s="174"/>
      <c r="I120" s="174"/>
      <c r="J120" s="174"/>
      <c r="K120" s="174"/>
    </row>
    <row r="121" spans="3:11" s="156" customFormat="1" ht="12.75" x14ac:dyDescent="0.2">
      <c r="C121" s="174"/>
      <c r="D121" s="166">
        <v>71</v>
      </c>
      <c r="E121" s="167">
        <f t="shared" si="7"/>
        <v>9.000000000000008E-3</v>
      </c>
      <c r="F121" s="167">
        <f t="shared" si="8"/>
        <v>0.47941185883624815</v>
      </c>
      <c r="G121" s="168">
        <f t="shared" si="9"/>
        <v>5.6947814424854049E-5</v>
      </c>
      <c r="H121" s="174"/>
      <c r="I121" s="174"/>
      <c r="J121" s="174"/>
      <c r="K121" s="174"/>
    </row>
    <row r="122" spans="3:11" s="156" customFormat="1" ht="12.75" x14ac:dyDescent="0.2">
      <c r="C122" s="174"/>
      <c r="D122" s="166">
        <v>72</v>
      </c>
      <c r="E122" s="167">
        <f t="shared" si="7"/>
        <v>8.0000000000000071E-3</v>
      </c>
      <c r="F122" s="167">
        <f t="shared" si="8"/>
        <v>0.47369329652665376</v>
      </c>
      <c r="G122" s="168">
        <f t="shared" si="9"/>
        <v>4.9575951926039837E-5</v>
      </c>
      <c r="H122" s="174"/>
      <c r="I122" s="174"/>
      <c r="J122" s="174"/>
      <c r="K122" s="174"/>
    </row>
    <row r="123" spans="3:11" x14ac:dyDescent="0.25">
      <c r="C123" s="165"/>
      <c r="D123" s="166">
        <v>73</v>
      </c>
      <c r="E123" s="167">
        <f t="shared" si="7"/>
        <v>7.0000000000000062E-3</v>
      </c>
      <c r="F123" s="167">
        <f t="shared" si="8"/>
        <v>0.46804294687030512</v>
      </c>
      <c r="G123" s="168">
        <f t="shared" si="9"/>
        <v>4.3158372875155546E-5</v>
      </c>
      <c r="H123" s="174"/>
      <c r="I123" s="174"/>
      <c r="J123" s="174"/>
      <c r="K123" s="165"/>
    </row>
    <row r="124" spans="3:11" x14ac:dyDescent="0.25">
      <c r="C124" s="165"/>
      <c r="D124" s="166">
        <v>74</v>
      </c>
      <c r="E124" s="167">
        <f t="shared" si="7"/>
        <v>6.0000000000000053E-3</v>
      </c>
      <c r="F124" s="167">
        <f t="shared" si="8"/>
        <v>0.46245999620708794</v>
      </c>
      <c r="G124" s="168">
        <f t="shared" si="9"/>
        <v>3.7571545817410824E-5</v>
      </c>
      <c r="H124" s="174"/>
      <c r="I124" s="174"/>
      <c r="J124" s="174"/>
      <c r="K124" s="165"/>
    </row>
    <row r="125" spans="3:11" x14ac:dyDescent="0.25">
      <c r="C125" s="165"/>
      <c r="D125" s="166">
        <v>75</v>
      </c>
      <c r="E125" s="167">
        <f t="shared" si="7"/>
        <v>5.0000000000000044E-3</v>
      </c>
      <c r="F125" s="167">
        <f t="shared" si="8"/>
        <v>0.45694364058245929</v>
      </c>
      <c r="G125" s="168">
        <f t="shared" si="9"/>
        <v>3.2707930375253134E-5</v>
      </c>
      <c r="H125" s="174"/>
      <c r="I125" s="174"/>
      <c r="J125" s="174"/>
      <c r="K125" s="165"/>
    </row>
    <row r="126" spans="3:11" x14ac:dyDescent="0.25">
      <c r="C126" s="165"/>
      <c r="D126" s="166">
        <v>76</v>
      </c>
      <c r="E126" s="167">
        <f t="shared" si="7"/>
        <v>4.0000000000000036E-3</v>
      </c>
      <c r="F126" s="167">
        <f t="shared" si="8"/>
        <v>0.45149308563167689</v>
      </c>
      <c r="G126" s="168">
        <f t="shared" si="9"/>
        <v>2.8473907212427021E-5</v>
      </c>
      <c r="H126" s="174"/>
      <c r="I126" s="174"/>
      <c r="J126" s="174"/>
      <c r="K126" s="165"/>
    </row>
    <row r="127" spans="3:11" x14ac:dyDescent="0.25">
      <c r="C127" s="165"/>
      <c r="D127" s="166">
        <v>77</v>
      </c>
      <c r="E127" s="167">
        <f t="shared" si="7"/>
        <v>3.0000000000000027E-3</v>
      </c>
      <c r="F127" s="167">
        <f t="shared" si="8"/>
        <v>0.44610754646540923</v>
      </c>
      <c r="G127" s="168">
        <f t="shared" si="9"/>
        <v>2.4787975963019915E-5</v>
      </c>
      <c r="H127" s="174"/>
      <c r="I127" s="174"/>
      <c r="J127" s="174"/>
      <c r="K127" s="165"/>
    </row>
    <row r="128" spans="3:11" x14ac:dyDescent="0.25">
      <c r="C128" s="165"/>
      <c r="D128" s="166">
        <v>78</v>
      </c>
      <c r="E128" s="167">
        <f t="shared" si="7"/>
        <v>2.0000000000000018E-3</v>
      </c>
      <c r="F128" s="167">
        <f t="shared" si="8"/>
        <v>0.4407862475567102</v>
      </c>
      <c r="G128" s="168">
        <f t="shared" si="9"/>
        <v>2.1579186437577773E-5</v>
      </c>
      <c r="H128" s="174"/>
      <c r="I128" s="174"/>
      <c r="J128" s="174"/>
      <c r="K128" s="165"/>
    </row>
    <row r="129" spans="3:11" x14ac:dyDescent="0.25">
      <c r="C129" s="165"/>
      <c r="D129" s="166">
        <v>79</v>
      </c>
      <c r="E129" s="167">
        <f t="shared" si="7"/>
        <v>1.0000000000000009E-3</v>
      </c>
      <c r="F129" s="167">
        <f t="shared" si="8"/>
        <v>0.43552842262934155</v>
      </c>
      <c r="G129" s="168">
        <f t="shared" si="9"/>
        <v>1.8785772908705412E-5</v>
      </c>
      <c r="H129" s="174"/>
      <c r="I129" s="174"/>
      <c r="J129" s="174"/>
      <c r="K129" s="165"/>
    </row>
    <row r="130" spans="3:11" ht="15.75" thickBot="1" x14ac:dyDescent="0.3">
      <c r="C130" s="165"/>
      <c r="D130" s="169">
        <v>80</v>
      </c>
      <c r="E130" s="170">
        <f t="shared" si="7"/>
        <v>0</v>
      </c>
      <c r="F130" s="170">
        <f t="shared" si="8"/>
        <v>0.4303333145474284</v>
      </c>
      <c r="G130" s="171">
        <f t="shared" si="9"/>
        <v>1.6353965187626563E-5</v>
      </c>
      <c r="H130" s="174"/>
      <c r="I130" s="174"/>
      <c r="J130" s="174"/>
      <c r="K130" s="165"/>
    </row>
    <row r="131" spans="3:11" x14ac:dyDescent="0.25">
      <c r="C131" s="165"/>
      <c r="D131" s="173"/>
      <c r="E131" s="173"/>
      <c r="F131" s="173"/>
      <c r="G131" s="173"/>
      <c r="H131" s="174"/>
      <c r="I131" s="174"/>
      <c r="J131" s="174"/>
      <c r="K131" s="165"/>
    </row>
    <row r="132" spans="3:11" x14ac:dyDescent="0.25">
      <c r="C132" s="165"/>
      <c r="D132" s="173"/>
      <c r="E132" s="173"/>
      <c r="F132" s="173"/>
      <c r="G132" s="173"/>
      <c r="H132" s="174"/>
      <c r="I132" s="174"/>
      <c r="J132" s="174"/>
      <c r="K132" s="165"/>
    </row>
    <row r="133" spans="3:11" x14ac:dyDescent="0.25">
      <c r="C133" s="165"/>
      <c r="D133" s="173"/>
      <c r="E133" s="173"/>
      <c r="F133" s="173"/>
      <c r="G133" s="173"/>
      <c r="H133" s="174"/>
      <c r="I133" s="174"/>
      <c r="J133" s="174"/>
      <c r="K133" s="165"/>
    </row>
    <row r="134" spans="3:11" x14ac:dyDescent="0.25">
      <c r="C134" s="165"/>
      <c r="D134" s="173"/>
      <c r="E134" s="173"/>
      <c r="F134" s="173"/>
      <c r="G134" s="173"/>
      <c r="H134" s="174"/>
      <c r="I134" s="174"/>
      <c r="J134" s="174"/>
      <c r="K134" s="165"/>
    </row>
    <row r="135" spans="3:11" x14ac:dyDescent="0.25">
      <c r="C135" s="165"/>
      <c r="D135" s="173"/>
      <c r="E135" s="173"/>
      <c r="F135" s="173"/>
      <c r="G135" s="173"/>
      <c r="H135" s="174"/>
      <c r="I135" s="174"/>
      <c r="J135" s="174"/>
      <c r="K135" s="165"/>
    </row>
    <row r="136" spans="3:11" x14ac:dyDescent="0.25">
      <c r="C136" s="165"/>
      <c r="D136" s="173"/>
      <c r="E136" s="173"/>
      <c r="F136" s="173"/>
      <c r="G136" s="173"/>
      <c r="H136" s="174"/>
      <c r="I136" s="174"/>
      <c r="J136" s="174"/>
      <c r="K136" s="165"/>
    </row>
    <row r="137" spans="3:11" x14ac:dyDescent="0.25">
      <c r="C137" s="165"/>
      <c r="D137" s="173"/>
      <c r="E137" s="173"/>
      <c r="F137" s="173"/>
      <c r="G137" s="173"/>
      <c r="H137" s="174"/>
      <c r="I137" s="174"/>
      <c r="J137" s="174"/>
      <c r="K137" s="165"/>
    </row>
    <row r="138" spans="3:11" x14ac:dyDescent="0.25">
      <c r="C138" s="165"/>
      <c r="D138" s="173"/>
      <c r="E138" s="173"/>
      <c r="F138" s="173"/>
      <c r="G138" s="173"/>
      <c r="H138" s="174"/>
      <c r="I138" s="174"/>
      <c r="J138" s="174"/>
      <c r="K138" s="165"/>
    </row>
    <row r="139" spans="3:11" x14ac:dyDescent="0.25">
      <c r="C139" s="165"/>
      <c r="D139" s="173"/>
      <c r="E139" s="173"/>
      <c r="F139" s="173"/>
      <c r="G139" s="173"/>
      <c r="H139" s="174"/>
      <c r="I139" s="174"/>
      <c r="J139" s="174"/>
      <c r="K139" s="165"/>
    </row>
    <row r="140" spans="3:11" x14ac:dyDescent="0.25">
      <c r="C140" s="165"/>
      <c r="D140" s="173"/>
      <c r="E140" s="173"/>
      <c r="F140" s="173"/>
      <c r="G140" s="173"/>
      <c r="H140" s="174"/>
      <c r="I140" s="174"/>
      <c r="J140" s="174"/>
      <c r="K140" s="165"/>
    </row>
    <row r="141" spans="3:11" x14ac:dyDescent="0.25">
      <c r="C141" s="165"/>
      <c r="D141" s="173"/>
      <c r="E141" s="173"/>
      <c r="F141" s="173"/>
      <c r="G141" s="173"/>
      <c r="H141" s="174"/>
      <c r="I141" s="174"/>
      <c r="J141" s="174"/>
      <c r="K141" s="165"/>
    </row>
    <row r="142" spans="3:11" x14ac:dyDescent="0.25">
      <c r="C142" s="165"/>
      <c r="D142" s="173"/>
      <c r="E142" s="173"/>
      <c r="F142" s="173"/>
      <c r="G142" s="173"/>
      <c r="H142" s="174"/>
      <c r="I142" s="174"/>
      <c r="J142" s="174"/>
      <c r="K142" s="165"/>
    </row>
    <row r="143" spans="3:11" x14ac:dyDescent="0.25">
      <c r="C143" s="165"/>
      <c r="D143" s="173"/>
      <c r="E143" s="173"/>
      <c r="F143" s="173"/>
      <c r="G143" s="173"/>
      <c r="H143" s="174"/>
      <c r="I143" s="174"/>
      <c r="J143" s="174"/>
      <c r="K143" s="165"/>
    </row>
    <row r="144" spans="3:11" x14ac:dyDescent="0.25">
      <c r="C144" s="165"/>
      <c r="D144" s="173"/>
      <c r="E144" s="173"/>
      <c r="F144" s="173"/>
      <c r="G144" s="173"/>
      <c r="H144" s="174"/>
      <c r="I144" s="174"/>
      <c r="J144" s="174"/>
      <c r="K144" s="165"/>
    </row>
    <row r="145" spans="3:11" x14ac:dyDescent="0.25">
      <c r="C145" s="165"/>
      <c r="D145" s="173"/>
      <c r="E145" s="173"/>
      <c r="F145" s="173"/>
      <c r="G145" s="173"/>
      <c r="H145" s="174"/>
      <c r="I145" s="174"/>
      <c r="J145" s="174"/>
      <c r="K145" s="165"/>
    </row>
    <row r="146" spans="3:11" x14ac:dyDescent="0.25">
      <c r="C146" s="165"/>
      <c r="D146" s="173"/>
      <c r="E146" s="173"/>
      <c r="F146" s="173"/>
      <c r="G146" s="173"/>
      <c r="H146" s="174"/>
      <c r="I146" s="174"/>
      <c r="J146" s="174"/>
      <c r="K146" s="165"/>
    </row>
    <row r="147" spans="3:11" x14ac:dyDescent="0.25">
      <c r="C147" s="165"/>
      <c r="D147" s="173"/>
      <c r="E147" s="173"/>
      <c r="F147" s="173"/>
      <c r="G147" s="173"/>
      <c r="H147" s="174"/>
      <c r="I147" s="174"/>
      <c r="J147" s="174"/>
      <c r="K147" s="165"/>
    </row>
    <row r="148" spans="3:11" x14ac:dyDescent="0.25">
      <c r="C148" s="165"/>
      <c r="D148" s="173"/>
      <c r="E148" s="173"/>
      <c r="F148" s="173"/>
      <c r="G148" s="173"/>
      <c r="H148" s="174"/>
      <c r="I148" s="174"/>
      <c r="J148" s="174"/>
      <c r="K148" s="165"/>
    </row>
    <row r="149" spans="3:11" x14ac:dyDescent="0.25">
      <c r="C149" s="165"/>
      <c r="D149" s="173"/>
      <c r="E149" s="173"/>
      <c r="F149" s="173"/>
      <c r="G149" s="173"/>
      <c r="H149" s="174"/>
      <c r="I149" s="174"/>
      <c r="J149" s="174"/>
      <c r="K149" s="165"/>
    </row>
    <row r="150" spans="3:11" x14ac:dyDescent="0.25">
      <c r="C150" s="165"/>
      <c r="D150" s="173"/>
      <c r="E150" s="173"/>
      <c r="F150" s="173"/>
      <c r="G150" s="173"/>
      <c r="H150" s="174"/>
      <c r="I150" s="174"/>
      <c r="J150" s="174"/>
      <c r="K150" s="165"/>
    </row>
    <row r="151" spans="3:11" x14ac:dyDescent="0.25">
      <c r="C151" s="165"/>
      <c r="D151" s="173"/>
      <c r="E151" s="173"/>
      <c r="F151" s="173"/>
      <c r="G151" s="173"/>
      <c r="H151" s="174"/>
      <c r="I151" s="174"/>
      <c r="J151" s="174"/>
      <c r="K151" s="165"/>
    </row>
    <row r="152" spans="3:11" x14ac:dyDescent="0.25">
      <c r="C152" s="165"/>
      <c r="D152" s="173"/>
      <c r="E152" s="173"/>
      <c r="F152" s="173"/>
      <c r="G152" s="173"/>
      <c r="H152" s="174"/>
      <c r="I152" s="174"/>
      <c r="J152" s="174"/>
      <c r="K152" s="165"/>
    </row>
    <row r="153" spans="3:11" x14ac:dyDescent="0.25">
      <c r="C153" s="165"/>
      <c r="D153" s="173"/>
      <c r="E153" s="173"/>
      <c r="F153" s="173"/>
      <c r="G153" s="173"/>
      <c r="H153" s="174"/>
      <c r="I153" s="174"/>
      <c r="J153" s="174"/>
      <c r="K153" s="165"/>
    </row>
    <row r="154" spans="3:11" x14ac:dyDescent="0.25">
      <c r="C154" s="165"/>
      <c r="D154" s="173"/>
      <c r="E154" s="173"/>
      <c r="F154" s="173"/>
      <c r="G154" s="173"/>
      <c r="H154" s="174"/>
      <c r="I154" s="174"/>
      <c r="J154" s="174"/>
      <c r="K154" s="165"/>
    </row>
    <row r="155" spans="3:11" x14ac:dyDescent="0.25">
      <c r="C155" s="165"/>
      <c r="D155" s="173"/>
      <c r="E155" s="173"/>
      <c r="F155" s="173"/>
      <c r="G155" s="173"/>
      <c r="H155" s="174"/>
      <c r="I155" s="174"/>
      <c r="J155" s="174"/>
      <c r="K155" s="165"/>
    </row>
    <row r="156" spans="3:11" x14ac:dyDescent="0.25">
      <c r="C156" s="165"/>
      <c r="D156" s="165"/>
      <c r="E156" s="165"/>
      <c r="F156" s="165"/>
      <c r="G156" s="165"/>
      <c r="H156" s="165"/>
      <c r="I156" s="165"/>
      <c r="J156" s="165"/>
      <c r="K156" s="165"/>
    </row>
    <row r="157" spans="3:11" x14ac:dyDescent="0.25">
      <c r="C157" s="165"/>
      <c r="D157" s="165"/>
      <c r="E157" s="165"/>
      <c r="F157" s="165"/>
      <c r="G157" s="165"/>
      <c r="H157" s="165"/>
      <c r="I157" s="165"/>
      <c r="J157" s="165"/>
      <c r="K157" s="165"/>
    </row>
  </sheetData>
  <sheetProtection algorithmName="SHA-512" hashValue="H/sTtjcxCX3PP8J0GWkMRHouPDhSjbNaGKHKOLZsP7SAYAagjlkwRPd7qKbHm3OuEjbOZuSsVR+U1/iSoXHaoA==" saltValue="6o0B/bMKrJ+QOycUU2Kc0Q==" spinCount="100000" sheet="1" objects="1" scenarios="1"/>
  <mergeCells count="27">
    <mergeCell ref="D32:F32"/>
    <mergeCell ref="D36:E37"/>
    <mergeCell ref="F36:G36"/>
    <mergeCell ref="H36:I36"/>
    <mergeCell ref="J36:R37"/>
    <mergeCell ref="F37:G37"/>
    <mergeCell ref="H37:I37"/>
    <mergeCell ref="E49:E50"/>
    <mergeCell ref="F49:F50"/>
    <mergeCell ref="G49:G50"/>
    <mergeCell ref="K49:L49"/>
    <mergeCell ref="M49:N49"/>
    <mergeCell ref="H49:H50"/>
    <mergeCell ref="M52:N52"/>
    <mergeCell ref="S50:T50"/>
    <mergeCell ref="U50:V50"/>
    <mergeCell ref="Q48:V48"/>
    <mergeCell ref="S49:T49"/>
    <mergeCell ref="U49:V49"/>
    <mergeCell ref="I48:O48"/>
    <mergeCell ref="K50:L50"/>
    <mergeCell ref="M50:N50"/>
    <mergeCell ref="O50:O51"/>
    <mergeCell ref="K52:L52"/>
    <mergeCell ref="M51:N51"/>
    <mergeCell ref="K51:L51"/>
    <mergeCell ref="I52:J52"/>
  </mergeCells>
  <pageMargins left="0.7" right="0.7" top="0.75" bottom="0.75" header="0.3" footer="0.3"/>
  <pageSetup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7" ma:contentTypeDescription="Create a new document." ma:contentTypeScope="" ma:versionID="be3b330dcda1e48634e2523a06c11cd0">
  <xsd:schema xmlns:xsd="http://www.w3.org/2001/XMLSchema" xmlns:xs="http://www.w3.org/2001/XMLSchema" xmlns:p="http://schemas.microsoft.com/office/2006/metadata/properties" xmlns:ns2="2faba9cb-4d41-40e0-aeca-46929bac230a" targetNamespace="http://schemas.microsoft.com/office/2006/metadata/properties" ma:root="true" ma:fieldsID="a825e24a29242b2740abbb1a80b5611e" ns2:_="">
    <xsd:import namespace="2faba9cb-4d41-40e0-aeca-46929bac230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CFD162-DFAE-4253-B91E-051C8D555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4FB4E9-1B93-4962-ABEE-EA157E850972}">
  <ds:schemaRefs>
    <ds:schemaRef ds:uri="http://schemas.microsoft.com/sharepoint/v3/contenttype/forms"/>
  </ds:schemaRefs>
</ds:datastoreItem>
</file>

<file path=customXml/itemProps3.xml><?xml version="1.0" encoding="utf-8"?>
<ds:datastoreItem xmlns:ds="http://schemas.openxmlformats.org/officeDocument/2006/customXml" ds:itemID="{86BCDAAB-EB24-45A9-A96F-BCB72A4363EB}">
  <ds:schemaRefs>
    <ds:schemaRef ds:uri="http://purl.org/dc/elements/1.1/"/>
    <ds:schemaRef ds:uri="http://schemas.microsoft.com/office/2006/metadata/properties"/>
    <ds:schemaRef ds:uri="2faba9cb-4d41-40e0-aeca-46929bac230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Overall Efficiency - Annual</vt:lpstr>
      <vt:lpstr>GHG Analysis</vt:lpstr>
      <vt:lpstr>Parameters</vt:lpstr>
      <vt:lpstr>GHG Model - Forest Residues</vt:lpstr>
      <vt:lpstr>GHG Model - Non-Forest Residues</vt:lpstr>
      <vt:lpstr>GHG Model - Forest Salvage</vt:lpstr>
      <vt:lpstr>GHG Model - Forest Thinnings</vt:lpstr>
      <vt:lpstr>Carbon Deficit Analyses</vt:lpstr>
      <vt:lpstr>BiomassFuels</vt:lpstr>
      <vt:lpstr>BiomassHeatValues</vt:lpstr>
      <vt:lpstr>ConventionalFuelList</vt:lpstr>
      <vt:lpstr>ElectricGeneration</vt:lpstr>
      <vt:lpstr>TypeOfFuel</vt:lpstr>
    </vt:vector>
  </TitlesOfParts>
  <Company>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DOER2</cp:lastModifiedBy>
  <cp:lastPrinted>2011-10-20T23:41:21Z</cp:lastPrinted>
  <dcterms:created xsi:type="dcterms:W3CDTF">2010-08-29T02:08:46Z</dcterms:created>
  <dcterms:modified xsi:type="dcterms:W3CDTF">2021-10-28T21:20:50Z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Order">
    <vt:r8>23774400</vt:r8>
  </property>
</Properties>
</file>