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22020" windowHeight="7410"/>
  </bookViews>
  <sheets>
    <sheet name="Proposed FY21 Model Budgets" sheetId="1" r:id="rId1"/>
    <sheet name="CAF 2019 Fall" sheetId="2" r:id="rId2"/>
  </sheets>
  <externalReferences>
    <externalReference r:id="rId3"/>
    <externalReference r:id="rId4"/>
  </externalReferences>
  <definedNames>
    <definedName name="_xlnm.Print_Area" localSheetId="1">'CAF 2019 Fall'!$BO$7:$BZ$27</definedName>
    <definedName name="_xlnm.Print_Area" localSheetId="0">'Proposed FY21 Model Budgets'!$G$1:$AB$290</definedName>
    <definedName name="_xlnm.Print_Titles" localSheetId="1">'CAF 2019 Fall'!$A:$A</definedName>
  </definedNames>
  <calcPr calcId="145621"/>
</workbook>
</file>

<file path=xl/calcChain.xml><?xml version="1.0" encoding="utf-8"?>
<calcChain xmlns="http://schemas.openxmlformats.org/spreadsheetml/2006/main">
  <c r="BX23" i="2" l="1"/>
  <c r="BW23" i="2"/>
  <c r="BV23" i="2"/>
  <c r="BU23" i="2"/>
  <c r="BT23" i="2"/>
  <c r="BS23" i="2"/>
  <c r="BR23" i="2"/>
  <c r="BQ23" i="2"/>
  <c r="BZ23" i="2" s="1"/>
  <c r="BZ25" i="2" s="1"/>
  <c r="BX22" i="2"/>
  <c r="BW22" i="2"/>
  <c r="BV22" i="2"/>
  <c r="BU22" i="2"/>
  <c r="BT22" i="2"/>
  <c r="BS22" i="2"/>
  <c r="BR22" i="2"/>
  <c r="BQ22" i="2"/>
  <c r="BZ19" i="2"/>
  <c r="BQ19" i="2"/>
  <c r="BQ18" i="2"/>
  <c r="G287" i="1"/>
  <c r="M286" i="1"/>
  <c r="H285" i="1"/>
  <c r="G285" i="1"/>
  <c r="H284" i="1"/>
  <c r="M282" i="1"/>
  <c r="G282" i="1"/>
  <c r="L280" i="1" s="1"/>
  <c r="J281" i="1"/>
  <c r="G281" i="1"/>
  <c r="J280" i="1"/>
  <c r="G280" i="1"/>
  <c r="O279" i="1"/>
  <c r="L279" i="1"/>
  <c r="G279" i="1"/>
  <c r="AB278" i="1"/>
  <c r="O278" i="1"/>
  <c r="L278" i="1"/>
  <c r="G278" i="1"/>
  <c r="L276" i="1" s="1"/>
  <c r="O277" i="1"/>
  <c r="L277" i="1"/>
  <c r="O276" i="1"/>
  <c r="H276" i="1"/>
  <c r="AB274" i="1"/>
  <c r="J278" i="1" s="1"/>
  <c r="M274" i="1"/>
  <c r="J273" i="1"/>
  <c r="Z272" i="1"/>
  <c r="Z273" i="1" s="1"/>
  <c r="AB273" i="1" s="1"/>
  <c r="J272" i="1"/>
  <c r="M271" i="1"/>
  <c r="O271" i="1" s="1"/>
  <c r="L271" i="1"/>
  <c r="I271" i="1"/>
  <c r="J271" i="1" s="1"/>
  <c r="AA270" i="1"/>
  <c r="AB270" i="1" s="1"/>
  <c r="M270" i="1"/>
  <c r="O270" i="1" s="1"/>
  <c r="L270" i="1"/>
  <c r="I270" i="1"/>
  <c r="I274" i="1" s="1"/>
  <c r="H270" i="1"/>
  <c r="G270" i="1"/>
  <c r="L268" i="1" s="1"/>
  <c r="N269" i="1"/>
  <c r="M269" i="1"/>
  <c r="L269" i="1"/>
  <c r="AB268" i="1"/>
  <c r="N268" i="1"/>
  <c r="O280" i="1" s="1"/>
  <c r="M268" i="1"/>
  <c r="G262" i="1"/>
  <c r="H260" i="1"/>
  <c r="G260" i="1"/>
  <c r="H259" i="1"/>
  <c r="M257" i="1" s="1"/>
  <c r="G257" i="1"/>
  <c r="L255" i="1" s="1"/>
  <c r="J256" i="1"/>
  <c r="O254" i="1" s="1"/>
  <c r="G256" i="1"/>
  <c r="L254" i="1" s="1"/>
  <c r="J255" i="1"/>
  <c r="G255" i="1"/>
  <c r="L253" i="1" s="1"/>
  <c r="J254" i="1"/>
  <c r="G254" i="1"/>
  <c r="L252" i="1" s="1"/>
  <c r="AB253" i="1"/>
  <c r="O253" i="1"/>
  <c r="G253" i="1"/>
  <c r="L251" i="1" s="1"/>
  <c r="O252" i="1"/>
  <c r="H251" i="1"/>
  <c r="AB249" i="1"/>
  <c r="J253" i="1" s="1"/>
  <c r="O251" i="1" s="1"/>
  <c r="M249" i="1"/>
  <c r="Z247" i="1"/>
  <c r="AB247" i="1" s="1"/>
  <c r="H247" i="1"/>
  <c r="M246" i="1"/>
  <c r="O246" i="1" s="1"/>
  <c r="L246" i="1"/>
  <c r="I246" i="1"/>
  <c r="I249" i="1" s="1"/>
  <c r="L245" i="1"/>
  <c r="H245" i="1"/>
  <c r="G245" i="1"/>
  <c r="N244" i="1"/>
  <c r="N247" i="1" s="1"/>
  <c r="M244" i="1"/>
  <c r="L244" i="1"/>
  <c r="L243" i="1"/>
  <c r="H235" i="1"/>
  <c r="G235" i="1"/>
  <c r="H234" i="1"/>
  <c r="M232" i="1" s="1"/>
  <c r="G232" i="1"/>
  <c r="L230" i="1" s="1"/>
  <c r="J231" i="1"/>
  <c r="O229" i="1" s="1"/>
  <c r="G231" i="1"/>
  <c r="L229" i="1" s="1"/>
  <c r="J230" i="1"/>
  <c r="O228" i="1" s="1"/>
  <c r="G230" i="1"/>
  <c r="L228" i="1" s="1"/>
  <c r="J229" i="1"/>
  <c r="G229" i="1"/>
  <c r="AB228" i="1"/>
  <c r="G228" i="1"/>
  <c r="L226" i="1" s="1"/>
  <c r="O227" i="1"/>
  <c r="L227" i="1"/>
  <c r="H226" i="1"/>
  <c r="AB225" i="1"/>
  <c r="J228" i="1" s="1"/>
  <c r="O226" i="1" s="1"/>
  <c r="M224" i="1"/>
  <c r="Z222" i="1"/>
  <c r="AB222" i="1" s="1"/>
  <c r="H222" i="1"/>
  <c r="M221" i="1"/>
  <c r="O221" i="1" s="1"/>
  <c r="L221" i="1"/>
  <c r="I221" i="1"/>
  <c r="I224" i="1" s="1"/>
  <c r="AA220" i="1"/>
  <c r="AA245" i="1" s="1"/>
  <c r="AB245" i="1" s="1"/>
  <c r="L220" i="1"/>
  <c r="H220" i="1"/>
  <c r="J220" i="1" s="1"/>
  <c r="G220" i="1"/>
  <c r="N219" i="1"/>
  <c r="N222" i="1" s="1"/>
  <c r="M219" i="1"/>
  <c r="L219" i="1"/>
  <c r="AB218" i="1"/>
  <c r="M218" i="1"/>
  <c r="O218" i="1" s="1"/>
  <c r="L218" i="1"/>
  <c r="G212" i="1"/>
  <c r="H210" i="1"/>
  <c r="G210" i="1"/>
  <c r="H209" i="1"/>
  <c r="M207" i="1" s="1"/>
  <c r="G207" i="1"/>
  <c r="L205" i="1" s="1"/>
  <c r="J206" i="1"/>
  <c r="O204" i="1" s="1"/>
  <c r="G206" i="1"/>
  <c r="J205" i="1"/>
  <c r="O203" i="1" s="1"/>
  <c r="G205" i="1"/>
  <c r="AB204" i="1"/>
  <c r="L204" i="1"/>
  <c r="G204" i="1"/>
  <c r="L202" i="1" s="1"/>
  <c r="L203" i="1"/>
  <c r="H202" i="1"/>
  <c r="AB201" i="1"/>
  <c r="J204" i="1" s="1"/>
  <c r="O202" i="1" s="1"/>
  <c r="M200" i="1"/>
  <c r="Z198" i="1"/>
  <c r="AB198" i="1" s="1"/>
  <c r="H198" i="1"/>
  <c r="J198" i="1" s="1"/>
  <c r="M197" i="1"/>
  <c r="O197" i="1" s="1"/>
  <c r="L197" i="1"/>
  <c r="I197" i="1"/>
  <c r="J197" i="1" s="1"/>
  <c r="AA196" i="1"/>
  <c r="AB196" i="1" s="1"/>
  <c r="L196" i="1"/>
  <c r="I196" i="1"/>
  <c r="H196" i="1"/>
  <c r="M194" i="1" s="1"/>
  <c r="G196" i="1"/>
  <c r="L194" i="1" s="1"/>
  <c r="N195" i="1"/>
  <c r="M195" i="1"/>
  <c r="L195" i="1"/>
  <c r="AB194" i="1"/>
  <c r="N194" i="1"/>
  <c r="G187" i="1"/>
  <c r="H185" i="1"/>
  <c r="G185" i="1"/>
  <c r="H184" i="1"/>
  <c r="G182" i="1"/>
  <c r="L180" i="1" s="1"/>
  <c r="J181" i="1"/>
  <c r="O179" i="1" s="1"/>
  <c r="G181" i="1"/>
  <c r="J180" i="1"/>
  <c r="G180" i="1"/>
  <c r="L178" i="1" s="1"/>
  <c r="AB179" i="1"/>
  <c r="L179" i="1"/>
  <c r="G179" i="1"/>
  <c r="L177" i="1" s="1"/>
  <c r="O178" i="1"/>
  <c r="H177" i="1"/>
  <c r="AB176" i="1"/>
  <c r="J179" i="1" s="1"/>
  <c r="O177" i="1" s="1"/>
  <c r="M175" i="1"/>
  <c r="Z174" i="1"/>
  <c r="Z175" i="1" s="1"/>
  <c r="AB175" i="1" s="1"/>
  <c r="H174" i="1"/>
  <c r="J174" i="1" s="1"/>
  <c r="H173" i="1"/>
  <c r="J173" i="1" s="1"/>
  <c r="M172" i="1"/>
  <c r="O172" i="1" s="1"/>
  <c r="L172" i="1"/>
  <c r="I172" i="1"/>
  <c r="H172" i="1"/>
  <c r="M170" i="1" s="1"/>
  <c r="L171" i="1"/>
  <c r="I171" i="1"/>
  <c r="H171" i="1"/>
  <c r="M169" i="1" s="1"/>
  <c r="G171" i="1"/>
  <c r="L169" i="1" s="1"/>
  <c r="N170" i="1"/>
  <c r="L170" i="1"/>
  <c r="AB169" i="1"/>
  <c r="N169" i="1"/>
  <c r="G162" i="1"/>
  <c r="H160" i="1"/>
  <c r="G160" i="1"/>
  <c r="H159" i="1"/>
  <c r="G157" i="1"/>
  <c r="L155" i="1" s="1"/>
  <c r="J156" i="1"/>
  <c r="O154" i="1" s="1"/>
  <c r="G156" i="1"/>
  <c r="L154" i="1" s="1"/>
  <c r="J155" i="1"/>
  <c r="O153" i="1" s="1"/>
  <c r="G155" i="1"/>
  <c r="L153" i="1" s="1"/>
  <c r="G154" i="1"/>
  <c r="L152" i="1" s="1"/>
  <c r="AB152" i="1"/>
  <c r="J154" i="1" s="1"/>
  <c r="O152" i="1" s="1"/>
  <c r="H152" i="1"/>
  <c r="M150" i="1" s="1"/>
  <c r="Z151" i="1"/>
  <c r="AB151" i="1" s="1"/>
  <c r="Z150" i="1"/>
  <c r="AB150" i="1" s="1"/>
  <c r="H149" i="1"/>
  <c r="J149" i="1" s="1"/>
  <c r="H148" i="1"/>
  <c r="J148" i="1" s="1"/>
  <c r="AB147" i="1"/>
  <c r="L147" i="1"/>
  <c r="I147" i="1"/>
  <c r="H147" i="1"/>
  <c r="M145" i="1" s="1"/>
  <c r="G147" i="1"/>
  <c r="L145" i="1" s="1"/>
  <c r="M146" i="1"/>
  <c r="O146" i="1" s="1"/>
  <c r="L146" i="1"/>
  <c r="N145" i="1"/>
  <c r="N148" i="1" s="1"/>
  <c r="G138" i="1"/>
  <c r="H136" i="1"/>
  <c r="G136" i="1"/>
  <c r="H135" i="1"/>
  <c r="G133" i="1"/>
  <c r="J132" i="1"/>
  <c r="G132" i="1"/>
  <c r="AB131" i="1"/>
  <c r="L131" i="1"/>
  <c r="J131" i="1"/>
  <c r="G131" i="1"/>
  <c r="L129" i="1" s="1"/>
  <c r="O130" i="1"/>
  <c r="L130" i="1"/>
  <c r="G130" i="1"/>
  <c r="O129" i="1"/>
  <c r="AB128" i="1"/>
  <c r="J130" i="1" s="1"/>
  <c r="O128" i="1" s="1"/>
  <c r="L128" i="1"/>
  <c r="H128" i="1"/>
  <c r="Z127" i="1"/>
  <c r="AB127" i="1" s="1"/>
  <c r="Z126" i="1"/>
  <c r="AB126" i="1" s="1"/>
  <c r="H125" i="1"/>
  <c r="J125" i="1" s="1"/>
  <c r="AA124" i="1"/>
  <c r="AA171" i="1" s="1"/>
  <c r="AB171" i="1" s="1"/>
  <c r="J124" i="1"/>
  <c r="L123" i="1"/>
  <c r="I123" i="1"/>
  <c r="I126" i="1" s="1"/>
  <c r="H123" i="1"/>
  <c r="G123" i="1"/>
  <c r="L121" i="1" s="1"/>
  <c r="M122" i="1"/>
  <c r="O122" i="1" s="1"/>
  <c r="L122" i="1"/>
  <c r="AB121" i="1"/>
  <c r="N121" i="1"/>
  <c r="N124" i="1" s="1"/>
  <c r="M121" i="1"/>
  <c r="G114" i="1"/>
  <c r="H112" i="1"/>
  <c r="G112" i="1"/>
  <c r="H111" i="1"/>
  <c r="G109" i="1"/>
  <c r="L107" i="1" s="1"/>
  <c r="J108" i="1"/>
  <c r="O106" i="1" s="1"/>
  <c r="G108" i="1"/>
  <c r="L106" i="1" s="1"/>
  <c r="J107" i="1"/>
  <c r="O105" i="1" s="1"/>
  <c r="G107" i="1"/>
  <c r="G106" i="1"/>
  <c r="L105" i="1"/>
  <c r="AB104" i="1"/>
  <c r="J106" i="1" s="1"/>
  <c r="O104" i="1" s="1"/>
  <c r="L104" i="1"/>
  <c r="H104" i="1"/>
  <c r="Z103" i="1"/>
  <c r="AB103" i="1" s="1"/>
  <c r="Z102" i="1"/>
  <c r="AB102" i="1" s="1"/>
  <c r="M102" i="1"/>
  <c r="H101" i="1"/>
  <c r="J101" i="1" s="1"/>
  <c r="G101" i="1"/>
  <c r="AB100" i="1"/>
  <c r="J100" i="1"/>
  <c r="M99" i="1"/>
  <c r="O99" i="1" s="1"/>
  <c r="L99" i="1"/>
  <c r="I99" i="1"/>
  <c r="I102" i="1" s="1"/>
  <c r="H99" i="1"/>
  <c r="J99" i="1" s="1"/>
  <c r="G99" i="1"/>
  <c r="M98" i="1"/>
  <c r="O98" i="1" s="1"/>
  <c r="L98" i="1"/>
  <c r="N97" i="1"/>
  <c r="N100" i="1" s="1"/>
  <c r="L97" i="1"/>
  <c r="G90" i="1"/>
  <c r="H88" i="1"/>
  <c r="G88" i="1"/>
  <c r="H87" i="1"/>
  <c r="M85" i="1" s="1"/>
  <c r="G85" i="1"/>
  <c r="L83" i="1" s="1"/>
  <c r="J84" i="1"/>
  <c r="G84" i="1"/>
  <c r="L82" i="1" s="1"/>
  <c r="J83" i="1"/>
  <c r="O81" i="1" s="1"/>
  <c r="G83" i="1"/>
  <c r="L81" i="1" s="1"/>
  <c r="O82" i="1"/>
  <c r="G82" i="1"/>
  <c r="L80" i="1" s="1"/>
  <c r="Z80" i="1"/>
  <c r="AB80" i="1" s="1"/>
  <c r="H80" i="1"/>
  <c r="M78" i="1" s="1"/>
  <c r="AB79" i="1"/>
  <c r="J82" i="1" s="1"/>
  <c r="O80" i="1" s="1"/>
  <c r="Z78" i="1"/>
  <c r="AB78" i="1" s="1"/>
  <c r="H77" i="1"/>
  <c r="J77" i="1" s="1"/>
  <c r="G77" i="1"/>
  <c r="AB76" i="1"/>
  <c r="I76" i="1"/>
  <c r="I78" i="1" s="1"/>
  <c r="H76" i="1"/>
  <c r="M74" i="1" s="1"/>
  <c r="G76" i="1"/>
  <c r="L74" i="1" s="1"/>
  <c r="M75" i="1"/>
  <c r="O75" i="1" s="1"/>
  <c r="L75" i="1"/>
  <c r="N74" i="1"/>
  <c r="N76" i="1" s="1"/>
  <c r="G67" i="1"/>
  <c r="H65" i="1"/>
  <c r="G65" i="1"/>
  <c r="H64" i="1"/>
  <c r="M63" i="1" s="1"/>
  <c r="G62" i="1"/>
  <c r="AB61" i="1"/>
  <c r="L61" i="1"/>
  <c r="J61" i="1"/>
  <c r="G61" i="1"/>
  <c r="L60" i="1" s="1"/>
  <c r="O60" i="1"/>
  <c r="J60" i="1"/>
  <c r="O59" i="1" s="1"/>
  <c r="G60" i="1"/>
  <c r="L59" i="1" s="1"/>
  <c r="Z58" i="1"/>
  <c r="AB58" i="1" s="1"/>
  <c r="H58" i="1"/>
  <c r="AB57" i="1"/>
  <c r="Z56" i="1"/>
  <c r="AB56" i="1" s="1"/>
  <c r="H55" i="1"/>
  <c r="J55" i="1" s="1"/>
  <c r="G55" i="1"/>
  <c r="L54" i="1" s="1"/>
  <c r="AB54" i="1"/>
  <c r="I54" i="1"/>
  <c r="I56" i="1" s="1"/>
  <c r="H54" i="1"/>
  <c r="M53" i="1" s="1"/>
  <c r="O53" i="1" s="1"/>
  <c r="G54" i="1"/>
  <c r="L53" i="1" s="1"/>
  <c r="N53" i="1"/>
  <c r="N55" i="1" s="1"/>
  <c r="AB52" i="1"/>
  <c r="H25" i="1"/>
  <c r="H45" i="1" s="1"/>
  <c r="H20" i="1"/>
  <c r="M45" i="1"/>
  <c r="M67" i="1" s="1"/>
  <c r="M89" i="1" s="1"/>
  <c r="M113" i="1" s="1"/>
  <c r="M137" i="1" s="1"/>
  <c r="M161" i="1" s="1"/>
  <c r="M186" i="1" s="1"/>
  <c r="M211" i="1" s="1"/>
  <c r="M236" i="1" s="1"/>
  <c r="M261" i="1" s="1"/>
  <c r="G45" i="1"/>
  <c r="H43" i="1"/>
  <c r="G43" i="1"/>
  <c r="H42" i="1"/>
  <c r="M41" i="1" s="1"/>
  <c r="G40" i="1"/>
  <c r="L39" i="1" s="1"/>
  <c r="J39" i="1"/>
  <c r="AB38" i="1"/>
  <c r="J38" i="1"/>
  <c r="O38" i="1" s="1"/>
  <c r="G38" i="1"/>
  <c r="L38" i="1" s="1"/>
  <c r="H36" i="1"/>
  <c r="Z35" i="1"/>
  <c r="AB35" i="1" s="1"/>
  <c r="AB34" i="1"/>
  <c r="M33" i="1"/>
  <c r="O33" i="1" s="1"/>
  <c r="H33" i="1"/>
  <c r="J33" i="1" s="1"/>
  <c r="G33" i="1"/>
  <c r="L33" i="1" s="1"/>
  <c r="AB32" i="1"/>
  <c r="N32" i="1"/>
  <c r="N34" i="1" s="1"/>
  <c r="M32" i="1"/>
  <c r="I32" i="1"/>
  <c r="I34" i="1" s="1"/>
  <c r="H32" i="1"/>
  <c r="G32" i="1"/>
  <c r="L32" i="1" s="1"/>
  <c r="AB30" i="1"/>
  <c r="AB81" i="1" l="1"/>
  <c r="AB82" i="1" s="1"/>
  <c r="AB84" i="1" s="1"/>
  <c r="J74" i="1" s="1"/>
  <c r="O72" i="1" s="1"/>
  <c r="O169" i="1"/>
  <c r="O74" i="1"/>
  <c r="O76" i="1" s="1"/>
  <c r="O78" i="1" s="1"/>
  <c r="O79" i="1" s="1"/>
  <c r="O194" i="1"/>
  <c r="M123" i="1"/>
  <c r="O123" i="1" s="1"/>
  <c r="N173" i="1"/>
  <c r="I175" i="1"/>
  <c r="O170" i="1"/>
  <c r="O268" i="1"/>
  <c r="O272" i="1" s="1"/>
  <c r="O274" i="1" s="1"/>
  <c r="O275" i="1" s="1"/>
  <c r="O281" i="1" s="1"/>
  <c r="O269" i="1"/>
  <c r="M54" i="1"/>
  <c r="O54" i="1" s="1"/>
  <c r="O55" i="1" s="1"/>
  <c r="AB59" i="1"/>
  <c r="O145" i="1"/>
  <c r="M171" i="1"/>
  <c r="O171" i="1" s="1"/>
  <c r="AB174" i="1"/>
  <c r="AB177" i="1" s="1"/>
  <c r="AB178" i="1" s="1"/>
  <c r="AB180" i="1" s="1"/>
  <c r="J169" i="1" s="1"/>
  <c r="O167" i="1" s="1"/>
  <c r="O195" i="1"/>
  <c r="I200" i="1"/>
  <c r="O219" i="1"/>
  <c r="AB220" i="1"/>
  <c r="J221" i="1"/>
  <c r="M97" i="1"/>
  <c r="O97" i="1" s="1"/>
  <c r="O100" i="1" s="1"/>
  <c r="O102" i="1" s="1"/>
  <c r="O103" i="1" s="1"/>
  <c r="O121" i="1"/>
  <c r="J171" i="1"/>
  <c r="J175" i="1" s="1"/>
  <c r="J172" i="1"/>
  <c r="J54" i="1"/>
  <c r="J56" i="1" s="1"/>
  <c r="J65" i="1" s="1"/>
  <c r="J76" i="1"/>
  <c r="O124" i="1"/>
  <c r="J147" i="1"/>
  <c r="O173" i="1"/>
  <c r="O175" i="1" s="1"/>
  <c r="O176" i="1" s="1"/>
  <c r="J32" i="1"/>
  <c r="J34" i="1" s="1"/>
  <c r="O32" i="1"/>
  <c r="O34" i="1" s="1"/>
  <c r="AB36" i="1"/>
  <c r="AB37" i="1" s="1"/>
  <c r="AB39" i="1" s="1"/>
  <c r="J30" i="1" s="1"/>
  <c r="O30" i="1" s="1"/>
  <c r="AB60" i="1"/>
  <c r="J78" i="1"/>
  <c r="J80" i="1" s="1"/>
  <c r="J81" i="1" s="1"/>
  <c r="J123" i="1"/>
  <c r="J126" i="1" s="1"/>
  <c r="J136" i="1" s="1"/>
  <c r="AB124" i="1"/>
  <c r="AB129" i="1" s="1"/>
  <c r="AB130" i="1" s="1"/>
  <c r="AB132" i="1" s="1"/>
  <c r="J121" i="1" s="1"/>
  <c r="O119" i="1" s="1"/>
  <c r="N198" i="1"/>
  <c r="J196" i="1"/>
  <c r="J200" i="1" s="1"/>
  <c r="O244" i="1"/>
  <c r="J246" i="1"/>
  <c r="J270" i="1"/>
  <c r="J274" i="1" s="1"/>
  <c r="J285" i="1" s="1"/>
  <c r="J36" i="1"/>
  <c r="J37" i="1" s="1"/>
  <c r="J88" i="1"/>
  <c r="J43" i="1"/>
  <c r="AB62" i="1"/>
  <c r="J52" i="1" s="1"/>
  <c r="O51" i="1" s="1"/>
  <c r="J102" i="1"/>
  <c r="J104" i="1"/>
  <c r="M36" i="1"/>
  <c r="J282" i="1"/>
  <c r="J257" i="1"/>
  <c r="O255" i="1" s="1"/>
  <c r="J232" i="1"/>
  <c r="O230" i="1" s="1"/>
  <c r="J207" i="1"/>
  <c r="O205" i="1" s="1"/>
  <c r="J182" i="1"/>
  <c r="O180" i="1" s="1"/>
  <c r="J157" i="1"/>
  <c r="O155" i="1" s="1"/>
  <c r="J133" i="1"/>
  <c r="O131" i="1" s="1"/>
  <c r="H212" i="1"/>
  <c r="H287" i="1"/>
  <c r="H262" i="1"/>
  <c r="H187" i="1"/>
  <c r="H162" i="1"/>
  <c r="H138" i="1"/>
  <c r="H114" i="1"/>
  <c r="H238" i="1"/>
  <c r="J62" i="1"/>
  <c r="O61" i="1" s="1"/>
  <c r="J85" i="1"/>
  <c r="O83" i="1" s="1"/>
  <c r="AB105" i="1"/>
  <c r="AB106" i="1" s="1"/>
  <c r="AB108" i="1" s="1"/>
  <c r="J97" i="1" s="1"/>
  <c r="O95" i="1" s="1"/>
  <c r="J109" i="1"/>
  <c r="O107" i="1" s="1"/>
  <c r="M109" i="1"/>
  <c r="J210" i="1"/>
  <c r="J40" i="1"/>
  <c r="O39" i="1" s="1"/>
  <c r="M57" i="1"/>
  <c r="H67" i="1"/>
  <c r="H90" i="1"/>
  <c r="J150" i="1"/>
  <c r="AB153" i="1"/>
  <c r="AB154" i="1" s="1"/>
  <c r="AB156" i="1" s="1"/>
  <c r="J145" i="1" s="1"/>
  <c r="O143" i="1" s="1"/>
  <c r="J202" i="1"/>
  <c r="J203" i="1" s="1"/>
  <c r="J208" i="1" s="1"/>
  <c r="I150" i="1"/>
  <c r="Z200" i="1"/>
  <c r="AB200" i="1" s="1"/>
  <c r="AB202" i="1" s="1"/>
  <c r="AB203" i="1" s="1"/>
  <c r="AB205" i="1" s="1"/>
  <c r="J194" i="1" s="1"/>
  <c r="O192" i="1" s="1"/>
  <c r="J222" i="1"/>
  <c r="M220" i="1"/>
  <c r="O220" i="1" s="1"/>
  <c r="O222" i="1" s="1"/>
  <c r="J276" i="1"/>
  <c r="J277" i="1" s="1"/>
  <c r="J283" i="1" s="1"/>
  <c r="M126" i="1"/>
  <c r="M133" i="1"/>
  <c r="M147" i="1"/>
  <c r="O147" i="1" s="1"/>
  <c r="M157" i="1"/>
  <c r="M182" i="1"/>
  <c r="M196" i="1"/>
  <c r="O196" i="1" s="1"/>
  <c r="O198" i="1" s="1"/>
  <c r="J224" i="1"/>
  <c r="J226" i="1" s="1"/>
  <c r="Z224" i="1"/>
  <c r="AB224" i="1" s="1"/>
  <c r="AB226" i="1" s="1"/>
  <c r="AB227" i="1" s="1"/>
  <c r="AB229" i="1" s="1"/>
  <c r="J218" i="1" s="1"/>
  <c r="O216" i="1" s="1"/>
  <c r="J245" i="1"/>
  <c r="M243" i="1"/>
  <c r="O243" i="1" s="1"/>
  <c r="J247" i="1"/>
  <c r="M245" i="1"/>
  <c r="O245" i="1" s="1"/>
  <c r="Z248" i="1"/>
  <c r="AB248" i="1" s="1"/>
  <c r="AB251" i="1" s="1"/>
  <c r="AB252" i="1" s="1"/>
  <c r="AB254" i="1" s="1"/>
  <c r="J243" i="1" s="1"/>
  <c r="O241" i="1" s="1"/>
  <c r="N272" i="1"/>
  <c r="AB272" i="1"/>
  <c r="AB276" i="1" s="1"/>
  <c r="AB277" i="1" s="1"/>
  <c r="AB279" i="1" s="1"/>
  <c r="J268" i="1" s="1"/>
  <c r="O266" i="1" s="1"/>
  <c r="J177" i="1" l="1"/>
  <c r="J178" i="1" s="1"/>
  <c r="J183" i="1" s="1"/>
  <c r="J185" i="1"/>
  <c r="O181" i="1"/>
  <c r="O182" i="1" s="1"/>
  <c r="O184" i="1" s="1"/>
  <c r="O57" i="1"/>
  <c r="O58" i="1" s="1"/>
  <c r="O62" i="1" s="1"/>
  <c r="O36" i="1"/>
  <c r="O37" i="1" s="1"/>
  <c r="O40" i="1" s="1"/>
  <c r="O41" i="1" s="1"/>
  <c r="O43" i="1" s="1"/>
  <c r="J58" i="1"/>
  <c r="J59" i="1" s="1"/>
  <c r="O148" i="1"/>
  <c r="O150" i="1" s="1"/>
  <c r="O151" i="1" s="1"/>
  <c r="O156" i="1" s="1"/>
  <c r="O157" i="1" s="1"/>
  <c r="O126" i="1"/>
  <c r="O127" i="1" s="1"/>
  <c r="O132" i="1" s="1"/>
  <c r="J128" i="1"/>
  <c r="J129" i="1" s="1"/>
  <c r="J134" i="1" s="1"/>
  <c r="J135" i="1" s="1"/>
  <c r="J137" i="1" s="1"/>
  <c r="J138" i="1" s="1"/>
  <c r="J139" i="1" s="1"/>
  <c r="J140" i="1" s="1"/>
  <c r="J249" i="1"/>
  <c r="J260" i="1" s="1"/>
  <c r="O108" i="1"/>
  <c r="O109" i="1" s="1"/>
  <c r="O111" i="1" s="1"/>
  <c r="J63" i="1"/>
  <c r="J64" i="1" s="1"/>
  <c r="J66" i="1" s="1"/>
  <c r="J67" i="1" s="1"/>
  <c r="J68" i="1" s="1"/>
  <c r="J69" i="1" s="1"/>
  <c r="J41" i="1"/>
  <c r="J42" i="1" s="1"/>
  <c r="J44" i="1" s="1"/>
  <c r="J45" i="1" s="1"/>
  <c r="J46" i="1" s="1"/>
  <c r="J47" i="1" s="1"/>
  <c r="J48" i="1" s="1"/>
  <c r="O284" i="1"/>
  <c r="O282" i="1"/>
  <c r="O63" i="1"/>
  <c r="O65" i="1" s="1"/>
  <c r="O200" i="1"/>
  <c r="O201" i="1" s="1"/>
  <c r="O206" i="1" s="1"/>
  <c r="O224" i="1"/>
  <c r="O225" i="1" s="1"/>
  <c r="O231" i="1" s="1"/>
  <c r="J209" i="1"/>
  <c r="J211" i="1" s="1"/>
  <c r="J212" i="1" s="1"/>
  <c r="J213" i="1" s="1"/>
  <c r="J214" i="1" s="1"/>
  <c r="J184" i="1"/>
  <c r="J186" i="1" s="1"/>
  <c r="J187" i="1" s="1"/>
  <c r="J188" i="1" s="1"/>
  <c r="J189" i="1" s="1"/>
  <c r="J284" i="1"/>
  <c r="J286" i="1" s="1"/>
  <c r="J287" i="1" s="1"/>
  <c r="J288" i="1" s="1"/>
  <c r="J289" i="1" s="1"/>
  <c r="J86" i="1"/>
  <c r="J251" i="1"/>
  <c r="J252" i="1" s="1"/>
  <c r="J258" i="1" s="1"/>
  <c r="O247" i="1"/>
  <c r="J227" i="1"/>
  <c r="J233" i="1" s="1"/>
  <c r="J235" i="1"/>
  <c r="O133" i="1"/>
  <c r="O135" i="1" s="1"/>
  <c r="J160" i="1"/>
  <c r="J152" i="1"/>
  <c r="J153" i="1" s="1"/>
  <c r="J158" i="1" s="1"/>
  <c r="J112" i="1"/>
  <c r="J105" i="1"/>
  <c r="J110" i="1" s="1"/>
  <c r="O84" i="1"/>
  <c r="O113" i="1" l="1"/>
  <c r="O114" i="1" s="1"/>
  <c r="O112" i="1"/>
  <c r="J159" i="1"/>
  <c r="J161" i="1" s="1"/>
  <c r="J162" i="1" s="1"/>
  <c r="J163" i="1" s="1"/>
  <c r="J164" i="1" s="1"/>
  <c r="O137" i="1"/>
  <c r="O138" i="1" s="1"/>
  <c r="O136" i="1"/>
  <c r="J141" i="1"/>
  <c r="K141" i="1" s="1"/>
  <c r="K140" i="1"/>
  <c r="J215" i="1"/>
  <c r="K215" i="1" s="1"/>
  <c r="K214" i="1"/>
  <c r="O207" i="1"/>
  <c r="O209" i="1" s="1"/>
  <c r="J259" i="1"/>
  <c r="J261" i="1" s="1"/>
  <c r="J262" i="1" s="1"/>
  <c r="J263" i="1" s="1"/>
  <c r="J264" i="1" s="1"/>
  <c r="K289" i="1"/>
  <c r="J290" i="1"/>
  <c r="K290" i="1" s="1"/>
  <c r="J190" i="1"/>
  <c r="K190" i="1" s="1"/>
  <c r="K189" i="1"/>
  <c r="O232" i="1"/>
  <c r="O234" i="1" s="1"/>
  <c r="J70" i="1"/>
  <c r="K70" i="1" s="1"/>
  <c r="K69" i="1"/>
  <c r="J111" i="1"/>
  <c r="J113" i="1" s="1"/>
  <c r="J114" i="1" s="1"/>
  <c r="J115" i="1" s="1"/>
  <c r="J116" i="1" s="1"/>
  <c r="J234" i="1"/>
  <c r="J236" i="1" s="1"/>
  <c r="J238" i="1" s="1"/>
  <c r="J239" i="1" s="1"/>
  <c r="O45" i="1"/>
  <c r="O44" i="1"/>
  <c r="O66" i="1"/>
  <c r="O67" i="1"/>
  <c r="O68" i="1" s="1"/>
  <c r="O159" i="1"/>
  <c r="O85" i="1"/>
  <c r="O87" i="1" s="1"/>
  <c r="O249" i="1"/>
  <c r="O250" i="1" s="1"/>
  <c r="O256" i="1" s="1"/>
  <c r="J87" i="1"/>
  <c r="J89" i="1" s="1"/>
  <c r="J90" i="1" s="1"/>
  <c r="J91" i="1" s="1"/>
  <c r="J92" i="1" s="1"/>
  <c r="O186" i="1"/>
  <c r="O187" i="1" s="1"/>
  <c r="O185" i="1"/>
  <c r="O285" i="1"/>
  <c r="O286" i="1"/>
  <c r="O287" i="1" s="1"/>
  <c r="J93" i="1" l="1"/>
  <c r="K93" i="1" s="1"/>
  <c r="K92" i="1"/>
  <c r="O89" i="1"/>
  <c r="O90" i="1" s="1"/>
  <c r="O88" i="1"/>
  <c r="O259" i="1"/>
  <c r="O257" i="1"/>
  <c r="O161" i="1"/>
  <c r="O162" i="1" s="1"/>
  <c r="O160" i="1"/>
  <c r="K239" i="1"/>
  <c r="J240" i="1"/>
  <c r="K240" i="1" s="1"/>
  <c r="J117" i="1"/>
  <c r="K117" i="1" s="1"/>
  <c r="K116" i="1"/>
  <c r="O235" i="1"/>
  <c r="O236" i="1"/>
  <c r="O237" i="1" s="1"/>
  <c r="K264" i="1"/>
  <c r="J265" i="1"/>
  <c r="K265" i="1" s="1"/>
  <c r="O211" i="1"/>
  <c r="O212" i="1" s="1"/>
  <c r="O210" i="1"/>
  <c r="J165" i="1"/>
  <c r="K165" i="1" s="1"/>
  <c r="K164" i="1"/>
  <c r="O260" i="1" l="1"/>
  <c r="O261" i="1"/>
  <c r="O262" i="1" s="1"/>
</calcChain>
</file>

<file path=xl/comments1.xml><?xml version="1.0" encoding="utf-8"?>
<comments xmlns="http://schemas.openxmlformats.org/spreadsheetml/2006/main">
  <authors>
    <author xml:space="preserve"> </author>
    <author>EHS</author>
  </authors>
  <commentList>
    <comment ref="J239" authorId="0">
      <text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to round for 15 min
</t>
        </r>
      </text>
    </comment>
    <comment ref="O277" authorId="1">
      <text>
        <r>
          <rPr>
            <sz val="8"/>
            <color indexed="81"/>
            <rFont val="Tahoma"/>
            <family val="2"/>
          </rPr>
          <t>FY16 Rate with CAF applied for general REBASE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<sst xmlns="http://schemas.openxmlformats.org/spreadsheetml/2006/main" count="920" uniqueCount="224">
  <si>
    <t>101 CMR 423:  In Home Supports</t>
  </si>
  <si>
    <t>7/1/2020 thru 6/30/2022</t>
  </si>
  <si>
    <t>Current Rates in Regulation valid through December 31, 2017</t>
  </si>
  <si>
    <t>July 2018 - June 2020</t>
  </si>
  <si>
    <t xml:space="preserve">Master Look-Up Data </t>
  </si>
  <si>
    <t>In Home Supports - Model A</t>
  </si>
  <si>
    <t>Per 15 minutes</t>
  </si>
  <si>
    <t>Billable Hours</t>
  </si>
  <si>
    <t>Weeks</t>
  </si>
  <si>
    <t>Hours</t>
  </si>
  <si>
    <t>Total</t>
  </si>
  <si>
    <t>Source</t>
  </si>
  <si>
    <t>Service Unit - Per Hour</t>
  </si>
  <si>
    <t>Total Units</t>
  </si>
  <si>
    <t>Maximum Available DC Hours</t>
  </si>
  <si>
    <t>Management</t>
  </si>
  <si>
    <t>Salary</t>
  </si>
  <si>
    <t>FTE</t>
  </si>
  <si>
    <t>Expense</t>
  </si>
  <si>
    <t>Clinical w/ Independent License</t>
  </si>
  <si>
    <t>BLS /OES Massachusetts Median 2018</t>
  </si>
  <si>
    <t>Vacation/Sick/Personal</t>
  </si>
  <si>
    <t>Licensed Practical Nurse (LPN)</t>
  </si>
  <si>
    <t>Direct Care I</t>
  </si>
  <si>
    <t>Case Manager / Social Worker (MA Lvl)</t>
  </si>
  <si>
    <t>Total Program Staff</t>
  </si>
  <si>
    <t>Training (CPR)</t>
  </si>
  <si>
    <t>Case / Social worker (BA Lvl)</t>
  </si>
  <si>
    <t>Travel</t>
  </si>
  <si>
    <t>Direct Care III</t>
  </si>
  <si>
    <t>Tax and Fringe</t>
  </si>
  <si>
    <t>Subtotal non-direct hours</t>
  </si>
  <si>
    <t>Certified Nursing Assistant (CNA)</t>
  </si>
  <si>
    <t>Total Compensation</t>
  </si>
  <si>
    <t>Total Available Hours per DC FTE</t>
  </si>
  <si>
    <t>Direct Care</t>
  </si>
  <si>
    <t>Staff Mileage / Travel (Per DC FTE)</t>
  </si>
  <si>
    <t>Total DC FTEs</t>
  </si>
  <si>
    <t>Benchmark FTEs</t>
  </si>
  <si>
    <t>Staff Training (Per DC FTE per day)</t>
  </si>
  <si>
    <t>TOTAL PRODUCTIVE HOURS</t>
  </si>
  <si>
    <t>Purchaser Recommendation</t>
  </si>
  <si>
    <t>Occupancy (Office Space)</t>
  </si>
  <si>
    <t>Total Reimb excl M&amp;G</t>
  </si>
  <si>
    <t>Clinical Supervisor</t>
  </si>
  <si>
    <t>Admin. Allocation</t>
  </si>
  <si>
    <t>Benchmark Expenses</t>
  </si>
  <si>
    <t>Current (includes FY19 CAF)</t>
  </si>
  <si>
    <t>Taxes &amp; Fringe</t>
  </si>
  <si>
    <t>C.257 Benchmark for FY21</t>
  </si>
  <si>
    <t>TOTAL</t>
  </si>
  <si>
    <t>Weighted average from FY18 UFR Data</t>
  </si>
  <si>
    <t>Orig. Rebased Rate</t>
  </si>
  <si>
    <t xml:space="preserve">Weighted average per FTE from FY18 UFR Data </t>
  </si>
  <si>
    <t>CAF:</t>
  </si>
  <si>
    <t>101 CMR 421: Adult Housing and Community Support Services Per square foot (150 sq ft per person)</t>
  </si>
  <si>
    <t>Rate with CAF</t>
  </si>
  <si>
    <t>Clinical Consultant</t>
  </si>
  <si>
    <t>Rate Per Hour</t>
  </si>
  <si>
    <t>Hourly Rate with CAF (July 2020 - June 2022)</t>
  </si>
  <si>
    <t>Program Support - Clerical</t>
  </si>
  <si>
    <t>15 Min Rate with CAF (July 2020 - June 2022)</t>
  </si>
  <si>
    <t xml:space="preserve">Weighted average from FY18 UFR Data  </t>
  </si>
  <si>
    <t xml:space="preserve">In Home Supports - Model B </t>
  </si>
  <si>
    <t>PFMLA Trust Contribution</t>
  </si>
  <si>
    <t> C.257 Benchmark for FY21</t>
  </si>
  <si>
    <t xml:space="preserve"> CAF (Period FY21 &amp; FY22)</t>
  </si>
  <si>
    <t>CY2020Q2; Prospective Period FY21 &amp; FY22</t>
  </si>
  <si>
    <t>In Home Supports - Model B</t>
  </si>
  <si>
    <t>Vacation/Sick/Personal/Holiday</t>
  </si>
  <si>
    <t>Direct Care Blend</t>
  </si>
  <si>
    <t>Admin/Supervision/Misc</t>
  </si>
  <si>
    <t>Training</t>
  </si>
  <si>
    <t>Rebased Rate/ Hour with CAF</t>
  </si>
  <si>
    <t xml:space="preserve">In Home Supports - Model C </t>
  </si>
  <si>
    <t>In Home Supports - Model C</t>
  </si>
  <si>
    <t>Non-direct service hours</t>
  </si>
  <si>
    <t>Vacation/Sick/Personal/Hol</t>
  </si>
  <si>
    <t>Staff Training (Per Day)</t>
  </si>
  <si>
    <t>Staff Mileage / Travel</t>
  </si>
  <si>
    <t>Occupancy</t>
  </si>
  <si>
    <t>In Home Supports - Model D - REBASED</t>
  </si>
  <si>
    <t>In Home Supports - Model D</t>
  </si>
  <si>
    <t xml:space="preserve">IA / Cultural Facilitator </t>
  </si>
  <si>
    <t xml:space="preserve">Travel </t>
  </si>
  <si>
    <t>In Home Supports - Model E - REBASED</t>
  </si>
  <si>
    <t>In Home Supports - Model E</t>
  </si>
  <si>
    <t>Support Navigator</t>
  </si>
  <si>
    <t>Hourly Rate with CAF (July 2020- June 2022)</t>
  </si>
  <si>
    <t>In Home Supports - Model F - REBASED</t>
  </si>
  <si>
    <t>In Home Supports - Model F</t>
  </si>
  <si>
    <t>In Home Supports - Model G - REBASED</t>
  </si>
  <si>
    <t>In Home Supports - Model G</t>
  </si>
  <si>
    <t>Clinical w/Indep Lic</t>
  </si>
  <si>
    <t>Hourly Rate with CAF (July 2020- June 2020)</t>
  </si>
  <si>
    <t>In Home Supports - Model H - REBASED</t>
  </si>
  <si>
    <t>In Home Supports - Model H</t>
  </si>
  <si>
    <t>Position</t>
  </si>
  <si>
    <t>BILLABLE UNITS</t>
  </si>
  <si>
    <t>Community Support Worker</t>
  </si>
  <si>
    <t>travel</t>
  </si>
  <si>
    <t xml:space="preserve">Staff Training </t>
  </si>
  <si>
    <t>In Home Supports - Model I</t>
  </si>
  <si>
    <t>Counselor</t>
  </si>
  <si>
    <t>Caseworker</t>
  </si>
  <si>
    <t>In Home Supports - Model J</t>
  </si>
  <si>
    <t xml:space="preserve">Clinical Consultant </t>
  </si>
  <si>
    <t>In Home Supports - Model K</t>
  </si>
  <si>
    <t>Case Manager: Maters Required</t>
  </si>
  <si>
    <t>Hourly Rate with CAF (Jan - June 2018)</t>
  </si>
  <si>
    <t xml:space="preserve">Staff Mileage / Travel by purchaser recommendation for this model only. </t>
  </si>
  <si>
    <t>Hourly Rate with CAF (July 2018 - June 2020)</t>
  </si>
  <si>
    <t>Massachusetts Economic Indicators</t>
  </si>
  <si>
    <t>IHS Markit, Fall 2019 Forecast</t>
  </si>
  <si>
    <t>Prepared by Michael Lynch, 781-301-9129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</si>
  <si>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</si>
  <si>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</si>
  <si>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</si>
  <si>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</si>
  <si>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</si>
  <si>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</si>
  <si>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</si>
  <si>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</si>
  <si>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</si>
  <si>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</si>
  <si>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</si>
  <si>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</si>
  <si>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</si>
  <si>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</si>
  <si>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</si>
  <si>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</si>
  <si>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</si>
  <si>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</si>
  <si>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</si>
  <si>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</si>
  <si>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</si>
  <si>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</si>
  <si>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</si>
  <si>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</si>
  <si>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</si>
  <si>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</si>
  <si>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</si>
  <si>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</si>
  <si>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</si>
  <si>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</si>
  <si>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</si>
  <si>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</si>
  <si>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</si>
  <si>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</si>
  <si>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</si>
  <si>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</si>
  <si>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</si>
  <si>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</si>
  <si>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</si>
  <si>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</si>
  <si>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</si>
  <si>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</si>
  <si>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</si>
  <si>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</si>
  <si>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</si>
  <si>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</si>
  <si>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</si>
  <si>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</si>
  <si>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</si>
  <si>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</si>
  <si>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</si>
  <si>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</si>
  <si>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</si>
  <si>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</si>
  <si>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</si>
  <si>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</si>
  <si>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</si>
  <si>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</si>
  <si>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</si>
  <si>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</si>
  <si>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</si>
  <si>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</si>
  <si>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</si>
  <si>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</si>
  <si>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</si>
  <si>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</si>
  <si>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</si>
  <si>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</si>
  <si>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</si>
  <si>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</si>
  <si>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</si>
  <si>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</si>
  <si>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</si>
  <si>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</si>
  <si>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</si>
  <si>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</si>
  <si>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</si>
  <si>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</si>
  <si>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</si>
  <si>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</si>
  <si>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</si>
  <si>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</si>
  <si>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</si>
  <si>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</si>
  <si>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</si>
  <si>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</si>
  <si>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</si>
  <si>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</si>
  <si>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</si>
  <si>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</si>
  <si>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</si>
  <si>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</si>
  <si>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</si>
  <si>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</si>
  <si>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</si>
  <si>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</si>
  <si>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</si>
  <si>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July 1, 2020</t>
  </si>
  <si>
    <t xml:space="preserve">Base period: </t>
  </si>
  <si>
    <t>FY20Q4</t>
  </si>
  <si>
    <t>Average</t>
  </si>
  <si>
    <t xml:space="preserve">Prospective rate period: </t>
  </si>
  <si>
    <t>FY21 - FY22</t>
  </si>
  <si>
    <t xml:space="preserve">In Home Supports - Model A </t>
  </si>
  <si>
    <t xml:space="preserve">In Home Supports - Model D </t>
  </si>
  <si>
    <t xml:space="preserve">In Home Supports - Model E </t>
  </si>
  <si>
    <t xml:space="preserve">In Home Supports - Model F </t>
  </si>
  <si>
    <t xml:space="preserve">In Home Supports - Model J </t>
  </si>
  <si>
    <t xml:space="preserve">Weighted average blend of UFR Titles 102 &amp; 103 plus Compounding CAFs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</si>
</sst>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#,##0"/>
    <numFmt numFmtId="166" formatCode="#,##0.0"/>
    <numFmt numFmtId="167" formatCode="&quot;$&quot;#,##0"/>
    <numFmt numFmtId="168" formatCode="0.0"/>
    <numFmt numFmtId="169" formatCode="_(&quot;$&quot;* #,##0_);_(&quot;$&quot;* \(#,##0\);_(&quot;$&quot;* &quot;-&quot;??_);_(@_)"/>
    <numFmt numFmtId="170" formatCode="&quot;$&quot;#,##0.0000"/>
    <numFmt numFmtId="171" formatCode="0.0000"/>
    <numFmt numFmtId="172" formatCode="_(&quot;$&quot;* #,##0.0000_);_(&quot;$&quot;* \(#,##0.0000\);_(&quot;$&quot;* &quot;-&quot;??_);_(@_)"/>
    <numFmt numFmtId="173" formatCode="_(&quot;$&quot;* #,##0.00_);_(&quot;$&quot;* \(#,##0.00\);_(&quot;$&quot;* &quot;-&quot;_);_(@_)"/>
    <numFmt numFmtId="174" formatCode="0.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i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50" applyNumberFormat="0" applyAlignment="0" applyProtection="0"/>
    <xf numFmtId="0" fontId="29" fillId="27" borderId="51" applyNumberFormat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3" fillId="13" borderId="50" applyNumberFormat="0" applyAlignment="0" applyProtection="0"/>
    <xf numFmtId="0" fontId="6" fillId="0" borderId="4" applyNumberFormat="0" applyFill="0" applyAlignment="0" applyProtection="0"/>
    <xf numFmtId="0" fontId="34" fillId="28" borderId="0" applyNumberFormat="0" applyBorder="0" applyAlignment="0" applyProtection="0"/>
    <xf numFmtId="0" fontId="30" fillId="0" borderId="0"/>
    <xf numFmtId="0" fontId="35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30" fillId="0" borderId="0"/>
    <xf numFmtId="0" fontId="30" fillId="0" borderId="0"/>
    <xf numFmtId="0" fontId="35" fillId="0" borderId="0"/>
    <xf numFmtId="0" fontId="30" fillId="0" borderId="0"/>
    <xf numFmtId="0" fontId="36" fillId="0" borderId="0"/>
    <xf numFmtId="0" fontId="35" fillId="0" borderId="0"/>
    <xf numFmtId="0" fontId="30" fillId="0" borderId="0"/>
    <xf numFmtId="0" fontId="30" fillId="0" borderId="0"/>
    <xf numFmtId="0" fontId="1" fillId="0" borderId="0"/>
    <xf numFmtId="0" fontId="1" fillId="2" borderId="5" applyNumberFormat="0" applyFont="0" applyAlignment="0" applyProtection="0"/>
    <xf numFmtId="0" fontId="37" fillId="26" borderId="5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7" fillId="0" borderId="0" applyNumberFormat="0" applyFill="0" applyBorder="0" applyAlignment="0" applyProtection="0"/>
  </cellStyleXfs>
  <cellXfs count="500">
    <xf numFmtId="0" fontId="0" fillId="0" borderId="0" xfId="0"/>
    <xf numFmtId="0" fontId="11" fillId="3" borderId="0" xfId="3" applyFont="1" applyFill="1" applyAlignment="1">
      <alignment vertical="center"/>
    </xf>
    <xf numFmtId="10" fontId="11" fillId="3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164" fontId="12" fillId="0" borderId="0" xfId="3" applyNumberFormat="1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64" fontId="12" fillId="0" borderId="0" xfId="5" applyNumberFormat="1" applyFont="1" applyFill="1" applyBorder="1" applyAlignment="1">
      <alignment horizontal="center" vertical="center" wrapText="1"/>
    </xf>
    <xf numFmtId="0" fontId="12" fillId="6" borderId="9" xfId="3" applyFont="1" applyFill="1" applyBorder="1" applyAlignment="1">
      <alignment horizontal="left" vertical="center"/>
    </xf>
    <xf numFmtId="0" fontId="12" fillId="6" borderId="9" xfId="3" applyFont="1" applyFill="1" applyBorder="1" applyAlignment="1">
      <alignment horizontal="right" vertical="center"/>
    </xf>
    <xf numFmtId="0" fontId="12" fillId="6" borderId="14" xfId="3" applyFont="1" applyFill="1" applyBorder="1" applyAlignment="1">
      <alignment horizontal="right" vertical="center"/>
    </xf>
    <xf numFmtId="0" fontId="12" fillId="3" borderId="9" xfId="5" applyFont="1" applyFill="1" applyBorder="1" applyAlignment="1">
      <alignment vertical="center"/>
    </xf>
    <xf numFmtId="3" fontId="12" fillId="3" borderId="11" xfId="5" applyNumberFormat="1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3" fontId="12" fillId="0" borderId="11" xfId="5" applyNumberFormat="1" applyFont="1" applyFill="1" applyBorder="1" applyAlignment="1">
      <alignment horizontal="center" vertical="center"/>
    </xf>
    <xf numFmtId="164" fontId="12" fillId="0" borderId="0" xfId="5" applyNumberFormat="1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left" vertical="center"/>
    </xf>
    <xf numFmtId="3" fontId="12" fillId="0" borderId="18" xfId="3" applyNumberFormat="1" applyFont="1" applyFill="1" applyBorder="1" applyAlignment="1">
      <alignment vertical="center"/>
    </xf>
    <xf numFmtId="3" fontId="12" fillId="0" borderId="19" xfId="3" applyNumberFormat="1" applyFont="1" applyFill="1" applyBorder="1" applyAlignment="1">
      <alignment vertical="center"/>
    </xf>
    <xf numFmtId="0" fontId="15" fillId="3" borderId="15" xfId="4" applyFont="1" applyFill="1" applyBorder="1" applyAlignment="1">
      <alignment vertical="center" wrapText="1"/>
    </xf>
    <xf numFmtId="5" fontId="15" fillId="3" borderId="16" xfId="4" applyNumberFormat="1" applyFont="1" applyFill="1" applyBorder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0" fontId="12" fillId="3" borderId="20" xfId="5" applyFont="1" applyFill="1" applyBorder="1" applyAlignment="1">
      <alignment vertical="center" wrapText="1"/>
    </xf>
    <xf numFmtId="0" fontId="12" fillId="3" borderId="21" xfId="5" applyFont="1" applyFill="1" applyBorder="1" applyAlignment="1">
      <alignment horizontal="right" vertical="center" wrapText="1"/>
    </xf>
    <xf numFmtId="0" fontId="12" fillId="3" borderId="22" xfId="5" applyFont="1" applyFill="1" applyBorder="1" applyAlignment="1">
      <alignment horizontal="right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2" fillId="0" borderId="20" xfId="5" applyFont="1" applyFill="1" applyBorder="1" applyAlignment="1">
      <alignment vertical="center" wrapText="1"/>
    </xf>
    <xf numFmtId="0" fontId="12" fillId="0" borderId="21" xfId="5" applyFont="1" applyFill="1" applyBorder="1" applyAlignment="1">
      <alignment horizontal="right" vertical="center" wrapText="1"/>
    </xf>
    <xf numFmtId="0" fontId="12" fillId="0" borderId="22" xfId="5" applyFont="1" applyFill="1" applyBorder="1" applyAlignment="1">
      <alignment horizontal="right" vertical="center" wrapText="1"/>
    </xf>
    <xf numFmtId="164" fontId="12" fillId="0" borderId="0" xfId="5" applyNumberFormat="1" applyFont="1" applyFill="1" applyBorder="1" applyAlignment="1">
      <alignment horizontal="right" vertical="center" wrapText="1"/>
    </xf>
    <xf numFmtId="0" fontId="12" fillId="0" borderId="0" xfId="3" applyFont="1" applyFill="1" applyAlignment="1">
      <alignment vertical="center" wrapText="1"/>
    </xf>
    <xf numFmtId="0" fontId="12" fillId="0" borderId="17" xfId="3" applyFont="1" applyFill="1" applyBorder="1" applyAlignment="1">
      <alignment horizontal="left" vertical="center" wrapText="1"/>
    </xf>
    <xf numFmtId="3" fontId="12" fillId="0" borderId="18" xfId="3" applyNumberFormat="1" applyFont="1" applyFill="1" applyBorder="1" applyAlignment="1">
      <alignment vertical="center" wrapText="1"/>
    </xf>
    <xf numFmtId="3" fontId="12" fillId="0" borderId="19" xfId="3" applyNumberFormat="1" applyFont="1" applyFill="1" applyBorder="1" applyAlignment="1">
      <alignment vertical="center" wrapText="1"/>
    </xf>
    <xf numFmtId="0" fontId="11" fillId="3" borderId="23" xfId="4" applyFont="1" applyFill="1" applyBorder="1" applyAlignment="1">
      <alignment vertical="center" wrapText="1"/>
    </xf>
    <xf numFmtId="42" fontId="11" fillId="3" borderId="0" xfId="5" applyNumberFormat="1" applyFont="1" applyFill="1" applyBorder="1" applyAlignment="1">
      <alignment vertical="center" wrapText="1"/>
    </xf>
    <xf numFmtId="4" fontId="11" fillId="3" borderId="0" xfId="5" applyNumberFormat="1" applyFont="1" applyFill="1" applyBorder="1" applyAlignment="1">
      <alignment vertical="center" wrapText="1"/>
    </xf>
    <xf numFmtId="42" fontId="11" fillId="3" borderId="24" xfId="5" applyNumberFormat="1" applyFont="1" applyFill="1" applyBorder="1" applyAlignment="1">
      <alignment vertical="center" wrapText="1"/>
    </xf>
    <xf numFmtId="42" fontId="11" fillId="0" borderId="0" xfId="5" applyNumberFormat="1" applyFont="1" applyFill="1" applyBorder="1" applyAlignment="1">
      <alignment vertical="center" wrapText="1"/>
    </xf>
    <xf numFmtId="0" fontId="12" fillId="0" borderId="23" xfId="4" applyFont="1" applyFill="1" applyBorder="1" applyAlignment="1">
      <alignment vertical="center" wrapText="1"/>
    </xf>
    <xf numFmtId="5" fontId="12" fillId="0" borderId="0" xfId="5" applyNumberFormat="1" applyFont="1" applyFill="1" applyBorder="1" applyAlignment="1">
      <alignment vertical="center" wrapText="1"/>
    </xf>
    <xf numFmtId="4" fontId="12" fillId="0" borderId="0" xfId="5" applyNumberFormat="1" applyFont="1" applyFill="1" applyBorder="1" applyAlignment="1">
      <alignment vertical="center" wrapText="1"/>
    </xf>
    <xf numFmtId="42" fontId="12" fillId="0" borderId="24" xfId="5" applyNumberFormat="1" applyFont="1" applyFill="1" applyBorder="1" applyAlignment="1">
      <alignment vertical="center" wrapText="1"/>
    </xf>
    <xf numFmtId="164" fontId="12" fillId="0" borderId="0" xfId="5" applyNumberFormat="1" applyFont="1" applyFill="1" applyBorder="1" applyAlignment="1">
      <alignment vertical="center" wrapText="1"/>
    </xf>
    <xf numFmtId="42" fontId="12" fillId="0" borderId="0" xfId="5" applyNumberFormat="1" applyFont="1" applyFill="1" applyBorder="1" applyAlignment="1">
      <alignment vertical="center" wrapText="1"/>
    </xf>
    <xf numFmtId="0" fontId="12" fillId="0" borderId="23" xfId="3" applyFont="1" applyFill="1" applyBorder="1" applyAlignment="1">
      <alignment horizontal="left" vertical="center"/>
    </xf>
    <xf numFmtId="166" fontId="12" fillId="0" borderId="25" xfId="3" applyNumberFormat="1" applyFont="1" applyFill="1" applyBorder="1" applyAlignment="1">
      <alignment vertical="center" wrapText="1"/>
    </xf>
    <xf numFmtId="4" fontId="12" fillId="0" borderId="25" xfId="3" applyNumberFormat="1" applyFont="1" applyFill="1" applyBorder="1" applyAlignment="1">
      <alignment vertical="center" wrapText="1"/>
    </xf>
    <xf numFmtId="3" fontId="12" fillId="0" borderId="24" xfId="3" applyNumberFormat="1" applyFont="1" applyFill="1" applyBorder="1" applyAlignment="1">
      <alignment vertical="center" wrapText="1"/>
    </xf>
    <xf numFmtId="0" fontId="12" fillId="0" borderId="23" xfId="3" applyFont="1" applyFill="1" applyBorder="1" applyAlignment="1">
      <alignment horizontal="left" vertical="center" wrapText="1"/>
    </xf>
    <xf numFmtId="3" fontId="12" fillId="0" borderId="25" xfId="3" applyNumberFormat="1" applyFont="1" applyFill="1" applyBorder="1" applyAlignment="1">
      <alignment vertical="center" wrapText="1"/>
    </xf>
    <xf numFmtId="0" fontId="12" fillId="3" borderId="26" xfId="5" applyFont="1" applyFill="1" applyBorder="1" applyAlignment="1">
      <alignment vertical="center" wrapText="1"/>
    </xf>
    <xf numFmtId="0" fontId="12" fillId="3" borderId="27" xfId="5" applyFont="1" applyFill="1" applyBorder="1" applyAlignment="1">
      <alignment vertical="center" wrapText="1"/>
    </xf>
    <xf numFmtId="4" fontId="12" fillId="3" borderId="27" xfId="5" applyNumberFormat="1" applyFont="1" applyFill="1" applyBorder="1" applyAlignment="1">
      <alignment vertical="center" wrapText="1"/>
    </xf>
    <xf numFmtId="42" fontId="12" fillId="3" borderId="28" xfId="5" applyNumberFormat="1" applyFont="1" applyFill="1" applyBorder="1" applyAlignment="1">
      <alignment vertical="center" wrapText="1"/>
    </xf>
    <xf numFmtId="0" fontId="12" fillId="0" borderId="26" xfId="5" applyFont="1" applyFill="1" applyBorder="1" applyAlignment="1">
      <alignment vertical="center" wrapText="1"/>
    </xf>
    <xf numFmtId="0" fontId="12" fillId="0" borderId="27" xfId="5" applyFont="1" applyFill="1" applyBorder="1" applyAlignment="1">
      <alignment vertical="center" wrapText="1"/>
    </xf>
    <xf numFmtId="4" fontId="12" fillId="0" borderId="27" xfId="5" applyNumberFormat="1" applyFont="1" applyFill="1" applyBorder="1" applyAlignment="1">
      <alignment vertical="center" wrapText="1"/>
    </xf>
    <xf numFmtId="42" fontId="12" fillId="0" borderId="28" xfId="5" applyNumberFormat="1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left" vertical="center" wrapText="1"/>
    </xf>
    <xf numFmtId="166" fontId="12" fillId="0" borderId="27" xfId="3" applyNumberFormat="1" applyFont="1" applyFill="1" applyBorder="1" applyAlignment="1">
      <alignment vertical="center" wrapText="1"/>
    </xf>
    <xf numFmtId="4" fontId="12" fillId="0" borderId="27" xfId="3" applyNumberFormat="1" applyFont="1" applyFill="1" applyBorder="1" applyAlignment="1">
      <alignment vertical="center" wrapText="1"/>
    </xf>
    <xf numFmtId="3" fontId="12" fillId="0" borderId="28" xfId="3" applyNumberFormat="1" applyFont="1" applyFill="1" applyBorder="1" applyAlignment="1">
      <alignment vertical="center" wrapText="1"/>
    </xf>
    <xf numFmtId="0" fontId="12" fillId="3" borderId="23" xfId="5" applyFont="1" applyFill="1" applyBorder="1" applyAlignment="1">
      <alignment vertical="center" wrapText="1"/>
    </xf>
    <xf numFmtId="0" fontId="11" fillId="3" borderId="0" xfId="5" applyFont="1" applyFill="1" applyBorder="1" applyAlignment="1">
      <alignment vertical="center" wrapText="1"/>
    </xf>
    <xf numFmtId="0" fontId="12" fillId="3" borderId="0" xfId="5" applyFont="1" applyFill="1" applyBorder="1" applyAlignment="1">
      <alignment vertical="center" wrapText="1"/>
    </xf>
    <xf numFmtId="0" fontId="11" fillId="3" borderId="24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 wrapText="1"/>
    </xf>
    <xf numFmtId="0" fontId="12" fillId="0" borderId="23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vertical="center" wrapText="1"/>
    </xf>
    <xf numFmtId="0" fontId="12" fillId="0" borderId="24" xfId="5" applyFont="1" applyFill="1" applyBorder="1" applyAlignment="1">
      <alignment vertical="center" wrapText="1"/>
    </xf>
    <xf numFmtId="0" fontId="12" fillId="0" borderId="20" xfId="3" applyFont="1" applyFill="1" applyBorder="1" applyAlignment="1">
      <alignment horizontal="left" vertical="center" wrapText="1"/>
    </xf>
    <xf numFmtId="166" fontId="12" fillId="0" borderId="29" xfId="3" applyNumberFormat="1" applyFont="1" applyFill="1" applyBorder="1" applyAlignment="1">
      <alignment vertical="center" wrapText="1"/>
    </xf>
    <xf numFmtId="4" fontId="12" fillId="0" borderId="29" xfId="3" applyNumberFormat="1" applyFont="1" applyFill="1" applyBorder="1" applyAlignment="1">
      <alignment vertical="center" wrapText="1"/>
    </xf>
    <xf numFmtId="3" fontId="12" fillId="0" borderId="22" xfId="3" applyNumberFormat="1" applyFont="1" applyFill="1" applyBorder="1" applyAlignment="1">
      <alignment vertical="center" wrapText="1"/>
    </xf>
    <xf numFmtId="0" fontId="11" fillId="3" borderId="23" xfId="5" applyFont="1" applyFill="1" applyBorder="1" applyAlignment="1">
      <alignment vertical="center" wrapText="1"/>
    </xf>
    <xf numFmtId="10" fontId="11" fillId="3" borderId="0" xfId="5" applyNumberFormat="1" applyFont="1" applyFill="1" applyBorder="1" applyAlignment="1">
      <alignment vertical="center" wrapText="1"/>
    </xf>
    <xf numFmtId="10" fontId="12" fillId="0" borderId="0" xfId="5" applyNumberFormat="1" applyFont="1" applyFill="1" applyBorder="1" applyAlignment="1">
      <alignment vertical="center" wrapText="1"/>
    </xf>
    <xf numFmtId="3" fontId="12" fillId="0" borderId="0" xfId="3" applyNumberFormat="1" applyFont="1" applyFill="1" applyBorder="1" applyAlignment="1">
      <alignment vertical="center" wrapText="1"/>
    </xf>
    <xf numFmtId="0" fontId="12" fillId="3" borderId="30" xfId="5" applyFont="1" applyFill="1" applyBorder="1" applyAlignment="1">
      <alignment vertical="center" wrapText="1"/>
    </xf>
    <xf numFmtId="0" fontId="12" fillId="3" borderId="31" xfId="5" applyFont="1" applyFill="1" applyBorder="1" applyAlignment="1">
      <alignment vertical="center" wrapText="1"/>
    </xf>
    <xf numFmtId="44" fontId="12" fillId="3" borderId="31" xfId="5" applyNumberFormat="1" applyFont="1" applyFill="1" applyBorder="1" applyAlignment="1">
      <alignment vertical="center" wrapText="1"/>
    </xf>
    <xf numFmtId="42" fontId="12" fillId="3" borderId="32" xfId="5" applyNumberFormat="1" applyFont="1" applyFill="1" applyBorder="1" applyAlignment="1">
      <alignment vertical="center" wrapText="1"/>
    </xf>
    <xf numFmtId="0" fontId="12" fillId="0" borderId="30" xfId="5" applyFont="1" applyFill="1" applyBorder="1" applyAlignment="1">
      <alignment vertical="center" wrapText="1"/>
    </xf>
    <xf numFmtId="0" fontId="12" fillId="0" borderId="31" xfId="5" applyFont="1" applyFill="1" applyBorder="1" applyAlignment="1">
      <alignment vertical="center" wrapText="1"/>
    </xf>
    <xf numFmtId="44" fontId="12" fillId="0" borderId="31" xfId="5" applyNumberFormat="1" applyFont="1" applyFill="1" applyBorder="1" applyAlignment="1">
      <alignment vertical="center" wrapText="1"/>
    </xf>
    <xf numFmtId="42" fontId="12" fillId="0" borderId="32" xfId="5" applyNumberFormat="1" applyFont="1" applyFill="1" applyBorder="1" applyAlignment="1">
      <alignment vertical="center" wrapText="1"/>
    </xf>
    <xf numFmtId="3" fontId="12" fillId="0" borderId="21" xfId="3" applyNumberFormat="1" applyFont="1" applyFill="1" applyBorder="1" applyAlignment="1">
      <alignment vertical="center" wrapText="1"/>
    </xf>
    <xf numFmtId="44" fontId="12" fillId="3" borderId="0" xfId="5" applyNumberFormat="1" applyFont="1" applyFill="1" applyBorder="1" applyAlignment="1">
      <alignment vertical="center" wrapText="1"/>
    </xf>
    <xf numFmtId="44" fontId="12" fillId="0" borderId="0" xfId="5" applyNumberFormat="1" applyFont="1" applyFill="1" applyBorder="1" applyAlignment="1">
      <alignment vertical="center" wrapText="1"/>
    </xf>
    <xf numFmtId="167" fontId="12" fillId="0" borderId="24" xfId="5" applyNumberFormat="1" applyFont="1" applyFill="1" applyBorder="1" applyAlignment="1">
      <alignment vertical="center" wrapText="1"/>
    </xf>
    <xf numFmtId="0" fontId="12" fillId="0" borderId="33" xfId="3" applyFont="1" applyFill="1" applyBorder="1" applyAlignment="1">
      <alignment horizontal="left" vertical="center" wrapText="1"/>
    </xf>
    <xf numFmtId="4" fontId="12" fillId="0" borderId="7" xfId="6" applyNumberFormat="1" applyFont="1" applyFill="1" applyBorder="1" applyAlignment="1">
      <alignment vertical="center" wrapText="1"/>
    </xf>
    <xf numFmtId="4" fontId="12" fillId="0" borderId="34" xfId="6" applyNumberFormat="1" applyFont="1" applyFill="1" applyBorder="1" applyAlignment="1">
      <alignment vertical="center" wrapText="1"/>
    </xf>
    <xf numFmtId="0" fontId="12" fillId="0" borderId="35" xfId="4" applyFont="1" applyFill="1" applyBorder="1" applyAlignment="1">
      <alignment vertical="center" wrapText="1"/>
    </xf>
    <xf numFmtId="42" fontId="12" fillId="0" borderId="0" xfId="5" applyNumberFormat="1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left" vertical="center" wrapText="1"/>
    </xf>
    <xf numFmtId="43" fontId="12" fillId="0" borderId="8" xfId="3" applyNumberFormat="1" applyFont="1" applyFill="1" applyBorder="1" applyAlignment="1">
      <alignment vertical="center" wrapText="1"/>
    </xf>
    <xf numFmtId="2" fontId="12" fillId="0" borderId="8" xfId="3" applyNumberFormat="1" applyFont="1" applyFill="1" applyBorder="1" applyAlignment="1">
      <alignment vertical="center" wrapText="1"/>
    </xf>
    <xf numFmtId="3" fontId="12" fillId="0" borderId="13" xfId="3" applyNumberFormat="1" applyFont="1" applyFill="1" applyBorder="1" applyAlignment="1">
      <alignment vertical="center" wrapText="1"/>
    </xf>
    <xf numFmtId="168" fontId="11" fillId="3" borderId="23" xfId="3" applyNumberFormat="1" applyFont="1" applyFill="1" applyBorder="1" applyAlignment="1">
      <alignment vertical="center" wrapText="1"/>
    </xf>
    <xf numFmtId="42" fontId="11" fillId="3" borderId="0" xfId="5" applyNumberFormat="1" applyFont="1" applyFill="1" applyBorder="1" applyAlignment="1">
      <alignment horizontal="center" vertical="center" wrapText="1"/>
    </xf>
    <xf numFmtId="42" fontId="11" fillId="3" borderId="24" xfId="5" applyNumberFormat="1" applyFont="1" applyFill="1" applyBorder="1" applyAlignment="1">
      <alignment horizontal="center" vertical="center" wrapText="1"/>
    </xf>
    <xf numFmtId="42" fontId="11" fillId="0" borderId="0" xfId="5" applyNumberFormat="1" applyFont="1" applyFill="1" applyBorder="1" applyAlignment="1">
      <alignment horizontal="center" vertical="center" wrapText="1"/>
    </xf>
    <xf numFmtId="167" fontId="12" fillId="0" borderId="24" xfId="5" applyNumberFormat="1" applyFont="1" applyFill="1" applyBorder="1" applyAlignment="1">
      <alignment horizontal="right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3" applyFont="1" applyFill="1" applyAlignment="1">
      <alignment horizontal="left" vertical="center" wrapText="1"/>
    </xf>
    <xf numFmtId="0" fontId="12" fillId="0" borderId="38" xfId="5" applyFont="1" applyFill="1" applyBorder="1" applyAlignment="1">
      <alignment vertical="center" wrapText="1"/>
    </xf>
    <xf numFmtId="0" fontId="12" fillId="0" borderId="39" xfId="5" applyFont="1" applyFill="1" applyBorder="1" applyAlignment="1">
      <alignment vertical="center" wrapText="1"/>
    </xf>
    <xf numFmtId="42" fontId="12" fillId="0" borderId="40" xfId="5" applyNumberFormat="1" applyFont="1" applyFill="1" applyBorder="1" applyAlignment="1">
      <alignment vertical="center" wrapText="1"/>
    </xf>
    <xf numFmtId="44" fontId="12" fillId="0" borderId="0" xfId="3" applyNumberFormat="1" applyFont="1" applyFill="1" applyAlignment="1">
      <alignment horizontal="left" vertical="center" wrapText="1"/>
    </xf>
    <xf numFmtId="167" fontId="15" fillId="0" borderId="16" xfId="7" applyNumberFormat="1" applyFont="1" applyFill="1" applyBorder="1" applyAlignment="1">
      <alignment horizontal="center" vertical="center" wrapText="1"/>
    </xf>
    <xf numFmtId="0" fontId="12" fillId="3" borderId="38" xfId="5" applyFont="1" applyFill="1" applyBorder="1" applyAlignment="1">
      <alignment vertical="center" wrapText="1"/>
    </xf>
    <xf numFmtId="0" fontId="11" fillId="3" borderId="39" xfId="5" applyFont="1" applyFill="1" applyBorder="1" applyAlignment="1">
      <alignment vertical="center" wrapText="1"/>
    </xf>
    <xf numFmtId="42" fontId="12" fillId="3" borderId="40" xfId="5" applyNumberFormat="1" applyFont="1" applyFill="1" applyBorder="1" applyAlignment="1">
      <alignment vertical="center" wrapText="1"/>
    </xf>
    <xf numFmtId="164" fontId="12" fillId="0" borderId="0" xfId="8" applyNumberFormat="1" applyFont="1" applyFill="1" applyBorder="1" applyAlignment="1">
      <alignment vertical="center" wrapText="1"/>
    </xf>
    <xf numFmtId="44" fontId="12" fillId="0" borderId="24" xfId="8" applyNumberFormat="1" applyFont="1" applyFill="1" applyBorder="1" applyAlignment="1">
      <alignment vertical="center" wrapText="1"/>
    </xf>
    <xf numFmtId="0" fontId="15" fillId="3" borderId="15" xfId="5" applyFont="1" applyFill="1" applyBorder="1" applyAlignment="1">
      <alignment vertical="center" wrapText="1"/>
    </xf>
    <xf numFmtId="167" fontId="15" fillId="0" borderId="16" xfId="4" applyNumberFormat="1" applyFont="1" applyFill="1" applyBorder="1" applyAlignment="1">
      <alignment horizontal="center" vertical="center" wrapText="1"/>
    </xf>
    <xf numFmtId="169" fontId="11" fillId="3" borderId="24" xfId="8" applyNumberFormat="1" applyFont="1" applyFill="1" applyBorder="1" applyAlignment="1">
      <alignment vertical="center" wrapText="1"/>
    </xf>
    <xf numFmtId="169" fontId="11" fillId="0" borderId="0" xfId="8" applyNumberFormat="1" applyFont="1" applyFill="1" applyBorder="1" applyAlignment="1">
      <alignment vertical="center" wrapText="1"/>
    </xf>
    <xf numFmtId="169" fontId="12" fillId="0" borderId="24" xfId="8" applyNumberFormat="1" applyFont="1" applyFill="1" applyBorder="1" applyAlignment="1">
      <alignment vertical="center" wrapText="1"/>
    </xf>
    <xf numFmtId="164" fontId="18" fillId="0" borderId="0" xfId="5" applyNumberFormat="1" applyFont="1" applyFill="1" applyBorder="1" applyAlignment="1">
      <alignment horizontal="right" vertical="center" wrapText="1"/>
    </xf>
    <xf numFmtId="169" fontId="12" fillId="0" borderId="24" xfId="5" applyNumberFormat="1" applyFont="1" applyFill="1" applyBorder="1" applyAlignment="1">
      <alignment horizontal="right" vertical="center" wrapText="1"/>
    </xf>
    <xf numFmtId="168" fontId="15" fillId="3" borderId="15" xfId="3" applyNumberFormat="1" applyFont="1" applyFill="1" applyBorder="1" applyAlignment="1">
      <alignment vertical="center" wrapText="1"/>
    </xf>
    <xf numFmtId="0" fontId="18" fillId="3" borderId="24" xfId="5" applyFont="1" applyFill="1" applyBorder="1" applyAlignment="1">
      <alignment horizontal="right" vertical="center" wrapText="1"/>
    </xf>
    <xf numFmtId="0" fontId="18" fillId="0" borderId="0" xfId="5" applyFont="1" applyFill="1" applyBorder="1" applyAlignment="1">
      <alignment horizontal="right" vertical="center" wrapText="1"/>
    </xf>
    <xf numFmtId="0" fontId="12" fillId="0" borderId="33" xfId="5" applyFont="1" applyFill="1" applyBorder="1" applyAlignment="1">
      <alignment vertical="center" wrapText="1"/>
    </xf>
    <xf numFmtId="10" fontId="12" fillId="0" borderId="7" xfId="5" applyNumberFormat="1" applyFont="1" applyFill="1" applyBorder="1" applyAlignment="1">
      <alignment vertical="center" wrapText="1"/>
    </xf>
    <xf numFmtId="0" fontId="12" fillId="0" borderId="7" xfId="5" applyFont="1" applyFill="1" applyBorder="1" applyAlignment="1">
      <alignment vertical="center" wrapText="1"/>
    </xf>
    <xf numFmtId="169" fontId="12" fillId="0" borderId="34" xfId="5" applyNumberFormat="1" applyFont="1" applyFill="1" applyBorder="1" applyAlignment="1">
      <alignment horizontal="right" vertical="center" wrapText="1"/>
    </xf>
    <xf numFmtId="170" fontId="12" fillId="0" borderId="0" xfId="8" applyNumberFormat="1" applyFont="1" applyFill="1" applyBorder="1" applyAlignment="1">
      <alignment vertical="center" wrapText="1"/>
    </xf>
    <xf numFmtId="44" fontId="12" fillId="0" borderId="7" xfId="8" applyFont="1" applyFill="1" applyBorder="1" applyAlignment="1">
      <alignment vertical="center" wrapText="1"/>
    </xf>
    <xf numFmtId="44" fontId="16" fillId="0" borderId="41" xfId="1" applyFont="1" applyFill="1" applyBorder="1" applyAlignment="1">
      <alignment horizontal="center" vertical="center" wrapText="1"/>
    </xf>
    <xf numFmtId="171" fontId="12" fillId="0" borderId="0" xfId="3" applyNumberFormat="1" applyFont="1" applyFill="1" applyAlignment="1">
      <alignment vertical="center" wrapText="1"/>
    </xf>
    <xf numFmtId="169" fontId="12" fillId="3" borderId="0" xfId="1" applyNumberFormat="1" applyFont="1" applyFill="1" applyAlignment="1">
      <alignment vertical="center" wrapText="1"/>
    </xf>
    <xf numFmtId="168" fontId="15" fillId="3" borderId="15" xfId="3" applyNumberFormat="1" applyFont="1" applyFill="1" applyBorder="1" applyAlignment="1">
      <alignment vertical="center"/>
    </xf>
    <xf numFmtId="167" fontId="15" fillId="0" borderId="16" xfId="4" applyNumberFormat="1" applyFont="1" applyFill="1" applyBorder="1" applyAlignment="1">
      <alignment horizontal="center" vertical="center"/>
    </xf>
    <xf numFmtId="0" fontId="12" fillId="3" borderId="33" xfId="5" applyFont="1" applyFill="1" applyBorder="1" applyAlignment="1">
      <alignment vertical="center"/>
    </xf>
    <xf numFmtId="0" fontId="12" fillId="3" borderId="7" xfId="5" applyFont="1" applyFill="1" applyBorder="1" applyAlignment="1">
      <alignment vertical="center"/>
    </xf>
    <xf numFmtId="44" fontId="12" fillId="3" borderId="7" xfId="8" applyFont="1" applyFill="1" applyBorder="1" applyAlignment="1">
      <alignment vertical="center"/>
    </xf>
    <xf numFmtId="44" fontId="12" fillId="3" borderId="34" xfId="8" applyFont="1" applyFill="1" applyBorder="1" applyAlignment="1">
      <alignment vertical="center"/>
    </xf>
    <xf numFmtId="44" fontId="12" fillId="0" borderId="0" xfId="8" applyFont="1" applyFill="1" applyBorder="1" applyAlignment="1">
      <alignment vertical="center"/>
    </xf>
    <xf numFmtId="0" fontId="12" fillId="0" borderId="33" xfId="5" applyFont="1" applyFill="1" applyBorder="1" applyAlignment="1">
      <alignment vertical="center"/>
    </xf>
    <xf numFmtId="0" fontId="12" fillId="0" borderId="7" xfId="5" applyFont="1" applyFill="1" applyBorder="1" applyAlignment="1">
      <alignment vertical="center"/>
    </xf>
    <xf numFmtId="44" fontId="12" fillId="0" borderId="7" xfId="8" applyFont="1" applyFill="1" applyBorder="1" applyAlignment="1">
      <alignment vertical="center"/>
    </xf>
    <xf numFmtId="44" fontId="10" fillId="0" borderId="42" xfId="1" applyFont="1" applyFill="1" applyBorder="1" applyAlignment="1">
      <alignment horizontal="center" vertical="center"/>
    </xf>
    <xf numFmtId="170" fontId="12" fillId="0" borderId="0" xfId="8" applyNumberFormat="1" applyFont="1" applyFill="1" applyBorder="1" applyAlignment="1">
      <alignment vertical="center"/>
    </xf>
    <xf numFmtId="44" fontId="12" fillId="0" borderId="0" xfId="3" applyNumberFormat="1" applyFont="1" applyFill="1" applyAlignment="1">
      <alignment vertical="center"/>
    </xf>
    <xf numFmtId="171" fontId="12" fillId="0" borderId="0" xfId="3" applyNumberFormat="1" applyFont="1" applyFill="1" applyAlignment="1">
      <alignment vertical="center"/>
    </xf>
    <xf numFmtId="164" fontId="19" fillId="0" borderId="0" xfId="3" applyNumberFormat="1" applyFont="1" applyFill="1" applyAlignment="1">
      <alignment horizontal="left" vertical="top"/>
    </xf>
    <xf numFmtId="2" fontId="12" fillId="0" borderId="0" xfId="3" applyNumberFormat="1" applyFont="1" applyFill="1" applyAlignment="1">
      <alignment vertical="center"/>
    </xf>
    <xf numFmtId="169" fontId="12" fillId="3" borderId="0" xfId="1" applyNumberFormat="1" applyFont="1" applyFill="1" applyAlignment="1">
      <alignment vertical="center"/>
    </xf>
    <xf numFmtId="0" fontId="12" fillId="0" borderId="12" xfId="5" applyFont="1" applyFill="1" applyBorder="1" applyAlignment="1">
      <alignment vertical="center"/>
    </xf>
    <xf numFmtId="10" fontId="12" fillId="0" borderId="8" xfId="3" applyNumberFormat="1" applyFont="1" applyFill="1" applyBorder="1" applyAlignment="1">
      <alignment vertical="center"/>
    </xf>
    <xf numFmtId="0" fontId="12" fillId="0" borderId="8" xfId="3" applyFont="1" applyFill="1" applyBorder="1" applyAlignment="1">
      <alignment vertical="center"/>
    </xf>
    <xf numFmtId="44" fontId="10" fillId="7" borderId="41" xfId="1" applyFont="1" applyFill="1" applyBorder="1" applyAlignment="1">
      <alignment vertical="center"/>
    </xf>
    <xf numFmtId="164" fontId="19" fillId="0" borderId="0" xfId="1" applyNumberFormat="1" applyFont="1" applyFill="1" applyAlignment="1">
      <alignment horizontal="left" vertical="top"/>
    </xf>
    <xf numFmtId="169" fontId="11" fillId="3" borderId="0" xfId="3" applyNumberFormat="1" applyFont="1" applyFill="1" applyAlignment="1">
      <alignment vertical="center"/>
    </xf>
    <xf numFmtId="0" fontId="15" fillId="3" borderId="15" xfId="4" applyFont="1" applyFill="1" applyBorder="1" applyAlignment="1">
      <alignment vertical="center"/>
    </xf>
    <xf numFmtId="10" fontId="15" fillId="0" borderId="16" xfId="7" applyNumberFormat="1" applyFont="1" applyFill="1" applyBorder="1" applyAlignment="1">
      <alignment horizontal="center" vertical="center"/>
    </xf>
    <xf numFmtId="10" fontId="19" fillId="0" borderId="0" xfId="1" applyNumberFormat="1" applyFont="1" applyFill="1" applyAlignment="1">
      <alignment horizontal="left" vertical="top"/>
    </xf>
    <xf numFmtId="10" fontId="12" fillId="0" borderId="0" xfId="3" applyNumberFormat="1" applyFont="1" applyFill="1" applyAlignment="1">
      <alignment vertical="center"/>
    </xf>
    <xf numFmtId="0" fontId="15" fillId="0" borderId="15" xfId="4" applyFont="1" applyFill="1" applyBorder="1" applyAlignment="1">
      <alignment vertical="center"/>
    </xf>
    <xf numFmtId="0" fontId="12" fillId="0" borderId="43" xfId="5" applyFont="1" applyFill="1" applyBorder="1" applyAlignment="1">
      <alignment horizontal="center" vertical="center"/>
    </xf>
    <xf numFmtId="0" fontId="12" fillId="0" borderId="36" xfId="5" applyFont="1" applyFill="1" applyBorder="1" applyAlignment="1">
      <alignment horizontal="center" vertical="center"/>
    </xf>
    <xf numFmtId="0" fontId="12" fillId="0" borderId="44" xfId="5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0" fontId="11" fillId="0" borderId="45" xfId="3" applyFont="1" applyFill="1" applyBorder="1" applyAlignment="1">
      <alignment vertical="center"/>
    </xf>
    <xf numFmtId="10" fontId="15" fillId="0" borderId="46" xfId="7" applyNumberFormat="1" applyFont="1" applyFill="1" applyBorder="1" applyAlignment="1">
      <alignment horizontal="center" vertical="center"/>
    </xf>
    <xf numFmtId="172" fontId="12" fillId="0" borderId="0" xfId="3" applyNumberFormat="1" applyFont="1" applyFill="1" applyAlignment="1">
      <alignment vertical="center"/>
    </xf>
    <xf numFmtId="0" fontId="12" fillId="6" borderId="47" xfId="3" applyFont="1" applyFill="1" applyBorder="1" applyAlignment="1">
      <alignment horizontal="right" vertical="center"/>
    </xf>
    <xf numFmtId="2" fontId="12" fillId="6" borderId="44" xfId="3" applyNumberFormat="1" applyFont="1" applyFill="1" applyBorder="1" applyAlignment="1">
      <alignment horizontal="right" vertical="center"/>
    </xf>
    <xf numFmtId="164" fontId="12" fillId="0" borderId="0" xfId="5" applyNumberFormat="1" applyFont="1" applyFill="1" applyBorder="1" applyAlignment="1">
      <alignment horizontal="right" vertical="center"/>
    </xf>
    <xf numFmtId="0" fontId="12" fillId="0" borderId="20" xfId="5" applyFont="1" applyFill="1" applyBorder="1" applyAlignment="1">
      <alignment vertical="center"/>
    </xf>
    <xf numFmtId="0" fontId="12" fillId="0" borderId="21" xfId="5" applyFont="1" applyFill="1" applyBorder="1" applyAlignment="1">
      <alignment horizontal="right" vertical="center"/>
    </xf>
    <xf numFmtId="0" fontId="12" fillId="0" borderId="22" xfId="5" applyFont="1" applyFill="1" applyBorder="1" applyAlignment="1">
      <alignment horizontal="right" vertical="center"/>
    </xf>
    <xf numFmtId="3" fontId="12" fillId="0" borderId="48" xfId="3" applyNumberFormat="1" applyFont="1" applyFill="1" applyBorder="1" applyAlignment="1">
      <alignment vertical="center"/>
    </xf>
    <xf numFmtId="0" fontId="12" fillId="3" borderId="21" xfId="5" applyFont="1" applyFill="1" applyBorder="1" applyAlignment="1">
      <alignment vertical="center"/>
    </xf>
    <xf numFmtId="0" fontId="12" fillId="3" borderId="21" xfId="5" applyFont="1" applyFill="1" applyBorder="1" applyAlignment="1">
      <alignment horizontal="right" vertical="center"/>
    </xf>
    <xf numFmtId="0" fontId="12" fillId="3" borderId="22" xfId="5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right" vertical="center"/>
    </xf>
    <xf numFmtId="164" fontId="12" fillId="0" borderId="0" xfId="5" applyNumberFormat="1" applyFont="1" applyFill="1" applyBorder="1" applyAlignment="1">
      <alignment vertical="center"/>
    </xf>
    <xf numFmtId="0" fontId="12" fillId="0" borderId="23" xfId="4" applyFont="1" applyFill="1" applyBorder="1" applyAlignment="1">
      <alignment vertical="center"/>
    </xf>
    <xf numFmtId="42" fontId="12" fillId="0" borderId="0" xfId="5" applyNumberFormat="1" applyFont="1" applyFill="1" applyBorder="1" applyAlignment="1">
      <alignment vertical="center"/>
    </xf>
    <xf numFmtId="4" fontId="12" fillId="0" borderId="0" xfId="5" applyNumberFormat="1" applyFont="1" applyFill="1" applyBorder="1" applyAlignment="1">
      <alignment vertical="center"/>
    </xf>
    <xf numFmtId="42" fontId="12" fillId="0" borderId="24" xfId="5" applyNumberFormat="1" applyFont="1" applyFill="1" applyBorder="1" applyAlignment="1">
      <alignment vertical="center"/>
    </xf>
    <xf numFmtId="0" fontId="11" fillId="3" borderId="0" xfId="4" applyFont="1" applyFill="1" applyBorder="1" applyAlignment="1">
      <alignment vertical="center"/>
    </xf>
    <xf numFmtId="42" fontId="11" fillId="3" borderId="0" xfId="5" applyNumberFormat="1" applyFont="1" applyFill="1" applyBorder="1" applyAlignment="1">
      <alignment vertical="center"/>
    </xf>
    <xf numFmtId="4" fontId="11" fillId="3" borderId="0" xfId="5" applyNumberFormat="1" applyFont="1" applyFill="1" applyBorder="1" applyAlignment="1">
      <alignment vertical="center"/>
    </xf>
    <xf numFmtId="42" fontId="11" fillId="3" borderId="24" xfId="5" applyNumberFormat="1" applyFont="1" applyFill="1" applyBorder="1" applyAlignment="1">
      <alignment vertical="center"/>
    </xf>
    <xf numFmtId="42" fontId="11" fillId="0" borderId="0" xfId="5" applyNumberFormat="1" applyFont="1" applyFill="1" applyBorder="1" applyAlignment="1">
      <alignment vertical="center"/>
    </xf>
    <xf numFmtId="166" fontId="12" fillId="0" borderId="25" xfId="3" applyNumberFormat="1" applyFont="1" applyFill="1" applyBorder="1" applyAlignment="1">
      <alignment vertical="center"/>
    </xf>
    <xf numFmtId="4" fontId="12" fillId="0" borderId="25" xfId="3" applyNumberFormat="1" applyFont="1" applyFill="1" applyBorder="1" applyAlignment="1">
      <alignment vertical="center"/>
    </xf>
    <xf numFmtId="3" fontId="12" fillId="0" borderId="24" xfId="3" applyNumberFormat="1" applyFont="1" applyFill="1" applyBorder="1" applyAlignment="1">
      <alignment vertical="center"/>
    </xf>
    <xf numFmtId="5" fontId="12" fillId="0" borderId="0" xfId="5" applyNumberFormat="1" applyFont="1" applyFill="1" applyBorder="1" applyAlignment="1">
      <alignment vertical="center"/>
    </xf>
    <xf numFmtId="0" fontId="12" fillId="0" borderId="26" xfId="5" applyFont="1" applyFill="1" applyBorder="1" applyAlignment="1">
      <alignment vertical="center"/>
    </xf>
    <xf numFmtId="0" fontId="12" fillId="0" borderId="27" xfId="5" applyFont="1" applyFill="1" applyBorder="1" applyAlignment="1">
      <alignment vertical="center"/>
    </xf>
    <xf numFmtId="4" fontId="12" fillId="0" borderId="27" xfId="5" applyNumberFormat="1" applyFont="1" applyFill="1" applyBorder="1" applyAlignment="1">
      <alignment vertical="center"/>
    </xf>
    <xf numFmtId="42" fontId="12" fillId="0" borderId="28" xfId="5" applyNumberFormat="1" applyFont="1" applyFill="1" applyBorder="1" applyAlignment="1">
      <alignment vertical="center"/>
    </xf>
    <xf numFmtId="3" fontId="12" fillId="0" borderId="25" xfId="3" applyNumberFormat="1" applyFont="1" applyFill="1" applyBorder="1" applyAlignment="1">
      <alignment vertical="center"/>
    </xf>
    <xf numFmtId="0" fontId="12" fillId="3" borderId="27" xfId="5" applyFont="1" applyFill="1" applyBorder="1" applyAlignment="1">
      <alignment vertical="center"/>
    </xf>
    <xf numFmtId="4" fontId="12" fillId="3" borderId="27" xfId="5" applyNumberFormat="1" applyFont="1" applyFill="1" applyBorder="1" applyAlignment="1">
      <alignment vertical="center"/>
    </xf>
    <xf numFmtId="42" fontId="12" fillId="3" borderId="28" xfId="5" applyNumberFormat="1" applyFont="1" applyFill="1" applyBorder="1" applyAlignment="1">
      <alignment vertical="center"/>
    </xf>
    <xf numFmtId="0" fontId="12" fillId="0" borderId="23" xfId="5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24" xfId="5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11" fillId="3" borderId="24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10" fontId="12" fillId="0" borderId="0" xfId="5" applyNumberFormat="1" applyFont="1" applyFill="1" applyBorder="1" applyAlignment="1">
      <alignment vertical="center"/>
    </xf>
    <xf numFmtId="10" fontId="11" fillId="3" borderId="0" xfId="5" applyNumberFormat="1" applyFont="1" applyFill="1" applyBorder="1" applyAlignment="1">
      <alignment vertical="center"/>
    </xf>
    <xf numFmtId="0" fontId="12" fillId="0" borderId="30" xfId="5" applyFont="1" applyFill="1" applyBorder="1" applyAlignment="1">
      <alignment vertical="center"/>
    </xf>
    <xf numFmtId="0" fontId="12" fillId="0" borderId="31" xfId="5" applyFont="1" applyFill="1" applyBorder="1" applyAlignment="1">
      <alignment vertical="center"/>
    </xf>
    <xf numFmtId="44" fontId="12" fillId="0" borderId="31" xfId="5" applyNumberFormat="1" applyFont="1" applyFill="1" applyBorder="1" applyAlignment="1">
      <alignment vertical="center"/>
    </xf>
    <xf numFmtId="42" fontId="12" fillId="0" borderId="32" xfId="5" applyNumberFormat="1" applyFont="1" applyFill="1" applyBorder="1" applyAlignment="1">
      <alignment vertical="center"/>
    </xf>
    <xf numFmtId="0" fontId="12" fillId="0" borderId="20" xfId="3" applyFont="1" applyFill="1" applyBorder="1" applyAlignment="1">
      <alignment horizontal="left" vertical="center"/>
    </xf>
    <xf numFmtId="166" fontId="12" fillId="0" borderId="29" xfId="3" applyNumberFormat="1" applyFont="1" applyFill="1" applyBorder="1" applyAlignment="1">
      <alignment vertical="center"/>
    </xf>
    <xf numFmtId="4" fontId="12" fillId="0" borderId="29" xfId="3" applyNumberFormat="1" applyFont="1" applyFill="1" applyBorder="1" applyAlignment="1">
      <alignment vertical="center"/>
    </xf>
    <xf numFmtId="3" fontId="12" fillId="0" borderId="22" xfId="3" applyNumberFormat="1" applyFont="1" applyFill="1" applyBorder="1" applyAlignment="1">
      <alignment vertical="center"/>
    </xf>
    <xf numFmtId="0" fontId="12" fillId="3" borderId="31" xfId="5" applyFont="1" applyFill="1" applyBorder="1" applyAlignment="1">
      <alignment vertical="center"/>
    </xf>
    <xf numFmtId="44" fontId="12" fillId="3" borderId="31" xfId="5" applyNumberFormat="1" applyFont="1" applyFill="1" applyBorder="1" applyAlignment="1">
      <alignment vertical="center"/>
    </xf>
    <xf numFmtId="42" fontId="12" fillId="3" borderId="32" xfId="5" applyNumberFormat="1" applyFont="1" applyFill="1" applyBorder="1" applyAlignment="1">
      <alignment vertical="center"/>
    </xf>
    <xf numFmtId="169" fontId="12" fillId="0" borderId="0" xfId="8" applyNumberFormat="1" applyFont="1" applyFill="1" applyBorder="1" applyAlignment="1">
      <alignment vertical="center"/>
    </xf>
    <xf numFmtId="44" fontId="12" fillId="0" borderId="0" xfId="5" applyNumberFormat="1" applyFont="1" applyFill="1" applyBorder="1" applyAlignment="1">
      <alignment vertical="center"/>
    </xf>
    <xf numFmtId="167" fontId="12" fillId="0" borderId="24" xfId="5" applyNumberFormat="1" applyFont="1" applyFill="1" applyBorder="1" applyAlignment="1">
      <alignment vertical="center"/>
    </xf>
    <xf numFmtId="3" fontId="12" fillId="0" borderId="0" xfId="3" applyNumberFormat="1" applyFont="1" applyFill="1" applyBorder="1" applyAlignment="1">
      <alignment vertical="center"/>
    </xf>
    <xf numFmtId="169" fontId="11" fillId="3" borderId="0" xfId="8" applyNumberFormat="1" applyFont="1" applyFill="1" applyBorder="1" applyAlignment="1">
      <alignment vertical="center"/>
    </xf>
    <xf numFmtId="44" fontId="12" fillId="3" borderId="0" xfId="5" applyNumberFormat="1" applyFont="1" applyFill="1" applyBorder="1" applyAlignment="1">
      <alignment vertical="center"/>
    </xf>
    <xf numFmtId="3" fontId="12" fillId="0" borderId="21" xfId="3" applyNumberFormat="1" applyFont="1" applyFill="1" applyBorder="1" applyAlignment="1">
      <alignment vertical="center"/>
    </xf>
    <xf numFmtId="42" fontId="12" fillId="0" borderId="0" xfId="5" applyNumberFormat="1" applyFont="1" applyFill="1" applyBorder="1" applyAlignment="1">
      <alignment horizontal="center" vertical="center"/>
    </xf>
    <xf numFmtId="4" fontId="12" fillId="0" borderId="0" xfId="6" applyNumberFormat="1" applyFont="1" applyFill="1" applyBorder="1" applyAlignment="1">
      <alignment vertical="center"/>
    </xf>
    <xf numFmtId="4" fontId="12" fillId="0" borderId="24" xfId="6" applyNumberFormat="1" applyFont="1" applyFill="1" applyBorder="1" applyAlignment="1">
      <alignment vertical="center"/>
    </xf>
    <xf numFmtId="168" fontId="11" fillId="3" borderId="0" xfId="3" applyNumberFormat="1" applyFont="1" applyFill="1" applyBorder="1" applyAlignment="1">
      <alignment vertical="center"/>
    </xf>
    <xf numFmtId="42" fontId="11" fillId="3" borderId="0" xfId="5" applyNumberFormat="1" applyFont="1" applyFill="1" applyBorder="1" applyAlignment="1">
      <alignment horizontal="center" vertical="center"/>
    </xf>
    <xf numFmtId="42" fontId="11" fillId="3" borderId="24" xfId="5" applyNumberFormat="1" applyFont="1" applyFill="1" applyBorder="1" applyAlignment="1">
      <alignment horizontal="center" vertical="center"/>
    </xf>
    <xf numFmtId="42" fontId="11" fillId="0" borderId="0" xfId="5" applyNumberFormat="1" applyFont="1" applyFill="1" applyBorder="1" applyAlignment="1">
      <alignment horizontal="center" vertical="center"/>
    </xf>
    <xf numFmtId="167" fontId="12" fillId="0" borderId="24" xfId="5" applyNumberFormat="1" applyFont="1" applyFill="1" applyBorder="1" applyAlignment="1">
      <alignment horizontal="right" vertical="center"/>
    </xf>
    <xf numFmtId="0" fontId="12" fillId="0" borderId="12" xfId="3" applyFont="1" applyFill="1" applyBorder="1" applyAlignment="1">
      <alignment horizontal="left" vertical="center"/>
    </xf>
    <xf numFmtId="43" fontId="12" fillId="0" borderId="8" xfId="3" applyNumberFormat="1" applyFont="1" applyFill="1" applyBorder="1" applyAlignment="1">
      <alignment vertical="center"/>
    </xf>
    <xf numFmtId="2" fontId="12" fillId="0" borderId="8" xfId="3" applyNumberFormat="1" applyFont="1" applyFill="1" applyBorder="1" applyAlignment="1">
      <alignment vertical="center"/>
    </xf>
    <xf numFmtId="3" fontId="12" fillId="0" borderId="13" xfId="3" applyNumberFormat="1" applyFont="1" applyFill="1" applyBorder="1" applyAlignment="1">
      <alignment vertical="center"/>
    </xf>
    <xf numFmtId="0" fontId="12" fillId="0" borderId="38" xfId="5" applyFont="1" applyFill="1" applyBorder="1" applyAlignment="1">
      <alignment vertical="center"/>
    </xf>
    <xf numFmtId="0" fontId="12" fillId="0" borderId="39" xfId="5" applyFont="1" applyFill="1" applyBorder="1" applyAlignment="1">
      <alignment vertical="center"/>
    </xf>
    <xf numFmtId="42" fontId="12" fillId="0" borderId="40" xfId="5" applyNumberFormat="1" applyFont="1" applyFill="1" applyBorder="1" applyAlignment="1">
      <alignment vertical="center"/>
    </xf>
    <xf numFmtId="0" fontId="12" fillId="3" borderId="39" xfId="5" applyFont="1" applyFill="1" applyBorder="1" applyAlignment="1">
      <alignment vertical="center"/>
    </xf>
    <xf numFmtId="0" fontId="11" fillId="3" borderId="39" xfId="5" applyFont="1" applyFill="1" applyBorder="1" applyAlignment="1">
      <alignment vertical="center"/>
    </xf>
    <xf numFmtId="42" fontId="12" fillId="3" borderId="40" xfId="5" applyNumberFormat="1" applyFont="1" applyFill="1" applyBorder="1" applyAlignment="1">
      <alignment vertical="center"/>
    </xf>
    <xf numFmtId="164" fontId="12" fillId="0" borderId="0" xfId="8" applyNumberFormat="1" applyFont="1" applyFill="1" applyBorder="1" applyAlignment="1">
      <alignment vertical="center"/>
    </xf>
    <xf numFmtId="44" fontId="12" fillId="0" borderId="24" xfId="8" applyNumberFormat="1" applyFont="1" applyFill="1" applyBorder="1" applyAlignment="1">
      <alignment vertical="center"/>
    </xf>
    <xf numFmtId="169" fontId="11" fillId="3" borderId="24" xfId="8" applyNumberFormat="1" applyFont="1" applyFill="1" applyBorder="1" applyAlignment="1">
      <alignment vertical="center"/>
    </xf>
    <xf numFmtId="169" fontId="11" fillId="0" borderId="0" xfId="8" applyNumberFormat="1" applyFont="1" applyFill="1" applyBorder="1" applyAlignment="1">
      <alignment vertical="center"/>
    </xf>
    <xf numFmtId="169" fontId="12" fillId="0" borderId="24" xfId="8" applyNumberFormat="1" applyFont="1" applyFill="1" applyBorder="1" applyAlignment="1">
      <alignment vertical="center"/>
    </xf>
    <xf numFmtId="164" fontId="18" fillId="0" borderId="0" xfId="5" applyNumberFormat="1" applyFont="1" applyFill="1" applyBorder="1" applyAlignment="1">
      <alignment horizontal="right" vertical="center"/>
    </xf>
    <xf numFmtId="169" fontId="12" fillId="0" borderId="24" xfId="5" applyNumberFormat="1" applyFont="1" applyFill="1" applyBorder="1" applyAlignment="1">
      <alignment horizontal="right" vertical="center"/>
    </xf>
    <xf numFmtId="0" fontId="18" fillId="3" borderId="24" xfId="5" applyFont="1" applyFill="1" applyBorder="1" applyAlignment="1">
      <alignment horizontal="right" vertical="center"/>
    </xf>
    <xf numFmtId="0" fontId="18" fillId="0" borderId="0" xfId="5" applyFont="1" applyFill="1" applyBorder="1" applyAlignment="1">
      <alignment horizontal="right" vertical="center"/>
    </xf>
    <xf numFmtId="10" fontId="12" fillId="0" borderId="7" xfId="5" applyNumberFormat="1" applyFont="1" applyFill="1" applyBorder="1" applyAlignment="1">
      <alignment vertical="center"/>
    </xf>
    <xf numFmtId="169" fontId="12" fillId="0" borderId="34" xfId="5" applyNumberFormat="1" applyFont="1" applyFill="1" applyBorder="1" applyAlignment="1">
      <alignment horizontal="right" vertical="center"/>
    </xf>
    <xf numFmtId="44" fontId="16" fillId="0" borderId="41" xfId="1" applyFont="1" applyFill="1" applyBorder="1" applyAlignment="1">
      <alignment horizontal="center" vertical="center"/>
    </xf>
    <xf numFmtId="44" fontId="12" fillId="0" borderId="0" xfId="3" applyNumberFormat="1" applyFont="1" applyFill="1" applyAlignment="1">
      <alignment horizontal="left" vertical="center"/>
    </xf>
    <xf numFmtId="44" fontId="16" fillId="0" borderId="42" xfId="1" applyFont="1" applyFill="1" applyBorder="1" applyAlignment="1">
      <alignment horizontal="center" vertical="center"/>
    </xf>
    <xf numFmtId="44" fontId="12" fillId="3" borderId="0" xfId="8" applyFont="1" applyFill="1" applyBorder="1" applyAlignment="1">
      <alignment vertical="center"/>
    </xf>
    <xf numFmtId="44" fontId="16" fillId="7" borderId="41" xfId="1" applyFont="1" applyFill="1" applyBorder="1" applyAlignment="1">
      <alignment horizontal="center" vertical="center"/>
    </xf>
    <xf numFmtId="8" fontId="12" fillId="0" borderId="0" xfId="3" applyNumberFormat="1" applyFont="1" applyFill="1" applyAlignment="1">
      <alignment vertical="center"/>
    </xf>
    <xf numFmtId="0" fontId="12" fillId="3" borderId="10" xfId="5" applyFont="1" applyFill="1" applyBorder="1" applyAlignment="1">
      <alignment vertical="center"/>
    </xf>
    <xf numFmtId="0" fontId="11" fillId="3" borderId="23" xfId="4" applyFont="1" applyFill="1" applyBorder="1" applyAlignment="1">
      <alignment vertical="center"/>
    </xf>
    <xf numFmtId="0" fontId="12" fillId="3" borderId="26" xfId="5" applyFont="1" applyFill="1" applyBorder="1" applyAlignment="1">
      <alignment vertical="center"/>
    </xf>
    <xf numFmtId="0" fontId="12" fillId="3" borderId="23" xfId="5" applyFont="1" applyFill="1" applyBorder="1" applyAlignment="1">
      <alignment vertical="center"/>
    </xf>
    <xf numFmtId="0" fontId="11" fillId="3" borderId="23" xfId="5" applyFont="1" applyFill="1" applyBorder="1" applyAlignment="1">
      <alignment vertical="center"/>
    </xf>
    <xf numFmtId="169" fontId="12" fillId="0" borderId="24" xfId="1" applyNumberFormat="1" applyFont="1" applyFill="1" applyBorder="1" applyAlignment="1">
      <alignment vertical="center"/>
    </xf>
    <xf numFmtId="0" fontId="12" fillId="3" borderId="30" xfId="5" applyFont="1" applyFill="1" applyBorder="1" applyAlignment="1">
      <alignment vertical="center"/>
    </xf>
    <xf numFmtId="44" fontId="11" fillId="3" borderId="0" xfId="8" applyFont="1" applyFill="1" applyBorder="1" applyAlignment="1">
      <alignment vertical="center"/>
    </xf>
    <xf numFmtId="168" fontId="11" fillId="3" borderId="23" xfId="5" applyNumberFormat="1" applyFont="1" applyFill="1" applyBorder="1" applyAlignment="1">
      <alignment vertical="center"/>
    </xf>
    <xf numFmtId="5" fontId="11" fillId="3" borderId="0" xfId="5" applyNumberFormat="1" applyFont="1" applyFill="1" applyBorder="1" applyAlignment="1">
      <alignment vertical="center"/>
    </xf>
    <xf numFmtId="169" fontId="11" fillId="3" borderId="24" xfId="5" applyNumberFormat="1" applyFont="1" applyFill="1" applyBorder="1" applyAlignment="1">
      <alignment vertical="center"/>
    </xf>
    <xf numFmtId="169" fontId="11" fillId="0" borderId="0" xfId="5" applyNumberFormat="1" applyFont="1" applyFill="1" applyBorder="1" applyAlignment="1">
      <alignment vertical="center"/>
    </xf>
    <xf numFmtId="169" fontId="12" fillId="0" borderId="24" xfId="5" applyNumberFormat="1" applyFont="1" applyFill="1" applyBorder="1" applyAlignment="1">
      <alignment vertical="center"/>
    </xf>
    <xf numFmtId="168" fontId="11" fillId="3" borderId="23" xfId="3" applyNumberFormat="1" applyFont="1" applyFill="1" applyBorder="1" applyAlignment="1">
      <alignment vertical="center"/>
    </xf>
    <xf numFmtId="169" fontId="12" fillId="0" borderId="24" xfId="1" applyNumberFormat="1" applyFont="1" applyFill="1" applyBorder="1" applyAlignment="1">
      <alignment horizontal="center" vertical="center"/>
    </xf>
    <xf numFmtId="0" fontId="12" fillId="3" borderId="38" xfId="5" applyFont="1" applyFill="1" applyBorder="1" applyAlignment="1">
      <alignment vertical="center"/>
    </xf>
    <xf numFmtId="0" fontId="12" fillId="3" borderId="20" xfId="5" applyFont="1" applyFill="1" applyBorder="1" applyAlignment="1">
      <alignment vertical="center"/>
    </xf>
    <xf numFmtId="165" fontId="11" fillId="3" borderId="23" xfId="4" applyNumberFormat="1" applyFont="1" applyFill="1" applyBorder="1" applyAlignment="1">
      <alignment vertical="center"/>
    </xf>
    <xf numFmtId="169" fontId="12" fillId="0" borderId="0" xfId="8" applyNumberFormat="1" applyFont="1" applyFill="1" applyBorder="1" applyAlignment="1">
      <alignment horizontal="right" vertical="center"/>
    </xf>
    <xf numFmtId="169" fontId="11" fillId="3" borderId="0" xfId="8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44" fontId="16" fillId="7" borderId="41" xfId="1" applyNumberFormat="1" applyFont="1" applyFill="1" applyBorder="1" applyAlignment="1">
      <alignment horizontal="center" vertical="center"/>
    </xf>
    <xf numFmtId="173" fontId="12" fillId="0" borderId="0" xfId="5" applyNumberFormat="1" applyFont="1" applyFill="1" applyBorder="1" applyAlignment="1">
      <alignment vertical="center"/>
    </xf>
    <xf numFmtId="173" fontId="11" fillId="3" borderId="0" xfId="5" applyNumberFormat="1" applyFont="1" applyFill="1" applyBorder="1" applyAlignment="1">
      <alignment vertical="center"/>
    </xf>
    <xf numFmtId="1" fontId="12" fillId="0" borderId="0" xfId="3" applyNumberFormat="1" applyFont="1" applyFill="1" applyBorder="1" applyAlignment="1">
      <alignment vertical="center"/>
    </xf>
    <xf numFmtId="164" fontId="19" fillId="0" borderId="0" xfId="1" applyNumberFormat="1" applyFont="1" applyFill="1" applyBorder="1" applyAlignment="1">
      <alignment horizontal="left" vertical="top"/>
    </xf>
    <xf numFmtId="173" fontId="12" fillId="0" borderId="0" xfId="5" applyNumberFormat="1" applyFont="1" applyFill="1" applyBorder="1" applyAlignment="1">
      <alignment horizontal="right" vertical="center"/>
    </xf>
    <xf numFmtId="5" fontId="12" fillId="0" borderId="0" xfId="5" applyNumberFormat="1" applyFont="1" applyFill="1" applyBorder="1" applyAlignment="1">
      <alignment horizontal="right" vertical="center"/>
    </xf>
    <xf numFmtId="173" fontId="11" fillId="3" borderId="0" xfId="5" applyNumberFormat="1" applyFont="1" applyFill="1" applyBorder="1" applyAlignment="1">
      <alignment horizontal="right" vertical="center"/>
    </xf>
    <xf numFmtId="5" fontId="11" fillId="3" borderId="0" xfId="5" applyNumberFormat="1" applyFont="1" applyFill="1" applyBorder="1" applyAlignment="1">
      <alignment horizontal="right" vertical="center"/>
    </xf>
    <xf numFmtId="44" fontId="16" fillId="0" borderId="0" xfId="1" applyFont="1" applyFill="1" applyBorder="1" applyAlignment="1">
      <alignment horizontal="center" vertical="center"/>
    </xf>
    <xf numFmtId="44" fontId="16" fillId="0" borderId="41" xfId="1" applyNumberFormat="1" applyFont="1" applyFill="1" applyBorder="1" applyAlignment="1">
      <alignment horizontal="center" vertical="center"/>
    </xf>
    <xf numFmtId="3" fontId="12" fillId="0" borderId="49" xfId="3" applyNumberFormat="1" applyFont="1" applyFill="1" applyBorder="1" applyAlignment="1">
      <alignment vertical="center"/>
    </xf>
    <xf numFmtId="0" fontId="11" fillId="3" borderId="20" xfId="4" applyFont="1" applyFill="1" applyBorder="1" applyAlignment="1">
      <alignment vertical="center"/>
    </xf>
    <xf numFmtId="1" fontId="12" fillId="0" borderId="0" xfId="10" applyNumberFormat="1" applyFont="1" applyFill="1" applyAlignment="1">
      <alignment vertical="center"/>
    </xf>
    <xf numFmtId="169" fontId="11" fillId="3" borderId="24" xfId="5" applyNumberFormat="1" applyFont="1" applyFill="1" applyBorder="1" applyAlignment="1">
      <alignment horizontal="center" vertical="center"/>
    </xf>
    <xf numFmtId="169" fontId="11" fillId="0" borderId="0" xfId="5" applyNumberFormat="1" applyFont="1" applyFill="1" applyBorder="1" applyAlignment="1">
      <alignment horizontal="center" vertical="center"/>
    </xf>
    <xf numFmtId="9" fontId="12" fillId="0" borderId="0" xfId="5" applyNumberFormat="1" applyFont="1" applyFill="1" applyBorder="1" applyAlignment="1">
      <alignment vertical="center"/>
    </xf>
    <xf numFmtId="9" fontId="11" fillId="3" borderId="0" xfId="5" applyNumberFormat="1" applyFont="1" applyFill="1" applyBorder="1" applyAlignment="1">
      <alignment vertical="center"/>
    </xf>
    <xf numFmtId="8" fontId="12" fillId="0" borderId="0" xfId="3" applyNumberFormat="1" applyFont="1" applyFill="1" applyAlignment="1">
      <alignment horizontal="right" vertical="center"/>
    </xf>
    <xf numFmtId="3" fontId="12" fillId="0" borderId="37" xfId="3" applyNumberFormat="1" applyFont="1" applyFill="1" applyBorder="1" applyAlignment="1">
      <alignment vertical="center"/>
    </xf>
    <xf numFmtId="164" fontId="12" fillId="0" borderId="0" xfId="11" applyNumberFormat="1" applyFont="1" applyFill="1" applyBorder="1" applyAlignment="1">
      <alignment horizontal="center" vertical="center"/>
    </xf>
    <xf numFmtId="164" fontId="12" fillId="0" borderId="0" xfId="11" applyNumberFormat="1" applyFont="1" applyFill="1" applyBorder="1" applyAlignment="1">
      <alignment horizontal="right" vertical="center"/>
    </xf>
    <xf numFmtId="164" fontId="12" fillId="0" borderId="0" xfId="11" applyNumberFormat="1" applyFont="1" applyFill="1" applyBorder="1" applyAlignment="1">
      <alignment vertical="center"/>
    </xf>
    <xf numFmtId="3" fontId="12" fillId="0" borderId="11" xfId="11" applyNumberFormat="1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center" vertical="center"/>
    </xf>
    <xf numFmtId="0" fontId="12" fillId="0" borderId="20" xfId="11" applyFont="1" applyFill="1" applyBorder="1" applyAlignment="1">
      <alignment vertical="center"/>
    </xf>
    <xf numFmtId="0" fontId="12" fillId="0" borderId="21" xfId="11" applyFont="1" applyFill="1" applyBorder="1" applyAlignment="1">
      <alignment horizontal="right" vertical="center"/>
    </xf>
    <xf numFmtId="0" fontId="12" fillId="0" borderId="22" xfId="11" applyFont="1" applyFill="1" applyBorder="1" applyAlignment="1">
      <alignment horizontal="right" vertical="center"/>
    </xf>
    <xf numFmtId="3" fontId="12" fillId="3" borderId="11" xfId="11" applyNumberFormat="1" applyFont="1" applyFill="1" applyBorder="1" applyAlignment="1">
      <alignment horizontal="center" vertical="center"/>
    </xf>
    <xf numFmtId="3" fontId="12" fillId="0" borderId="0" xfId="11" applyNumberFormat="1" applyFont="1" applyFill="1" applyBorder="1" applyAlignment="1">
      <alignment horizontal="center" vertical="center"/>
    </xf>
    <xf numFmtId="0" fontId="12" fillId="0" borderId="23" xfId="12" applyFont="1" applyFill="1" applyBorder="1" applyAlignment="1">
      <alignment vertical="center"/>
    </xf>
    <xf numFmtId="42" fontId="12" fillId="0" borderId="0" xfId="11" applyNumberFormat="1" applyFont="1" applyFill="1" applyBorder="1" applyAlignment="1">
      <alignment vertical="center"/>
    </xf>
    <xf numFmtId="42" fontId="12" fillId="0" borderId="24" xfId="11" applyNumberFormat="1" applyFont="1" applyFill="1" applyBorder="1" applyAlignment="1">
      <alignment vertical="center"/>
    </xf>
    <xf numFmtId="0" fontId="12" fillId="3" borderId="20" xfId="11" applyFont="1" applyFill="1" applyBorder="1" applyAlignment="1">
      <alignment vertical="center"/>
    </xf>
    <xf numFmtId="0" fontId="12" fillId="3" borderId="21" xfId="11" applyFont="1" applyFill="1" applyBorder="1" applyAlignment="1">
      <alignment horizontal="right" vertical="center"/>
    </xf>
    <xf numFmtId="0" fontId="12" fillId="3" borderId="22" xfId="11" applyFont="1" applyFill="1" applyBorder="1" applyAlignment="1">
      <alignment horizontal="right" vertical="center"/>
    </xf>
    <xf numFmtId="0" fontId="12" fillId="0" borderId="0" xfId="11" applyFont="1" applyFill="1" applyBorder="1" applyAlignment="1">
      <alignment horizontal="right" vertical="center"/>
    </xf>
    <xf numFmtId="0" fontId="11" fillId="3" borderId="23" xfId="12" applyFont="1" applyFill="1" applyBorder="1" applyAlignment="1">
      <alignment vertical="center"/>
    </xf>
    <xf numFmtId="42" fontId="11" fillId="3" borderId="0" xfId="11" applyNumberFormat="1" applyFont="1" applyFill="1" applyBorder="1" applyAlignment="1">
      <alignment vertical="center"/>
    </xf>
    <xf numFmtId="42" fontId="11" fillId="3" borderId="24" xfId="11" applyNumberFormat="1" applyFont="1" applyFill="1" applyBorder="1" applyAlignment="1">
      <alignment vertical="center"/>
    </xf>
    <xf numFmtId="42" fontId="11" fillId="0" borderId="0" xfId="11" applyNumberFormat="1" applyFont="1" applyFill="1" applyBorder="1" applyAlignment="1">
      <alignment vertical="center"/>
    </xf>
    <xf numFmtId="4" fontId="12" fillId="0" borderId="0" xfId="11" applyNumberFormat="1" applyFont="1" applyFill="1" applyBorder="1" applyAlignment="1">
      <alignment vertical="center"/>
    </xf>
    <xf numFmtId="4" fontId="11" fillId="3" borderId="0" xfId="11" applyNumberFormat="1" applyFont="1" applyFill="1" applyBorder="1" applyAlignment="1">
      <alignment vertical="center"/>
    </xf>
    <xf numFmtId="5" fontId="12" fillId="0" borderId="0" xfId="11" applyNumberFormat="1" applyFont="1" applyFill="1" applyBorder="1" applyAlignment="1">
      <alignment vertical="center"/>
    </xf>
    <xf numFmtId="0" fontId="12" fillId="0" borderId="26" xfId="11" applyFont="1" applyFill="1" applyBorder="1" applyAlignment="1">
      <alignment vertical="center"/>
    </xf>
    <xf numFmtId="0" fontId="12" fillId="0" borderId="27" xfId="11" applyFont="1" applyFill="1" applyBorder="1" applyAlignment="1">
      <alignment vertical="center"/>
    </xf>
    <xf numFmtId="4" fontId="12" fillId="0" borderId="27" xfId="11" applyNumberFormat="1" applyFont="1" applyFill="1" applyBorder="1" applyAlignment="1">
      <alignment vertical="center"/>
    </xf>
    <xf numFmtId="42" fontId="12" fillId="0" borderId="28" xfId="11" applyNumberFormat="1" applyFont="1" applyFill="1" applyBorder="1" applyAlignment="1">
      <alignment vertical="center"/>
    </xf>
    <xf numFmtId="0" fontId="12" fillId="0" borderId="23" xfId="11" applyFont="1" applyFill="1" applyBorder="1" applyAlignment="1">
      <alignment vertical="center"/>
    </xf>
    <xf numFmtId="0" fontId="12" fillId="0" borderId="0" xfId="11" applyFont="1" applyFill="1" applyBorder="1" applyAlignment="1">
      <alignment vertical="center"/>
    </xf>
    <xf numFmtId="0" fontId="12" fillId="0" borderId="24" xfId="11" applyFont="1" applyFill="1" applyBorder="1" applyAlignment="1">
      <alignment vertical="center"/>
    </xf>
    <xf numFmtId="0" fontId="12" fillId="3" borderId="26" xfId="11" applyFont="1" applyFill="1" applyBorder="1" applyAlignment="1">
      <alignment vertical="center"/>
    </xf>
    <xf numFmtId="0" fontId="12" fillId="3" borderId="27" xfId="11" applyFont="1" applyFill="1" applyBorder="1" applyAlignment="1">
      <alignment vertical="center"/>
    </xf>
    <xf numFmtId="4" fontId="12" fillId="3" borderId="27" xfId="11" applyNumberFormat="1" applyFont="1" applyFill="1" applyBorder="1" applyAlignment="1">
      <alignment vertical="center"/>
    </xf>
    <xf numFmtId="42" fontId="12" fillId="3" borderId="28" xfId="11" applyNumberFormat="1" applyFont="1" applyFill="1" applyBorder="1" applyAlignment="1">
      <alignment vertical="center"/>
    </xf>
    <xf numFmtId="10" fontId="12" fillId="0" borderId="0" xfId="11" applyNumberFormat="1" applyFont="1" applyFill="1" applyBorder="1" applyAlignment="1">
      <alignment vertical="center"/>
    </xf>
    <xf numFmtId="3" fontId="12" fillId="0" borderId="29" xfId="3" applyNumberFormat="1" applyFont="1" applyFill="1" applyBorder="1" applyAlignment="1">
      <alignment vertical="center"/>
    </xf>
    <xf numFmtId="0" fontId="12" fillId="3" borderId="23" xfId="11" applyFont="1" applyFill="1" applyBorder="1" applyAlignment="1">
      <alignment vertical="center"/>
    </xf>
    <xf numFmtId="0" fontId="11" fillId="3" borderId="0" xfId="11" applyFont="1" applyFill="1" applyBorder="1" applyAlignment="1">
      <alignment vertical="center"/>
    </xf>
    <xf numFmtId="0" fontId="12" fillId="3" borderId="0" xfId="11" applyFont="1" applyFill="1" applyBorder="1" applyAlignment="1">
      <alignment vertical="center"/>
    </xf>
    <xf numFmtId="0" fontId="11" fillId="3" borderId="24" xfId="11" applyFont="1" applyFill="1" applyBorder="1" applyAlignment="1">
      <alignment vertical="center"/>
    </xf>
    <xf numFmtId="0" fontId="11" fillId="0" borderId="0" xfId="11" applyFont="1" applyFill="1" applyBorder="1" applyAlignment="1">
      <alignment vertical="center"/>
    </xf>
    <xf numFmtId="0" fontId="12" fillId="0" borderId="30" xfId="11" applyFont="1" applyFill="1" applyBorder="1" applyAlignment="1">
      <alignment vertical="center"/>
    </xf>
    <xf numFmtId="0" fontId="12" fillId="0" borderId="31" xfId="11" applyFont="1" applyFill="1" applyBorder="1" applyAlignment="1">
      <alignment vertical="center"/>
    </xf>
    <xf numFmtId="44" fontId="12" fillId="0" borderId="31" xfId="11" applyNumberFormat="1" applyFont="1" applyFill="1" applyBorder="1" applyAlignment="1">
      <alignment vertical="center"/>
    </xf>
    <xf numFmtId="42" fontId="12" fillId="0" borderId="32" xfId="11" applyNumberFormat="1" applyFont="1" applyFill="1" applyBorder="1" applyAlignment="1">
      <alignment vertical="center"/>
    </xf>
    <xf numFmtId="0" fontId="11" fillId="3" borderId="23" xfId="11" applyFont="1" applyFill="1" applyBorder="1" applyAlignment="1">
      <alignment vertical="center"/>
    </xf>
    <xf numFmtId="10" fontId="11" fillId="3" borderId="0" xfId="11" applyNumberFormat="1" applyFont="1" applyFill="1" applyBorder="1" applyAlignment="1">
      <alignment vertical="center"/>
    </xf>
    <xf numFmtId="173" fontId="12" fillId="0" borderId="0" xfId="11" applyNumberFormat="1" applyFont="1" applyFill="1" applyBorder="1" applyAlignment="1">
      <alignment vertical="center"/>
    </xf>
    <xf numFmtId="44" fontId="12" fillId="0" borderId="0" xfId="11" applyNumberFormat="1" applyFont="1" applyFill="1" applyBorder="1" applyAlignment="1">
      <alignment vertical="center"/>
    </xf>
    <xf numFmtId="0" fontId="12" fillId="3" borderId="30" xfId="11" applyFont="1" applyFill="1" applyBorder="1" applyAlignment="1">
      <alignment vertical="center"/>
    </xf>
    <xf numFmtId="0" fontId="12" fillId="3" borderId="31" xfId="11" applyFont="1" applyFill="1" applyBorder="1" applyAlignment="1">
      <alignment vertical="center"/>
    </xf>
    <xf numFmtId="44" fontId="12" fillId="3" borderId="31" xfId="11" applyNumberFormat="1" applyFont="1" applyFill="1" applyBorder="1" applyAlignment="1">
      <alignment vertical="center"/>
    </xf>
    <xf numFmtId="42" fontId="12" fillId="3" borderId="32" xfId="11" applyNumberFormat="1" applyFont="1" applyFill="1" applyBorder="1" applyAlignment="1">
      <alignment vertical="center"/>
    </xf>
    <xf numFmtId="164" fontId="12" fillId="0" borderId="0" xfId="13" applyNumberFormat="1" applyFont="1" applyFill="1" applyBorder="1" applyAlignment="1">
      <alignment vertical="center"/>
    </xf>
    <xf numFmtId="173" fontId="11" fillId="3" borderId="0" xfId="11" applyNumberFormat="1" applyFont="1" applyFill="1" applyBorder="1" applyAlignment="1">
      <alignment vertical="center"/>
    </xf>
    <xf numFmtId="44" fontId="12" fillId="3" borderId="0" xfId="11" applyNumberFormat="1" applyFont="1" applyFill="1" applyBorder="1" applyAlignment="1">
      <alignment vertical="center"/>
    </xf>
    <xf numFmtId="164" fontId="18" fillId="0" borderId="0" xfId="11" applyNumberFormat="1" applyFont="1" applyFill="1" applyBorder="1" applyAlignment="1">
      <alignment horizontal="right" vertical="center"/>
    </xf>
    <xf numFmtId="9" fontId="12" fillId="0" borderId="0" xfId="11" applyNumberFormat="1" applyFont="1" applyFill="1" applyBorder="1" applyAlignment="1">
      <alignment vertical="center"/>
    </xf>
    <xf numFmtId="9" fontId="11" fillId="3" borderId="0" xfId="11" applyNumberFormat="1" applyFont="1" applyFill="1" applyBorder="1" applyAlignment="1">
      <alignment vertical="center"/>
    </xf>
    <xf numFmtId="42" fontId="12" fillId="0" borderId="0" xfId="11" applyNumberFormat="1" applyFont="1" applyFill="1" applyBorder="1" applyAlignment="1">
      <alignment horizontal="center" vertical="center"/>
    </xf>
    <xf numFmtId="44" fontId="11" fillId="3" borderId="0" xfId="11" applyNumberFormat="1" applyFont="1" applyFill="1" applyBorder="1" applyAlignment="1">
      <alignment vertical="center"/>
    </xf>
    <xf numFmtId="42" fontId="11" fillId="3" borderId="0" xfId="11" applyNumberFormat="1" applyFont="1" applyFill="1" applyBorder="1" applyAlignment="1">
      <alignment horizontal="center" vertical="center"/>
    </xf>
    <xf numFmtId="169" fontId="11" fillId="3" borderId="24" xfId="11" applyNumberFormat="1" applyFont="1" applyFill="1" applyBorder="1" applyAlignment="1">
      <alignment horizontal="center" vertical="center"/>
    </xf>
    <xf numFmtId="169" fontId="11" fillId="0" borderId="0" xfId="11" applyNumberFormat="1" applyFont="1" applyFill="1" applyBorder="1" applyAlignment="1">
      <alignment horizontal="center" vertical="center"/>
    </xf>
    <xf numFmtId="0" fontId="12" fillId="0" borderId="38" xfId="11" applyFont="1" applyFill="1" applyBorder="1" applyAlignment="1">
      <alignment vertical="center"/>
    </xf>
    <xf numFmtId="0" fontId="12" fillId="0" borderId="39" xfId="11" applyFont="1" applyFill="1" applyBorder="1" applyAlignment="1">
      <alignment vertical="center"/>
    </xf>
    <xf numFmtId="42" fontId="12" fillId="0" borderId="40" xfId="11" applyNumberFormat="1" applyFont="1" applyFill="1" applyBorder="1" applyAlignment="1">
      <alignment vertical="center"/>
    </xf>
    <xf numFmtId="44" fontId="12" fillId="0" borderId="24" xfId="13" applyNumberFormat="1" applyFont="1" applyFill="1" applyBorder="1" applyAlignment="1">
      <alignment vertical="center"/>
    </xf>
    <xf numFmtId="0" fontId="12" fillId="3" borderId="38" xfId="11" applyFont="1" applyFill="1" applyBorder="1" applyAlignment="1">
      <alignment vertical="center"/>
    </xf>
    <xf numFmtId="0" fontId="11" fillId="3" borderId="39" xfId="11" applyFont="1" applyFill="1" applyBorder="1" applyAlignment="1">
      <alignment vertical="center"/>
    </xf>
    <xf numFmtId="42" fontId="12" fillId="3" borderId="40" xfId="11" applyNumberFormat="1" applyFont="1" applyFill="1" applyBorder="1" applyAlignment="1">
      <alignment vertical="center"/>
    </xf>
    <xf numFmtId="169" fontId="11" fillId="3" borderId="24" xfId="13" applyNumberFormat="1" applyFont="1" applyFill="1" applyBorder="1" applyAlignment="1">
      <alignment vertical="center"/>
    </xf>
    <xf numFmtId="169" fontId="11" fillId="0" borderId="0" xfId="13" applyNumberFormat="1" applyFont="1" applyFill="1" applyBorder="1" applyAlignment="1">
      <alignment vertical="center"/>
    </xf>
    <xf numFmtId="169" fontId="12" fillId="0" borderId="24" xfId="13" applyNumberFormat="1" applyFont="1" applyFill="1" applyBorder="1" applyAlignment="1">
      <alignment vertical="center"/>
    </xf>
    <xf numFmtId="164" fontId="12" fillId="0" borderId="0" xfId="2" applyNumberFormat="1" applyFont="1" applyFill="1" applyAlignment="1">
      <alignment vertical="center"/>
    </xf>
    <xf numFmtId="0" fontId="12" fillId="0" borderId="7" xfId="11" applyFont="1" applyFill="1" applyBorder="1" applyAlignment="1">
      <alignment vertical="center"/>
    </xf>
    <xf numFmtId="44" fontId="12" fillId="0" borderId="7" xfId="13" applyFont="1" applyFill="1" applyBorder="1" applyAlignment="1">
      <alignment vertical="center"/>
    </xf>
    <xf numFmtId="0" fontId="18" fillId="3" borderId="24" xfId="11" applyFont="1" applyFill="1" applyBorder="1" applyAlignment="1">
      <alignment horizontal="right" vertical="center"/>
    </xf>
    <xf numFmtId="0" fontId="18" fillId="0" borderId="0" xfId="11" applyFont="1" applyFill="1" applyBorder="1" applyAlignment="1">
      <alignment horizontal="right" vertical="center"/>
    </xf>
    <xf numFmtId="44" fontId="12" fillId="0" borderId="0" xfId="13" applyFont="1" applyFill="1" applyBorder="1" applyAlignment="1">
      <alignment vertical="center"/>
    </xf>
    <xf numFmtId="0" fontId="12" fillId="3" borderId="33" xfId="11" applyFont="1" applyFill="1" applyBorder="1" applyAlignment="1">
      <alignment vertical="center"/>
    </xf>
    <xf numFmtId="0" fontId="12" fillId="3" borderId="7" xfId="11" applyFont="1" applyFill="1" applyBorder="1" applyAlignment="1">
      <alignment vertical="center"/>
    </xf>
    <xf numFmtId="44" fontId="12" fillId="3" borderId="7" xfId="13" applyFont="1" applyFill="1" applyBorder="1" applyAlignment="1">
      <alignment vertical="center"/>
    </xf>
    <xf numFmtId="44" fontId="12" fillId="3" borderId="34" xfId="1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44" fontId="12" fillId="3" borderId="0" xfId="13" applyFont="1" applyFill="1" applyBorder="1" applyAlignment="1">
      <alignment vertical="center"/>
    </xf>
    <xf numFmtId="0" fontId="39" fillId="29" borderId="36" xfId="78" applyFont="1" applyFill="1" applyBorder="1"/>
    <xf numFmtId="0" fontId="40" fillId="29" borderId="44" xfId="78" applyFont="1" applyFill="1" applyBorder="1"/>
    <xf numFmtId="0" fontId="30" fillId="0" borderId="0" xfId="78"/>
    <xf numFmtId="0" fontId="40" fillId="29" borderId="0" xfId="78" applyFont="1" applyFill="1" applyBorder="1"/>
    <xf numFmtId="0" fontId="41" fillId="29" borderId="24" xfId="78" applyFont="1" applyFill="1" applyBorder="1"/>
    <xf numFmtId="0" fontId="42" fillId="29" borderId="7" xfId="78" applyFont="1" applyFill="1" applyBorder="1"/>
    <xf numFmtId="0" fontId="41" fillId="29" borderId="34" xfId="78" applyFont="1" applyFill="1" applyBorder="1"/>
    <xf numFmtId="0" fontId="41" fillId="0" borderId="0" xfId="78" applyFont="1"/>
    <xf numFmtId="0" fontId="43" fillId="30" borderId="0" xfId="93" applyFont="1" applyFill="1"/>
    <xf numFmtId="0" fontId="43" fillId="31" borderId="0" xfId="93" applyFont="1" applyFill="1"/>
    <xf numFmtId="0" fontId="43" fillId="32" borderId="0" xfId="93" applyFont="1" applyFill="1"/>
    <xf numFmtId="0" fontId="43" fillId="33" borderId="0" xfId="93" applyFont="1" applyFill="1"/>
    <xf numFmtId="14" fontId="41" fillId="0" borderId="0" xfId="78" applyNumberFormat="1" applyFont="1"/>
    <xf numFmtId="174" fontId="30" fillId="0" borderId="0" xfId="78" applyNumberFormat="1"/>
    <xf numFmtId="0" fontId="30" fillId="0" borderId="53" xfId="78" applyBorder="1"/>
    <xf numFmtId="0" fontId="30" fillId="0" borderId="54" xfId="78" applyBorder="1"/>
    <xf numFmtId="0" fontId="30" fillId="0" borderId="8" xfId="78" applyBorder="1"/>
    <xf numFmtId="0" fontId="30" fillId="0" borderId="13" xfId="78" applyBorder="1"/>
    <xf numFmtId="2" fontId="30" fillId="0" borderId="0" xfId="78" applyNumberFormat="1"/>
    <xf numFmtId="0" fontId="30" fillId="0" borderId="0" xfId="78" applyBorder="1"/>
    <xf numFmtId="0" fontId="41" fillId="0" borderId="0" xfId="90" applyFont="1"/>
    <xf numFmtId="0" fontId="30" fillId="0" borderId="0" xfId="90"/>
    <xf numFmtId="0" fontId="44" fillId="0" borderId="0" xfId="90" applyFont="1"/>
    <xf numFmtId="0" fontId="45" fillId="0" borderId="0" xfId="90" applyFont="1"/>
    <xf numFmtId="0" fontId="30" fillId="0" borderId="49" xfId="90" applyBorder="1"/>
    <xf numFmtId="0" fontId="30" fillId="0" borderId="55" xfId="90" applyBorder="1"/>
    <xf numFmtId="0" fontId="30" fillId="0" borderId="56" xfId="90" applyBorder="1"/>
    <xf numFmtId="0" fontId="30" fillId="0" borderId="35" xfId="90" applyBorder="1"/>
    <xf numFmtId="0" fontId="30" fillId="0" borderId="0" xfId="90" applyBorder="1" applyAlignment="1">
      <alignment horizontal="right"/>
    </xf>
    <xf numFmtId="0" fontId="30" fillId="0" borderId="0" xfId="90" applyBorder="1"/>
    <xf numFmtId="0" fontId="30" fillId="0" borderId="57" xfId="90" applyBorder="1"/>
    <xf numFmtId="0" fontId="46" fillId="0" borderId="57" xfId="90" applyFont="1" applyBorder="1" applyAlignment="1">
      <alignment horizontal="center"/>
    </xf>
    <xf numFmtId="174" fontId="30" fillId="0" borderId="53" xfId="78" applyNumberFormat="1" applyBorder="1"/>
    <xf numFmtId="0" fontId="30" fillId="0" borderId="58" xfId="90" applyBorder="1"/>
    <xf numFmtId="174" fontId="30" fillId="0" borderId="57" xfId="90" applyNumberFormat="1" applyBorder="1" applyAlignment="1">
      <alignment horizontal="center"/>
    </xf>
    <xf numFmtId="0" fontId="30" fillId="0" borderId="57" xfId="90" applyBorder="1" applyAlignment="1">
      <alignment horizontal="center"/>
    </xf>
    <xf numFmtId="0" fontId="41" fillId="7" borderId="0" xfId="90" applyFont="1" applyFill="1" applyBorder="1" applyAlignment="1">
      <alignment horizontal="right"/>
    </xf>
    <xf numFmtId="10" fontId="41" fillId="7" borderId="57" xfId="103" applyNumberFormat="1" applyFont="1" applyFill="1" applyBorder="1" applyAlignment="1">
      <alignment horizontal="center"/>
    </xf>
    <xf numFmtId="0" fontId="30" fillId="0" borderId="59" xfId="90" applyBorder="1"/>
    <xf numFmtId="0" fontId="30" fillId="0" borderId="21" xfId="90" applyBorder="1"/>
    <xf numFmtId="0" fontId="30" fillId="0" borderId="60" xfId="90" applyBorder="1"/>
    <xf numFmtId="0" fontId="15" fillId="3" borderId="62" xfId="4" applyFont="1" applyFill="1" applyBorder="1" applyAlignment="1">
      <alignment vertical="center" wrapText="1"/>
    </xf>
    <xf numFmtId="5" fontId="15" fillId="3" borderId="18" xfId="4" applyNumberFormat="1" applyFont="1" applyFill="1" applyBorder="1" applyAlignment="1">
      <alignment horizontal="center" vertical="center" wrapText="1"/>
    </xf>
    <xf numFmtId="0" fontId="15" fillId="3" borderId="63" xfId="4" applyFont="1" applyFill="1" applyBorder="1" applyAlignment="1">
      <alignment vertical="center" wrapText="1"/>
    </xf>
    <xf numFmtId="4" fontId="15" fillId="3" borderId="29" xfId="5" applyNumberFormat="1" applyFont="1" applyFill="1" applyBorder="1" applyAlignment="1">
      <alignment vertical="center" wrapText="1"/>
    </xf>
    <xf numFmtId="4" fontId="15" fillId="3" borderId="18" xfId="5" applyNumberFormat="1" applyFont="1" applyFill="1" applyBorder="1" applyAlignment="1">
      <alignment vertical="center" wrapText="1"/>
    </xf>
    <xf numFmtId="10" fontId="15" fillId="0" borderId="29" xfId="7" applyNumberFormat="1" applyFont="1" applyFill="1" applyBorder="1" applyAlignment="1">
      <alignment horizontal="center" vertical="center" wrapText="1"/>
    </xf>
    <xf numFmtId="0" fontId="16" fillId="3" borderId="12" xfId="4" applyFont="1" applyFill="1" applyBorder="1" applyAlignment="1">
      <alignment vertical="center" wrapText="1"/>
    </xf>
    <xf numFmtId="0" fontId="12" fillId="3" borderId="64" xfId="4" applyFont="1" applyFill="1" applyBorder="1" applyAlignment="1">
      <alignment vertical="center" wrapText="1"/>
    </xf>
    <xf numFmtId="5" fontId="15" fillId="3" borderId="29" xfId="4" applyNumberFormat="1" applyFont="1" applyFill="1" applyBorder="1" applyAlignment="1">
      <alignment horizontal="center" vertical="center" wrapText="1"/>
    </xf>
    <xf numFmtId="165" fontId="12" fillId="3" borderId="66" xfId="4" applyNumberFormat="1" applyFont="1" applyFill="1" applyBorder="1" applyAlignment="1">
      <alignment vertical="center"/>
    </xf>
    <xf numFmtId="165" fontId="12" fillId="3" borderId="64" xfId="4" applyNumberFormat="1" applyFont="1" applyFill="1" applyBorder="1" applyAlignment="1">
      <alignment vertical="center"/>
    </xf>
    <xf numFmtId="0" fontId="12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/>
    </xf>
    <xf numFmtId="0" fontId="17" fillId="0" borderId="35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5" fillId="3" borderId="35" xfId="4" applyFont="1" applyFill="1" applyBorder="1" applyAlignment="1">
      <alignment horizontal="left" vertical="center" wrapText="1"/>
    </xf>
    <xf numFmtId="0" fontId="15" fillId="3" borderId="0" xfId="4" applyFont="1" applyFill="1" applyBorder="1" applyAlignment="1">
      <alignment horizontal="left" vertical="center" wrapText="1"/>
    </xf>
    <xf numFmtId="0" fontId="15" fillId="3" borderId="24" xfId="4" applyFont="1" applyFill="1" applyBorder="1" applyAlignment="1">
      <alignment horizontal="left" vertical="center" wrapText="1"/>
    </xf>
    <xf numFmtId="0" fontId="12" fillId="5" borderId="12" xfId="5" applyFont="1" applyFill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horizontal="center" vertical="center"/>
    </xf>
    <xf numFmtId="0" fontId="12" fillId="0" borderId="8" xfId="5" applyFont="1" applyFill="1" applyBorder="1" applyAlignment="1">
      <alignment horizontal="center" vertical="center"/>
    </xf>
    <xf numFmtId="0" fontId="12" fillId="0" borderId="13" xfId="5" applyFont="1" applyFill="1" applyBorder="1" applyAlignment="1">
      <alignment horizontal="center" vertical="center"/>
    </xf>
    <xf numFmtId="0" fontId="12" fillId="3" borderId="10" xfId="5" applyFont="1" applyFill="1" applyBorder="1" applyAlignment="1">
      <alignment horizontal="right" vertical="center"/>
    </xf>
    <xf numFmtId="0" fontId="12" fillId="0" borderId="10" xfId="5" applyFont="1" applyFill="1" applyBorder="1" applyAlignment="1">
      <alignment horizontal="right" vertical="center"/>
    </xf>
    <xf numFmtId="0" fontId="12" fillId="3" borderId="65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left" vertical="center" wrapText="1"/>
    </xf>
    <xf numFmtId="0" fontId="16" fillId="3" borderId="8" xfId="4" applyFont="1" applyFill="1" applyBorder="1" applyAlignment="1">
      <alignment horizontal="left" vertical="center" wrapText="1"/>
    </xf>
    <xf numFmtId="0" fontId="16" fillId="3" borderId="13" xfId="4" applyFont="1" applyFill="1" applyBorder="1" applyAlignment="1">
      <alignment horizontal="left" vertical="center" wrapText="1"/>
    </xf>
    <xf numFmtId="0" fontId="11" fillId="0" borderId="61" xfId="4" applyFont="1" applyFill="1" applyBorder="1" applyAlignment="1">
      <alignment horizontal="left" vertical="center"/>
    </xf>
    <xf numFmtId="0" fontId="11" fillId="0" borderId="7" xfId="4" applyFont="1" applyFill="1" applyBorder="1" applyAlignment="1">
      <alignment horizontal="left" vertical="center"/>
    </xf>
    <xf numFmtId="0" fontId="11" fillId="0" borderId="34" xfId="4" applyFont="1" applyFill="1" applyBorder="1" applyAlignment="1">
      <alignment horizontal="left" vertical="center"/>
    </xf>
    <xf numFmtId="0" fontId="12" fillId="0" borderId="36" xfId="3" applyFont="1" applyFill="1" applyBorder="1" applyAlignment="1">
      <alignment horizontal="right" vertical="center" wrapText="1"/>
    </xf>
    <xf numFmtId="0" fontId="12" fillId="0" borderId="36" xfId="3" applyFont="1" applyFill="1" applyBorder="1" applyAlignment="1">
      <alignment horizontal="right" vertical="center"/>
    </xf>
    <xf numFmtId="0" fontId="10" fillId="0" borderId="36" xfId="0" applyFont="1" applyFill="1" applyBorder="1" applyAlignment="1">
      <alignment horizontal="right" vertical="center"/>
    </xf>
    <xf numFmtId="0" fontId="10" fillId="0" borderId="36" xfId="0" applyFont="1" applyFill="1" applyBorder="1" applyAlignment="1">
      <alignment vertical="center"/>
    </xf>
    <xf numFmtId="0" fontId="12" fillId="3" borderId="10" xfId="11" applyFont="1" applyFill="1" applyBorder="1" applyAlignment="1">
      <alignment horizontal="right" vertical="center"/>
    </xf>
    <xf numFmtId="0" fontId="12" fillId="0" borderId="10" xfId="11" applyFont="1" applyFill="1" applyBorder="1" applyAlignment="1">
      <alignment horizontal="right" vertical="center"/>
    </xf>
    <xf numFmtId="165" fontId="13" fillId="4" borderId="23" xfId="4" applyNumberFormat="1" applyFont="1" applyFill="1" applyBorder="1" applyAlignment="1">
      <alignment horizontal="center" vertical="center"/>
    </xf>
    <xf numFmtId="165" fontId="13" fillId="4" borderId="0" xfId="4" applyNumberFormat="1" applyFont="1" applyFill="1" applyBorder="1" applyAlignment="1">
      <alignment horizontal="center" vertical="center"/>
    </xf>
    <xf numFmtId="165" fontId="13" fillId="4" borderId="24" xfId="4" applyNumberFormat="1" applyFont="1" applyFill="1" applyBorder="1" applyAlignment="1">
      <alignment horizontal="center" vertical="center"/>
    </xf>
    <xf numFmtId="0" fontId="12" fillId="5" borderId="12" xfId="11" applyFont="1" applyFill="1" applyBorder="1" applyAlignment="1">
      <alignment horizontal="center" vertical="center"/>
    </xf>
    <xf numFmtId="0" fontId="12" fillId="5" borderId="8" xfId="11" applyFont="1" applyFill="1" applyBorder="1" applyAlignment="1">
      <alignment horizontal="center" vertical="center"/>
    </xf>
    <xf numFmtId="0" fontId="12" fillId="5" borderId="13" xfId="11" applyFont="1" applyFill="1" applyBorder="1" applyAlignment="1">
      <alignment horizontal="center" vertical="center"/>
    </xf>
    <xf numFmtId="0" fontId="12" fillId="0" borderId="12" xfId="11" applyFont="1" applyFill="1" applyBorder="1" applyAlignment="1">
      <alignment horizontal="center" vertical="center"/>
    </xf>
    <xf numFmtId="0" fontId="12" fillId="0" borderId="8" xfId="11" applyFont="1" applyFill="1" applyBorder="1" applyAlignment="1">
      <alignment horizontal="center" vertical="center"/>
    </xf>
    <xf numFmtId="0" fontId="12" fillId="0" borderId="13" xfId="11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1" fillId="3" borderId="35" xfId="4" applyFont="1" applyFill="1" applyBorder="1" applyAlignment="1">
      <alignment horizontal="left" vertical="center" wrapText="1"/>
    </xf>
    <xf numFmtId="0" fontId="11" fillId="3" borderId="0" xfId="4" applyFont="1" applyFill="1" applyBorder="1" applyAlignment="1">
      <alignment horizontal="left" vertical="center" wrapText="1"/>
    </xf>
    <xf numFmtId="0" fontId="11" fillId="3" borderId="24" xfId="4" applyFont="1" applyFill="1" applyBorder="1" applyAlignment="1">
      <alignment horizontal="left" vertical="center" wrapText="1"/>
    </xf>
    <xf numFmtId="0" fontId="12" fillId="3" borderId="65" xfId="4" applyFont="1" applyFill="1" applyBorder="1" applyAlignment="1">
      <alignment horizontal="center" vertical="center" wrapText="1"/>
    </xf>
    <xf numFmtId="0" fontId="12" fillId="3" borderId="8" xfId="4" applyFont="1" applyFill="1" applyBorder="1" applyAlignment="1">
      <alignment horizontal="center" vertical="center" wrapText="1"/>
    </xf>
    <xf numFmtId="0" fontId="12" fillId="3" borderId="13" xfId="4" applyFont="1" applyFill="1" applyBorder="1" applyAlignment="1">
      <alignment horizontal="center" vertical="center" wrapText="1"/>
    </xf>
    <xf numFmtId="0" fontId="30" fillId="0" borderId="35" xfId="90" applyBorder="1" applyAlignment="1">
      <alignment horizontal="right"/>
    </xf>
    <xf numFmtId="0" fontId="30" fillId="0" borderId="0" xfId="90" applyBorder="1" applyAlignment="1">
      <alignment horizontal="right"/>
    </xf>
  </cellXfs>
  <cellStyles count="115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3" xfId="6"/>
    <cellStyle name="Comma 3 2" xfId="43"/>
    <cellStyle name="Comma 3 3" xfId="44"/>
    <cellStyle name="Comma 4" xfId="45"/>
    <cellStyle name="Comma 4 2" xfId="46"/>
    <cellStyle name="Comma 5" xfId="47"/>
    <cellStyle name="Comma 6" xfId="48"/>
    <cellStyle name="Comma 6 2" xfId="49"/>
    <cellStyle name="Comma 7" xfId="50"/>
    <cellStyle name="Comma 8" xfId="51"/>
    <cellStyle name="Currency" xfId="1" builtinId="4"/>
    <cellStyle name="Currency 2" xfId="52"/>
    <cellStyle name="Currency 2 2" xfId="53"/>
    <cellStyle name="Currency 2 2 2" xfId="54"/>
    <cellStyle name="Currency 2 2 2 3" xfId="55"/>
    <cellStyle name="Currency 2 3" xfId="56"/>
    <cellStyle name="Currency 3" xfId="57"/>
    <cellStyle name="Currency 3 2" xfId="58"/>
    <cellStyle name="Currency 3 3" xfId="59"/>
    <cellStyle name="Currency 4" xfId="8"/>
    <cellStyle name="Currency 4 2" xfId="60"/>
    <cellStyle name="Currency 4 2 2" xfId="61"/>
    <cellStyle name="Currency 4 3" xfId="62"/>
    <cellStyle name="Currency 4 4" xfId="13"/>
    <cellStyle name="Currency 5" xfId="63"/>
    <cellStyle name="Currency 5 2" xfId="64"/>
    <cellStyle name="Currency 5 3" xfId="65"/>
    <cellStyle name="Currency 6" xfId="66"/>
    <cellStyle name="Currency 7" xfId="67"/>
    <cellStyle name="Currency 8" xfId="68"/>
    <cellStyle name="Explanatory Text 2" xfId="69"/>
    <cellStyle name="Good 2" xfId="70"/>
    <cellStyle name="Heading 1 2" xfId="71"/>
    <cellStyle name="Heading 2 2" xfId="72"/>
    <cellStyle name="Heading 3 2" xfId="73"/>
    <cellStyle name="Heading 4 2" xfId="74"/>
    <cellStyle name="Input 2" xfId="75"/>
    <cellStyle name="Linked Cell 2" xfId="76"/>
    <cellStyle name="Neutral 2" xfId="77"/>
    <cellStyle name="Normal" xfId="0" builtinId="0"/>
    <cellStyle name="Normal 10" xfId="78"/>
    <cellStyle name="Normal 11" xfId="79"/>
    <cellStyle name="Normal 12" xfId="80"/>
    <cellStyle name="Normal 13" xfId="81"/>
    <cellStyle name="Normal 2" xfId="82"/>
    <cellStyle name="Normal 2 2" xfId="83"/>
    <cellStyle name="Normal 2 2 2" xfId="84"/>
    <cellStyle name="Normal 2 3" xfId="85"/>
    <cellStyle name="Normal 2 4" xfId="86"/>
    <cellStyle name="Normal 3" xfId="3"/>
    <cellStyle name="Normal 3 2" xfId="5"/>
    <cellStyle name="Normal 3 3" xfId="11"/>
    <cellStyle name="Normal 3 4" xfId="87"/>
    <cellStyle name="Normal 4" xfId="88"/>
    <cellStyle name="Normal 4 2" xfId="89"/>
    <cellStyle name="Normal 4 2 2" xfId="90"/>
    <cellStyle name="Normal 4 3" xfId="91"/>
    <cellStyle name="Normal 5" xfId="92"/>
    <cellStyle name="Normal 6" xfId="4"/>
    <cellStyle name="Normal 6 2" xfId="12"/>
    <cellStyle name="Normal 6 2 2" xfId="93"/>
    <cellStyle name="Normal 6 3" xfId="94"/>
    <cellStyle name="Normal 7" xfId="95"/>
    <cellStyle name="Normal 7 2" xfId="96"/>
    <cellStyle name="Normal 8" xfId="97"/>
    <cellStyle name="Normal 9" xfId="98"/>
    <cellStyle name="Note 2" xfId="99"/>
    <cellStyle name="Output 2" xfId="100"/>
    <cellStyle name="Percent" xfId="2" builtinId="5"/>
    <cellStyle name="Percent 2" xfId="101"/>
    <cellStyle name="Percent 2 2" xfId="102"/>
    <cellStyle name="Percent 3" xfId="10"/>
    <cellStyle name="Percent 3 2" xfId="9"/>
    <cellStyle name="Percent 4" xfId="103"/>
    <cellStyle name="Percent 4 2" xfId="104"/>
    <cellStyle name="Percent 5" xfId="105"/>
    <cellStyle name="Percent 5 2" xfId="106"/>
    <cellStyle name="Percent 6" xfId="7"/>
    <cellStyle name="Percent 6 2" xfId="107"/>
    <cellStyle name="Percent 6 3" xfId="108"/>
    <cellStyle name="Percent 7" xfId="109"/>
    <cellStyle name="Percent 8" xfId="110"/>
    <cellStyle name="Percent 9" xfId="111"/>
    <cellStyle name="Title 2" xfId="112"/>
    <cellStyle name="Total 2" xfId="113"/>
    <cellStyle name="Warning Text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ley/AppData/Local/Microsoft/Windows/Temporary%20Internet%20Files/Content.Outlook/99OJ7751/IHS%20%20Models%20FY21%2012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or/AppData/Local/Microsoft/Windows/Temporary%20Internet%20Files/Content.Outlook/JIMHM2QZ/2014.11.13%20In%20Home%20Supports%20(5%20model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ORIG"/>
      <sheetName val="Pivot ORIG 2"/>
      <sheetName val="PivotData"/>
      <sheetName val="UFR Category Data"/>
      <sheetName val="Sheet2"/>
      <sheetName val="DC Avg Data"/>
      <sheetName val="TF &amp; Admin"/>
      <sheetName val="FY16 REBASED Rates"/>
      <sheetName val="Sheet5"/>
      <sheetName val="Current Model Budgets"/>
      <sheetName val="Proposed FY21 Model Budgets "/>
      <sheetName val="Proposed FY21 Model Budgets (2)"/>
      <sheetName val="Fall CAF"/>
      <sheetName val="Spring CAF"/>
      <sheetName val="FY16 UFR Data "/>
      <sheetName val="Spring 2019 CAF"/>
      <sheetName val="Sheet3"/>
      <sheetName val="CAF 2019 Fall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5">
          <cell r="BZ25">
            <v>1.7780248869661817E-2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"/>
      <sheetName val="33"/>
      <sheetName val="48"/>
      <sheetName val="58"/>
      <sheetName val="71"/>
      <sheetName val="5 Models Combined"/>
      <sheetName val="Sheet1"/>
      <sheetName val="All6-Total-1DC-FTE"/>
      <sheetName val="All6"/>
      <sheetName val="Mid."/>
      <sheetName val="Specialized  A"/>
      <sheetName val="Ind Home Support 10.14.2010"/>
      <sheetName val="Salary Breakout  "/>
      <sheetName val="Weight Avg Calc From UFRSource "/>
      <sheetName val="UFRCleanData"/>
      <sheetName val="UFRRawDataCalcs"/>
      <sheetName val="UFRSource"/>
      <sheetName val="2014 Spring CAF"/>
    </sheetNames>
    <sheetDataSet>
      <sheetData sheetId="0" refreshError="1"/>
      <sheetData sheetId="1" refreshError="1">
        <row r="4">
          <cell r="D4">
            <v>54129.439876859433</v>
          </cell>
        </row>
        <row r="6">
          <cell r="N6">
            <v>40</v>
          </cell>
        </row>
      </sheetData>
      <sheetData sheetId="2" refreshError="1">
        <row r="4">
          <cell r="A4" t="str">
            <v xml:space="preserve">Program Director </v>
          </cell>
        </row>
        <row r="5">
          <cell r="L5">
            <v>40</v>
          </cell>
        </row>
      </sheetData>
      <sheetData sheetId="3" refreshError="1">
        <row r="4">
          <cell r="B4" t="str">
            <v>Program Director</v>
          </cell>
        </row>
        <row r="5">
          <cell r="M5">
            <v>40</v>
          </cell>
        </row>
      </sheetData>
      <sheetData sheetId="4" refreshError="1">
        <row r="4">
          <cell r="B4" t="str">
            <v>Program Director</v>
          </cell>
        </row>
        <row r="5">
          <cell r="M5">
            <v>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E291"/>
  <sheetViews>
    <sheetView tabSelected="1" zoomScaleNormal="100" workbookViewId="0">
      <selection activeCell="AF8" sqref="AF8"/>
    </sheetView>
  </sheetViews>
  <sheetFormatPr defaultColWidth="9.140625" defaultRowHeight="15" customHeight="1"/>
  <cols>
    <col min="1" max="1" width="1" style="1" customWidth="1"/>
    <col min="2" max="2" width="45" style="1" hidden="1" customWidth="1"/>
    <col min="3" max="3" width="10.140625" style="1" hidden="1" customWidth="1"/>
    <col min="4" max="4" width="4.85546875" style="1" hidden="1" customWidth="1"/>
    <col min="5" max="5" width="15.7109375" style="1" hidden="1" customWidth="1"/>
    <col min="6" max="6" width="1.42578125" style="3" customWidth="1"/>
    <col min="7" max="7" width="28.140625" style="5" customWidth="1"/>
    <col min="8" max="8" width="9.42578125" style="5" customWidth="1"/>
    <col min="9" max="9" width="8.7109375" style="5" customWidth="1"/>
    <col min="10" max="10" width="11.5703125" style="5" customWidth="1"/>
    <col min="11" max="11" width="12.5703125" style="4" hidden="1" customWidth="1"/>
    <col min="12" max="12" width="45" style="5" hidden="1" customWidth="1"/>
    <col min="13" max="13" width="7.42578125" style="5" hidden="1" customWidth="1"/>
    <col min="14" max="14" width="4.85546875" style="5" hidden="1" customWidth="1"/>
    <col min="15" max="15" width="9" style="5" hidden="1" customWidth="1"/>
    <col min="16" max="23" width="0" style="5" hidden="1" customWidth="1"/>
    <col min="24" max="24" width="0.85546875" style="5" customWidth="1"/>
    <col min="25" max="25" width="20.28515625" style="5" customWidth="1"/>
    <col min="26" max="26" width="7.42578125" style="5" bestFit="1" customWidth="1"/>
    <col min="27" max="27" width="7.5703125" style="5" customWidth="1"/>
    <col min="28" max="28" width="6.5703125" style="5" customWidth="1"/>
    <col min="29" max="29" width="6.28515625" style="1" customWidth="1"/>
    <col min="30" max="16384" width="9.140625" style="1"/>
  </cols>
  <sheetData>
    <row r="1" spans="2:31" ht="15" customHeight="1" thickBot="1">
      <c r="F1" s="1"/>
      <c r="G1" s="489" t="s">
        <v>0</v>
      </c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1"/>
      <c r="AE1" s="2"/>
    </row>
    <row r="2" spans="2:31" ht="13.9" customHeight="1" thickBot="1">
      <c r="B2" s="448" t="s">
        <v>2</v>
      </c>
      <c r="C2" s="448"/>
      <c r="D2" s="448"/>
      <c r="E2" s="448"/>
      <c r="G2" s="489" t="s">
        <v>1</v>
      </c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1"/>
    </row>
    <row r="3" spans="2:31" ht="24" thickBot="1">
      <c r="B3" s="457" t="s">
        <v>5</v>
      </c>
      <c r="C3" s="458"/>
      <c r="D3" s="458"/>
      <c r="E3" s="459"/>
      <c r="F3" s="6"/>
      <c r="G3" s="480" t="s">
        <v>4</v>
      </c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2"/>
    </row>
    <row r="4" spans="2:31" ht="15" customHeight="1" thickBot="1">
      <c r="B4" s="11" t="s">
        <v>12</v>
      </c>
      <c r="C4" s="463" t="s">
        <v>13</v>
      </c>
      <c r="D4" s="463"/>
      <c r="E4" s="12">
        <v>1664.7</v>
      </c>
      <c r="F4" s="13"/>
      <c r="G4" s="446" t="s">
        <v>97</v>
      </c>
      <c r="H4" s="447" t="s">
        <v>16</v>
      </c>
      <c r="I4" s="465" t="s">
        <v>11</v>
      </c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7"/>
    </row>
    <row r="5" spans="2:31" s="22" customFormat="1" ht="12">
      <c r="B5" s="23"/>
      <c r="C5" s="24" t="s">
        <v>16</v>
      </c>
      <c r="D5" s="24" t="s">
        <v>17</v>
      </c>
      <c r="E5" s="25" t="s">
        <v>18</v>
      </c>
      <c r="F5" s="26"/>
      <c r="G5" s="439" t="s">
        <v>15</v>
      </c>
      <c r="H5" s="445">
        <v>53919.561903544411</v>
      </c>
      <c r="I5" s="454" t="s">
        <v>223</v>
      </c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6"/>
    </row>
    <row r="6" spans="2:31" s="22" customFormat="1" ht="12">
      <c r="B6" s="35" t="s">
        <v>15</v>
      </c>
      <c r="C6" s="36">
        <v>50346.250729022722</v>
      </c>
      <c r="D6" s="37">
        <v>0.05</v>
      </c>
      <c r="E6" s="38">
        <v>2517.3125364511361</v>
      </c>
      <c r="F6" s="39"/>
      <c r="G6" s="20" t="s">
        <v>19</v>
      </c>
      <c r="H6" s="21">
        <v>60923</v>
      </c>
      <c r="I6" s="454" t="s">
        <v>20</v>
      </c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6"/>
    </row>
    <row r="7" spans="2:31" s="22" customFormat="1" ht="12">
      <c r="B7" s="35" t="s">
        <v>23</v>
      </c>
      <c r="C7" s="36">
        <v>25636.758994376789</v>
      </c>
      <c r="D7" s="37">
        <v>1</v>
      </c>
      <c r="E7" s="38">
        <v>25636.758994376789</v>
      </c>
      <c r="F7" s="39"/>
      <c r="G7" s="20" t="s">
        <v>22</v>
      </c>
      <c r="H7" s="21">
        <v>57450</v>
      </c>
      <c r="I7" s="454" t="s">
        <v>20</v>
      </c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6"/>
    </row>
    <row r="8" spans="2:31" s="22" customFormat="1" ht="24">
      <c r="B8" s="52" t="s">
        <v>25</v>
      </c>
      <c r="C8" s="53"/>
      <c r="D8" s="54">
        <v>1.05</v>
      </c>
      <c r="E8" s="55">
        <v>28154.071530827925</v>
      </c>
      <c r="F8" s="45"/>
      <c r="G8" s="20" t="s">
        <v>24</v>
      </c>
      <c r="H8" s="21">
        <v>52666</v>
      </c>
      <c r="I8" s="454" t="s">
        <v>20</v>
      </c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6"/>
    </row>
    <row r="9" spans="2:31" s="22" customFormat="1" ht="12">
      <c r="B9" s="64"/>
      <c r="C9" s="65"/>
      <c r="D9" s="66"/>
      <c r="E9" s="67"/>
      <c r="F9" s="68"/>
      <c r="G9" s="20" t="s">
        <v>27</v>
      </c>
      <c r="H9" s="21">
        <v>43971</v>
      </c>
      <c r="I9" s="454" t="s">
        <v>20</v>
      </c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6"/>
    </row>
    <row r="10" spans="2:31" s="22" customFormat="1" ht="12">
      <c r="B10" s="76" t="s">
        <v>30</v>
      </c>
      <c r="C10" s="77">
        <v>0.20676407024615401</v>
      </c>
      <c r="D10" s="65"/>
      <c r="E10" s="38">
        <v>5821.2504237153498</v>
      </c>
      <c r="F10" s="39"/>
      <c r="G10" s="20" t="s">
        <v>29</v>
      </c>
      <c r="H10" s="21">
        <v>41517</v>
      </c>
      <c r="I10" s="454" t="s">
        <v>20</v>
      </c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6"/>
    </row>
    <row r="11" spans="2:31" s="22" customFormat="1" ht="12.75" thickBot="1">
      <c r="B11" s="80" t="s">
        <v>33</v>
      </c>
      <c r="C11" s="81"/>
      <c r="D11" s="82"/>
      <c r="E11" s="83">
        <v>33975.321954543273</v>
      </c>
      <c r="F11" s="45"/>
      <c r="G11" s="20" t="s">
        <v>32</v>
      </c>
      <c r="H11" s="21">
        <v>32302</v>
      </c>
      <c r="I11" s="454" t="s">
        <v>20</v>
      </c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6"/>
    </row>
    <row r="12" spans="2:31" s="22" customFormat="1" ht="13.5" thickTop="1" thickBot="1">
      <c r="B12" s="76" t="s">
        <v>36</v>
      </c>
      <c r="C12" s="77"/>
      <c r="D12" s="89"/>
      <c r="E12" s="38">
        <v>1152.4197555347644</v>
      </c>
      <c r="F12" s="39"/>
      <c r="G12" s="437" t="s">
        <v>35</v>
      </c>
      <c r="H12" s="438">
        <v>32198</v>
      </c>
      <c r="I12" s="454" t="s">
        <v>20</v>
      </c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6"/>
    </row>
    <row r="13" spans="2:31" s="22" customFormat="1" ht="12.75" thickBot="1">
      <c r="B13" s="76"/>
      <c r="C13" s="77"/>
      <c r="D13" s="89"/>
      <c r="E13" s="38"/>
      <c r="F13" s="39"/>
      <c r="G13" s="468" t="s">
        <v>38</v>
      </c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70"/>
    </row>
    <row r="14" spans="2:31" s="22" customFormat="1" ht="12">
      <c r="B14" s="101" t="s">
        <v>42</v>
      </c>
      <c r="C14" s="102"/>
      <c r="D14" s="89"/>
      <c r="E14" s="103">
        <v>123.82500000000003</v>
      </c>
      <c r="F14" s="104"/>
      <c r="G14" s="439" t="s">
        <v>15</v>
      </c>
      <c r="H14" s="440">
        <v>0.05</v>
      </c>
      <c r="I14" s="454" t="s">
        <v>41</v>
      </c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6"/>
    </row>
    <row r="15" spans="2:31" s="22" customFormat="1" ht="12.75" thickBot="1">
      <c r="B15" s="52" t="s">
        <v>43</v>
      </c>
      <c r="C15" s="53"/>
      <c r="D15" s="53"/>
      <c r="E15" s="55">
        <v>35251.566710078034</v>
      </c>
      <c r="F15" s="45"/>
      <c r="G15" s="437" t="s">
        <v>44</v>
      </c>
      <c r="H15" s="441">
        <v>0.05</v>
      </c>
      <c r="I15" s="454" t="s">
        <v>41</v>
      </c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6"/>
    </row>
    <row r="16" spans="2:31" s="22" customFormat="1" ht="12.75" thickBot="1">
      <c r="B16" s="76" t="s">
        <v>45</v>
      </c>
      <c r="C16" s="77">
        <v>0.10308211953017005</v>
      </c>
      <c r="D16" s="65"/>
      <c r="E16" s="38">
        <v>3633.8062132340269</v>
      </c>
      <c r="F16" s="39"/>
      <c r="G16" s="443" t="s">
        <v>46</v>
      </c>
      <c r="H16" s="444"/>
      <c r="I16" s="495" t="s">
        <v>47</v>
      </c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7"/>
    </row>
    <row r="17" spans="2:29" s="22" customFormat="1" ht="12">
      <c r="B17" s="76"/>
      <c r="C17" s="77"/>
      <c r="D17" s="65"/>
      <c r="E17" s="38"/>
      <c r="F17" s="39"/>
      <c r="G17" s="439" t="s">
        <v>48</v>
      </c>
      <c r="H17" s="442">
        <v>0.22309999999999999</v>
      </c>
      <c r="I17" s="451" t="s">
        <v>49</v>
      </c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3"/>
    </row>
    <row r="18" spans="2:29" s="22" customFormat="1" ht="12.75" thickBot="1">
      <c r="B18" s="113" t="s">
        <v>50</v>
      </c>
      <c r="C18" s="114"/>
      <c r="D18" s="114"/>
      <c r="E18" s="115">
        <v>38885.372923312061</v>
      </c>
      <c r="F18" s="45"/>
      <c r="G18" s="20" t="s">
        <v>39</v>
      </c>
      <c r="H18" s="112">
        <v>103</v>
      </c>
      <c r="I18" s="454" t="s">
        <v>51</v>
      </c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6"/>
    </row>
    <row r="19" spans="2:29" s="22" customFormat="1" ht="12.75" thickTop="1">
      <c r="B19" s="76" t="s">
        <v>54</v>
      </c>
      <c r="C19" s="77">
        <v>3.3718689788053743E-2</v>
      </c>
      <c r="D19" s="65"/>
      <c r="E19" s="120">
        <v>40196.536750206003</v>
      </c>
      <c r="F19" s="121"/>
      <c r="G19" s="118" t="s">
        <v>36</v>
      </c>
      <c r="H19" s="119">
        <v>1209</v>
      </c>
      <c r="I19" s="454" t="s">
        <v>53</v>
      </c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6"/>
    </row>
    <row r="20" spans="2:29" s="22" customFormat="1" ht="12">
      <c r="B20" s="76"/>
      <c r="C20" s="65"/>
      <c r="D20" s="65"/>
      <c r="E20" s="126" t="s">
        <v>56</v>
      </c>
      <c r="F20" s="127"/>
      <c r="G20" s="125" t="s">
        <v>42</v>
      </c>
      <c r="H20" s="119">
        <f>23.42*150</f>
        <v>3513.0000000000005</v>
      </c>
      <c r="I20" s="492" t="s">
        <v>55</v>
      </c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4"/>
      <c r="AC20" s="136"/>
    </row>
    <row r="21" spans="2:29" ht="12.75" thickBot="1">
      <c r="B21" s="139" t="s">
        <v>58</v>
      </c>
      <c r="C21" s="140"/>
      <c r="D21" s="141"/>
      <c r="E21" s="142">
        <v>24.136414819610742</v>
      </c>
      <c r="F21" s="143"/>
      <c r="G21" s="137" t="s">
        <v>57</v>
      </c>
      <c r="H21" s="138">
        <v>60923</v>
      </c>
      <c r="I21" s="454" t="s">
        <v>20</v>
      </c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6"/>
      <c r="AC21" s="153"/>
    </row>
    <row r="22" spans="2:29" ht="12">
      <c r="G22" s="137" t="s">
        <v>60</v>
      </c>
      <c r="H22" s="138">
        <v>4326</v>
      </c>
      <c r="I22" s="451" t="s">
        <v>41</v>
      </c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3"/>
      <c r="AC22" s="159"/>
    </row>
    <row r="23" spans="2:29" ht="12">
      <c r="G23" s="160" t="s">
        <v>45</v>
      </c>
      <c r="H23" s="161">
        <v>0.109</v>
      </c>
      <c r="I23" s="451" t="s">
        <v>62</v>
      </c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53"/>
    </row>
    <row r="24" spans="2:29" ht="12.75" thickBot="1">
      <c r="G24" s="164" t="s">
        <v>64</v>
      </c>
      <c r="H24" s="161">
        <v>3.7000000000000002E-3</v>
      </c>
      <c r="I24" s="451" t="s">
        <v>65</v>
      </c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3"/>
    </row>
    <row r="25" spans="2:29" ht="12.75" thickBot="1">
      <c r="B25" s="457" t="s">
        <v>68</v>
      </c>
      <c r="C25" s="458"/>
      <c r="D25" s="458"/>
      <c r="E25" s="459"/>
      <c r="F25" s="6"/>
      <c r="G25" s="169" t="s">
        <v>66</v>
      </c>
      <c r="H25" s="170">
        <f>'[1]CAF 2019 Fall'!BZ25</f>
        <v>1.7780248869661817E-2</v>
      </c>
      <c r="I25" s="471" t="s">
        <v>67</v>
      </c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3"/>
    </row>
    <row r="26" spans="2:29" ht="17.25" customHeight="1">
      <c r="B26" s="11" t="s">
        <v>12</v>
      </c>
      <c r="C26" s="463" t="s">
        <v>13</v>
      </c>
      <c r="D26" s="463"/>
      <c r="E26" s="12">
        <v>1607.3625</v>
      </c>
      <c r="F26" s="13"/>
    </row>
    <row r="27" spans="2:29" ht="15" customHeight="1" thickBot="1">
      <c r="B27" s="179"/>
      <c r="C27" s="180" t="s">
        <v>16</v>
      </c>
      <c r="D27" s="180" t="s">
        <v>17</v>
      </c>
      <c r="E27" s="181" t="s">
        <v>18</v>
      </c>
      <c r="F27" s="182"/>
      <c r="G27" s="449" t="s">
        <v>0</v>
      </c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</row>
    <row r="28" spans="2:29" ht="15" customHeight="1" thickBot="1">
      <c r="B28" s="188" t="s">
        <v>15</v>
      </c>
      <c r="C28" s="189">
        <v>50346.250729022722</v>
      </c>
      <c r="D28" s="190">
        <v>0.05</v>
      </c>
      <c r="E28" s="191">
        <v>2517.3125364511361</v>
      </c>
      <c r="F28" s="192"/>
      <c r="G28" s="449" t="s">
        <v>1</v>
      </c>
      <c r="H28" s="450"/>
      <c r="I28" s="450"/>
      <c r="J28" s="450"/>
      <c r="L28" s="448" t="s">
        <v>3</v>
      </c>
      <c r="M28" s="448"/>
      <c r="N28" s="448"/>
      <c r="O28" s="448"/>
    </row>
    <row r="29" spans="2:29" ht="15" customHeight="1" thickBot="1">
      <c r="B29" s="188" t="s">
        <v>70</v>
      </c>
      <c r="C29" s="189">
        <v>28568.95905882353</v>
      </c>
      <c r="D29" s="190">
        <v>1</v>
      </c>
      <c r="E29" s="191">
        <v>28568.95905882353</v>
      </c>
      <c r="F29" s="192"/>
      <c r="G29" s="460" t="s">
        <v>218</v>
      </c>
      <c r="H29" s="461"/>
      <c r="I29" s="461"/>
      <c r="J29" s="462"/>
      <c r="K29" s="7" t="s">
        <v>6</v>
      </c>
      <c r="L29" s="460" t="s">
        <v>5</v>
      </c>
      <c r="M29" s="461"/>
      <c r="N29" s="461"/>
      <c r="O29" s="462"/>
      <c r="Y29" s="8" t="s">
        <v>7</v>
      </c>
      <c r="Z29" s="9" t="s">
        <v>8</v>
      </c>
      <c r="AA29" s="9" t="s">
        <v>9</v>
      </c>
      <c r="AB29" s="10" t="s">
        <v>10</v>
      </c>
    </row>
    <row r="30" spans="2:29" ht="15" customHeight="1">
      <c r="B30" s="202" t="s">
        <v>25</v>
      </c>
      <c r="C30" s="202"/>
      <c r="D30" s="203">
        <v>1.05</v>
      </c>
      <c r="E30" s="204">
        <v>31086.271595274666</v>
      </c>
      <c r="F30" s="185"/>
      <c r="G30" s="14" t="s">
        <v>12</v>
      </c>
      <c r="H30" s="464" t="s">
        <v>13</v>
      </c>
      <c r="I30" s="464"/>
      <c r="J30" s="15">
        <f>AB39</f>
        <v>1921.15</v>
      </c>
      <c r="K30" s="16"/>
      <c r="L30" s="14" t="s">
        <v>12</v>
      </c>
      <c r="M30" s="464" t="s">
        <v>13</v>
      </c>
      <c r="N30" s="464"/>
      <c r="O30" s="15">
        <f>J30</f>
        <v>1921.15</v>
      </c>
      <c r="Y30" s="17" t="s">
        <v>14</v>
      </c>
      <c r="Z30" s="18">
        <v>52</v>
      </c>
      <c r="AA30" s="18">
        <v>40</v>
      </c>
      <c r="AB30" s="19">
        <f>52*40</f>
        <v>2080</v>
      </c>
    </row>
    <row r="31" spans="2:29" ht="15" customHeight="1">
      <c r="B31" s="208"/>
      <c r="C31" s="209"/>
      <c r="D31" s="208"/>
      <c r="E31" s="210"/>
      <c r="F31" s="211"/>
      <c r="G31" s="27"/>
      <c r="H31" s="28" t="s">
        <v>16</v>
      </c>
      <c r="I31" s="28" t="s">
        <v>17</v>
      </c>
      <c r="J31" s="29" t="s">
        <v>18</v>
      </c>
      <c r="K31" s="30"/>
      <c r="L31" s="27"/>
      <c r="M31" s="28" t="s">
        <v>16</v>
      </c>
      <c r="N31" s="28" t="s">
        <v>17</v>
      </c>
      <c r="O31" s="29" t="s">
        <v>18</v>
      </c>
      <c r="P31" s="31"/>
      <c r="Q31" s="31"/>
      <c r="R31" s="31"/>
      <c r="S31" s="31"/>
      <c r="T31" s="31"/>
      <c r="U31" s="31"/>
      <c r="V31" s="31"/>
      <c r="W31" s="31"/>
      <c r="X31" s="31"/>
      <c r="Y31" s="32"/>
      <c r="Z31" s="33"/>
      <c r="AA31" s="33"/>
      <c r="AB31" s="34"/>
    </row>
    <row r="32" spans="2:29" ht="15" customHeight="1">
      <c r="B32" s="209" t="s">
        <v>30</v>
      </c>
      <c r="C32" s="213">
        <v>0.20676407024615401</v>
      </c>
      <c r="D32" s="209"/>
      <c r="E32" s="191">
        <v>6427.5240438163928</v>
      </c>
      <c r="F32" s="192"/>
      <c r="G32" s="40" t="str">
        <f>B6</f>
        <v>Management</v>
      </c>
      <c r="H32" s="41">
        <f>H5</f>
        <v>53919.561903544411</v>
      </c>
      <c r="I32" s="42">
        <f>$H$14</f>
        <v>0.05</v>
      </c>
      <c r="J32" s="43">
        <f>H32*I32</f>
        <v>2695.9780951772209</v>
      </c>
      <c r="K32" s="44"/>
      <c r="L32" s="40" t="str">
        <f>G32</f>
        <v>Management</v>
      </c>
      <c r="M32" s="45" t="e">
        <f>#REF!</f>
        <v>#REF!</v>
      </c>
      <c r="N32" s="42">
        <f>$H$14</f>
        <v>0.05</v>
      </c>
      <c r="O32" s="43" t="e">
        <f>M32*N32</f>
        <v>#REF!</v>
      </c>
      <c r="P32" s="31"/>
      <c r="Q32" s="31"/>
      <c r="R32" s="31"/>
      <c r="S32" s="31"/>
      <c r="T32" s="31"/>
      <c r="U32" s="31"/>
      <c r="V32" s="31"/>
      <c r="W32" s="31"/>
      <c r="X32" s="31"/>
      <c r="Y32" s="46" t="s">
        <v>21</v>
      </c>
      <c r="Z32" s="47">
        <v>2</v>
      </c>
      <c r="AA32" s="48">
        <v>40</v>
      </c>
      <c r="AB32" s="49">
        <f>Z32*AA32</f>
        <v>80</v>
      </c>
    </row>
    <row r="33" spans="2:28" ht="15" customHeight="1" thickBot="1">
      <c r="B33" s="222" t="s">
        <v>33</v>
      </c>
      <c r="C33" s="222"/>
      <c r="D33" s="223"/>
      <c r="E33" s="224">
        <v>37513.795639091055</v>
      </c>
      <c r="F33" s="185"/>
      <c r="G33" s="40" t="str">
        <f>G12</f>
        <v>Direct Care</v>
      </c>
      <c r="H33" s="41">
        <f>H12</f>
        <v>32198</v>
      </c>
      <c r="I33" s="42">
        <v>1</v>
      </c>
      <c r="J33" s="43">
        <f>H33*I33</f>
        <v>32198</v>
      </c>
      <c r="K33" s="44"/>
      <c r="L33" s="40" t="str">
        <f>G33</f>
        <v>Direct Care</v>
      </c>
      <c r="M33" s="45" t="e">
        <f>#REF!</f>
        <v>#REF!</v>
      </c>
      <c r="N33" s="42">
        <v>1</v>
      </c>
      <c r="O33" s="43" t="e">
        <f>M33*N33</f>
        <v>#REF!</v>
      </c>
      <c r="P33" s="31"/>
      <c r="Q33" s="31"/>
      <c r="R33" s="31"/>
      <c r="S33" s="31"/>
      <c r="T33" s="31"/>
      <c r="U33" s="31"/>
      <c r="V33" s="31"/>
      <c r="W33" s="31"/>
      <c r="X33" s="31"/>
      <c r="Y33" s="50"/>
      <c r="Z33" s="51"/>
      <c r="AA33" s="48"/>
      <c r="AB33" s="49"/>
    </row>
    <row r="34" spans="2:28" ht="15" customHeight="1" thickTop="1">
      <c r="B34" s="209" t="s">
        <v>39</v>
      </c>
      <c r="C34" s="229"/>
      <c r="D34" s="230"/>
      <c r="E34" s="191">
        <v>135</v>
      </c>
      <c r="F34" s="192"/>
      <c r="G34" s="56" t="s">
        <v>25</v>
      </c>
      <c r="H34" s="57"/>
      <c r="I34" s="58">
        <f>SUM(I32:I33)</f>
        <v>1.05</v>
      </c>
      <c r="J34" s="59">
        <f>SUM(J32:J33)</f>
        <v>34893.978095177219</v>
      </c>
      <c r="K34" s="44"/>
      <c r="L34" s="56" t="s">
        <v>25</v>
      </c>
      <c r="M34" s="57"/>
      <c r="N34" s="58">
        <f>SUM(N32:N33)</f>
        <v>1.05</v>
      </c>
      <c r="O34" s="59" t="e">
        <f>SUM(O32:O33)</f>
        <v>#REF!</v>
      </c>
      <c r="P34" s="31"/>
      <c r="Q34" s="31"/>
      <c r="R34" s="31"/>
      <c r="S34" s="31"/>
      <c r="T34" s="31"/>
      <c r="U34" s="31"/>
      <c r="V34" s="31"/>
      <c r="W34" s="31"/>
      <c r="X34" s="31"/>
      <c r="Y34" s="60" t="s">
        <v>26</v>
      </c>
      <c r="Z34" s="61">
        <v>0.1</v>
      </c>
      <c r="AA34" s="62">
        <v>40</v>
      </c>
      <c r="AB34" s="63">
        <f>AA34*Z34</f>
        <v>4</v>
      </c>
    </row>
    <row r="35" spans="2:28" ht="15" customHeight="1">
      <c r="B35" s="209" t="s">
        <v>36</v>
      </c>
      <c r="C35" s="189"/>
      <c r="D35" s="230"/>
      <c r="E35" s="191">
        <v>1152.4197555347644</v>
      </c>
      <c r="F35" s="192"/>
      <c r="G35" s="69"/>
      <c r="H35" s="70"/>
      <c r="I35" s="70"/>
      <c r="J35" s="71"/>
      <c r="K35" s="44"/>
      <c r="L35" s="69"/>
      <c r="M35" s="70"/>
      <c r="N35" s="70"/>
      <c r="O35" s="71"/>
      <c r="P35" s="31"/>
      <c r="Q35" s="31"/>
      <c r="R35" s="31"/>
      <c r="S35" s="31"/>
      <c r="T35" s="31"/>
      <c r="U35" s="31"/>
      <c r="V35" s="31"/>
      <c r="W35" s="31"/>
      <c r="X35" s="31"/>
      <c r="Y35" s="72" t="s">
        <v>28</v>
      </c>
      <c r="Z35" s="73">
        <f>Z30-Z32-Z34</f>
        <v>49.9</v>
      </c>
      <c r="AA35" s="74">
        <v>1.5</v>
      </c>
      <c r="AB35" s="75">
        <f>AA35*Z35</f>
        <v>74.849999999999994</v>
      </c>
    </row>
    <row r="36" spans="2:28" ht="15" customHeight="1">
      <c r="B36" s="235" t="s">
        <v>42</v>
      </c>
      <c r="C36" s="236"/>
      <c r="D36" s="230"/>
      <c r="E36" s="237">
        <v>123.82500000000003</v>
      </c>
      <c r="F36" s="238"/>
      <c r="G36" s="69" t="s">
        <v>30</v>
      </c>
      <c r="H36" s="78">
        <f>H17</f>
        <v>0.22309999999999999</v>
      </c>
      <c r="I36" s="70"/>
      <c r="J36" s="43">
        <f>H36*J34</f>
        <v>7784.8465130340373</v>
      </c>
      <c r="K36" s="44"/>
      <c r="L36" s="69" t="s">
        <v>30</v>
      </c>
      <c r="M36" s="78">
        <f>H36</f>
        <v>0.22309999999999999</v>
      </c>
      <c r="N36" s="70"/>
      <c r="O36" s="43" t="e">
        <f>M36*O34</f>
        <v>#REF!</v>
      </c>
      <c r="P36" s="31"/>
      <c r="Q36" s="31"/>
      <c r="R36" s="31"/>
      <c r="S36" s="31"/>
      <c r="T36" s="31"/>
      <c r="U36" s="31"/>
      <c r="V36" s="31"/>
      <c r="W36" s="31"/>
      <c r="X36" s="31"/>
      <c r="Y36" s="50" t="s">
        <v>31</v>
      </c>
      <c r="Z36" s="79"/>
      <c r="AA36" s="79"/>
      <c r="AB36" s="49">
        <f>SUM(AB32:AB35)</f>
        <v>158.85</v>
      </c>
    </row>
    <row r="37" spans="2:28" ht="18.75" customHeight="1" thickBot="1">
      <c r="B37" s="202" t="s">
        <v>43</v>
      </c>
      <c r="C37" s="202"/>
      <c r="D37" s="202"/>
      <c r="E37" s="204">
        <v>38925.040394625816</v>
      </c>
      <c r="F37" s="185"/>
      <c r="G37" s="84" t="s">
        <v>33</v>
      </c>
      <c r="H37" s="85"/>
      <c r="I37" s="86"/>
      <c r="J37" s="87">
        <f>SUM(J34:J36)</f>
        <v>42678.82460821126</v>
      </c>
      <c r="K37" s="44"/>
      <c r="L37" s="84" t="s">
        <v>33</v>
      </c>
      <c r="M37" s="85"/>
      <c r="N37" s="86"/>
      <c r="O37" s="87" t="e">
        <f>SUM(O34:O36)</f>
        <v>#REF!</v>
      </c>
      <c r="P37" s="31"/>
      <c r="Q37" s="31"/>
      <c r="R37" s="31"/>
      <c r="S37" s="31"/>
      <c r="T37" s="31"/>
      <c r="U37" s="31"/>
      <c r="V37" s="31"/>
      <c r="W37" s="31"/>
      <c r="X37" s="31"/>
      <c r="Y37" s="72" t="s">
        <v>34</v>
      </c>
      <c r="Z37" s="88"/>
      <c r="AA37" s="88"/>
      <c r="AB37" s="75">
        <f>AB30-AB36</f>
        <v>1921.15</v>
      </c>
    </row>
    <row r="38" spans="2:28" ht="15" customHeight="1" thickTop="1" thickBot="1">
      <c r="B38" s="209" t="s">
        <v>45</v>
      </c>
      <c r="C38" s="213">
        <v>0.10308211953017005</v>
      </c>
      <c r="D38" s="209"/>
      <c r="E38" s="191">
        <v>4012.4756666755156</v>
      </c>
      <c r="F38" s="192"/>
      <c r="G38" s="69" t="str">
        <f>B12</f>
        <v>Staff Mileage / Travel (Per DC FTE)</v>
      </c>
      <c r="H38" s="78"/>
      <c r="I38" s="90"/>
      <c r="J38" s="91">
        <f>H19</f>
        <v>1209</v>
      </c>
      <c r="K38" s="44"/>
      <c r="L38" s="69" t="str">
        <f>G38</f>
        <v>Staff Mileage / Travel (Per DC FTE)</v>
      </c>
      <c r="M38" s="78"/>
      <c r="N38" s="90"/>
      <c r="O38" s="91">
        <f>J38</f>
        <v>1209</v>
      </c>
      <c r="P38" s="31"/>
      <c r="Q38" s="31"/>
      <c r="R38" s="31"/>
      <c r="S38" s="31"/>
      <c r="T38" s="31"/>
      <c r="U38" s="31"/>
      <c r="V38" s="31"/>
      <c r="W38" s="31"/>
      <c r="X38" s="31"/>
      <c r="Y38" s="92" t="s">
        <v>37</v>
      </c>
      <c r="Z38" s="93"/>
      <c r="AA38" s="93"/>
      <c r="AB38" s="94">
        <f>D7</f>
        <v>1</v>
      </c>
    </row>
    <row r="39" spans="2:28" ht="15" customHeight="1" thickBot="1">
      <c r="B39" s="209"/>
      <c r="C39" s="213"/>
      <c r="D39" s="209"/>
      <c r="E39" s="191"/>
      <c r="F39" s="192"/>
      <c r="G39" s="95" t="s">
        <v>39</v>
      </c>
      <c r="H39" s="78"/>
      <c r="I39" s="90"/>
      <c r="J39" s="91">
        <f>H18*(AA34/8)</f>
        <v>515</v>
      </c>
      <c r="K39" s="7"/>
      <c r="L39" s="69" t="str">
        <f>G40</f>
        <v>Occupancy (Office Space)</v>
      </c>
      <c r="M39" s="96"/>
      <c r="N39" s="90"/>
      <c r="O39" s="91">
        <f>J40</f>
        <v>175.65000000000003</v>
      </c>
      <c r="P39" s="31"/>
      <c r="Q39" s="31"/>
      <c r="R39" s="31"/>
      <c r="S39" s="31"/>
      <c r="T39" s="31"/>
      <c r="U39" s="31"/>
      <c r="V39" s="31"/>
      <c r="W39" s="31"/>
      <c r="X39" s="31"/>
      <c r="Y39" s="97" t="s">
        <v>40</v>
      </c>
      <c r="Z39" s="98"/>
      <c r="AA39" s="99"/>
      <c r="AB39" s="100">
        <f>AB38*AB37</f>
        <v>1921.15</v>
      </c>
    </row>
    <row r="40" spans="2:28" ht="15" customHeight="1" thickBot="1">
      <c r="B40" s="247" t="s">
        <v>50</v>
      </c>
      <c r="C40" s="248"/>
      <c r="D40" s="248"/>
      <c r="E40" s="249">
        <v>42937.516061301329</v>
      </c>
      <c r="F40" s="185"/>
      <c r="G40" s="69" t="str">
        <f>B14</f>
        <v>Occupancy (Office Space)</v>
      </c>
      <c r="H40" s="96"/>
      <c r="I40" s="90"/>
      <c r="J40" s="105">
        <f>H20*I32</f>
        <v>175.65000000000003</v>
      </c>
      <c r="K40" s="44"/>
      <c r="L40" s="56" t="s">
        <v>43</v>
      </c>
      <c r="M40" s="57"/>
      <c r="N40" s="57"/>
      <c r="O40" s="59" t="e">
        <f>SUM(O37:O39)</f>
        <v>#REF!</v>
      </c>
      <c r="P40" s="31"/>
      <c r="Q40" s="31"/>
      <c r="R40" s="31"/>
      <c r="S40" s="31"/>
      <c r="T40" s="31"/>
      <c r="U40" s="31"/>
      <c r="V40" s="31"/>
      <c r="W40" s="31"/>
      <c r="X40" s="31"/>
      <c r="Y40" s="474"/>
      <c r="Z40" s="474"/>
      <c r="AA40" s="474"/>
      <c r="AB40" s="474"/>
    </row>
    <row r="41" spans="2:28" ht="15" customHeight="1" thickTop="1">
      <c r="B41" s="209" t="s">
        <v>54</v>
      </c>
      <c r="C41" s="213">
        <v>3.3718689788053743E-2</v>
      </c>
      <c r="D41" s="209"/>
      <c r="E41" s="252">
        <v>44385.312845641922</v>
      </c>
      <c r="F41" s="253"/>
      <c r="G41" s="56" t="s">
        <v>43</v>
      </c>
      <c r="H41" s="57"/>
      <c r="I41" s="57"/>
      <c r="J41" s="59">
        <f>SUM(J37:J40)</f>
        <v>44578.474608211262</v>
      </c>
      <c r="K41" s="44"/>
      <c r="L41" s="69" t="s">
        <v>45</v>
      </c>
      <c r="M41" s="78">
        <f>H42</f>
        <v>0.109</v>
      </c>
      <c r="N41" s="70"/>
      <c r="O41" s="43" t="e">
        <f>M41*O40</f>
        <v>#REF!</v>
      </c>
      <c r="P41" s="31"/>
      <c r="Q41" s="31"/>
      <c r="R41" s="31"/>
      <c r="S41" s="31"/>
      <c r="T41" s="31"/>
      <c r="U41" s="31"/>
      <c r="V41" s="31"/>
      <c r="W41" s="31"/>
      <c r="X41" s="31"/>
      <c r="Y41" s="106"/>
      <c r="Z41" s="106"/>
      <c r="AA41" s="106"/>
      <c r="AB41" s="106"/>
    </row>
    <row r="42" spans="2:28" ht="15" customHeight="1">
      <c r="B42" s="209"/>
      <c r="C42" s="209"/>
      <c r="D42" s="209"/>
      <c r="E42" s="257" t="s">
        <v>56</v>
      </c>
      <c r="F42" s="258"/>
      <c r="G42" s="69" t="s">
        <v>45</v>
      </c>
      <c r="H42" s="78">
        <f>$H$23</f>
        <v>0.109</v>
      </c>
      <c r="I42" s="70"/>
      <c r="J42" s="43">
        <f>H42*J41</f>
        <v>4859.0537322950277</v>
      </c>
      <c r="K42" s="44"/>
      <c r="L42" s="69"/>
      <c r="M42" s="78"/>
      <c r="N42" s="70"/>
      <c r="O42" s="43"/>
      <c r="P42" s="31"/>
      <c r="Q42" s="31"/>
      <c r="R42" s="31"/>
      <c r="S42" s="31"/>
      <c r="T42" s="31"/>
      <c r="U42" s="31"/>
      <c r="V42" s="31"/>
      <c r="W42" s="31"/>
      <c r="X42" s="31"/>
      <c r="Y42" s="107"/>
      <c r="Z42" s="31"/>
      <c r="AA42" s="31"/>
      <c r="AB42" s="31"/>
    </row>
    <row r="43" spans="2:28" ht="15" customHeight="1" thickBot="1">
      <c r="B43" s="140" t="s">
        <v>58</v>
      </c>
      <c r="C43" s="140"/>
      <c r="D43" s="141"/>
      <c r="E43" s="142">
        <v>27.60375411311507</v>
      </c>
      <c r="F43" s="143"/>
      <c r="G43" s="69" t="str">
        <f>G24</f>
        <v>PFMLA Trust Contribution</v>
      </c>
      <c r="H43" s="78">
        <f>H24</f>
        <v>3.7000000000000002E-3</v>
      </c>
      <c r="I43" s="70"/>
      <c r="J43" s="43">
        <f>H43*J34</f>
        <v>129.10771895215572</v>
      </c>
      <c r="K43" s="44"/>
      <c r="L43" s="108" t="s">
        <v>50</v>
      </c>
      <c r="M43" s="109"/>
      <c r="N43" s="109"/>
      <c r="O43" s="110" t="e">
        <f>SUM(O40:O41)</f>
        <v>#REF!</v>
      </c>
      <c r="P43" s="31"/>
      <c r="Q43" s="31"/>
      <c r="R43" s="31"/>
      <c r="S43" s="31"/>
      <c r="T43" s="31"/>
      <c r="U43" s="31"/>
      <c r="V43" s="31"/>
      <c r="W43" s="31"/>
      <c r="X43" s="31"/>
      <c r="Y43" s="111"/>
      <c r="Z43" s="31"/>
      <c r="AA43" s="31"/>
      <c r="AB43" s="31"/>
    </row>
    <row r="44" spans="2:28" ht="15" customHeight="1" thickBot="1">
      <c r="B44" s="208"/>
      <c r="C44" s="208"/>
      <c r="D44" s="264"/>
      <c r="E44" s="264"/>
      <c r="F44" s="143"/>
      <c r="G44" s="108" t="s">
        <v>50</v>
      </c>
      <c r="H44" s="109"/>
      <c r="I44" s="109"/>
      <c r="J44" s="110">
        <f>SUM(J41:J43)</f>
        <v>49566.63605945844</v>
      </c>
      <c r="K44" s="116"/>
      <c r="L44" s="69" t="s">
        <v>52</v>
      </c>
      <c r="M44" s="78"/>
      <c r="N44" s="70"/>
      <c r="O44" s="117" t="e">
        <f>O43/O30</f>
        <v>#REF!</v>
      </c>
      <c r="P44" s="31"/>
      <c r="Q44" s="31"/>
      <c r="R44" s="31"/>
      <c r="S44" s="31"/>
      <c r="T44" s="31"/>
      <c r="U44" s="31"/>
      <c r="V44" s="31"/>
      <c r="W44" s="31"/>
      <c r="X44" s="31"/>
      <c r="Y44" s="111"/>
      <c r="Z44" s="31"/>
      <c r="AA44" s="31"/>
      <c r="AB44" s="31"/>
    </row>
    <row r="45" spans="2:28" ht="14.25" customHeight="1" thickTop="1" thickBot="1">
      <c r="G45" s="69" t="str">
        <f>G25</f>
        <v xml:space="preserve"> CAF (Period FY21 &amp; FY22)</v>
      </c>
      <c r="H45" s="78">
        <f>H25</f>
        <v>1.7780248869661817E-2</v>
      </c>
      <c r="I45" s="70"/>
      <c r="J45" s="122">
        <f>(J44*H45)-(J34*H45)</f>
        <v>260.8835101843456</v>
      </c>
      <c r="K45" s="123"/>
      <c r="L45" s="69" t="s">
        <v>54</v>
      </c>
      <c r="M45" s="78" t="e">
        <f>#REF!</f>
        <v>#REF!</v>
      </c>
      <c r="N45" s="70"/>
      <c r="O45" s="124" t="e">
        <f>(O43*M45)+O43</f>
        <v>#REF!</v>
      </c>
      <c r="P45" s="31"/>
      <c r="Q45" s="31"/>
      <c r="R45" s="31"/>
      <c r="S45" s="31"/>
      <c r="T45" s="31"/>
      <c r="U45" s="31"/>
      <c r="V45" s="31"/>
      <c r="W45" s="31"/>
      <c r="X45" s="31"/>
      <c r="Y45" s="107"/>
      <c r="Z45" s="31"/>
      <c r="AA45" s="31"/>
      <c r="AB45" s="31"/>
    </row>
    <row r="46" spans="2:28" ht="15" customHeight="1" thickBot="1">
      <c r="G46" s="128" t="s">
        <v>10</v>
      </c>
      <c r="H46" s="129"/>
      <c r="I46" s="130"/>
      <c r="J46" s="131">
        <f>J45+J44</f>
        <v>49827.519569642784</v>
      </c>
      <c r="K46" s="132"/>
      <c r="L46" s="128"/>
      <c r="M46" s="130"/>
      <c r="N46" s="133"/>
      <c r="O46" s="134"/>
      <c r="P46" s="31"/>
      <c r="Q46" s="31"/>
      <c r="R46" s="135"/>
      <c r="S46" s="31"/>
      <c r="T46" s="31"/>
      <c r="U46" s="31"/>
      <c r="V46" s="31"/>
      <c r="W46" s="31"/>
      <c r="X46" s="31"/>
      <c r="Y46" s="107"/>
      <c r="Z46" s="31"/>
      <c r="AA46" s="31"/>
      <c r="AB46" s="31"/>
    </row>
    <row r="47" spans="2:28" ht="15" customHeight="1" thickBot="1">
      <c r="B47" s="458" t="s">
        <v>75</v>
      </c>
      <c r="C47" s="458"/>
      <c r="D47" s="458"/>
      <c r="E47" s="459"/>
      <c r="F47" s="6"/>
      <c r="G47" s="144" t="s">
        <v>59</v>
      </c>
      <c r="H47" s="145"/>
      <c r="I47" s="146"/>
      <c r="J47" s="147">
        <f>J46/J30+0.02</f>
        <v>25.9562983471581</v>
      </c>
      <c r="K47" s="148"/>
      <c r="P47" s="149"/>
      <c r="R47" s="150"/>
      <c r="Y47" s="151"/>
      <c r="Z47" s="152"/>
    </row>
    <row r="48" spans="2:28" ht="15" customHeight="1" thickBot="1">
      <c r="B48" s="267" t="s">
        <v>12</v>
      </c>
      <c r="C48" s="463" t="s">
        <v>13</v>
      </c>
      <c r="D48" s="463"/>
      <c r="E48" s="12">
        <v>1582</v>
      </c>
      <c r="F48" s="13"/>
      <c r="G48" s="154" t="s">
        <v>61</v>
      </c>
      <c r="H48" s="155"/>
      <c r="I48" s="156"/>
      <c r="J48" s="157">
        <f>J47/4</f>
        <v>6.489074586789525</v>
      </c>
      <c r="K48" s="16"/>
      <c r="Y48" s="158"/>
      <c r="Z48" s="4"/>
    </row>
    <row r="49" spans="2:28" ht="15" customHeight="1" thickBot="1">
      <c r="B49" s="179"/>
      <c r="C49" s="180" t="s">
        <v>16</v>
      </c>
      <c r="D49" s="180" t="s">
        <v>17</v>
      </c>
      <c r="E49" s="181" t="s">
        <v>18</v>
      </c>
      <c r="F49" s="182"/>
      <c r="K49" s="16"/>
      <c r="L49" s="460" t="s">
        <v>63</v>
      </c>
      <c r="M49" s="461"/>
      <c r="N49" s="461"/>
      <c r="O49" s="462"/>
      <c r="Y49" s="162"/>
      <c r="Z49" s="163"/>
    </row>
    <row r="50" spans="2:28" ht="15" customHeight="1" thickBot="1">
      <c r="B50" s="188" t="s">
        <v>15</v>
      </c>
      <c r="C50" s="189">
        <v>50346.250729022722</v>
      </c>
      <c r="D50" s="190">
        <v>0.05</v>
      </c>
      <c r="E50" s="191">
        <v>2517.3125364511361</v>
      </c>
      <c r="F50" s="192"/>
      <c r="K50" s="16"/>
      <c r="L50" s="165"/>
      <c r="M50" s="166"/>
      <c r="N50" s="166"/>
      <c r="O50" s="167"/>
      <c r="Y50" s="168"/>
    </row>
    <row r="51" spans="2:28" ht="15" customHeight="1" thickBot="1">
      <c r="B51" s="268" t="s">
        <v>70</v>
      </c>
      <c r="C51" s="189">
        <v>28568.95905882353</v>
      </c>
      <c r="D51" s="190">
        <v>1</v>
      </c>
      <c r="E51" s="191">
        <v>28568.95905882353</v>
      </c>
      <c r="F51" s="192"/>
      <c r="G51" s="460" t="s">
        <v>63</v>
      </c>
      <c r="H51" s="461"/>
      <c r="I51" s="461"/>
      <c r="J51" s="462"/>
      <c r="K51" s="16"/>
      <c r="L51" s="14" t="s">
        <v>12</v>
      </c>
      <c r="M51" s="464" t="s">
        <v>13</v>
      </c>
      <c r="N51" s="464"/>
      <c r="O51" s="15">
        <f>J52</f>
        <v>1676.5</v>
      </c>
      <c r="P51" s="171"/>
      <c r="Y51" s="8" t="s">
        <v>7</v>
      </c>
      <c r="Z51" s="172" t="s">
        <v>8</v>
      </c>
      <c r="AA51" s="172" t="s">
        <v>9</v>
      </c>
      <c r="AB51" s="173" t="s">
        <v>10</v>
      </c>
    </row>
    <row r="52" spans="2:28" ht="15" customHeight="1">
      <c r="B52" s="269" t="s">
        <v>25</v>
      </c>
      <c r="C52" s="202"/>
      <c r="D52" s="203">
        <v>1.05</v>
      </c>
      <c r="E52" s="204">
        <v>31086.271595274666</v>
      </c>
      <c r="F52" s="185"/>
      <c r="G52" s="14" t="s">
        <v>12</v>
      </c>
      <c r="H52" s="464" t="s">
        <v>13</v>
      </c>
      <c r="I52" s="464"/>
      <c r="J52" s="15">
        <f>AB62</f>
        <v>1676.5</v>
      </c>
      <c r="K52" s="174"/>
      <c r="L52" s="175"/>
      <c r="M52" s="176" t="s">
        <v>16</v>
      </c>
      <c r="N52" s="176" t="s">
        <v>17</v>
      </c>
      <c r="O52" s="177" t="s">
        <v>18</v>
      </c>
      <c r="Y52" s="17" t="s">
        <v>14</v>
      </c>
      <c r="Z52" s="18">
        <v>52</v>
      </c>
      <c r="AA52" s="18">
        <v>40</v>
      </c>
      <c r="AB52" s="178">
        <f>52*40</f>
        <v>2080</v>
      </c>
    </row>
    <row r="53" spans="2:28" ht="15" customHeight="1">
      <c r="B53" s="270"/>
      <c r="C53" s="209"/>
      <c r="D53" s="208"/>
      <c r="E53" s="210"/>
      <c r="F53" s="211"/>
      <c r="G53" s="175"/>
      <c r="H53" s="176" t="s">
        <v>16</v>
      </c>
      <c r="I53" s="176" t="s">
        <v>17</v>
      </c>
      <c r="J53" s="177" t="s">
        <v>18</v>
      </c>
      <c r="K53" s="183"/>
      <c r="L53" s="184" t="str">
        <f>G54</f>
        <v>Management</v>
      </c>
      <c r="M53" s="185">
        <f>H54</f>
        <v>53919.561903544411</v>
      </c>
      <c r="N53" s="186">
        <f>$H$14</f>
        <v>0.05</v>
      </c>
      <c r="O53" s="187">
        <f>M53*N53</f>
        <v>2695.9780951772209</v>
      </c>
      <c r="Y53" s="17"/>
      <c r="Z53" s="18"/>
      <c r="AA53" s="18"/>
      <c r="AB53" s="19"/>
    </row>
    <row r="54" spans="2:28" ht="15" customHeight="1">
      <c r="B54" s="271" t="s">
        <v>30</v>
      </c>
      <c r="C54" s="213">
        <v>0.20676407024615401</v>
      </c>
      <c r="D54" s="209"/>
      <c r="E54" s="191">
        <v>6427.5240438163928</v>
      </c>
      <c r="F54" s="192"/>
      <c r="G54" s="184" t="str">
        <f>B28</f>
        <v>Management</v>
      </c>
      <c r="H54" s="185">
        <f>H5</f>
        <v>53919.561903544411</v>
      </c>
      <c r="I54" s="186">
        <f>$H$14</f>
        <v>0.05</v>
      </c>
      <c r="J54" s="187">
        <f>H54*I54</f>
        <v>2695.9780951772209</v>
      </c>
      <c r="K54" s="183"/>
      <c r="L54" s="184" t="str">
        <f>G55</f>
        <v>Direct Care</v>
      </c>
      <c r="M54" s="185">
        <f>H55</f>
        <v>32198</v>
      </c>
      <c r="N54" s="186">
        <v>1</v>
      </c>
      <c r="O54" s="187">
        <f>M54*N54</f>
        <v>32198</v>
      </c>
      <c r="Y54" s="46" t="s">
        <v>69</v>
      </c>
      <c r="Z54" s="193">
        <v>4</v>
      </c>
      <c r="AA54" s="194">
        <v>40</v>
      </c>
      <c r="AB54" s="195">
        <f>Z54*AA54</f>
        <v>160</v>
      </c>
    </row>
    <row r="55" spans="2:28" ht="15" customHeight="1" thickBot="1">
      <c r="B55" s="273" t="s">
        <v>33</v>
      </c>
      <c r="C55" s="222"/>
      <c r="D55" s="223"/>
      <c r="E55" s="224">
        <v>37513.795639091055</v>
      </c>
      <c r="F55" s="185"/>
      <c r="G55" s="184" t="str">
        <f>G12</f>
        <v>Direct Care</v>
      </c>
      <c r="H55" s="196">
        <f>H12</f>
        <v>32198</v>
      </c>
      <c r="I55" s="186">
        <v>1</v>
      </c>
      <c r="J55" s="187">
        <f>H55*I55</f>
        <v>32198</v>
      </c>
      <c r="K55" s="183"/>
      <c r="L55" s="197" t="s">
        <v>25</v>
      </c>
      <c r="M55" s="198"/>
      <c r="N55" s="199">
        <f>SUM(N53:N54)</f>
        <v>1.05</v>
      </c>
      <c r="O55" s="200">
        <f>SUM(O53:O54)</f>
        <v>34893.978095177219</v>
      </c>
      <c r="Y55" s="50"/>
      <c r="Z55" s="201"/>
      <c r="AA55" s="194"/>
      <c r="AB55" s="49"/>
    </row>
    <row r="56" spans="2:28" ht="15" customHeight="1" thickTop="1">
      <c r="B56" s="271" t="s">
        <v>78</v>
      </c>
      <c r="C56" s="274"/>
      <c r="D56" s="230"/>
      <c r="E56" s="191">
        <v>180</v>
      </c>
      <c r="F56" s="192"/>
      <c r="G56" s="197" t="s">
        <v>25</v>
      </c>
      <c r="H56" s="198"/>
      <c r="I56" s="199">
        <f>SUM(I54:I55)</f>
        <v>1.05</v>
      </c>
      <c r="J56" s="200">
        <f>SUM(J54:J55)</f>
        <v>34893.978095177219</v>
      </c>
      <c r="K56" s="183"/>
      <c r="L56" s="205"/>
      <c r="M56" s="206"/>
      <c r="N56" s="206"/>
      <c r="O56" s="207"/>
      <c r="Y56" s="46" t="s">
        <v>71</v>
      </c>
      <c r="Z56" s="193">
        <f>Z52-Z54-Z57</f>
        <v>47.9</v>
      </c>
      <c r="AA56" s="194">
        <v>2</v>
      </c>
      <c r="AB56" s="195">
        <f>AA56*Z56</f>
        <v>95.8</v>
      </c>
    </row>
    <row r="57" spans="2:28" ht="15" customHeight="1">
      <c r="B57" s="271" t="s">
        <v>79</v>
      </c>
      <c r="C57" s="189"/>
      <c r="D57" s="230"/>
      <c r="E57" s="191">
        <v>1152.4197555347644</v>
      </c>
      <c r="F57" s="192"/>
      <c r="G57" s="205"/>
      <c r="H57" s="206"/>
      <c r="I57" s="206"/>
      <c r="J57" s="207"/>
      <c r="K57" s="183"/>
      <c r="L57" s="205" t="s">
        <v>30</v>
      </c>
      <c r="M57" s="212">
        <f>H58</f>
        <v>0.22309999999999999</v>
      </c>
      <c r="N57" s="206"/>
      <c r="O57" s="187">
        <f>M57*O55</f>
        <v>7784.8465130340373</v>
      </c>
      <c r="Y57" s="46" t="s">
        <v>72</v>
      </c>
      <c r="Z57" s="193">
        <v>0.1</v>
      </c>
      <c r="AA57" s="194">
        <v>40</v>
      </c>
      <c r="AB57" s="195">
        <f>AA57*Z57</f>
        <v>4</v>
      </c>
    </row>
    <row r="58" spans="2:28" ht="15" customHeight="1" thickBot="1">
      <c r="B58" s="275" t="s">
        <v>60</v>
      </c>
      <c r="C58" s="276"/>
      <c r="D58" s="230"/>
      <c r="E58" s="277">
        <v>4039</v>
      </c>
      <c r="F58" s="278"/>
      <c r="G58" s="205" t="s">
        <v>30</v>
      </c>
      <c r="H58" s="212">
        <f>H17</f>
        <v>0.22309999999999999</v>
      </c>
      <c r="I58" s="206"/>
      <c r="J58" s="187">
        <f>H58*J56</f>
        <v>7784.8465130340373</v>
      </c>
      <c r="K58" s="183"/>
      <c r="L58" s="214" t="s">
        <v>33</v>
      </c>
      <c r="M58" s="215"/>
      <c r="N58" s="216"/>
      <c r="O58" s="217">
        <f>SUM(O55:O57)</f>
        <v>42678.82460821126</v>
      </c>
      <c r="Y58" s="218" t="s">
        <v>28</v>
      </c>
      <c r="Z58" s="219">
        <f>Z52-Z54-Z57</f>
        <v>47.9</v>
      </c>
      <c r="AA58" s="220">
        <v>3</v>
      </c>
      <c r="AB58" s="221">
        <f>AA58*Z58</f>
        <v>143.69999999999999</v>
      </c>
    </row>
    <row r="59" spans="2:28" ht="15" customHeight="1" thickTop="1" thickBot="1">
      <c r="B59" s="280" t="s">
        <v>80</v>
      </c>
      <c r="C59" s="236"/>
      <c r="D59" s="230"/>
      <c r="E59" s="237">
        <v>123.82500000000003</v>
      </c>
      <c r="F59" s="238"/>
      <c r="G59" s="214" t="s">
        <v>33</v>
      </c>
      <c r="H59" s="215"/>
      <c r="I59" s="216"/>
      <c r="J59" s="217">
        <f>SUM(J56:J58)</f>
        <v>42678.82460821126</v>
      </c>
      <c r="K59" s="183"/>
      <c r="L59" s="205" t="str">
        <f>G60</f>
        <v>Staff Mileage / Travel (Per DC FTE)</v>
      </c>
      <c r="M59" s="225"/>
      <c r="N59" s="226"/>
      <c r="O59" s="227">
        <f>J60</f>
        <v>1209</v>
      </c>
      <c r="Y59" s="46" t="s">
        <v>31</v>
      </c>
      <c r="Z59" s="228"/>
      <c r="AA59" s="228"/>
      <c r="AB59" s="195">
        <f>SUM(AB54:AB58)</f>
        <v>403.5</v>
      </c>
    </row>
    <row r="60" spans="2:28" ht="15" customHeight="1" thickTop="1">
      <c r="B60" s="269" t="s">
        <v>43</v>
      </c>
      <c r="C60" s="202"/>
      <c r="D60" s="202"/>
      <c r="E60" s="204">
        <v>43009.040394625816</v>
      </c>
      <c r="F60" s="185"/>
      <c r="G60" s="205" t="str">
        <f>G19</f>
        <v>Staff Mileage / Travel (Per DC FTE)</v>
      </c>
      <c r="H60" s="225"/>
      <c r="I60" s="226"/>
      <c r="J60" s="227">
        <f>H19</f>
        <v>1209</v>
      </c>
      <c r="K60" s="183"/>
      <c r="L60" s="205" t="str">
        <f>G61</f>
        <v>Staff Training (Per DC FTE per day)</v>
      </c>
      <c r="M60" s="185"/>
      <c r="N60" s="226"/>
      <c r="O60" s="227">
        <f>J61</f>
        <v>515</v>
      </c>
      <c r="Y60" s="218" t="s">
        <v>34</v>
      </c>
      <c r="Z60" s="231"/>
      <c r="AA60" s="231"/>
      <c r="AB60" s="221">
        <f>AB52-AB59</f>
        <v>1676.5</v>
      </c>
    </row>
    <row r="61" spans="2:28" ht="15" customHeight="1" thickBot="1">
      <c r="B61" s="271" t="s">
        <v>45</v>
      </c>
      <c r="C61" s="213">
        <v>0.10308211953017005</v>
      </c>
      <c r="D61" s="209"/>
      <c r="E61" s="191">
        <v>4433.46304283673</v>
      </c>
      <c r="F61" s="192"/>
      <c r="G61" s="205" t="str">
        <f>G18</f>
        <v>Staff Training (Per DC FTE per day)</v>
      </c>
      <c r="H61" s="185"/>
      <c r="I61" s="226"/>
      <c r="J61" s="227">
        <f>H18*(AA57/8)</f>
        <v>515</v>
      </c>
      <c r="K61" s="16"/>
      <c r="L61" s="205" t="str">
        <f>G62</f>
        <v>Occupancy (Office Space)</v>
      </c>
      <c r="M61" s="232"/>
      <c r="N61" s="226"/>
      <c r="O61" s="227">
        <f>J62</f>
        <v>175.65000000000003</v>
      </c>
      <c r="Y61" s="46" t="s">
        <v>37</v>
      </c>
      <c r="Z61" s="233"/>
      <c r="AA61" s="233"/>
      <c r="AB61" s="234">
        <f>D29</f>
        <v>1</v>
      </c>
    </row>
    <row r="62" spans="2:28" ht="15" customHeight="1" thickBot="1">
      <c r="B62" s="271"/>
      <c r="C62" s="213"/>
      <c r="D62" s="209"/>
      <c r="E62" s="191"/>
      <c r="F62" s="192"/>
      <c r="G62" s="205" t="str">
        <f>B36</f>
        <v>Occupancy (Office Space)</v>
      </c>
      <c r="H62" s="232"/>
      <c r="I62" s="226"/>
      <c r="J62" s="239">
        <f>H20*I54</f>
        <v>175.65000000000003</v>
      </c>
      <c r="K62" s="183"/>
      <c r="L62" s="197" t="s">
        <v>43</v>
      </c>
      <c r="M62" s="198"/>
      <c r="N62" s="198"/>
      <c r="O62" s="200">
        <f>SUM(O58:O61)</f>
        <v>44578.474608211262</v>
      </c>
      <c r="Y62" s="240" t="s">
        <v>40</v>
      </c>
      <c r="Z62" s="241"/>
      <c r="AA62" s="242"/>
      <c r="AB62" s="243">
        <f>AB61*AB60</f>
        <v>1676.5</v>
      </c>
    </row>
    <row r="63" spans="2:28" ht="15" customHeight="1" thickBot="1">
      <c r="B63" s="282" t="s">
        <v>50</v>
      </c>
      <c r="C63" s="248"/>
      <c r="D63" s="248"/>
      <c r="E63" s="249">
        <v>47442.503437462547</v>
      </c>
      <c r="F63" s="185"/>
      <c r="G63" s="197" t="s">
        <v>43</v>
      </c>
      <c r="H63" s="198"/>
      <c r="I63" s="198"/>
      <c r="J63" s="200">
        <f>SUM(J59:J62)</f>
        <v>44578.474608211262</v>
      </c>
      <c r="K63" s="183"/>
      <c r="L63" s="205" t="s">
        <v>45</v>
      </c>
      <c r="M63" s="212">
        <f>H64</f>
        <v>0.109</v>
      </c>
      <c r="N63" s="206"/>
      <c r="O63" s="187">
        <f>M63*O62</f>
        <v>4859.0537322950277</v>
      </c>
      <c r="Y63" s="474"/>
      <c r="Z63" s="474"/>
      <c r="AA63" s="474"/>
      <c r="AB63" s="474"/>
    </row>
    <row r="64" spans="2:28" ht="15" customHeight="1" thickTop="1">
      <c r="B64" s="271" t="s">
        <v>54</v>
      </c>
      <c r="C64" s="213">
        <v>3.3718689788053743E-2</v>
      </c>
      <c r="D64" s="209"/>
      <c r="E64" s="252">
        <v>49042.202493639023</v>
      </c>
      <c r="F64" s="253"/>
      <c r="G64" s="205" t="s">
        <v>45</v>
      </c>
      <c r="H64" s="78">
        <f>$H$23</f>
        <v>0.109</v>
      </c>
      <c r="I64" s="206"/>
      <c r="J64" s="187">
        <f>H64*J63</f>
        <v>4859.0537322950277</v>
      </c>
      <c r="K64" s="183"/>
      <c r="L64" s="205"/>
      <c r="M64" s="212"/>
      <c r="N64" s="206"/>
      <c r="O64" s="187"/>
      <c r="Y64" s="168"/>
    </row>
    <row r="65" spans="2:28" ht="15" customHeight="1" thickBot="1">
      <c r="B65" s="271"/>
      <c r="C65" s="209"/>
      <c r="D65" s="209"/>
      <c r="E65" s="257" t="s">
        <v>56</v>
      </c>
      <c r="F65" s="258"/>
      <c r="G65" s="205" t="str">
        <f>G24</f>
        <v>PFMLA Trust Contribution</v>
      </c>
      <c r="H65" s="212">
        <f>H24</f>
        <v>3.7000000000000002E-3</v>
      </c>
      <c r="I65" s="206"/>
      <c r="J65" s="187">
        <f>J56*H65</f>
        <v>129.10771895215572</v>
      </c>
      <c r="K65" s="183"/>
      <c r="L65" s="244" t="s">
        <v>50</v>
      </c>
      <c r="M65" s="245"/>
      <c r="N65" s="245"/>
      <c r="O65" s="246">
        <f>SUM(O62:O63)</f>
        <v>49437.528340506287</v>
      </c>
      <c r="Y65" s="168"/>
      <c r="AA65" s="149"/>
    </row>
    <row r="66" spans="2:28" ht="15" customHeight="1" thickTop="1" thickBot="1">
      <c r="B66" s="139" t="s">
        <v>58</v>
      </c>
      <c r="C66" s="140"/>
      <c r="D66" s="141"/>
      <c r="E66" s="142">
        <v>31.000127998507601</v>
      </c>
      <c r="F66" s="143"/>
      <c r="G66" s="244" t="s">
        <v>50</v>
      </c>
      <c r="H66" s="245"/>
      <c r="I66" s="245"/>
      <c r="J66" s="246">
        <f>SUM(J63:J65)</f>
        <v>49566.63605945844</v>
      </c>
      <c r="K66" s="250"/>
      <c r="L66" s="205" t="s">
        <v>52</v>
      </c>
      <c r="M66" s="212"/>
      <c r="N66" s="206"/>
      <c r="O66" s="251">
        <f>O65/O51</f>
        <v>29.488534649869543</v>
      </c>
      <c r="Y66" s="168"/>
    </row>
    <row r="67" spans="2:28" ht="15" customHeight="1" thickBot="1">
      <c r="G67" s="205" t="str">
        <f>G25</f>
        <v xml:space="preserve"> CAF (Period FY21 &amp; FY22)</v>
      </c>
      <c r="H67" s="212">
        <f>H25</f>
        <v>1.7780248869661817E-2</v>
      </c>
      <c r="I67" s="206"/>
      <c r="J67" s="254">
        <f>(J66*H67)-(J56*H67)</f>
        <v>260.8835101843456</v>
      </c>
      <c r="K67" s="255"/>
      <c r="L67" s="205" t="s">
        <v>54</v>
      </c>
      <c r="M67" s="212" t="e">
        <f>M45</f>
        <v>#REF!</v>
      </c>
      <c r="N67" s="206"/>
      <c r="O67" s="256" t="e">
        <f>(O65*M67)+O65</f>
        <v>#REF!</v>
      </c>
      <c r="Y67" s="168"/>
    </row>
    <row r="68" spans="2:28" ht="15" customHeight="1" thickBot="1">
      <c r="G68" s="144" t="s">
        <v>10</v>
      </c>
      <c r="H68" s="259"/>
      <c r="I68" s="145"/>
      <c r="J68" s="260">
        <f>J67+J66</f>
        <v>49827.519569642784</v>
      </c>
      <c r="K68" s="250"/>
      <c r="L68" s="144" t="s">
        <v>73</v>
      </c>
      <c r="M68" s="145"/>
      <c r="N68" s="146"/>
      <c r="O68" s="261" t="e">
        <f>O67/O51</f>
        <v>#REF!</v>
      </c>
      <c r="Y68" s="262"/>
    </row>
    <row r="69" spans="2:28" ht="15" customHeight="1" thickBot="1">
      <c r="G69" s="144" t="s">
        <v>59</v>
      </c>
      <c r="H69" s="145"/>
      <c r="I69" s="146"/>
      <c r="J69" s="263">
        <f>J68/J52</f>
        <v>29.721156915981378</v>
      </c>
      <c r="K69" s="4">
        <f>J69*0.25</f>
        <v>7.4302892289953446</v>
      </c>
      <c r="Y69" s="151"/>
    </row>
    <row r="70" spans="2:28" ht="15" customHeight="1" thickBot="1">
      <c r="B70" s="457" t="s">
        <v>82</v>
      </c>
      <c r="C70" s="458"/>
      <c r="D70" s="458"/>
      <c r="E70" s="459"/>
      <c r="F70" s="6"/>
      <c r="G70" s="154" t="s">
        <v>61</v>
      </c>
      <c r="H70" s="155"/>
      <c r="I70" s="156"/>
      <c r="J70" s="265">
        <f>J69/4</f>
        <v>7.4302892289953446</v>
      </c>
      <c r="K70" s="4">
        <f>J70*0.25</f>
        <v>1.8575723072488362</v>
      </c>
      <c r="Y70" s="158"/>
      <c r="Z70" s="266"/>
    </row>
    <row r="71" spans="2:28" ht="15" customHeight="1" thickBot="1">
      <c r="B71" s="11" t="s">
        <v>12</v>
      </c>
      <c r="C71" s="463" t="s">
        <v>13</v>
      </c>
      <c r="D71" s="463"/>
      <c r="E71" s="12">
        <v>1550.125</v>
      </c>
      <c r="F71" s="13"/>
      <c r="K71" s="16"/>
      <c r="L71" s="460" t="s">
        <v>74</v>
      </c>
      <c r="M71" s="461"/>
      <c r="N71" s="461"/>
      <c r="O71" s="462"/>
      <c r="Y71" s="162"/>
      <c r="Z71" s="163"/>
    </row>
    <row r="72" spans="2:28" ht="15" customHeight="1" thickBot="1">
      <c r="B72" s="283"/>
      <c r="C72" s="180" t="s">
        <v>16</v>
      </c>
      <c r="D72" s="180" t="s">
        <v>17</v>
      </c>
      <c r="E72" s="181" t="s">
        <v>18</v>
      </c>
      <c r="F72" s="182"/>
      <c r="K72" s="174"/>
      <c r="L72" s="14" t="s">
        <v>12</v>
      </c>
      <c r="M72" s="464" t="s">
        <v>13</v>
      </c>
      <c r="N72" s="464"/>
      <c r="O72" s="15">
        <f>J74</f>
        <v>1649.65</v>
      </c>
      <c r="Y72" s="168"/>
    </row>
    <row r="73" spans="2:28" ht="15" customHeight="1" thickBot="1">
      <c r="B73" s="268" t="s">
        <v>15</v>
      </c>
      <c r="C73" s="189">
        <v>50346.250729022722</v>
      </c>
      <c r="D73" s="190">
        <v>0.05</v>
      </c>
      <c r="E73" s="191">
        <v>2517.3125364511361</v>
      </c>
      <c r="F73" s="192"/>
      <c r="G73" s="460" t="s">
        <v>74</v>
      </c>
      <c r="H73" s="461"/>
      <c r="I73" s="461"/>
      <c r="J73" s="462"/>
      <c r="K73" s="183"/>
      <c r="L73" s="175"/>
      <c r="M73" s="176" t="s">
        <v>16</v>
      </c>
      <c r="N73" s="176" t="s">
        <v>17</v>
      </c>
      <c r="O73" s="177" t="s">
        <v>18</v>
      </c>
      <c r="Y73" s="8" t="s">
        <v>7</v>
      </c>
      <c r="Z73" s="172" t="s">
        <v>8</v>
      </c>
      <c r="AA73" s="172" t="s">
        <v>9</v>
      </c>
      <c r="AB73" s="173" t="s">
        <v>10</v>
      </c>
    </row>
    <row r="74" spans="2:28" ht="15" customHeight="1">
      <c r="B74" s="284" t="s">
        <v>83</v>
      </c>
      <c r="C74" s="189">
        <v>29462.513825353475</v>
      </c>
      <c r="D74" s="190">
        <v>0.65</v>
      </c>
      <c r="E74" s="191">
        <v>19150.633986479759</v>
      </c>
      <c r="F74" s="192"/>
      <c r="G74" s="14" t="s">
        <v>12</v>
      </c>
      <c r="H74" s="464" t="s">
        <v>13</v>
      </c>
      <c r="I74" s="464"/>
      <c r="J74" s="15">
        <f>AB84</f>
        <v>1649.65</v>
      </c>
      <c r="K74" s="183"/>
      <c r="L74" s="184" t="str">
        <f>G76</f>
        <v>Management</v>
      </c>
      <c r="M74" s="185">
        <f>H76</f>
        <v>53919.561903544411</v>
      </c>
      <c r="N74" s="186">
        <f>$H$14</f>
        <v>0.05</v>
      </c>
      <c r="O74" s="187">
        <f>M74*N74</f>
        <v>2695.9780951772209</v>
      </c>
      <c r="Y74" s="17" t="s">
        <v>14</v>
      </c>
      <c r="Z74" s="18">
        <v>52</v>
      </c>
      <c r="AA74" s="18">
        <v>40</v>
      </c>
      <c r="AB74" s="178">
        <v>2080</v>
      </c>
    </row>
    <row r="75" spans="2:28" ht="15" customHeight="1">
      <c r="B75" s="284" t="s">
        <v>70</v>
      </c>
      <c r="C75" s="189">
        <v>28568.95905882353</v>
      </c>
      <c r="D75" s="190">
        <v>0.35</v>
      </c>
      <c r="E75" s="191">
        <v>9999.1356705882354</v>
      </c>
      <c r="F75" s="192"/>
      <c r="G75" s="175"/>
      <c r="H75" s="176" t="s">
        <v>16</v>
      </c>
      <c r="I75" s="176" t="s">
        <v>17</v>
      </c>
      <c r="J75" s="177" t="s">
        <v>18</v>
      </c>
      <c r="K75" s="183"/>
      <c r="L75" s="184" t="str">
        <f>G77</f>
        <v>Direct Care</v>
      </c>
      <c r="M75" s="185">
        <f>H77</f>
        <v>32198</v>
      </c>
      <c r="N75" s="186">
        <v>1</v>
      </c>
      <c r="O75" s="187">
        <f>M75*N75</f>
        <v>32198</v>
      </c>
      <c r="Y75" s="17" t="s">
        <v>76</v>
      </c>
      <c r="Z75" s="18"/>
      <c r="AA75" s="18"/>
      <c r="AB75" s="19"/>
    </row>
    <row r="76" spans="2:28" ht="15" customHeight="1">
      <c r="B76" s="269" t="s">
        <v>25</v>
      </c>
      <c r="C76" s="202"/>
      <c r="D76" s="203">
        <v>1.05</v>
      </c>
      <c r="E76" s="204">
        <v>31667.082193519131</v>
      </c>
      <c r="F76" s="185"/>
      <c r="G76" s="184" t="str">
        <f>B50</f>
        <v>Management</v>
      </c>
      <c r="H76" s="185">
        <f>H5</f>
        <v>53919.561903544411</v>
      </c>
      <c r="I76" s="186">
        <f>$H$14</f>
        <v>0.05</v>
      </c>
      <c r="J76" s="187">
        <f>H76*I76</f>
        <v>2695.9780951772209</v>
      </c>
      <c r="K76" s="183"/>
      <c r="L76" s="197" t="s">
        <v>25</v>
      </c>
      <c r="M76" s="198"/>
      <c r="N76" s="199">
        <f>SUM(N74:N75)</f>
        <v>1.05</v>
      </c>
      <c r="O76" s="200">
        <f>O75+O74</f>
        <v>34893.978095177219</v>
      </c>
      <c r="Y76" s="46" t="s">
        <v>77</v>
      </c>
      <c r="Z76" s="193">
        <v>4</v>
      </c>
      <c r="AA76" s="194">
        <v>40</v>
      </c>
      <c r="AB76" s="195">
        <f>AA76*Z76</f>
        <v>160</v>
      </c>
    </row>
    <row r="77" spans="2:28" ht="15" customHeight="1">
      <c r="B77" s="270"/>
      <c r="C77" s="209"/>
      <c r="D77" s="208"/>
      <c r="E77" s="210"/>
      <c r="F77" s="211"/>
      <c r="G77" s="184" t="str">
        <f>G12</f>
        <v>Direct Care</v>
      </c>
      <c r="H77" s="196">
        <f>H12</f>
        <v>32198</v>
      </c>
      <c r="I77" s="186">
        <v>1</v>
      </c>
      <c r="J77" s="187">
        <f>H77*I77</f>
        <v>32198</v>
      </c>
      <c r="K77" s="183"/>
      <c r="L77" s="205"/>
      <c r="M77" s="206"/>
      <c r="N77" s="206"/>
      <c r="O77" s="207"/>
      <c r="Y77" s="50"/>
      <c r="Z77" s="201"/>
      <c r="AA77" s="194"/>
      <c r="AB77" s="49"/>
    </row>
    <row r="78" spans="2:28" ht="15" customHeight="1">
      <c r="B78" s="271" t="s">
        <v>30</v>
      </c>
      <c r="C78" s="213">
        <v>0.20676407024615401</v>
      </c>
      <c r="D78" s="209"/>
      <c r="E78" s="191">
        <v>6547.6148071515227</v>
      </c>
      <c r="F78" s="192"/>
      <c r="G78" s="197" t="s">
        <v>25</v>
      </c>
      <c r="H78" s="198"/>
      <c r="I78" s="199">
        <f>SUM(I76:I77)</f>
        <v>1.05</v>
      </c>
      <c r="J78" s="200">
        <f>J77+J76</f>
        <v>34893.978095177219</v>
      </c>
      <c r="K78" s="183"/>
      <c r="L78" s="205" t="s">
        <v>30</v>
      </c>
      <c r="M78" s="212">
        <f>H80</f>
        <v>0.22309999999999999</v>
      </c>
      <c r="N78" s="206"/>
      <c r="O78" s="187">
        <f>O76*M78</f>
        <v>7784.8465130340373</v>
      </c>
      <c r="Y78" s="46" t="s">
        <v>71</v>
      </c>
      <c r="Z78" s="193">
        <f>Z74-Z76-0.3</f>
        <v>47.7</v>
      </c>
      <c r="AA78" s="194">
        <v>2.5</v>
      </c>
      <c r="AB78" s="195">
        <f>AA78*Z78</f>
        <v>119.25</v>
      </c>
    </row>
    <row r="79" spans="2:28" ht="15" customHeight="1" thickBot="1">
      <c r="B79" s="273" t="s">
        <v>33</v>
      </c>
      <c r="C79" s="222"/>
      <c r="D79" s="223"/>
      <c r="E79" s="224">
        <v>38214.697000670654</v>
      </c>
      <c r="F79" s="185"/>
      <c r="G79" s="205"/>
      <c r="H79" s="206"/>
      <c r="I79" s="206"/>
      <c r="J79" s="207"/>
      <c r="K79" s="183"/>
      <c r="L79" s="214" t="s">
        <v>33</v>
      </c>
      <c r="M79" s="215"/>
      <c r="N79" s="216"/>
      <c r="O79" s="217">
        <f>SUM(O78,O76)</f>
        <v>42678.82460821126</v>
      </c>
      <c r="Y79" s="46" t="s">
        <v>72</v>
      </c>
      <c r="Z79" s="193">
        <v>0.2</v>
      </c>
      <c r="AA79" s="194">
        <v>40</v>
      </c>
      <c r="AB79" s="195">
        <f>Z79*AA79</f>
        <v>8</v>
      </c>
    </row>
    <row r="80" spans="2:28" ht="15" customHeight="1" thickTop="1">
      <c r="B80" s="268" t="s">
        <v>78</v>
      </c>
      <c r="C80" s="229"/>
      <c r="D80" s="230"/>
      <c r="E80" s="191">
        <v>180</v>
      </c>
      <c r="F80" s="192"/>
      <c r="G80" s="205" t="s">
        <v>30</v>
      </c>
      <c r="H80" s="212">
        <f>H17</f>
        <v>0.22309999999999999</v>
      </c>
      <c r="I80" s="206"/>
      <c r="J80" s="187">
        <f>J78*H80</f>
        <v>7784.8465130340373</v>
      </c>
      <c r="K80" s="183"/>
      <c r="L80" s="205" t="str">
        <f>G82</f>
        <v>Staff Training (Per Day)</v>
      </c>
      <c r="M80" s="143"/>
      <c r="N80" s="226"/>
      <c r="O80" s="272">
        <f>J82</f>
        <v>103</v>
      </c>
      <c r="Y80" s="218" t="s">
        <v>28</v>
      </c>
      <c r="Z80" s="219">
        <f>Z74-Z76-0.3</f>
        <v>47.7</v>
      </c>
      <c r="AA80" s="220">
        <v>3</v>
      </c>
      <c r="AB80" s="221">
        <f>AA80*Z80</f>
        <v>143.10000000000002</v>
      </c>
    </row>
    <row r="81" spans="2:28" ht="15" customHeight="1" thickBot="1">
      <c r="B81" s="271" t="s">
        <v>79</v>
      </c>
      <c r="C81" s="229"/>
      <c r="D81" s="230"/>
      <c r="E81" s="191">
        <v>1152.4197555347644</v>
      </c>
      <c r="F81" s="192"/>
      <c r="G81" s="214" t="s">
        <v>33</v>
      </c>
      <c r="H81" s="215"/>
      <c r="I81" s="216"/>
      <c r="J81" s="217">
        <f>SUM(J80,J78)</f>
        <v>42678.82460821126</v>
      </c>
      <c r="K81" s="183"/>
      <c r="L81" s="205" t="str">
        <f>G83</f>
        <v>Staff Mileage / Travel</v>
      </c>
      <c r="M81" s="185"/>
      <c r="N81" s="226"/>
      <c r="O81" s="272">
        <f>J83</f>
        <v>1209</v>
      </c>
      <c r="Y81" s="46" t="s">
        <v>31</v>
      </c>
      <c r="Z81" s="228"/>
      <c r="AA81" s="228"/>
      <c r="AB81" s="195">
        <f>SUM(AB75:AB80)</f>
        <v>430.35</v>
      </c>
    </row>
    <row r="82" spans="2:28" ht="15" customHeight="1" thickTop="1">
      <c r="B82" s="280" t="s">
        <v>60</v>
      </c>
      <c r="C82" s="229"/>
      <c r="D82" s="230"/>
      <c r="E82" s="277">
        <v>4039</v>
      </c>
      <c r="F82" s="278"/>
      <c r="G82" s="205" t="str">
        <f>B56</f>
        <v>Staff Training (Per Day)</v>
      </c>
      <c r="H82" s="143"/>
      <c r="I82" s="226"/>
      <c r="J82" s="272">
        <f>H18*(AB79/8)</f>
        <v>103</v>
      </c>
      <c r="K82" s="16"/>
      <c r="L82" s="205" t="str">
        <f>G84</f>
        <v>Program Support - Clerical</v>
      </c>
      <c r="M82" s="196"/>
      <c r="N82" s="226"/>
      <c r="O82" s="272">
        <f>J84</f>
        <v>4326</v>
      </c>
      <c r="Y82" s="218" t="s">
        <v>34</v>
      </c>
      <c r="Z82" s="231"/>
      <c r="AA82" s="231"/>
      <c r="AB82" s="221">
        <f>AB74-AB81</f>
        <v>1649.65</v>
      </c>
    </row>
    <row r="83" spans="2:28" ht="15" customHeight="1" thickBot="1">
      <c r="B83" s="280" t="s">
        <v>42</v>
      </c>
      <c r="C83" s="286"/>
      <c r="D83" s="230"/>
      <c r="E83" s="237">
        <v>123.82500000000003</v>
      </c>
      <c r="F83" s="238"/>
      <c r="G83" s="205" t="str">
        <f>B57</f>
        <v>Staff Mileage / Travel</v>
      </c>
      <c r="H83" s="185"/>
      <c r="I83" s="226"/>
      <c r="J83" s="272">
        <f>H19</f>
        <v>1209</v>
      </c>
      <c r="K83" s="183"/>
      <c r="L83" s="205" t="str">
        <f>G85</f>
        <v>Occupancy</v>
      </c>
      <c r="M83" s="232"/>
      <c r="N83" s="226"/>
      <c r="O83" s="272">
        <f>J85</f>
        <v>175.65000000000003</v>
      </c>
      <c r="Y83" s="46" t="s">
        <v>37</v>
      </c>
      <c r="Z83" s="233"/>
      <c r="AA83" s="233"/>
      <c r="AB83" s="234">
        <v>1</v>
      </c>
    </row>
    <row r="84" spans="2:28" ht="15" customHeight="1" thickBot="1">
      <c r="B84" s="269" t="s">
        <v>43</v>
      </c>
      <c r="C84" s="202"/>
      <c r="D84" s="202"/>
      <c r="E84" s="204">
        <v>43709.941756205415</v>
      </c>
      <c r="F84" s="185"/>
      <c r="G84" s="205" t="str">
        <f>B58</f>
        <v>Program Support - Clerical</v>
      </c>
      <c r="H84" s="196"/>
      <c r="I84" s="226"/>
      <c r="J84" s="279">
        <f>H22</f>
        <v>4326</v>
      </c>
      <c r="K84" s="183"/>
      <c r="L84" s="197" t="s">
        <v>43</v>
      </c>
      <c r="M84" s="198"/>
      <c r="N84" s="198"/>
      <c r="O84" s="200">
        <f>SUM(O79:O83)</f>
        <v>48492.474608211262</v>
      </c>
      <c r="Y84" s="240" t="s">
        <v>40</v>
      </c>
      <c r="Z84" s="241"/>
      <c r="AA84" s="242"/>
      <c r="AB84" s="243">
        <f>AB82*AB83</f>
        <v>1649.65</v>
      </c>
    </row>
    <row r="85" spans="2:28" ht="15" customHeight="1">
      <c r="B85" s="271" t="s">
        <v>45</v>
      </c>
      <c r="C85" s="213">
        <v>0.10308211953017005</v>
      </c>
      <c r="D85" s="209"/>
      <c r="E85" s="191">
        <v>4505.7134407699377</v>
      </c>
      <c r="F85" s="192"/>
      <c r="G85" s="205" t="str">
        <f>B59</f>
        <v>Occupancy</v>
      </c>
      <c r="H85" s="232"/>
      <c r="I85" s="226"/>
      <c r="J85" s="281">
        <f>H20*I76</f>
        <v>175.65000000000003</v>
      </c>
      <c r="K85" s="183"/>
      <c r="L85" s="205" t="s">
        <v>45</v>
      </c>
      <c r="M85" s="212">
        <f>H87</f>
        <v>0.109</v>
      </c>
      <c r="N85" s="206"/>
      <c r="O85" s="187">
        <f>M85*O84</f>
        <v>5285.6797322950279</v>
      </c>
      <c r="Y85" s="475"/>
      <c r="Z85" s="477"/>
      <c r="AA85" s="477"/>
      <c r="AB85" s="477"/>
    </row>
    <row r="86" spans="2:28" ht="15" customHeight="1">
      <c r="B86" s="271"/>
      <c r="C86" s="213"/>
      <c r="D86" s="209"/>
      <c r="E86" s="191"/>
      <c r="F86" s="192"/>
      <c r="G86" s="197" t="s">
        <v>43</v>
      </c>
      <c r="H86" s="198"/>
      <c r="I86" s="198"/>
      <c r="J86" s="200">
        <f>SUM(J81:J85)</f>
        <v>48492.474608211262</v>
      </c>
      <c r="K86" s="183"/>
      <c r="L86" s="205"/>
      <c r="M86" s="212"/>
      <c r="N86" s="206"/>
      <c r="O86" s="187"/>
      <c r="Y86" s="168"/>
    </row>
    <row r="87" spans="2:28" ht="15" customHeight="1" thickBot="1">
      <c r="B87" s="282" t="s">
        <v>50</v>
      </c>
      <c r="C87" s="248"/>
      <c r="D87" s="248"/>
      <c r="E87" s="249">
        <v>48215.655196975349</v>
      </c>
      <c r="F87" s="185"/>
      <c r="G87" s="205" t="s">
        <v>45</v>
      </c>
      <c r="H87" s="78">
        <f>$H$23</f>
        <v>0.109</v>
      </c>
      <c r="I87" s="206"/>
      <c r="J87" s="187">
        <f>H87*J86</f>
        <v>5285.6797322950279</v>
      </c>
      <c r="K87" s="250"/>
      <c r="L87" s="244" t="s">
        <v>50</v>
      </c>
      <c r="M87" s="245"/>
      <c r="N87" s="245"/>
      <c r="O87" s="246">
        <f>SUM(O84:O85)</f>
        <v>53778.154340506291</v>
      </c>
      <c r="Y87" s="168"/>
    </row>
    <row r="88" spans="2:28" ht="15" customHeight="1" thickTop="1">
      <c r="B88" s="271" t="s">
        <v>54</v>
      </c>
      <c r="C88" s="213">
        <v>3.3718689788053743E-2</v>
      </c>
      <c r="D88" s="209"/>
      <c r="E88" s="252">
        <v>49841.423917489919</v>
      </c>
      <c r="F88" s="253"/>
      <c r="G88" s="205" t="str">
        <f>G24</f>
        <v>PFMLA Trust Contribution</v>
      </c>
      <c r="H88" s="212">
        <f>H24</f>
        <v>3.7000000000000002E-3</v>
      </c>
      <c r="I88" s="206"/>
      <c r="J88" s="187">
        <f>J78*H88</f>
        <v>129.10771895215572</v>
      </c>
      <c r="K88" s="255"/>
      <c r="L88" s="205" t="s">
        <v>52</v>
      </c>
      <c r="M88" s="212"/>
      <c r="N88" s="206"/>
      <c r="O88" s="251">
        <f>O87/O72</f>
        <v>32.599735907923673</v>
      </c>
      <c r="Y88" s="168"/>
    </row>
    <row r="89" spans="2:28" ht="15" customHeight="1" thickBot="1">
      <c r="B89" s="271"/>
      <c r="C89" s="209"/>
      <c r="D89" s="209"/>
      <c r="E89" s="257" t="s">
        <v>56</v>
      </c>
      <c r="F89" s="258"/>
      <c r="G89" s="244" t="s">
        <v>50</v>
      </c>
      <c r="H89" s="245"/>
      <c r="I89" s="245"/>
      <c r="J89" s="246">
        <f>SUM(J86:J88)</f>
        <v>53907.262059458444</v>
      </c>
      <c r="K89" s="250"/>
      <c r="L89" s="205" t="s">
        <v>54</v>
      </c>
      <c r="M89" s="212" t="e">
        <f>M67</f>
        <v>#REF!</v>
      </c>
      <c r="N89" s="206"/>
      <c r="O89" s="256" t="e">
        <f>(O87*M89)+O87</f>
        <v>#REF!</v>
      </c>
      <c r="Y89" s="168"/>
    </row>
    <row r="90" spans="2:28" ht="15" customHeight="1" thickTop="1" thickBot="1">
      <c r="B90" s="139" t="s">
        <v>58</v>
      </c>
      <c r="C90" s="140"/>
      <c r="D90" s="141"/>
      <c r="E90" s="142">
        <v>32.153164368995995</v>
      </c>
      <c r="F90" s="143"/>
      <c r="G90" s="205" t="str">
        <f>G25</f>
        <v xml:space="preserve"> CAF (Period FY21 &amp; FY22)</v>
      </c>
      <c r="H90" s="212">
        <f>H25</f>
        <v>1.7780248869661817E-2</v>
      </c>
      <c r="I90" s="206"/>
      <c r="J90" s="254">
        <f>(J89*H90)-(J78*H90)</f>
        <v>338.0609207144704</v>
      </c>
      <c r="L90" s="144" t="s">
        <v>73</v>
      </c>
      <c r="M90" s="145"/>
      <c r="N90" s="146"/>
      <c r="O90" s="261" t="e">
        <f>O89/O72</f>
        <v>#REF!</v>
      </c>
      <c r="Y90" s="168"/>
    </row>
    <row r="91" spans="2:28" ht="15" customHeight="1">
      <c r="G91" s="205" t="s">
        <v>10</v>
      </c>
      <c r="H91" s="212"/>
      <c r="I91" s="206"/>
      <c r="J91" s="256">
        <f>J90+J89</f>
        <v>54245.322980172918</v>
      </c>
      <c r="K91" s="16"/>
      <c r="Y91" s="168"/>
    </row>
    <row r="92" spans="2:28" ht="15" customHeight="1" thickBot="1">
      <c r="G92" s="144" t="s">
        <v>59</v>
      </c>
      <c r="H92" s="145"/>
      <c r="I92" s="146"/>
      <c r="J92" s="263">
        <f>J91/J74</f>
        <v>32.882928487965877</v>
      </c>
      <c r="K92" s="16">
        <f>J92*0.25</f>
        <v>8.2207321219914693</v>
      </c>
      <c r="Y92" s="151"/>
    </row>
    <row r="93" spans="2:28" ht="15" customHeight="1" thickBot="1">
      <c r="G93" s="154" t="s">
        <v>61</v>
      </c>
      <c r="H93" s="155"/>
      <c r="I93" s="156"/>
      <c r="J93" s="265">
        <f>J92/4</f>
        <v>8.2207321219914693</v>
      </c>
      <c r="K93" s="16">
        <f>J93*0.25</f>
        <v>2.0551830304978673</v>
      </c>
      <c r="Y93" s="158"/>
      <c r="Z93" s="266"/>
    </row>
    <row r="94" spans="2:28" ht="15" customHeight="1" thickBot="1">
      <c r="B94" s="457" t="s">
        <v>86</v>
      </c>
      <c r="C94" s="458"/>
      <c r="D94" s="458"/>
      <c r="E94" s="459"/>
      <c r="F94" s="6"/>
      <c r="K94" s="174"/>
      <c r="L94" s="460" t="s">
        <v>81</v>
      </c>
      <c r="M94" s="461"/>
      <c r="N94" s="461"/>
      <c r="O94" s="462"/>
      <c r="Y94" s="162"/>
      <c r="Z94" s="163"/>
    </row>
    <row r="95" spans="2:28" ht="15" customHeight="1" thickBot="1">
      <c r="B95" s="11" t="s">
        <v>12</v>
      </c>
      <c r="C95" s="463" t="s">
        <v>13</v>
      </c>
      <c r="D95" s="463"/>
      <c r="E95" s="12">
        <v>1453.7249999999999</v>
      </c>
      <c r="F95" s="13"/>
      <c r="K95" s="183"/>
      <c r="L95" s="14" t="s">
        <v>12</v>
      </c>
      <c r="M95" s="464" t="s">
        <v>13</v>
      </c>
      <c r="N95" s="464"/>
      <c r="O95" s="15">
        <f>J97</f>
        <v>1645.65</v>
      </c>
      <c r="Y95" s="168"/>
    </row>
    <row r="96" spans="2:28" ht="15" customHeight="1" thickBot="1">
      <c r="B96" s="283"/>
      <c r="C96" s="180" t="s">
        <v>16</v>
      </c>
      <c r="D96" s="180" t="s">
        <v>17</v>
      </c>
      <c r="E96" s="181" t="s">
        <v>18</v>
      </c>
      <c r="F96" s="182"/>
      <c r="G96" s="460" t="s">
        <v>219</v>
      </c>
      <c r="H96" s="461"/>
      <c r="I96" s="461"/>
      <c r="J96" s="462"/>
      <c r="K96" s="183"/>
      <c r="L96" s="175"/>
      <c r="M96" s="176" t="s">
        <v>16</v>
      </c>
      <c r="N96" s="176" t="s">
        <v>17</v>
      </c>
      <c r="O96" s="177" t="s">
        <v>18</v>
      </c>
      <c r="Y96" s="8" t="s">
        <v>7</v>
      </c>
      <c r="Z96" s="172" t="s">
        <v>8</v>
      </c>
      <c r="AA96" s="172" t="s">
        <v>9</v>
      </c>
      <c r="AB96" s="173" t="s">
        <v>10</v>
      </c>
    </row>
    <row r="97" spans="2:29" ht="15" customHeight="1">
      <c r="B97" s="268" t="s">
        <v>15</v>
      </c>
      <c r="C97" s="189">
        <v>50346.250729022722</v>
      </c>
      <c r="D97" s="190">
        <v>0.05</v>
      </c>
      <c r="E97" s="191">
        <v>2517.3125364511361</v>
      </c>
      <c r="F97" s="192"/>
      <c r="G97" s="14" t="s">
        <v>12</v>
      </c>
      <c r="H97" s="464" t="s">
        <v>13</v>
      </c>
      <c r="I97" s="464"/>
      <c r="J97" s="15">
        <f>AB108</f>
        <v>1645.65</v>
      </c>
      <c r="K97" s="183"/>
      <c r="L97" s="184" t="str">
        <f t="shared" ref="L97:M99" si="0">G99</f>
        <v>Management</v>
      </c>
      <c r="M97" s="185">
        <f t="shared" si="0"/>
        <v>53919.561903544411</v>
      </c>
      <c r="N97" s="186">
        <f>$H$14</f>
        <v>0.05</v>
      </c>
      <c r="O97" s="187">
        <f>M97*N97</f>
        <v>2695.9780951772209</v>
      </c>
      <c r="Y97" s="17" t="s">
        <v>14</v>
      </c>
      <c r="Z97" s="18">
        <v>52</v>
      </c>
      <c r="AA97" s="18">
        <v>40</v>
      </c>
      <c r="AB97" s="178">
        <v>2080</v>
      </c>
    </row>
    <row r="98" spans="2:29" ht="15" customHeight="1">
      <c r="B98" s="268" t="s">
        <v>87</v>
      </c>
      <c r="C98" s="189">
        <v>34049.646718511503</v>
      </c>
      <c r="D98" s="190">
        <v>0.05</v>
      </c>
      <c r="E98" s="191">
        <v>1702.4823359255752</v>
      </c>
      <c r="F98" s="192"/>
      <c r="G98" s="175"/>
      <c r="H98" s="176" t="s">
        <v>16</v>
      </c>
      <c r="I98" s="176" t="s">
        <v>17</v>
      </c>
      <c r="J98" s="177" t="s">
        <v>18</v>
      </c>
      <c r="K98" s="183"/>
      <c r="L98" s="184" t="str">
        <f t="shared" si="0"/>
        <v>Direct Care III</v>
      </c>
      <c r="M98" s="185">
        <f t="shared" si="0"/>
        <v>41517</v>
      </c>
      <c r="N98" s="186">
        <v>0.65</v>
      </c>
      <c r="O98" s="187">
        <f>N98*M98</f>
        <v>26986.05</v>
      </c>
      <c r="Y98" s="17"/>
      <c r="Z98" s="18"/>
      <c r="AA98" s="18"/>
      <c r="AB98" s="19"/>
    </row>
    <row r="99" spans="2:29" ht="15.75" customHeight="1">
      <c r="B99" s="284" t="s">
        <v>83</v>
      </c>
      <c r="C99" s="189">
        <v>29462.513825353475</v>
      </c>
      <c r="D99" s="190">
        <v>0.95</v>
      </c>
      <c r="E99" s="191">
        <v>27989.388134085799</v>
      </c>
      <c r="F99" s="192"/>
      <c r="G99" s="184" t="str">
        <f>B73</f>
        <v>Management</v>
      </c>
      <c r="H99" s="185">
        <f>H5</f>
        <v>53919.561903544411</v>
      </c>
      <c r="I99" s="186">
        <f>$H$14</f>
        <v>0.05</v>
      </c>
      <c r="J99" s="187">
        <f>H99*I99</f>
        <v>2695.9780951772209</v>
      </c>
      <c r="K99" s="183"/>
      <c r="L99" s="184" t="str">
        <f t="shared" si="0"/>
        <v>Direct Care</v>
      </c>
      <c r="M99" s="185">
        <f t="shared" si="0"/>
        <v>32198</v>
      </c>
      <c r="N99" s="186">
        <v>0.35</v>
      </c>
      <c r="O99" s="187">
        <f>N99*M99</f>
        <v>11269.3</v>
      </c>
      <c r="Y99" s="17" t="s">
        <v>76</v>
      </c>
      <c r="Z99" s="18"/>
      <c r="AA99" s="18"/>
      <c r="AB99" s="19"/>
    </row>
    <row r="100" spans="2:29" ht="13.5" customHeight="1">
      <c r="B100" s="269" t="s">
        <v>25</v>
      </c>
      <c r="C100" s="202"/>
      <c r="D100" s="203">
        <v>1.05</v>
      </c>
      <c r="E100" s="204">
        <v>32209.18300646251</v>
      </c>
      <c r="F100" s="185"/>
      <c r="G100" s="184" t="s">
        <v>29</v>
      </c>
      <c r="H100" s="196">
        <v>41517</v>
      </c>
      <c r="I100" s="186">
        <v>0.2</v>
      </c>
      <c r="J100" s="187">
        <f>I100*H100</f>
        <v>8303.4</v>
      </c>
      <c r="K100" s="183"/>
      <c r="L100" s="197" t="s">
        <v>25</v>
      </c>
      <c r="M100" s="198"/>
      <c r="N100" s="199">
        <f>SUM(N97:N99)</f>
        <v>1.05</v>
      </c>
      <c r="O100" s="200">
        <f>SUM(O97:O99)</f>
        <v>40951.328095177218</v>
      </c>
      <c r="Y100" s="46" t="s">
        <v>69</v>
      </c>
      <c r="Z100" s="193">
        <v>4</v>
      </c>
      <c r="AA100" s="194">
        <v>40</v>
      </c>
      <c r="AB100" s="195">
        <f>Z100*AA100</f>
        <v>160</v>
      </c>
    </row>
    <row r="101" spans="2:29" ht="15" customHeight="1">
      <c r="B101" s="270"/>
      <c r="C101" s="209"/>
      <c r="D101" s="208"/>
      <c r="E101" s="210"/>
      <c r="F101" s="211"/>
      <c r="G101" s="184" t="str">
        <f>G12</f>
        <v>Direct Care</v>
      </c>
      <c r="H101" s="196">
        <f>H12</f>
        <v>32198</v>
      </c>
      <c r="I101" s="186">
        <v>0.8</v>
      </c>
      <c r="J101" s="187">
        <f>I101*H101</f>
        <v>25758.400000000001</v>
      </c>
      <c r="K101" s="183"/>
      <c r="L101" s="205"/>
      <c r="M101" s="206"/>
      <c r="N101" s="206"/>
      <c r="O101" s="207"/>
      <c r="Y101" s="50"/>
      <c r="Z101" s="201"/>
      <c r="AA101" s="194"/>
      <c r="AB101" s="49"/>
    </row>
    <row r="102" spans="2:29" ht="15" customHeight="1">
      <c r="B102" s="271" t="s">
        <v>30</v>
      </c>
      <c r="C102" s="213">
        <v>0.20676407024615401</v>
      </c>
      <c r="D102" s="209"/>
      <c r="E102" s="191">
        <v>6659.7017777194442</v>
      </c>
      <c r="F102" s="192"/>
      <c r="G102" s="197" t="s">
        <v>25</v>
      </c>
      <c r="H102" s="198"/>
      <c r="I102" s="199">
        <f>SUM(I99:I101)</f>
        <v>1.05</v>
      </c>
      <c r="J102" s="200">
        <f>SUM(J99:J101)</f>
        <v>36757.778095177222</v>
      </c>
      <c r="K102" s="183"/>
      <c r="L102" s="205" t="s">
        <v>30</v>
      </c>
      <c r="M102" s="212">
        <f>H104</f>
        <v>0.22309999999999999</v>
      </c>
      <c r="N102" s="206"/>
      <c r="O102" s="187">
        <f>M102*O100</f>
        <v>9136.2412980340378</v>
      </c>
      <c r="Y102" s="46" t="s">
        <v>71</v>
      </c>
      <c r="Z102" s="193">
        <f>Z97-Z100-Z104</f>
        <v>47.7</v>
      </c>
      <c r="AA102" s="194">
        <v>2.5</v>
      </c>
      <c r="AB102" s="195">
        <f>AA102*Z102</f>
        <v>119.25</v>
      </c>
    </row>
    <row r="103" spans="2:29" ht="15" customHeight="1" thickBot="1">
      <c r="B103" s="273" t="s">
        <v>33</v>
      </c>
      <c r="C103" s="222"/>
      <c r="D103" s="223"/>
      <c r="E103" s="224">
        <v>38868.884784181952</v>
      </c>
      <c r="F103" s="185"/>
      <c r="G103" s="205"/>
      <c r="H103" s="206"/>
      <c r="I103" s="206"/>
      <c r="J103" s="207"/>
      <c r="K103" s="183"/>
      <c r="L103" s="214" t="s">
        <v>33</v>
      </c>
      <c r="M103" s="215"/>
      <c r="N103" s="216"/>
      <c r="O103" s="217">
        <f>SUM(O100:O102)</f>
        <v>50087.569393211255</v>
      </c>
      <c r="Y103" s="46" t="s">
        <v>84</v>
      </c>
      <c r="Z103" s="193">
        <f>Z97-Z100-Z104</f>
        <v>47.7</v>
      </c>
      <c r="AA103" s="194">
        <v>3</v>
      </c>
      <c r="AB103" s="195">
        <f>AA103*Z103</f>
        <v>143.10000000000002</v>
      </c>
    </row>
    <row r="104" spans="2:29" ht="15.75" customHeight="1" thickTop="1">
      <c r="B104" s="268" t="s">
        <v>39</v>
      </c>
      <c r="C104" s="291"/>
      <c r="D104" s="230"/>
      <c r="E104" s="191">
        <v>202.5</v>
      </c>
      <c r="F104" s="192"/>
      <c r="G104" s="205" t="s">
        <v>30</v>
      </c>
      <c r="H104" s="212">
        <f>H17</f>
        <v>0.22309999999999999</v>
      </c>
      <c r="I104" s="206"/>
      <c r="J104" s="187">
        <f>H104*J102</f>
        <v>8200.6602930340377</v>
      </c>
      <c r="K104" s="183"/>
      <c r="L104" s="184" t="str">
        <f>G106</f>
        <v>Staff Training (Per Day)</v>
      </c>
      <c r="M104" s="225"/>
      <c r="N104" s="226"/>
      <c r="O104" s="272">
        <f>J106</f>
        <v>154.5</v>
      </c>
      <c r="Y104" s="218" t="s">
        <v>72</v>
      </c>
      <c r="Z104" s="220">
        <v>0.3</v>
      </c>
      <c r="AA104" s="220">
        <v>40</v>
      </c>
      <c r="AB104" s="221">
        <f>Z104*AA104</f>
        <v>12</v>
      </c>
    </row>
    <row r="105" spans="2:29" ht="15" customHeight="1" thickBot="1">
      <c r="B105" s="271" t="s">
        <v>79</v>
      </c>
      <c r="C105" s="189"/>
      <c r="D105" s="230"/>
      <c r="E105" s="191">
        <v>1152.4197555347644</v>
      </c>
      <c r="F105" s="192"/>
      <c r="G105" s="214" t="s">
        <v>33</v>
      </c>
      <c r="H105" s="215"/>
      <c r="I105" s="216"/>
      <c r="J105" s="217">
        <f>SUM(J102:J104)</f>
        <v>44958.43838821126</v>
      </c>
      <c r="K105" s="183"/>
      <c r="L105" s="184" t="str">
        <f>G107</f>
        <v>Staff Mileage / Travel</v>
      </c>
      <c r="M105" s="225"/>
      <c r="N105" s="226"/>
      <c r="O105" s="272">
        <f>J107</f>
        <v>1209</v>
      </c>
      <c r="Y105" s="46" t="s">
        <v>31</v>
      </c>
      <c r="Z105" s="228"/>
      <c r="AA105" s="228"/>
      <c r="AB105" s="195">
        <f>SUM(AB100:AB104)</f>
        <v>434.35</v>
      </c>
    </row>
    <row r="106" spans="2:29" ht="15" customHeight="1" thickTop="1">
      <c r="B106" s="280" t="s">
        <v>60</v>
      </c>
      <c r="C106" s="189"/>
      <c r="D106" s="230"/>
      <c r="E106" s="191">
        <v>4039</v>
      </c>
      <c r="F106" s="192"/>
      <c r="G106" s="184" t="str">
        <f>B80</f>
        <v>Staff Training (Per Day)</v>
      </c>
      <c r="H106" s="225"/>
      <c r="I106" s="226"/>
      <c r="J106" s="272">
        <f>H18*(AB104/8)</f>
        <v>154.5</v>
      </c>
      <c r="K106" s="16"/>
      <c r="L106" s="184" t="str">
        <f>G108</f>
        <v>Program Support - Clerical</v>
      </c>
      <c r="M106" s="225"/>
      <c r="N106" s="226"/>
      <c r="O106" s="272">
        <f>J108</f>
        <v>4326</v>
      </c>
      <c r="Y106" s="218" t="s">
        <v>34</v>
      </c>
      <c r="Z106" s="231"/>
      <c r="AA106" s="231"/>
      <c r="AB106" s="221">
        <f>AB97-AB105</f>
        <v>1645.65</v>
      </c>
    </row>
    <row r="107" spans="2:29" ht="15" customHeight="1" thickBot="1">
      <c r="B107" s="280" t="s">
        <v>42</v>
      </c>
      <c r="C107" s="236"/>
      <c r="D107" s="230"/>
      <c r="E107" s="237">
        <v>247.65000000000006</v>
      </c>
      <c r="F107" s="238"/>
      <c r="G107" s="184" t="str">
        <f>B81</f>
        <v>Staff Mileage / Travel</v>
      </c>
      <c r="H107" s="225"/>
      <c r="I107" s="226"/>
      <c r="J107" s="272">
        <f>H19</f>
        <v>1209</v>
      </c>
      <c r="K107" s="183"/>
      <c r="L107" s="184" t="str">
        <f>G109</f>
        <v>Occupancy (Office Space)</v>
      </c>
      <c r="M107" s="285"/>
      <c r="N107" s="226"/>
      <c r="O107" s="272">
        <f>J109</f>
        <v>175.65000000000003</v>
      </c>
      <c r="Y107" s="46" t="s">
        <v>37</v>
      </c>
      <c r="Z107" s="233"/>
      <c r="AA107" s="233"/>
      <c r="AB107" s="234">
        <v>1</v>
      </c>
    </row>
    <row r="108" spans="2:29" ht="15" customHeight="1" thickBot="1">
      <c r="B108" s="269" t="s">
        <v>43</v>
      </c>
      <c r="C108" s="202"/>
      <c r="D108" s="202"/>
      <c r="E108" s="204">
        <v>44510.454539716717</v>
      </c>
      <c r="F108" s="185"/>
      <c r="G108" s="184" t="str">
        <f>B82</f>
        <v>Program Support - Clerical</v>
      </c>
      <c r="H108" s="225"/>
      <c r="I108" s="226"/>
      <c r="J108" s="272">
        <f>H22</f>
        <v>4326</v>
      </c>
      <c r="K108" s="183"/>
      <c r="L108" s="197" t="s">
        <v>43</v>
      </c>
      <c r="M108" s="198"/>
      <c r="N108" s="198"/>
      <c r="O108" s="200">
        <f>SUM(O103:O107)</f>
        <v>55952.719393211257</v>
      </c>
      <c r="Y108" s="240" t="s">
        <v>40</v>
      </c>
      <c r="Z108" s="241"/>
      <c r="AA108" s="242"/>
      <c r="AB108" s="243">
        <f>AB107*AB106</f>
        <v>1645.65</v>
      </c>
    </row>
    <row r="109" spans="2:29" ht="15" customHeight="1">
      <c r="B109" s="271" t="s">
        <v>45</v>
      </c>
      <c r="C109" s="213">
        <v>0.10308211953017005</v>
      </c>
      <c r="D109" s="209"/>
      <c r="E109" s="191">
        <v>4588.2319952052785</v>
      </c>
      <c r="F109" s="192"/>
      <c r="G109" s="184" t="str">
        <f>B83</f>
        <v>Occupancy (Office Space)</v>
      </c>
      <c r="H109" s="285"/>
      <c r="I109" s="226"/>
      <c r="J109" s="281">
        <f>H20*I99</f>
        <v>175.65000000000003</v>
      </c>
      <c r="K109" s="183"/>
      <c r="L109" s="205" t="s">
        <v>45</v>
      </c>
      <c r="M109" s="212">
        <f>H111</f>
        <v>0.109</v>
      </c>
      <c r="N109" s="206"/>
      <c r="O109" s="187">
        <f>M109*O108</f>
        <v>6098.8464138600266</v>
      </c>
      <c r="Y109" s="475"/>
      <c r="Z109" s="476"/>
      <c r="AA109" s="476"/>
      <c r="AB109" s="476"/>
    </row>
    <row r="110" spans="2:29" ht="15" customHeight="1">
      <c r="B110" s="271"/>
      <c r="C110" s="213"/>
      <c r="D110" s="209"/>
      <c r="E110" s="191"/>
      <c r="F110" s="192"/>
      <c r="G110" s="197" t="s">
        <v>43</v>
      </c>
      <c r="H110" s="198"/>
      <c r="I110" s="198"/>
      <c r="J110" s="200">
        <f>SUM(J105:J109)</f>
        <v>50823.588388211261</v>
      </c>
      <c r="K110" s="183"/>
      <c r="L110" s="205"/>
      <c r="M110" s="212"/>
      <c r="N110" s="206"/>
      <c r="O110" s="187"/>
      <c r="Y110" s="287"/>
      <c r="Z110" s="288"/>
      <c r="AA110" s="288"/>
      <c r="AB110" s="288"/>
    </row>
    <row r="111" spans="2:29" ht="15" customHeight="1" thickBot="1">
      <c r="B111" s="282" t="s">
        <v>50</v>
      </c>
      <c r="C111" s="248"/>
      <c r="D111" s="248"/>
      <c r="E111" s="249">
        <v>49098.686534921995</v>
      </c>
      <c r="F111" s="185"/>
      <c r="G111" s="205" t="s">
        <v>45</v>
      </c>
      <c r="H111" s="78">
        <f>$H$23</f>
        <v>0.109</v>
      </c>
      <c r="I111" s="206"/>
      <c r="J111" s="187">
        <f>H111*J110</f>
        <v>5539.7711343150277</v>
      </c>
      <c r="K111" s="250"/>
      <c r="L111" s="244" t="s">
        <v>50</v>
      </c>
      <c r="M111" s="245"/>
      <c r="N111" s="245"/>
      <c r="O111" s="246">
        <f>SUM(O108:O109)</f>
        <v>62051.565807071282</v>
      </c>
      <c r="Y111" s="168"/>
      <c r="AC111" s="3"/>
    </row>
    <row r="112" spans="2:29" ht="15" customHeight="1" thickTop="1">
      <c r="B112" s="271" t="s">
        <v>54</v>
      </c>
      <c r="C112" s="213">
        <v>3.3718689788053743E-2</v>
      </c>
      <c r="D112" s="209"/>
      <c r="E112" s="252">
        <v>50754.229915193922</v>
      </c>
      <c r="F112" s="253"/>
      <c r="G112" s="205" t="str">
        <f>G24</f>
        <v>PFMLA Trust Contribution</v>
      </c>
      <c r="H112" s="212">
        <f>H24</f>
        <v>3.7000000000000002E-3</v>
      </c>
      <c r="I112" s="206"/>
      <c r="J112" s="187">
        <f>J102*H112</f>
        <v>136.00377895215573</v>
      </c>
      <c r="K112" s="255"/>
      <c r="L112" s="205" t="s">
        <v>52</v>
      </c>
      <c r="M112" s="212"/>
      <c r="N112" s="206"/>
      <c r="O112" s="251">
        <f>O111/O95</f>
        <v>37.70641740775455</v>
      </c>
      <c r="Y112" s="168"/>
    </row>
    <row r="113" spans="2:28" ht="15.75" customHeight="1" thickBot="1">
      <c r="B113" s="271"/>
      <c r="C113" s="209"/>
      <c r="D113" s="209"/>
      <c r="E113" s="257" t="s">
        <v>56</v>
      </c>
      <c r="F113" s="258"/>
      <c r="G113" s="244" t="s">
        <v>50</v>
      </c>
      <c r="H113" s="245"/>
      <c r="I113" s="245"/>
      <c r="J113" s="246">
        <f>SUM(J110:J112)</f>
        <v>56499.36330147845</v>
      </c>
      <c r="K113" s="250"/>
      <c r="L113" s="205" t="s">
        <v>54</v>
      </c>
      <c r="M113" s="212" t="e">
        <f>M89</f>
        <v>#REF!</v>
      </c>
      <c r="N113" s="206"/>
      <c r="O113" s="256" t="e">
        <f>(O111*M113)+O111</f>
        <v>#REF!</v>
      </c>
      <c r="Y113" s="262"/>
    </row>
    <row r="114" spans="2:28" ht="15" customHeight="1" thickTop="1" thickBot="1">
      <c r="B114" s="139" t="s">
        <v>58</v>
      </c>
      <c r="C114" s="140"/>
      <c r="D114" s="141"/>
      <c r="E114" s="142">
        <v>34.893226308410405</v>
      </c>
      <c r="F114" s="143"/>
      <c r="G114" s="205" t="str">
        <f>G25</f>
        <v xml:space="preserve"> CAF (Period FY21 &amp; FY22)</v>
      </c>
      <c r="H114" s="212">
        <f>H25</f>
        <v>1.7780248869661817E-2</v>
      </c>
      <c r="I114" s="206"/>
      <c r="J114" s="254">
        <f>(J113*H114)-(J102*H114)</f>
        <v>351.01029804966981</v>
      </c>
      <c r="K114" s="250"/>
      <c r="L114" s="144" t="s">
        <v>73</v>
      </c>
      <c r="M114" s="145"/>
      <c r="N114" s="146"/>
      <c r="O114" s="261" t="e">
        <f>O113/O95</f>
        <v>#REF!</v>
      </c>
      <c r="Y114" s="168"/>
    </row>
    <row r="115" spans="2:28" ht="15" customHeight="1">
      <c r="G115" s="205" t="s">
        <v>10</v>
      </c>
      <c r="H115" s="212"/>
      <c r="I115" s="206"/>
      <c r="J115" s="256">
        <f>J114+J113</f>
        <v>56850.373599528117</v>
      </c>
      <c r="K115" s="16"/>
      <c r="Y115" s="168"/>
    </row>
    <row r="116" spans="2:28" ht="15" customHeight="1" thickBot="1">
      <c r="G116" s="144" t="s">
        <v>59</v>
      </c>
      <c r="H116" s="145"/>
      <c r="I116" s="146"/>
      <c r="J116" s="263">
        <f>J115/J97-0.07</f>
        <v>34.475847294095409</v>
      </c>
      <c r="K116" s="16">
        <f>J116*0.25</f>
        <v>8.6189618235238523</v>
      </c>
      <c r="Y116" s="151"/>
    </row>
    <row r="117" spans="2:28" ht="15" customHeight="1" thickBot="1">
      <c r="G117" s="154" t="s">
        <v>61</v>
      </c>
      <c r="H117" s="155"/>
      <c r="I117" s="156"/>
      <c r="J117" s="289">
        <f>J116*0.25</f>
        <v>8.6189618235238523</v>
      </c>
      <c r="K117" s="16">
        <f>J117*0.25</f>
        <v>2.1547404558809631</v>
      </c>
      <c r="Y117" s="158"/>
      <c r="Z117" s="266"/>
    </row>
    <row r="118" spans="2:28" ht="15" customHeight="1" thickBot="1">
      <c r="B118" s="457" t="s">
        <v>90</v>
      </c>
      <c r="C118" s="458"/>
      <c r="D118" s="458"/>
      <c r="E118" s="459"/>
      <c r="F118" s="6"/>
      <c r="K118" s="174"/>
      <c r="L118" s="460" t="s">
        <v>85</v>
      </c>
      <c r="M118" s="461"/>
      <c r="N118" s="461"/>
      <c r="O118" s="462"/>
      <c r="Y118" s="162"/>
      <c r="Z118" s="163"/>
    </row>
    <row r="119" spans="2:28" ht="15" customHeight="1" thickBot="1">
      <c r="B119" s="11" t="s">
        <v>12</v>
      </c>
      <c r="C119" s="463" t="s">
        <v>13</v>
      </c>
      <c r="D119" s="463"/>
      <c r="E119" s="12">
        <v>1337.75</v>
      </c>
      <c r="F119" s="13"/>
      <c r="K119" s="183"/>
      <c r="L119" s="14" t="s">
        <v>12</v>
      </c>
      <c r="M119" s="464" t="s">
        <v>13</v>
      </c>
      <c r="N119" s="464"/>
      <c r="O119" s="15">
        <f>J121</f>
        <v>1574.1</v>
      </c>
      <c r="Y119" s="168"/>
    </row>
    <row r="120" spans="2:28" ht="15" customHeight="1" thickBot="1">
      <c r="B120" s="283"/>
      <c r="C120" s="180" t="s">
        <v>16</v>
      </c>
      <c r="D120" s="180" t="s">
        <v>17</v>
      </c>
      <c r="E120" s="181" t="s">
        <v>18</v>
      </c>
      <c r="F120" s="182"/>
      <c r="G120" s="460" t="s">
        <v>220</v>
      </c>
      <c r="H120" s="461"/>
      <c r="I120" s="461"/>
      <c r="J120" s="462"/>
      <c r="K120" s="183"/>
      <c r="L120" s="175"/>
      <c r="M120" s="176" t="s">
        <v>16</v>
      </c>
      <c r="N120" s="176" t="s">
        <v>17</v>
      </c>
      <c r="O120" s="177" t="s">
        <v>18</v>
      </c>
      <c r="Y120" s="8" t="s">
        <v>7</v>
      </c>
      <c r="Z120" s="172" t="s">
        <v>8</v>
      </c>
      <c r="AA120" s="172" t="s">
        <v>9</v>
      </c>
      <c r="AB120" s="173" t="s">
        <v>10</v>
      </c>
    </row>
    <row r="121" spans="2:28" ht="15" customHeight="1">
      <c r="B121" s="268" t="s">
        <v>15</v>
      </c>
      <c r="C121" s="189">
        <v>50346.250729022722</v>
      </c>
      <c r="D121" s="190">
        <v>0.05</v>
      </c>
      <c r="E121" s="191">
        <v>2517.3125364511361</v>
      </c>
      <c r="F121" s="192"/>
      <c r="G121" s="14" t="s">
        <v>12</v>
      </c>
      <c r="H121" s="464" t="s">
        <v>13</v>
      </c>
      <c r="I121" s="464"/>
      <c r="J121" s="15">
        <f>AB132</f>
        <v>1574.1</v>
      </c>
      <c r="K121" s="183"/>
      <c r="L121" s="184" t="str">
        <f t="shared" ref="L121:M123" si="1">G123</f>
        <v>Management</v>
      </c>
      <c r="M121" s="185">
        <f t="shared" si="1"/>
        <v>53919.561903544411</v>
      </c>
      <c r="N121" s="186">
        <f>$H$14</f>
        <v>0.05</v>
      </c>
      <c r="O121" s="187">
        <f>M121*N121</f>
        <v>2695.9780951772209</v>
      </c>
      <c r="Y121" s="17" t="s">
        <v>14</v>
      </c>
      <c r="Z121" s="18">
        <v>52</v>
      </c>
      <c r="AA121" s="18">
        <v>40</v>
      </c>
      <c r="AB121" s="178">
        <f>52*40</f>
        <v>2080</v>
      </c>
    </row>
    <row r="122" spans="2:28" ht="15" customHeight="1">
      <c r="B122" s="268" t="s">
        <v>87</v>
      </c>
      <c r="C122" s="189">
        <v>34049.646718511503</v>
      </c>
      <c r="D122" s="190">
        <v>0.3</v>
      </c>
      <c r="E122" s="191">
        <v>10214.894015553451</v>
      </c>
      <c r="F122" s="192"/>
      <c r="G122" s="175"/>
      <c r="H122" s="176" t="s">
        <v>16</v>
      </c>
      <c r="I122" s="176" t="s">
        <v>17</v>
      </c>
      <c r="J122" s="177" t="s">
        <v>18</v>
      </c>
      <c r="K122" s="183"/>
      <c r="L122" s="184" t="str">
        <f t="shared" si="1"/>
        <v>Direct Care III</v>
      </c>
      <c r="M122" s="185">
        <f t="shared" si="1"/>
        <v>41517</v>
      </c>
      <c r="N122" s="186">
        <v>0.05</v>
      </c>
      <c r="O122" s="187">
        <f>M122*N122</f>
        <v>2075.85</v>
      </c>
      <c r="Y122" s="17" t="s">
        <v>76</v>
      </c>
      <c r="Z122" s="18"/>
      <c r="AA122" s="18"/>
      <c r="AB122" s="19"/>
    </row>
    <row r="123" spans="2:28" ht="15" customHeight="1">
      <c r="B123" s="284" t="s">
        <v>83</v>
      </c>
      <c r="C123" s="189">
        <v>29462.513825353475</v>
      </c>
      <c r="D123" s="190">
        <v>0.7</v>
      </c>
      <c r="E123" s="191">
        <v>20623.759677747432</v>
      </c>
      <c r="F123" s="192"/>
      <c r="G123" s="184" t="str">
        <f>B97</f>
        <v>Management</v>
      </c>
      <c r="H123" s="185">
        <f>H5</f>
        <v>53919.561903544411</v>
      </c>
      <c r="I123" s="186">
        <f>$H$14</f>
        <v>0.05</v>
      </c>
      <c r="J123" s="187">
        <f>H123*I123</f>
        <v>2695.9780951772209</v>
      </c>
      <c r="K123" s="183"/>
      <c r="L123" s="184" t="str">
        <f t="shared" si="1"/>
        <v>Direct Care</v>
      </c>
      <c r="M123" s="185">
        <f t="shared" si="1"/>
        <v>32198</v>
      </c>
      <c r="N123" s="186">
        <v>0.95</v>
      </c>
      <c r="O123" s="187">
        <f>M123*N123</f>
        <v>30588.1</v>
      </c>
      <c r="Y123" s="46"/>
      <c r="Z123" s="201"/>
      <c r="AA123" s="201"/>
      <c r="AB123" s="195"/>
    </row>
    <row r="124" spans="2:28" ht="15" customHeight="1">
      <c r="B124" s="269" t="s">
        <v>25</v>
      </c>
      <c r="C124" s="202"/>
      <c r="D124" s="203">
        <v>1.0499999999999998</v>
      </c>
      <c r="E124" s="204">
        <v>33355.966229752019</v>
      </c>
      <c r="F124" s="185"/>
      <c r="G124" s="184" t="s">
        <v>29</v>
      </c>
      <c r="H124" s="196">
        <v>41517</v>
      </c>
      <c r="I124" s="186">
        <v>0.4</v>
      </c>
      <c r="J124" s="187">
        <f>H124*I124</f>
        <v>16606.8</v>
      </c>
      <c r="K124" s="183"/>
      <c r="L124" s="197" t="s">
        <v>25</v>
      </c>
      <c r="M124" s="198"/>
      <c r="N124" s="199">
        <f>SUM(N121:N123)</f>
        <v>1.05</v>
      </c>
      <c r="O124" s="200">
        <f>SUM(O121:O123)</f>
        <v>35359.928095177223</v>
      </c>
      <c r="Y124" s="46" t="s">
        <v>69</v>
      </c>
      <c r="Z124" s="193">
        <v>4</v>
      </c>
      <c r="AA124" s="194">
        <f>'[2]33'!N6</f>
        <v>40</v>
      </c>
      <c r="AB124" s="195">
        <f>Z124*AA124</f>
        <v>160</v>
      </c>
    </row>
    <row r="125" spans="2:28" ht="15" customHeight="1">
      <c r="B125" s="270"/>
      <c r="C125" s="209"/>
      <c r="D125" s="208"/>
      <c r="E125" s="210"/>
      <c r="F125" s="211"/>
      <c r="G125" s="184" t="s">
        <v>35</v>
      </c>
      <c r="H125" s="196">
        <f>H12</f>
        <v>32198</v>
      </c>
      <c r="I125" s="186">
        <v>0.6</v>
      </c>
      <c r="J125" s="187">
        <f>H125*I125</f>
        <v>19318.8</v>
      </c>
      <c r="K125" s="183"/>
      <c r="L125" s="205"/>
      <c r="M125" s="206"/>
      <c r="N125" s="206"/>
      <c r="O125" s="207"/>
      <c r="Y125" s="50"/>
      <c r="Z125" s="201"/>
      <c r="AA125" s="194"/>
      <c r="AB125" s="49"/>
    </row>
    <row r="126" spans="2:28" ht="15" customHeight="1">
      <c r="B126" s="271" t="s">
        <v>30</v>
      </c>
      <c r="C126" s="213">
        <v>0.20676407024615401</v>
      </c>
      <c r="D126" s="209"/>
      <c r="E126" s="191">
        <v>6896.8153446567876</v>
      </c>
      <c r="F126" s="192"/>
      <c r="G126" s="197" t="s">
        <v>25</v>
      </c>
      <c r="H126" s="198"/>
      <c r="I126" s="199">
        <f>SUM(I123:I125)</f>
        <v>1.05</v>
      </c>
      <c r="J126" s="200">
        <f>SUM(J123:J125)</f>
        <v>38621.578095177218</v>
      </c>
      <c r="K126" s="183"/>
      <c r="L126" s="205" t="s">
        <v>30</v>
      </c>
      <c r="M126" s="212">
        <f>H128</f>
        <v>0.22309999999999999</v>
      </c>
      <c r="N126" s="206"/>
      <c r="O126" s="187">
        <f>M126*O124</f>
        <v>7888.7999580340384</v>
      </c>
      <c r="Y126" s="46" t="s">
        <v>71</v>
      </c>
      <c r="Z126" s="193">
        <f>Z121-Z124-Z128</f>
        <v>47.7</v>
      </c>
      <c r="AA126" s="194">
        <v>4</v>
      </c>
      <c r="AB126" s="195">
        <f>AA126*Z126</f>
        <v>190.8</v>
      </c>
    </row>
    <row r="127" spans="2:28" ht="15" customHeight="1" thickBot="1">
      <c r="B127" s="273" t="s">
        <v>33</v>
      </c>
      <c r="C127" s="222"/>
      <c r="D127" s="223"/>
      <c r="E127" s="224">
        <v>40252.781574408808</v>
      </c>
      <c r="F127" s="185"/>
      <c r="G127" s="205"/>
      <c r="H127" s="206"/>
      <c r="I127" s="206"/>
      <c r="J127" s="207"/>
      <c r="K127" s="183"/>
      <c r="L127" s="214" t="s">
        <v>33</v>
      </c>
      <c r="M127" s="215"/>
      <c r="N127" s="216"/>
      <c r="O127" s="217">
        <f>SUM(O124:O126)</f>
        <v>43248.728053211264</v>
      </c>
      <c r="Y127" s="46" t="s">
        <v>84</v>
      </c>
      <c r="Z127" s="193">
        <f>Z121-Z124-Z128</f>
        <v>47.7</v>
      </c>
      <c r="AA127" s="194">
        <v>3</v>
      </c>
      <c r="AB127" s="195">
        <f>AA127*Z127</f>
        <v>143.10000000000002</v>
      </c>
    </row>
    <row r="128" spans="2:28" ht="15" customHeight="1" thickTop="1">
      <c r="B128" s="268" t="s">
        <v>78</v>
      </c>
      <c r="C128" s="296"/>
      <c r="D128" s="230"/>
      <c r="E128" s="191">
        <v>382.5</v>
      </c>
      <c r="F128" s="192"/>
      <c r="G128" s="205" t="s">
        <v>30</v>
      </c>
      <c r="H128" s="212">
        <f>H17</f>
        <v>0.22309999999999999</v>
      </c>
      <c r="I128" s="206"/>
      <c r="J128" s="187">
        <f>H128*J126</f>
        <v>8616.4740730340363</v>
      </c>
      <c r="K128" s="16"/>
      <c r="L128" s="184" t="str">
        <f>G130</f>
        <v>Staff Training (Per DC FTE per day)</v>
      </c>
      <c r="M128" s="290"/>
      <c r="N128" s="226"/>
      <c r="O128" s="272">
        <f>J130</f>
        <v>154.5</v>
      </c>
      <c r="Y128" s="218" t="s">
        <v>72</v>
      </c>
      <c r="Z128" s="220">
        <v>0.3</v>
      </c>
      <c r="AA128" s="220">
        <v>40</v>
      </c>
      <c r="AB128" s="221">
        <f>AA128*Z128</f>
        <v>12</v>
      </c>
    </row>
    <row r="129" spans="2:28" ht="15" customHeight="1" thickBot="1">
      <c r="B129" s="271" t="s">
        <v>79</v>
      </c>
      <c r="C129" s="297"/>
      <c r="D129" s="230"/>
      <c r="E129" s="191">
        <v>1152.4197555347644</v>
      </c>
      <c r="F129" s="192"/>
      <c r="G129" s="214" t="s">
        <v>33</v>
      </c>
      <c r="H129" s="215"/>
      <c r="I129" s="216"/>
      <c r="J129" s="217">
        <f>SUM(J126:J128)</f>
        <v>47238.052168211252</v>
      </c>
      <c r="K129" s="183"/>
      <c r="L129" s="184" t="str">
        <f>G131</f>
        <v>Staff Mileage / Travel</v>
      </c>
      <c r="M129" s="185"/>
      <c r="N129" s="226"/>
      <c r="O129" s="272">
        <f>J131</f>
        <v>1209</v>
      </c>
      <c r="Y129" s="46" t="s">
        <v>31</v>
      </c>
      <c r="Z129" s="228"/>
      <c r="AA129" s="228"/>
      <c r="AB129" s="195">
        <f>SUM(AB124:AB128)</f>
        <v>505.90000000000003</v>
      </c>
    </row>
    <row r="130" spans="2:28" ht="15" customHeight="1" thickTop="1">
      <c r="B130" s="280" t="s">
        <v>60</v>
      </c>
      <c r="C130" s="297"/>
      <c r="D130" s="230"/>
      <c r="E130" s="277">
        <v>4039</v>
      </c>
      <c r="F130" s="278"/>
      <c r="G130" s="184" t="str">
        <f>B104</f>
        <v>Staff Training (Per DC FTE per day)</v>
      </c>
      <c r="H130" s="290"/>
      <c r="I130" s="226"/>
      <c r="J130" s="272">
        <f>H18*(AB128/8)</f>
        <v>154.5</v>
      </c>
      <c r="K130" s="183"/>
      <c r="L130" s="184" t="str">
        <f>G132</f>
        <v>Program Support - Clerical</v>
      </c>
      <c r="M130" s="185"/>
      <c r="N130" s="226"/>
      <c r="O130" s="272">
        <f>J132</f>
        <v>4326</v>
      </c>
      <c r="Y130" s="218" t="s">
        <v>34</v>
      </c>
      <c r="Z130" s="231"/>
      <c r="AA130" s="231"/>
      <c r="AB130" s="221">
        <f>AB121-AB129</f>
        <v>1574.1</v>
      </c>
    </row>
    <row r="131" spans="2:28" ht="15" customHeight="1" thickBot="1">
      <c r="B131" s="280" t="s">
        <v>42</v>
      </c>
      <c r="C131" s="297"/>
      <c r="D131" s="230"/>
      <c r="E131" s="237">
        <v>247.65000000000003</v>
      </c>
      <c r="F131" s="238"/>
      <c r="G131" s="184" t="str">
        <f>B105</f>
        <v>Staff Mileage / Travel</v>
      </c>
      <c r="H131" s="185"/>
      <c r="I131" s="226"/>
      <c r="J131" s="272">
        <f>H19*SUM(I124:I125)</f>
        <v>1209</v>
      </c>
      <c r="K131" s="183"/>
      <c r="L131" s="184" t="str">
        <f>G133</f>
        <v>Occupancy (Office Space)</v>
      </c>
      <c r="M131" s="232"/>
      <c r="N131" s="226"/>
      <c r="O131" s="272">
        <f>J133</f>
        <v>175.65000000000003</v>
      </c>
      <c r="Y131" s="46" t="s">
        <v>37</v>
      </c>
      <c r="Z131" s="233"/>
      <c r="AA131" s="233"/>
      <c r="AB131" s="234">
        <f>SUM(D98:D99)</f>
        <v>1</v>
      </c>
    </row>
    <row r="132" spans="2:28" ht="15" customHeight="1" thickBot="1">
      <c r="B132" s="269" t="s">
        <v>43</v>
      </c>
      <c r="C132" s="202"/>
      <c r="D132" s="202"/>
      <c r="E132" s="204">
        <v>46074.351329943573</v>
      </c>
      <c r="F132" s="185"/>
      <c r="G132" s="184" t="str">
        <f>B106</f>
        <v>Program Support - Clerical</v>
      </c>
      <c r="H132" s="185"/>
      <c r="I132" s="226"/>
      <c r="J132" s="272">
        <f>H22</f>
        <v>4326</v>
      </c>
      <c r="K132" s="183"/>
      <c r="L132" s="197" t="s">
        <v>43</v>
      </c>
      <c r="M132" s="198"/>
      <c r="N132" s="198"/>
      <c r="O132" s="200">
        <f>SUM(O127:O131)</f>
        <v>49113.878053211265</v>
      </c>
      <c r="Y132" s="240" t="s">
        <v>40</v>
      </c>
      <c r="Z132" s="241"/>
      <c r="AA132" s="242"/>
      <c r="AB132" s="243">
        <f>AB131*AB130</f>
        <v>1574.1</v>
      </c>
    </row>
    <row r="133" spans="2:28" ht="15" customHeight="1">
      <c r="B133" s="271" t="s">
        <v>45</v>
      </c>
      <c r="C133" s="213">
        <v>0.10308211953017005</v>
      </c>
      <c r="D133" s="209"/>
      <c r="E133" s="191">
        <v>4749.4417910682923</v>
      </c>
      <c r="F133" s="192"/>
      <c r="G133" s="184" t="str">
        <f>B107</f>
        <v>Occupancy (Office Space)</v>
      </c>
      <c r="H133" s="232"/>
      <c r="I133" s="226"/>
      <c r="J133" s="281">
        <f>H20*I123</f>
        <v>175.65000000000003</v>
      </c>
      <c r="K133" s="250"/>
      <c r="L133" s="205" t="s">
        <v>45</v>
      </c>
      <c r="M133" s="212">
        <f>H135</f>
        <v>0.109</v>
      </c>
      <c r="N133" s="206"/>
      <c r="O133" s="187">
        <f>M133*O132</f>
        <v>5353.4127078000283</v>
      </c>
      <c r="Y133" s="287"/>
      <c r="Z133" s="288"/>
      <c r="AA133" s="288"/>
      <c r="AB133" s="292"/>
    </row>
    <row r="134" spans="2:28" ht="15" customHeight="1">
      <c r="B134" s="271"/>
      <c r="C134" s="213"/>
      <c r="D134" s="209"/>
      <c r="E134" s="191"/>
      <c r="F134" s="192"/>
      <c r="G134" s="197" t="s">
        <v>43</v>
      </c>
      <c r="H134" s="198"/>
      <c r="I134" s="198"/>
      <c r="J134" s="200">
        <f>SUM(J129:J133)</f>
        <v>53103.202168211254</v>
      </c>
      <c r="K134" s="255"/>
      <c r="L134" s="205"/>
      <c r="M134" s="212"/>
      <c r="N134" s="206"/>
      <c r="O134" s="187"/>
      <c r="Y134" s="287"/>
      <c r="Z134" s="288"/>
      <c r="AA134" s="288"/>
      <c r="AB134" s="288"/>
    </row>
    <row r="135" spans="2:28" ht="15" customHeight="1" thickBot="1">
      <c r="B135" s="282" t="s">
        <v>50</v>
      </c>
      <c r="C135" s="248"/>
      <c r="D135" s="248"/>
      <c r="E135" s="249">
        <v>50823.793121011862</v>
      </c>
      <c r="F135" s="185"/>
      <c r="G135" s="205" t="s">
        <v>45</v>
      </c>
      <c r="H135" s="78">
        <f>$H$23</f>
        <v>0.109</v>
      </c>
      <c r="I135" s="206"/>
      <c r="J135" s="187">
        <f>H135*J134</f>
        <v>5788.2490363350262</v>
      </c>
      <c r="K135" s="250"/>
      <c r="L135" s="244" t="s">
        <v>50</v>
      </c>
      <c r="M135" s="245"/>
      <c r="N135" s="245"/>
      <c r="O135" s="246">
        <f>SUM(O132:O133)</f>
        <v>54467.290761011296</v>
      </c>
      <c r="Y135" s="168"/>
    </row>
    <row r="136" spans="2:28" ht="15" customHeight="1" thickTop="1">
      <c r="B136" s="271" t="s">
        <v>54</v>
      </c>
      <c r="C136" s="213">
        <v>3.3718689788053743E-2</v>
      </c>
      <c r="D136" s="209"/>
      <c r="E136" s="252">
        <v>52537.504835111482</v>
      </c>
      <c r="F136" s="253"/>
      <c r="G136" s="205" t="str">
        <f>G24</f>
        <v>PFMLA Trust Contribution</v>
      </c>
      <c r="H136" s="212">
        <f>H24</f>
        <v>3.7000000000000002E-3</v>
      </c>
      <c r="I136" s="206"/>
      <c r="J136" s="187">
        <f>J126*H136</f>
        <v>142.8998389521557</v>
      </c>
      <c r="L136" s="205" t="s">
        <v>52</v>
      </c>
      <c r="M136" s="212"/>
      <c r="N136" s="206"/>
      <c r="O136" s="251">
        <f>O135/O119</f>
        <v>34.602179506391778</v>
      </c>
      <c r="Y136" s="262"/>
    </row>
    <row r="137" spans="2:28" ht="15" customHeight="1" thickBot="1">
      <c r="B137" s="271"/>
      <c r="C137" s="209"/>
      <c r="D137" s="209"/>
      <c r="E137" s="257" t="s">
        <v>56</v>
      </c>
      <c r="F137" s="258"/>
      <c r="G137" s="244" t="s">
        <v>50</v>
      </c>
      <c r="H137" s="245"/>
      <c r="I137" s="245"/>
      <c r="J137" s="246">
        <f>SUM(J134:J136)</f>
        <v>59034.351043498435</v>
      </c>
      <c r="K137" s="16"/>
      <c r="L137" s="205" t="s">
        <v>54</v>
      </c>
      <c r="M137" s="212" t="e">
        <f>M113</f>
        <v>#REF!</v>
      </c>
      <c r="N137" s="206"/>
      <c r="O137" s="256" t="e">
        <f>(O135*M137)+O135</f>
        <v>#REF!</v>
      </c>
      <c r="Y137" s="168"/>
      <c r="AA137" s="152"/>
    </row>
    <row r="138" spans="2:28" ht="15" customHeight="1" thickTop="1" thickBot="1">
      <c r="B138" s="139" t="s">
        <v>58</v>
      </c>
      <c r="C138" s="140"/>
      <c r="D138" s="141"/>
      <c r="E138" s="142">
        <v>39.273036692290397</v>
      </c>
      <c r="F138" s="143"/>
      <c r="G138" s="205" t="str">
        <f>G25</f>
        <v xml:space="preserve"> CAF (Period FY21 &amp; FY22)</v>
      </c>
      <c r="H138" s="212">
        <f>H25</f>
        <v>1.7780248869661817E-2</v>
      </c>
      <c r="I138" s="206"/>
      <c r="J138" s="254">
        <f>(J137*H138)-(J126*H138)</f>
        <v>362.94418314105178</v>
      </c>
      <c r="K138" s="16"/>
      <c r="L138" s="144" t="s">
        <v>73</v>
      </c>
      <c r="M138" s="145"/>
      <c r="N138" s="146"/>
      <c r="O138" s="261" t="e">
        <f>O137/O119</f>
        <v>#REF!</v>
      </c>
      <c r="Y138" s="168"/>
    </row>
    <row r="139" spans="2:28" ht="15" customHeight="1" thickBot="1">
      <c r="B139" s="208"/>
      <c r="C139" s="208"/>
      <c r="D139" s="264"/>
      <c r="E139" s="264"/>
      <c r="F139" s="143"/>
      <c r="G139" s="205" t="s">
        <v>10</v>
      </c>
      <c r="H139" s="212"/>
      <c r="I139" s="206"/>
      <c r="J139" s="256">
        <f>J138+J137</f>
        <v>59397.295226639486</v>
      </c>
      <c r="K139" s="174"/>
      <c r="Y139" s="168"/>
    </row>
    <row r="140" spans="2:28" ht="15" customHeight="1" thickBot="1">
      <c r="G140" s="144" t="s">
        <v>88</v>
      </c>
      <c r="H140" s="145"/>
      <c r="I140" s="146"/>
      <c r="J140" s="261">
        <f>J139/J121-0.13</f>
        <v>37.604130758299654</v>
      </c>
      <c r="K140" s="174">
        <f>J140*0.25</f>
        <v>9.4010326895749134</v>
      </c>
      <c r="Y140" s="151"/>
      <c r="Z140" s="288"/>
    </row>
    <row r="141" spans="2:28" ht="15" customHeight="1" thickBot="1">
      <c r="G141" s="154" t="s">
        <v>61</v>
      </c>
      <c r="H141" s="155"/>
      <c r="I141" s="156"/>
      <c r="J141" s="289">
        <f>J140*0.25</f>
        <v>9.4010326895749134</v>
      </c>
      <c r="K141" s="183">
        <f>J141*0.25</f>
        <v>2.3502581723937284</v>
      </c>
      <c r="Y141" s="293"/>
      <c r="Z141" s="266"/>
      <c r="AA141" s="266"/>
    </row>
    <row r="142" spans="2:28" ht="15" customHeight="1" thickBot="1">
      <c r="B142" s="457" t="s">
        <v>92</v>
      </c>
      <c r="C142" s="458"/>
      <c r="D142" s="458"/>
      <c r="E142" s="459"/>
      <c r="F142" s="6"/>
      <c r="K142" s="183"/>
      <c r="L142" s="460" t="s">
        <v>89</v>
      </c>
      <c r="M142" s="461"/>
      <c r="N142" s="461"/>
      <c r="O142" s="462"/>
      <c r="Y142" s="162"/>
      <c r="Z142" s="163"/>
      <c r="AA142" s="163"/>
    </row>
    <row r="143" spans="2:28" ht="15" customHeight="1" thickBot="1">
      <c r="B143" s="11" t="s">
        <v>12</v>
      </c>
      <c r="C143" s="463" t="s">
        <v>13</v>
      </c>
      <c r="D143" s="463"/>
      <c r="E143" s="12">
        <v>1319.15</v>
      </c>
      <c r="F143" s="13"/>
      <c r="K143" s="183"/>
      <c r="L143" s="14" t="s">
        <v>12</v>
      </c>
      <c r="M143" s="464" t="s">
        <v>13</v>
      </c>
      <c r="N143" s="464"/>
      <c r="O143" s="15">
        <f>J145</f>
        <v>1497.825</v>
      </c>
      <c r="Y143" s="168"/>
    </row>
    <row r="144" spans="2:28" ht="15" customHeight="1" thickBot="1">
      <c r="B144" s="283"/>
      <c r="C144" s="180" t="s">
        <v>16</v>
      </c>
      <c r="D144" s="180" t="s">
        <v>17</v>
      </c>
      <c r="E144" s="181" t="s">
        <v>18</v>
      </c>
      <c r="F144" s="182"/>
      <c r="G144" s="460" t="s">
        <v>221</v>
      </c>
      <c r="H144" s="461"/>
      <c r="I144" s="461"/>
      <c r="J144" s="462"/>
      <c r="K144" s="183"/>
      <c r="L144" s="175"/>
      <c r="M144" s="176" t="s">
        <v>16</v>
      </c>
      <c r="N144" s="176" t="s">
        <v>17</v>
      </c>
      <c r="O144" s="177" t="s">
        <v>18</v>
      </c>
      <c r="Y144" s="8" t="s">
        <v>7</v>
      </c>
      <c r="Z144" s="172" t="s">
        <v>8</v>
      </c>
      <c r="AA144" s="172" t="s">
        <v>9</v>
      </c>
      <c r="AB144" s="173" t="s">
        <v>10</v>
      </c>
    </row>
    <row r="145" spans="2:28" ht="15" customHeight="1">
      <c r="B145" s="268" t="s">
        <v>15</v>
      </c>
      <c r="C145" s="189">
        <v>50346.250729022722</v>
      </c>
      <c r="D145" s="190">
        <v>0.05</v>
      </c>
      <c r="E145" s="191">
        <v>2517.3125364511361</v>
      </c>
      <c r="F145" s="192"/>
      <c r="G145" s="14" t="s">
        <v>12</v>
      </c>
      <c r="H145" s="464" t="s">
        <v>13</v>
      </c>
      <c r="I145" s="464"/>
      <c r="J145" s="15">
        <f>AB156</f>
        <v>1497.825</v>
      </c>
      <c r="K145" s="183"/>
      <c r="L145" s="184" t="str">
        <f t="shared" ref="L145:M147" si="2">G147</f>
        <v>Management</v>
      </c>
      <c r="M145" s="185">
        <f t="shared" si="2"/>
        <v>53919.561903544411</v>
      </c>
      <c r="N145" s="186">
        <f>$H$14</f>
        <v>0.05</v>
      </c>
      <c r="O145" s="187">
        <f>N145*M145</f>
        <v>2695.9780951772209</v>
      </c>
      <c r="Y145" s="17" t="s">
        <v>14</v>
      </c>
      <c r="Z145" s="18">
        <v>52</v>
      </c>
      <c r="AA145" s="18">
        <v>40</v>
      </c>
      <c r="AB145" s="178">
        <v>2080</v>
      </c>
    </row>
    <row r="146" spans="2:28" ht="15" customHeight="1">
      <c r="B146" s="268" t="s">
        <v>44</v>
      </c>
      <c r="C146" s="189">
        <v>50000</v>
      </c>
      <c r="D146" s="190">
        <v>0.05</v>
      </c>
      <c r="E146" s="191">
        <v>2500</v>
      </c>
      <c r="F146" s="192"/>
      <c r="G146" s="175"/>
      <c r="H146" s="176" t="s">
        <v>16</v>
      </c>
      <c r="I146" s="176" t="s">
        <v>17</v>
      </c>
      <c r="J146" s="177" t="s">
        <v>18</v>
      </c>
      <c r="K146" s="183"/>
      <c r="L146" s="184" t="str">
        <f t="shared" si="2"/>
        <v>Direct Care III</v>
      </c>
      <c r="M146" s="185">
        <f t="shared" si="2"/>
        <v>41517</v>
      </c>
      <c r="N146" s="186">
        <v>0.3</v>
      </c>
      <c r="O146" s="187">
        <f>N146*M146</f>
        <v>12455.1</v>
      </c>
      <c r="Y146" s="17" t="s">
        <v>76</v>
      </c>
      <c r="Z146" s="18"/>
      <c r="AA146" s="18"/>
      <c r="AB146" s="19"/>
    </row>
    <row r="147" spans="2:28" ht="15" customHeight="1">
      <c r="B147" s="284" t="s">
        <v>87</v>
      </c>
      <c r="C147" s="189">
        <v>34049.646718511503</v>
      </c>
      <c r="D147" s="190">
        <v>0.55000000000000004</v>
      </c>
      <c r="E147" s="191">
        <v>18727.305695181327</v>
      </c>
      <c r="F147" s="192"/>
      <c r="G147" s="184" t="str">
        <f>B121</f>
        <v>Management</v>
      </c>
      <c r="H147" s="185">
        <f>H5</f>
        <v>53919.561903544411</v>
      </c>
      <c r="I147" s="186">
        <f>$H$14</f>
        <v>0.05</v>
      </c>
      <c r="J147" s="187">
        <f>I147*H147</f>
        <v>2695.9780951772209</v>
      </c>
      <c r="K147" s="183"/>
      <c r="L147" s="184" t="str">
        <f t="shared" si="2"/>
        <v>Direct Care</v>
      </c>
      <c r="M147" s="185">
        <f t="shared" si="2"/>
        <v>32198</v>
      </c>
      <c r="N147" s="186">
        <v>0.7</v>
      </c>
      <c r="O147" s="187">
        <f>N147*M147</f>
        <v>22538.6</v>
      </c>
      <c r="Y147" s="46" t="s">
        <v>69</v>
      </c>
      <c r="Z147" s="193">
        <v>4</v>
      </c>
      <c r="AA147" s="194">
        <v>40</v>
      </c>
      <c r="AB147" s="195">
        <f>Z147*AA147</f>
        <v>160</v>
      </c>
    </row>
    <row r="148" spans="2:28" ht="15" customHeight="1">
      <c r="B148" s="268" t="s">
        <v>83</v>
      </c>
      <c r="C148" s="189">
        <v>29462.513825353475</v>
      </c>
      <c r="D148" s="190">
        <v>0.45</v>
      </c>
      <c r="E148" s="191">
        <v>13258.131221409065</v>
      </c>
      <c r="F148" s="192"/>
      <c r="G148" s="184" t="s">
        <v>29</v>
      </c>
      <c r="H148" s="196">
        <f>H10</f>
        <v>41517</v>
      </c>
      <c r="I148" s="186">
        <v>0.6</v>
      </c>
      <c r="J148" s="187">
        <f>I148*H148</f>
        <v>24910.2</v>
      </c>
      <c r="K148" s="183"/>
      <c r="L148" s="197" t="s">
        <v>25</v>
      </c>
      <c r="M148" s="198"/>
      <c r="N148" s="199">
        <f>SUM(N145:N147)</f>
        <v>1.0499999999999998</v>
      </c>
      <c r="O148" s="200">
        <f>SUM(O145:O147)</f>
        <v>37689.678095177223</v>
      </c>
      <c r="Y148" s="46"/>
      <c r="Z148" s="193"/>
      <c r="AA148" s="194"/>
      <c r="AB148" s="195"/>
    </row>
    <row r="149" spans="2:28" ht="15" customHeight="1">
      <c r="B149" s="269" t="s">
        <v>25</v>
      </c>
      <c r="C149" s="202"/>
      <c r="D149" s="203">
        <v>1.1000000000000001</v>
      </c>
      <c r="E149" s="204">
        <v>37002.749453041528</v>
      </c>
      <c r="F149" s="185"/>
      <c r="G149" s="184" t="s">
        <v>35</v>
      </c>
      <c r="H149" s="196">
        <f>H12</f>
        <v>32198</v>
      </c>
      <c r="I149" s="186">
        <v>0.4</v>
      </c>
      <c r="J149" s="187">
        <f>I149*H149</f>
        <v>12879.2</v>
      </c>
      <c r="K149" s="183"/>
      <c r="L149" s="205"/>
      <c r="M149" s="206"/>
      <c r="N149" s="206"/>
      <c r="O149" s="207"/>
      <c r="Y149" s="50"/>
      <c r="Z149" s="201"/>
      <c r="AA149" s="194"/>
      <c r="AB149" s="49"/>
    </row>
    <row r="150" spans="2:28" ht="15" customHeight="1">
      <c r="B150" s="270"/>
      <c r="C150" s="209"/>
      <c r="D150" s="208"/>
      <c r="E150" s="210"/>
      <c r="F150" s="211"/>
      <c r="G150" s="197" t="s">
        <v>25</v>
      </c>
      <c r="H150" s="198"/>
      <c r="I150" s="199">
        <f>SUM(I147:I149)</f>
        <v>1.05</v>
      </c>
      <c r="J150" s="200">
        <f>SUM(J147:J149)</f>
        <v>40485.378095177221</v>
      </c>
      <c r="K150" s="183"/>
      <c r="L150" s="205" t="s">
        <v>30</v>
      </c>
      <c r="M150" s="212">
        <f>H152</f>
        <v>0.22309999999999999</v>
      </c>
      <c r="N150" s="206"/>
      <c r="O150" s="187">
        <f>O148*M150</f>
        <v>8408.567183034038</v>
      </c>
      <c r="Y150" s="46" t="s">
        <v>71</v>
      </c>
      <c r="Z150" s="193">
        <f>Z145-Z147-Z152</f>
        <v>47.55</v>
      </c>
      <c r="AA150" s="194">
        <v>4.5</v>
      </c>
      <c r="AB150" s="195">
        <f>Z150*AA150</f>
        <v>213.97499999999999</v>
      </c>
    </row>
    <row r="151" spans="2:28" ht="15" customHeight="1" thickBot="1">
      <c r="B151" s="271" t="s">
        <v>30</v>
      </c>
      <c r="C151" s="213">
        <v>0.20676407024615401</v>
      </c>
      <c r="D151" s="209"/>
      <c r="E151" s="191">
        <v>7650.8390872095151</v>
      </c>
      <c r="F151" s="192"/>
      <c r="G151" s="205"/>
      <c r="H151" s="206"/>
      <c r="I151" s="206"/>
      <c r="J151" s="207"/>
      <c r="K151" s="16"/>
      <c r="L151" s="214" t="s">
        <v>33</v>
      </c>
      <c r="M151" s="215"/>
      <c r="N151" s="216"/>
      <c r="O151" s="217">
        <f>SUM(O148:O150)</f>
        <v>46098.24527821126</v>
      </c>
      <c r="Y151" s="46" t="s">
        <v>84</v>
      </c>
      <c r="Z151" s="193">
        <f>Z145-Z147-Z152</f>
        <v>47.55</v>
      </c>
      <c r="AA151" s="194">
        <v>4</v>
      </c>
      <c r="AB151" s="195">
        <f>Z151*AA151</f>
        <v>190.2</v>
      </c>
    </row>
    <row r="152" spans="2:28" ht="15" customHeight="1" thickTop="1" thickBot="1">
      <c r="B152" s="273" t="s">
        <v>33</v>
      </c>
      <c r="C152" s="222"/>
      <c r="D152" s="223"/>
      <c r="E152" s="224">
        <v>44653.588540251047</v>
      </c>
      <c r="F152" s="185"/>
      <c r="G152" s="205" t="s">
        <v>30</v>
      </c>
      <c r="H152" s="212">
        <f>H17</f>
        <v>0.22309999999999999</v>
      </c>
      <c r="I152" s="206"/>
      <c r="J152" s="187">
        <f>J150*H152</f>
        <v>9032.2878530340367</v>
      </c>
      <c r="K152" s="183"/>
      <c r="L152" s="184" t="str">
        <f>G154</f>
        <v>Staff Training (Per Day)</v>
      </c>
      <c r="M152" s="294"/>
      <c r="N152" s="226"/>
      <c r="O152" s="272">
        <f>J154</f>
        <v>231.75</v>
      </c>
      <c r="Y152" s="218" t="s">
        <v>72</v>
      </c>
      <c r="Z152" s="220">
        <v>0.45</v>
      </c>
      <c r="AA152" s="220">
        <v>40</v>
      </c>
      <c r="AB152" s="221">
        <f>AA152*Z152</f>
        <v>18</v>
      </c>
    </row>
    <row r="153" spans="2:28" ht="15" customHeight="1" thickTop="1" thickBot="1">
      <c r="B153" s="268" t="s">
        <v>39</v>
      </c>
      <c r="C153" s="291"/>
      <c r="D153" s="230"/>
      <c r="E153" s="191">
        <v>382.5</v>
      </c>
      <c r="F153" s="192"/>
      <c r="G153" s="214" t="s">
        <v>33</v>
      </c>
      <c r="H153" s="215"/>
      <c r="I153" s="216"/>
      <c r="J153" s="217">
        <f>SUM(J150:J152)</f>
        <v>49517.665948211259</v>
      </c>
      <c r="K153" s="183"/>
      <c r="L153" s="184" t="str">
        <f>G155</f>
        <v>Staff Mileage / Travel</v>
      </c>
      <c r="M153" s="295"/>
      <c r="N153" s="226"/>
      <c r="O153" s="272">
        <f>J155</f>
        <v>1209</v>
      </c>
      <c r="Y153" s="46" t="s">
        <v>31</v>
      </c>
      <c r="Z153" s="228"/>
      <c r="AA153" s="228"/>
      <c r="AB153" s="195">
        <f>SUM(AB147:AB152)</f>
        <v>582.17499999999995</v>
      </c>
    </row>
    <row r="154" spans="2:28" ht="15" customHeight="1" thickTop="1">
      <c r="B154" s="271" t="s">
        <v>79</v>
      </c>
      <c r="C154" s="189"/>
      <c r="D154" s="230"/>
      <c r="E154" s="191">
        <v>1152.4197555347644</v>
      </c>
      <c r="F154" s="192"/>
      <c r="G154" s="184" t="str">
        <f>B128</f>
        <v>Staff Training (Per Day)</v>
      </c>
      <c r="H154" s="294"/>
      <c r="I154" s="226"/>
      <c r="J154" s="272">
        <f>H18*(AB152/8)</f>
        <v>231.75</v>
      </c>
      <c r="K154" s="183"/>
      <c r="L154" s="184" t="str">
        <f>G156</f>
        <v>Program Support - Clerical</v>
      </c>
      <c r="M154" s="295"/>
      <c r="N154" s="226"/>
      <c r="O154" s="272">
        <f>J156</f>
        <v>4326</v>
      </c>
      <c r="Y154" s="218" t="s">
        <v>34</v>
      </c>
      <c r="Z154" s="231"/>
      <c r="AA154" s="231"/>
      <c r="AB154" s="221">
        <f>AB145-AB153</f>
        <v>1497.825</v>
      </c>
    </row>
    <row r="155" spans="2:28" ht="15" customHeight="1" thickBot="1">
      <c r="B155" s="280" t="s">
        <v>60</v>
      </c>
      <c r="C155" s="189"/>
      <c r="D155" s="230"/>
      <c r="E155" s="191">
        <v>4039</v>
      </c>
      <c r="F155" s="192"/>
      <c r="G155" s="184" t="str">
        <f>B129</f>
        <v>Staff Mileage / Travel</v>
      </c>
      <c r="H155" s="295"/>
      <c r="I155" s="226"/>
      <c r="J155" s="272">
        <f>H19*SUM(I148:I149)</f>
        <v>1209</v>
      </c>
      <c r="K155" s="183"/>
      <c r="L155" s="184" t="str">
        <f>G157</f>
        <v>Occupancy (Office Space)</v>
      </c>
      <c r="M155" s="295"/>
      <c r="N155" s="226"/>
      <c r="O155" s="272">
        <f>J157</f>
        <v>175.65000000000003</v>
      </c>
      <c r="Y155" s="46" t="s">
        <v>37</v>
      </c>
      <c r="Z155" s="233"/>
      <c r="AA155" s="233"/>
      <c r="AB155" s="234">
        <v>1</v>
      </c>
    </row>
    <row r="156" spans="2:28" ht="15" customHeight="1" thickBot="1">
      <c r="B156" s="280" t="s">
        <v>42</v>
      </c>
      <c r="C156" s="236"/>
      <c r="D156" s="230"/>
      <c r="E156" s="237">
        <v>247.65000000000006</v>
      </c>
      <c r="F156" s="238"/>
      <c r="G156" s="184" t="str">
        <f>B130</f>
        <v>Program Support - Clerical</v>
      </c>
      <c r="H156" s="295"/>
      <c r="I156" s="226"/>
      <c r="J156" s="272">
        <f>H22</f>
        <v>4326</v>
      </c>
      <c r="K156" s="250"/>
      <c r="L156" s="197" t="s">
        <v>43</v>
      </c>
      <c r="M156" s="198"/>
      <c r="N156" s="198"/>
      <c r="O156" s="200">
        <f>SUM(O151:O155)</f>
        <v>52040.645278211261</v>
      </c>
      <c r="Y156" s="240" t="s">
        <v>40</v>
      </c>
      <c r="Z156" s="241"/>
      <c r="AA156" s="242"/>
      <c r="AB156" s="243">
        <f>AB155*AB154</f>
        <v>1497.825</v>
      </c>
    </row>
    <row r="157" spans="2:28" ht="15" customHeight="1">
      <c r="B157" s="269" t="s">
        <v>43</v>
      </c>
      <c r="C157" s="202"/>
      <c r="D157" s="202"/>
      <c r="E157" s="204">
        <v>50475.158295785812</v>
      </c>
      <c r="F157" s="185"/>
      <c r="G157" s="184" t="str">
        <f>B131</f>
        <v>Occupancy (Office Space)</v>
      </c>
      <c r="H157" s="295"/>
      <c r="I157" s="226"/>
      <c r="J157" s="281">
        <f>H20*I147</f>
        <v>175.65000000000003</v>
      </c>
      <c r="K157" s="255"/>
      <c r="L157" s="205" t="s">
        <v>45</v>
      </c>
      <c r="M157" s="212">
        <f>H159</f>
        <v>0.109</v>
      </c>
      <c r="N157" s="206"/>
      <c r="O157" s="187">
        <f>M157*O156</f>
        <v>5672.430335325027</v>
      </c>
      <c r="Y157" s="287"/>
      <c r="Z157" s="288"/>
      <c r="AA157" s="288"/>
      <c r="AB157" s="292"/>
    </row>
    <row r="158" spans="2:28" ht="15" customHeight="1">
      <c r="B158" s="271" t="s">
        <v>45</v>
      </c>
      <c r="C158" s="213">
        <v>0.10308211953017005</v>
      </c>
      <c r="D158" s="209"/>
      <c r="E158" s="191">
        <v>5203.0863007504477</v>
      </c>
      <c r="F158" s="192"/>
      <c r="G158" s="197" t="s">
        <v>43</v>
      </c>
      <c r="H158" s="198"/>
      <c r="I158" s="198"/>
      <c r="J158" s="200">
        <f>SUM(J153:J157)</f>
        <v>55460.065948211261</v>
      </c>
      <c r="K158" s="250"/>
      <c r="L158" s="205"/>
      <c r="M158" s="212"/>
      <c r="N158" s="206"/>
      <c r="O158" s="187"/>
      <c r="Y158" s="168"/>
      <c r="AB158" s="288"/>
    </row>
    <row r="159" spans="2:28" ht="15" customHeight="1" thickBot="1">
      <c r="B159" s="271"/>
      <c r="C159" s="213"/>
      <c r="D159" s="209"/>
      <c r="E159" s="191"/>
      <c r="F159" s="192"/>
      <c r="G159" s="205" t="s">
        <v>45</v>
      </c>
      <c r="H159" s="78">
        <f>$H$23</f>
        <v>0.109</v>
      </c>
      <c r="I159" s="206"/>
      <c r="J159" s="187">
        <f>H159*J158</f>
        <v>6045.1471883550275</v>
      </c>
      <c r="K159" s="250"/>
      <c r="L159" s="244" t="s">
        <v>50</v>
      </c>
      <c r="M159" s="245"/>
      <c r="N159" s="245"/>
      <c r="O159" s="246">
        <f>SUM(O156:O157)</f>
        <v>57713.07561353629</v>
      </c>
      <c r="Y159" s="262"/>
    </row>
    <row r="160" spans="2:28" ht="15" customHeight="1" thickTop="1" thickBot="1">
      <c r="B160" s="282" t="s">
        <v>50</v>
      </c>
      <c r="C160" s="248"/>
      <c r="D160" s="248"/>
      <c r="E160" s="249">
        <v>55678.244596536257</v>
      </c>
      <c r="F160" s="185"/>
      <c r="G160" s="205" t="str">
        <f>G24</f>
        <v>PFMLA Trust Contribution</v>
      </c>
      <c r="H160" s="212">
        <f>H24</f>
        <v>3.7000000000000002E-3</v>
      </c>
      <c r="I160" s="206"/>
      <c r="J160" s="187">
        <f>J150*H160</f>
        <v>149.79589895215571</v>
      </c>
      <c r="K160" s="16"/>
      <c r="L160" s="205" t="s">
        <v>52</v>
      </c>
      <c r="M160" s="212"/>
      <c r="N160" s="206"/>
      <c r="O160" s="251">
        <f>O159/O143</f>
        <v>38.53125406074561</v>
      </c>
      <c r="Y160" s="168"/>
    </row>
    <row r="161" spans="2:29" ht="15" customHeight="1" thickTop="1" thickBot="1">
      <c r="B161" s="271" t="s">
        <v>54</v>
      </c>
      <c r="C161" s="213">
        <v>3.3718689788053743E-2</v>
      </c>
      <c r="D161" s="209"/>
      <c r="E161" s="252">
        <v>57555.642054030242</v>
      </c>
      <c r="F161" s="253"/>
      <c r="G161" s="244" t="s">
        <v>50</v>
      </c>
      <c r="H161" s="245"/>
      <c r="I161" s="245"/>
      <c r="J161" s="246">
        <f>SUM(J158:J160)</f>
        <v>61655.009035518444</v>
      </c>
      <c r="K161" s="16"/>
      <c r="L161" s="205" t="s">
        <v>54</v>
      </c>
      <c r="M161" s="212" t="e">
        <f>M137</f>
        <v>#REF!</v>
      </c>
      <c r="N161" s="206"/>
      <c r="O161" s="256" t="e">
        <f>(O159*M161)+O159</f>
        <v>#REF!</v>
      </c>
      <c r="Y161" s="168"/>
    </row>
    <row r="162" spans="2:29" ht="15" customHeight="1" thickTop="1" thickBot="1">
      <c r="B162" s="271"/>
      <c r="C162" s="209"/>
      <c r="D162" s="209"/>
      <c r="E162" s="257" t="s">
        <v>56</v>
      </c>
      <c r="F162" s="258"/>
      <c r="G162" s="205" t="str">
        <f>G25</f>
        <v xml:space="preserve"> CAF (Period FY21 &amp; FY22)</v>
      </c>
      <c r="H162" s="212">
        <f>H25</f>
        <v>1.7780248869661817E-2</v>
      </c>
      <c r="I162" s="206"/>
      <c r="J162" s="254">
        <f>(J161*H162)-(J150*H162)</f>
        <v>376.40130659815986</v>
      </c>
      <c r="K162" s="174"/>
      <c r="L162" s="144" t="s">
        <v>73</v>
      </c>
      <c r="M162" s="145"/>
      <c r="N162" s="146"/>
      <c r="O162" s="261" t="e">
        <f>O161/O143</f>
        <v>#REF!</v>
      </c>
      <c r="Y162" s="168"/>
    </row>
    <row r="163" spans="2:29" ht="15" customHeight="1" thickBot="1">
      <c r="B163" s="139" t="s">
        <v>58</v>
      </c>
      <c r="C163" s="140"/>
      <c r="D163" s="141"/>
      <c r="E163" s="142">
        <v>43.640854758011017</v>
      </c>
      <c r="F163" s="143"/>
      <c r="G163" s="205" t="s">
        <v>10</v>
      </c>
      <c r="H163" s="212"/>
      <c r="I163" s="206"/>
      <c r="J163" s="256">
        <f>J162+J161</f>
        <v>62031.410342116607</v>
      </c>
      <c r="K163" s="174"/>
      <c r="L163" s="206"/>
      <c r="M163" s="206"/>
      <c r="N163" s="143"/>
      <c r="O163" s="298"/>
      <c r="Y163" s="168"/>
    </row>
    <row r="164" spans="2:29" ht="15" customHeight="1" thickBot="1">
      <c r="G164" s="144" t="s">
        <v>59</v>
      </c>
      <c r="H164" s="145"/>
      <c r="I164" s="146"/>
      <c r="J164" s="299">
        <f>J163/J145+0.03</f>
        <v>41.444324331692023</v>
      </c>
      <c r="K164" s="183">
        <f>J164*0.25</f>
        <v>10.361081082923006</v>
      </c>
      <c r="Y164" s="151"/>
    </row>
    <row r="165" spans="2:29" ht="15" customHeight="1" thickBot="1">
      <c r="G165" s="154" t="s">
        <v>61</v>
      </c>
      <c r="H165" s="155"/>
      <c r="I165" s="156"/>
      <c r="J165" s="289">
        <f>J164/4</f>
        <v>10.361081082923006</v>
      </c>
      <c r="K165" s="183">
        <f>J165*0.25</f>
        <v>2.5902702707307514</v>
      </c>
      <c r="Y165" s="158"/>
      <c r="Z165" s="266"/>
    </row>
    <row r="166" spans="2:29" ht="15" customHeight="1" thickBot="1">
      <c r="K166" s="183"/>
      <c r="L166" s="460" t="s">
        <v>91</v>
      </c>
      <c r="M166" s="461"/>
      <c r="N166" s="461"/>
      <c r="O166" s="462"/>
      <c r="Y166" s="162"/>
      <c r="Z166" s="163"/>
    </row>
    <row r="167" spans="2:29" ht="15" customHeight="1" thickBot="1">
      <c r="B167" s="457" t="s">
        <v>96</v>
      </c>
      <c r="C167" s="458"/>
      <c r="D167" s="458"/>
      <c r="E167" s="459"/>
      <c r="F167" s="6"/>
      <c r="K167" s="183"/>
      <c r="L167" s="14" t="s">
        <v>12</v>
      </c>
      <c r="M167" s="464" t="s">
        <v>13</v>
      </c>
      <c r="N167" s="464"/>
      <c r="O167" s="15">
        <f>J169</f>
        <v>1493.1</v>
      </c>
      <c r="Y167" s="168"/>
    </row>
    <row r="168" spans="2:29" ht="15" customHeight="1" thickBot="1">
      <c r="B168" s="11" t="s">
        <v>12</v>
      </c>
      <c r="C168" s="463" t="s">
        <v>13</v>
      </c>
      <c r="D168" s="463"/>
      <c r="E168" s="12">
        <v>1292.55</v>
      </c>
      <c r="F168" s="13"/>
      <c r="G168" s="460" t="s">
        <v>92</v>
      </c>
      <c r="H168" s="461"/>
      <c r="I168" s="461"/>
      <c r="J168" s="462"/>
      <c r="K168" s="183"/>
      <c r="L168" s="175"/>
      <c r="M168" s="176" t="s">
        <v>16</v>
      </c>
      <c r="N168" s="176" t="s">
        <v>17</v>
      </c>
      <c r="O168" s="177" t="s">
        <v>18</v>
      </c>
      <c r="Y168" s="8" t="s">
        <v>7</v>
      </c>
      <c r="Z168" s="172" t="s">
        <v>8</v>
      </c>
      <c r="AA168" s="172" t="s">
        <v>9</v>
      </c>
      <c r="AB168" s="173" t="s">
        <v>10</v>
      </c>
      <c r="AC168" s="3"/>
    </row>
    <row r="169" spans="2:29" ht="15" customHeight="1">
      <c r="B169" s="283" t="s">
        <v>97</v>
      </c>
      <c r="C169" s="180" t="s">
        <v>16</v>
      </c>
      <c r="D169" s="180" t="s">
        <v>17</v>
      </c>
      <c r="E169" s="181" t="s">
        <v>18</v>
      </c>
      <c r="F169" s="182"/>
      <c r="G169" s="14" t="s">
        <v>12</v>
      </c>
      <c r="H169" s="464" t="s">
        <v>13</v>
      </c>
      <c r="I169" s="464"/>
      <c r="J169" s="15">
        <f>AB180</f>
        <v>1493.1</v>
      </c>
      <c r="K169" s="183"/>
      <c r="L169" s="184" t="str">
        <f t="shared" ref="L169:M172" si="3">G171</f>
        <v>Management</v>
      </c>
      <c r="M169" s="185">
        <f t="shared" si="3"/>
        <v>53919.561903544411</v>
      </c>
      <c r="N169" s="186">
        <f>$H$14</f>
        <v>0.05</v>
      </c>
      <c r="O169" s="187">
        <f>M169*N169</f>
        <v>2695.9780951772209</v>
      </c>
      <c r="Y169" s="17" t="s">
        <v>14</v>
      </c>
      <c r="Z169" s="300">
        <v>52</v>
      </c>
      <c r="AA169" s="18">
        <v>40</v>
      </c>
      <c r="AB169" s="19">
        <f>52*40</f>
        <v>2080</v>
      </c>
      <c r="AC169" s="3"/>
    </row>
    <row r="170" spans="2:29" ht="15" customHeight="1">
      <c r="B170" s="268" t="s">
        <v>15</v>
      </c>
      <c r="C170" s="189">
        <v>50346.250729022722</v>
      </c>
      <c r="D170" s="190">
        <v>0.05</v>
      </c>
      <c r="E170" s="191">
        <v>2517.3125364511361</v>
      </c>
      <c r="F170" s="192"/>
      <c r="G170" s="175"/>
      <c r="H170" s="176" t="s">
        <v>16</v>
      </c>
      <c r="I170" s="176" t="s">
        <v>17</v>
      </c>
      <c r="J170" s="177" t="s">
        <v>18</v>
      </c>
      <c r="K170" s="183"/>
      <c r="L170" s="184" t="str">
        <f t="shared" si="3"/>
        <v>Clinical w/Indep Lic</v>
      </c>
      <c r="M170" s="185">
        <f t="shared" si="3"/>
        <v>60923</v>
      </c>
      <c r="N170" s="186">
        <f>$H$15</f>
        <v>0.05</v>
      </c>
      <c r="O170" s="187">
        <f>M170*N170</f>
        <v>3046.15</v>
      </c>
      <c r="Y170" s="17" t="s">
        <v>76</v>
      </c>
      <c r="Z170" s="18"/>
      <c r="AA170" s="18"/>
      <c r="AB170" s="19"/>
      <c r="AC170" s="3"/>
    </row>
    <row r="171" spans="2:29" ht="15" customHeight="1">
      <c r="B171" s="268" t="s">
        <v>44</v>
      </c>
      <c r="C171" s="189">
        <v>50000</v>
      </c>
      <c r="D171" s="190">
        <v>0.05</v>
      </c>
      <c r="E171" s="191">
        <v>2500</v>
      </c>
      <c r="F171" s="192"/>
      <c r="G171" s="184" t="str">
        <f>B145</f>
        <v>Management</v>
      </c>
      <c r="H171" s="185">
        <f>H5</f>
        <v>53919.561903544411</v>
      </c>
      <c r="I171" s="186">
        <f>$H$14</f>
        <v>0.05</v>
      </c>
      <c r="J171" s="187">
        <f>H171*I171</f>
        <v>2695.9780951772209</v>
      </c>
      <c r="K171" s="183"/>
      <c r="L171" s="184" t="str">
        <f t="shared" si="3"/>
        <v>Direct Care III</v>
      </c>
      <c r="M171" s="185">
        <f t="shared" si="3"/>
        <v>41517</v>
      </c>
      <c r="N171" s="186">
        <v>0.55000000000000004</v>
      </c>
      <c r="O171" s="187">
        <f>M171*N171</f>
        <v>22834.350000000002</v>
      </c>
      <c r="Y171" s="46" t="s">
        <v>69</v>
      </c>
      <c r="Z171" s="193">
        <v>4</v>
      </c>
      <c r="AA171" s="194">
        <f>AA124</f>
        <v>40</v>
      </c>
      <c r="AB171" s="195">
        <f>Z171*AA171</f>
        <v>160</v>
      </c>
      <c r="AC171" s="3"/>
    </row>
    <row r="172" spans="2:29" ht="15" customHeight="1">
      <c r="B172" s="268" t="s">
        <v>87</v>
      </c>
      <c r="C172" s="189">
        <v>34049.646718511503</v>
      </c>
      <c r="D172" s="190">
        <v>0.3</v>
      </c>
      <c r="E172" s="191">
        <v>10214.894015553451</v>
      </c>
      <c r="F172" s="192"/>
      <c r="G172" s="184" t="s">
        <v>93</v>
      </c>
      <c r="H172" s="196">
        <f>H6</f>
        <v>60923</v>
      </c>
      <c r="I172" s="186">
        <f>$H$15</f>
        <v>0.05</v>
      </c>
      <c r="J172" s="187">
        <f>H172*I172</f>
        <v>3046.15</v>
      </c>
      <c r="K172" s="183"/>
      <c r="L172" s="184" t="str">
        <f t="shared" si="3"/>
        <v>Direct Care</v>
      </c>
      <c r="M172" s="185">
        <f t="shared" si="3"/>
        <v>32198</v>
      </c>
      <c r="N172" s="186">
        <v>0.45</v>
      </c>
      <c r="O172" s="187">
        <f>N172*M172</f>
        <v>14489.1</v>
      </c>
      <c r="Y172" s="46"/>
      <c r="Z172" s="193"/>
      <c r="AA172" s="194"/>
      <c r="AB172" s="195"/>
      <c r="AC172" s="3"/>
    </row>
    <row r="173" spans="2:29" ht="15" customHeight="1">
      <c r="B173" s="301" t="s">
        <v>99</v>
      </c>
      <c r="C173" s="189">
        <v>33895.633294342391</v>
      </c>
      <c r="D173" s="190">
        <v>0.7</v>
      </c>
      <c r="E173" s="191">
        <v>23726.943306039673</v>
      </c>
      <c r="F173" s="192"/>
      <c r="G173" s="184" t="s">
        <v>29</v>
      </c>
      <c r="H173" s="196">
        <f>H10</f>
        <v>41517</v>
      </c>
      <c r="I173" s="186">
        <v>0.8</v>
      </c>
      <c r="J173" s="187">
        <f>H173*I173</f>
        <v>33213.599999999999</v>
      </c>
      <c r="K173" s="183"/>
      <c r="L173" s="197" t="s">
        <v>25</v>
      </c>
      <c r="M173" s="198"/>
      <c r="N173" s="199">
        <f>SUM(N169:N172)</f>
        <v>1.1000000000000001</v>
      </c>
      <c r="O173" s="200">
        <f>SUM(O169:O172)</f>
        <v>43065.578095177225</v>
      </c>
      <c r="Y173" s="50"/>
      <c r="Z173" s="201"/>
      <c r="AA173" s="194"/>
      <c r="AB173" s="49"/>
      <c r="AC173" s="3"/>
    </row>
    <row r="174" spans="2:29" ht="15" customHeight="1">
      <c r="B174" s="269" t="s">
        <v>25</v>
      </c>
      <c r="C174" s="202"/>
      <c r="D174" s="203">
        <v>1.1000000000000001</v>
      </c>
      <c r="E174" s="204">
        <v>38959.149858044257</v>
      </c>
      <c r="F174" s="185"/>
      <c r="G174" s="184" t="s">
        <v>35</v>
      </c>
      <c r="H174" s="196">
        <f>H12</f>
        <v>32198</v>
      </c>
      <c r="I174" s="186">
        <v>0.2</v>
      </c>
      <c r="J174" s="187">
        <f>I174*H174</f>
        <v>6439.6</v>
      </c>
      <c r="K174" s="183"/>
      <c r="L174" s="205"/>
      <c r="M174" s="206"/>
      <c r="N174" s="206"/>
      <c r="O174" s="207"/>
      <c r="Y174" s="46" t="s">
        <v>71</v>
      </c>
      <c r="Z174" s="193">
        <f>Z169-Z171-Z176</f>
        <v>47.4</v>
      </c>
      <c r="AA174" s="194">
        <v>4.5</v>
      </c>
      <c r="AB174" s="195">
        <f>AA174*Z174</f>
        <v>213.29999999999998</v>
      </c>
      <c r="AC174" s="3"/>
    </row>
    <row r="175" spans="2:29" ht="15" customHeight="1">
      <c r="B175" s="270"/>
      <c r="C175" s="209"/>
      <c r="D175" s="208"/>
      <c r="E175" s="210"/>
      <c r="F175" s="211"/>
      <c r="G175" s="197" t="s">
        <v>25</v>
      </c>
      <c r="H175" s="198"/>
      <c r="I175" s="199">
        <f>SUM(I171:I174)</f>
        <v>1.1000000000000001</v>
      </c>
      <c r="J175" s="200">
        <f>SUM(J171:J174)</f>
        <v>45395.328095177218</v>
      </c>
      <c r="K175" s="16"/>
      <c r="L175" s="205" t="s">
        <v>30</v>
      </c>
      <c r="M175" s="212">
        <f>H177</f>
        <v>0.22309999999999999</v>
      </c>
      <c r="N175" s="206"/>
      <c r="O175" s="187">
        <f>M175*O173</f>
        <v>9607.9304730340391</v>
      </c>
      <c r="Y175" s="46" t="s">
        <v>84</v>
      </c>
      <c r="Z175" s="193">
        <f>Z174</f>
        <v>47.4</v>
      </c>
      <c r="AA175" s="194">
        <v>4</v>
      </c>
      <c r="AB175" s="195">
        <f>AA175*Z175</f>
        <v>189.6</v>
      </c>
      <c r="AC175" s="3"/>
    </row>
    <row r="176" spans="2:29" ht="15" customHeight="1" thickBot="1">
      <c r="B176" s="271" t="s">
        <v>30</v>
      </c>
      <c r="C176" s="213">
        <v>0.20676407024615401</v>
      </c>
      <c r="D176" s="209"/>
      <c r="E176" s="191">
        <v>8055.3523979791034</v>
      </c>
      <c r="F176" s="192"/>
      <c r="G176" s="205"/>
      <c r="H176" s="206"/>
      <c r="I176" s="206"/>
      <c r="J176" s="207"/>
      <c r="K176" s="183"/>
      <c r="L176" s="214" t="s">
        <v>33</v>
      </c>
      <c r="M176" s="215"/>
      <c r="N176" s="216"/>
      <c r="O176" s="217">
        <f>SUM(O173:O175)</f>
        <v>52673.508568211262</v>
      </c>
      <c r="Y176" s="218" t="s">
        <v>72</v>
      </c>
      <c r="Z176" s="220">
        <v>0.6</v>
      </c>
      <c r="AA176" s="220">
        <v>40</v>
      </c>
      <c r="AB176" s="221">
        <f>AA176*Z176</f>
        <v>24</v>
      </c>
      <c r="AC176" s="3"/>
    </row>
    <row r="177" spans="2:29" ht="15" customHeight="1" thickTop="1" thickBot="1">
      <c r="B177" s="273" t="s">
        <v>33</v>
      </c>
      <c r="C177" s="222"/>
      <c r="D177" s="223"/>
      <c r="E177" s="224">
        <v>47014.502256023363</v>
      </c>
      <c r="F177" s="185"/>
      <c r="G177" s="205" t="s">
        <v>30</v>
      </c>
      <c r="H177" s="212">
        <f>H17</f>
        <v>0.22309999999999999</v>
      </c>
      <c r="I177" s="206"/>
      <c r="J177" s="187">
        <f>H177*J175</f>
        <v>10127.697698034037</v>
      </c>
      <c r="K177" s="183"/>
      <c r="L177" s="184" t="str">
        <f>G179</f>
        <v>Staff Training (Per DC FTE per day)</v>
      </c>
      <c r="M177" s="290"/>
      <c r="N177" s="226"/>
      <c r="O177" s="272">
        <f>J179</f>
        <v>309</v>
      </c>
      <c r="Y177" s="46" t="s">
        <v>31</v>
      </c>
      <c r="Z177" s="228"/>
      <c r="AA177" s="228"/>
      <c r="AB177" s="195">
        <f>SUM(AB171:AB176)</f>
        <v>586.9</v>
      </c>
      <c r="AC177" s="3"/>
    </row>
    <row r="178" spans="2:29" ht="15" customHeight="1" thickTop="1" thickBot="1">
      <c r="B178" s="271" t="s">
        <v>101</v>
      </c>
      <c r="C178" s="291"/>
      <c r="D178" s="230"/>
      <c r="E178" s="191">
        <v>472.5</v>
      </c>
      <c r="F178" s="192"/>
      <c r="G178" s="214" t="s">
        <v>33</v>
      </c>
      <c r="H178" s="215"/>
      <c r="I178" s="216"/>
      <c r="J178" s="217">
        <f>SUM(J175:J177)</f>
        <v>55523.025793211258</v>
      </c>
      <c r="K178" s="183"/>
      <c r="L178" s="184" t="str">
        <f>G180</f>
        <v>Staff Mileage / Travel</v>
      </c>
      <c r="M178" s="185"/>
      <c r="N178" s="226"/>
      <c r="O178" s="272">
        <f>J180</f>
        <v>1209</v>
      </c>
      <c r="Y178" s="218" t="s">
        <v>34</v>
      </c>
      <c r="Z178" s="231"/>
      <c r="AA178" s="231"/>
      <c r="AB178" s="221">
        <f>AB169-AB177</f>
        <v>1493.1</v>
      </c>
      <c r="AC178" s="3"/>
    </row>
    <row r="179" spans="2:29" ht="15" customHeight="1" thickTop="1" thickBot="1">
      <c r="B179" s="271" t="s">
        <v>79</v>
      </c>
      <c r="C179" s="189"/>
      <c r="D179" s="230"/>
      <c r="E179" s="191">
        <v>1152.4197555347644</v>
      </c>
      <c r="F179" s="192"/>
      <c r="G179" s="184" t="str">
        <f>B153</f>
        <v>Staff Training (Per DC FTE per day)</v>
      </c>
      <c r="H179" s="290"/>
      <c r="I179" s="226"/>
      <c r="J179" s="272">
        <f>H18*(AB176/8)</f>
        <v>309</v>
      </c>
      <c r="K179" s="183"/>
      <c r="L179" s="184" t="str">
        <f>G181</f>
        <v>Program Support - Clerical</v>
      </c>
      <c r="M179" s="185"/>
      <c r="N179" s="226"/>
      <c r="O179" s="272">
        <f>J181</f>
        <v>4326</v>
      </c>
      <c r="Y179" s="46" t="s">
        <v>37</v>
      </c>
      <c r="Z179" s="233"/>
      <c r="AA179" s="233"/>
      <c r="AB179" s="234">
        <f>D147+D148</f>
        <v>1</v>
      </c>
      <c r="AC179" s="3"/>
    </row>
    <row r="180" spans="2:29" ht="15" customHeight="1" thickBot="1">
      <c r="B180" s="280" t="s">
        <v>60</v>
      </c>
      <c r="C180" s="189"/>
      <c r="D180" s="230"/>
      <c r="E180" s="191">
        <v>4039</v>
      </c>
      <c r="F180" s="192"/>
      <c r="G180" s="184" t="str">
        <f>B154</f>
        <v>Staff Mileage / Travel</v>
      </c>
      <c r="H180" s="185"/>
      <c r="I180" s="226"/>
      <c r="J180" s="272">
        <f>H19</f>
        <v>1209</v>
      </c>
      <c r="K180" s="250"/>
      <c r="L180" s="184" t="str">
        <f>G182</f>
        <v>Occupancy (Office Space)</v>
      </c>
      <c r="M180" s="232"/>
      <c r="N180" s="226"/>
      <c r="O180" s="272">
        <f>J182</f>
        <v>351.30000000000007</v>
      </c>
      <c r="Y180" s="240" t="s">
        <v>40</v>
      </c>
      <c r="Z180" s="241"/>
      <c r="AA180" s="242"/>
      <c r="AB180" s="243">
        <f>AB179*AB178</f>
        <v>1493.1</v>
      </c>
      <c r="AC180" s="3"/>
    </row>
    <row r="181" spans="2:29" ht="15" customHeight="1">
      <c r="B181" s="280" t="s">
        <v>42</v>
      </c>
      <c r="C181" s="236"/>
      <c r="D181" s="230"/>
      <c r="E181" s="303">
        <v>990.60000000000025</v>
      </c>
      <c r="F181" s="304"/>
      <c r="G181" s="184" t="str">
        <f>B155</f>
        <v>Program Support - Clerical</v>
      </c>
      <c r="H181" s="185"/>
      <c r="I181" s="226"/>
      <c r="J181" s="272">
        <f>H22</f>
        <v>4326</v>
      </c>
      <c r="K181" s="255"/>
      <c r="L181" s="197" t="s">
        <v>43</v>
      </c>
      <c r="M181" s="198"/>
      <c r="N181" s="198"/>
      <c r="O181" s="200">
        <f>SUM(O176:O180)</f>
        <v>58868.808568211265</v>
      </c>
      <c r="Y181" s="287"/>
      <c r="Z181" s="288"/>
      <c r="AA181" s="288"/>
      <c r="AB181" s="292"/>
      <c r="AC181" s="3"/>
    </row>
    <row r="182" spans="2:29" ht="15" customHeight="1">
      <c r="B182" s="269" t="s">
        <v>43</v>
      </c>
      <c r="C182" s="202"/>
      <c r="D182" s="202"/>
      <c r="E182" s="204">
        <v>53669.022011558125</v>
      </c>
      <c r="F182" s="185"/>
      <c r="G182" s="184" t="str">
        <f>B156</f>
        <v>Occupancy (Office Space)</v>
      </c>
      <c r="H182" s="232"/>
      <c r="I182" s="226"/>
      <c r="J182" s="281">
        <f>H20*SUM(I171:I172)</f>
        <v>351.30000000000007</v>
      </c>
      <c r="K182" s="250"/>
      <c r="L182" s="205" t="s">
        <v>45</v>
      </c>
      <c r="M182" s="212">
        <f>H184</f>
        <v>0.109</v>
      </c>
      <c r="N182" s="206"/>
      <c r="O182" s="187">
        <f>M182*O181</f>
        <v>6416.7001339350281</v>
      </c>
      <c r="Y182" s="287"/>
      <c r="Z182" s="288"/>
      <c r="AA182" s="288"/>
      <c r="AB182" s="288"/>
      <c r="AC182" s="3"/>
    </row>
    <row r="183" spans="2:29" ht="15" customHeight="1">
      <c r="B183" s="271" t="s">
        <v>45</v>
      </c>
      <c r="C183" s="213">
        <v>0.10308211953017005</v>
      </c>
      <c r="D183" s="209"/>
      <c r="E183" s="191">
        <v>5532.316542062762</v>
      </c>
      <c r="F183" s="192"/>
      <c r="G183" s="197" t="s">
        <v>43</v>
      </c>
      <c r="H183" s="198"/>
      <c r="I183" s="198"/>
      <c r="J183" s="200">
        <f>SUM(J178:J182)</f>
        <v>61718.325793211261</v>
      </c>
      <c r="L183" s="205"/>
      <c r="M183" s="212"/>
      <c r="N183" s="206"/>
      <c r="O183" s="187"/>
      <c r="Y183" s="168"/>
      <c r="AC183" s="3"/>
    </row>
    <row r="184" spans="2:29" ht="15" customHeight="1" thickBot="1">
      <c r="B184" s="271"/>
      <c r="C184" s="213"/>
      <c r="D184" s="209"/>
      <c r="E184" s="191"/>
      <c r="F184" s="192"/>
      <c r="G184" s="205" t="s">
        <v>45</v>
      </c>
      <c r="H184" s="78">
        <f>$H$23</f>
        <v>0.109</v>
      </c>
      <c r="I184" s="206"/>
      <c r="J184" s="187">
        <f>H184*J183</f>
        <v>6727.2975114600276</v>
      </c>
      <c r="K184" s="16"/>
      <c r="L184" s="244" t="s">
        <v>50</v>
      </c>
      <c r="M184" s="245"/>
      <c r="N184" s="245"/>
      <c r="O184" s="246">
        <f>SUM(O181:O182)</f>
        <v>65285.508702146297</v>
      </c>
      <c r="Y184" s="262"/>
      <c r="AC184" s="3"/>
    </row>
    <row r="185" spans="2:29" ht="15" customHeight="1" thickTop="1" thickBot="1">
      <c r="B185" s="282" t="s">
        <v>50</v>
      </c>
      <c r="C185" s="248"/>
      <c r="D185" s="248"/>
      <c r="E185" s="249">
        <v>59201.338553620888</v>
      </c>
      <c r="F185" s="185"/>
      <c r="G185" s="205" t="str">
        <f>G24</f>
        <v>PFMLA Trust Contribution</v>
      </c>
      <c r="H185" s="212">
        <f>H24</f>
        <v>3.7000000000000002E-3</v>
      </c>
      <c r="I185" s="206"/>
      <c r="J185" s="187">
        <f>J175*H185</f>
        <v>167.96271395215572</v>
      </c>
      <c r="K185" s="16"/>
      <c r="L185" s="205" t="s">
        <v>52</v>
      </c>
      <c r="M185" s="212"/>
      <c r="N185" s="206"/>
      <c r="O185" s="251">
        <f>O184/O167</f>
        <v>43.724806578357978</v>
      </c>
      <c r="Y185" s="168"/>
      <c r="AC185" s="3"/>
    </row>
    <row r="186" spans="2:29" ht="15" customHeight="1" thickTop="1" thickBot="1">
      <c r="B186" s="271" t="s">
        <v>54</v>
      </c>
      <c r="C186" s="213">
        <v>3.3718689788053743E-2</v>
      </c>
      <c r="D186" s="209"/>
      <c r="E186" s="252">
        <v>61197.530123347977</v>
      </c>
      <c r="F186" s="253"/>
      <c r="G186" s="244" t="s">
        <v>50</v>
      </c>
      <c r="H186" s="245"/>
      <c r="I186" s="245"/>
      <c r="J186" s="246">
        <f>SUM(J183:J185)</f>
        <v>68613.586018623449</v>
      </c>
      <c r="K186" s="174"/>
      <c r="L186" s="205" t="s">
        <v>54</v>
      </c>
      <c r="M186" s="212" t="e">
        <f>M161</f>
        <v>#REF!</v>
      </c>
      <c r="N186" s="206"/>
      <c r="O186" s="256" t="e">
        <f>(O184*M186)+O184</f>
        <v>#REF!</v>
      </c>
      <c r="Y186" s="168"/>
      <c r="AC186" s="3"/>
    </row>
    <row r="187" spans="2:29" ht="15" customHeight="1" thickTop="1" thickBot="1">
      <c r="B187" s="271"/>
      <c r="C187" s="209"/>
      <c r="D187" s="209"/>
      <c r="E187" s="257" t="s">
        <v>56</v>
      </c>
      <c r="F187" s="258"/>
      <c r="G187" s="205" t="str">
        <f>G25</f>
        <v xml:space="preserve"> CAF (Period FY21 &amp; FY22)</v>
      </c>
      <c r="H187" s="212">
        <f>H25</f>
        <v>1.7780248869661817E-2</v>
      </c>
      <c r="I187" s="206"/>
      <c r="J187" s="254">
        <f>(J186*H187)-(J175*H187)</f>
        <v>412.8264041988715</v>
      </c>
      <c r="K187" s="183"/>
      <c r="L187" s="144" t="s">
        <v>73</v>
      </c>
      <c r="M187" s="145"/>
      <c r="N187" s="146"/>
      <c r="O187" s="261" t="e">
        <f>O186/O167</f>
        <v>#REF!</v>
      </c>
      <c r="Y187" s="168"/>
      <c r="AC187" s="3"/>
    </row>
    <row r="188" spans="2:29" ht="15" customHeight="1" thickBot="1">
      <c r="B188" s="139" t="s">
        <v>58</v>
      </c>
      <c r="C188" s="140"/>
      <c r="D188" s="141"/>
      <c r="E188" s="142">
        <v>47.356354201654078</v>
      </c>
      <c r="F188" s="143"/>
      <c r="G188" s="205" t="s">
        <v>10</v>
      </c>
      <c r="H188" s="212"/>
      <c r="I188" s="206"/>
      <c r="J188" s="256">
        <f>J187+J186</f>
        <v>69026.412422822323</v>
      </c>
      <c r="K188" s="183"/>
      <c r="Y188" s="168"/>
      <c r="AC188" s="3"/>
    </row>
    <row r="189" spans="2:29" ht="15" customHeight="1" thickBot="1">
      <c r="B189" s="208"/>
      <c r="C189" s="208"/>
      <c r="D189" s="264"/>
      <c r="E189" s="264"/>
      <c r="F189" s="143"/>
      <c r="G189" s="144" t="s">
        <v>94</v>
      </c>
      <c r="H189" s="145"/>
      <c r="I189" s="146"/>
      <c r="J189" s="261">
        <f>J188/J169+0.01</f>
        <v>46.24026751243877</v>
      </c>
      <c r="K189" s="183">
        <f>J189*0.25</f>
        <v>11.560066878109692</v>
      </c>
      <c r="Y189" s="151"/>
    </row>
    <row r="190" spans="2:29" ht="15" customHeight="1" thickBot="1">
      <c r="G190" s="154" t="s">
        <v>61</v>
      </c>
      <c r="H190" s="155"/>
      <c r="I190" s="156"/>
      <c r="J190" s="265">
        <f>J189/4</f>
        <v>11.560066878109692</v>
      </c>
      <c r="K190" s="183">
        <f>J190*0.25</f>
        <v>2.8900167195274231</v>
      </c>
      <c r="Y190" s="158"/>
      <c r="Z190" s="266"/>
    </row>
    <row r="191" spans="2:29" ht="9" customHeight="1" thickBot="1">
      <c r="B191" s="208"/>
      <c r="C191" s="208"/>
      <c r="D191" s="264"/>
      <c r="E191" s="264"/>
      <c r="F191" s="143"/>
      <c r="K191" s="183"/>
      <c r="L191" s="460" t="s">
        <v>95</v>
      </c>
      <c r="M191" s="461"/>
      <c r="N191" s="461"/>
      <c r="O191" s="462"/>
      <c r="Y191" s="162"/>
      <c r="Z191" s="163"/>
    </row>
    <row r="192" spans="2:29" ht="15" customHeight="1" thickBot="1">
      <c r="B192" s="457" t="s">
        <v>102</v>
      </c>
      <c r="C192" s="458"/>
      <c r="D192" s="458"/>
      <c r="E192" s="459"/>
      <c r="F192" s="6"/>
      <c r="K192" s="183"/>
      <c r="L192" s="14" t="s">
        <v>12</v>
      </c>
      <c r="M192" s="464" t="s">
        <v>13</v>
      </c>
      <c r="N192" s="464"/>
      <c r="O192" s="15">
        <f>J194</f>
        <v>1439.6</v>
      </c>
      <c r="Y192" s="168"/>
    </row>
    <row r="193" spans="2:28" ht="15" customHeight="1" thickBot="1">
      <c r="B193" s="11" t="s">
        <v>12</v>
      </c>
      <c r="C193" s="463" t="s">
        <v>13</v>
      </c>
      <c r="D193" s="463"/>
      <c r="E193" s="12">
        <v>1280.55</v>
      </c>
      <c r="F193" s="13"/>
      <c r="G193" s="460" t="s">
        <v>96</v>
      </c>
      <c r="H193" s="461"/>
      <c r="I193" s="461"/>
      <c r="J193" s="462"/>
      <c r="K193" s="183"/>
      <c r="L193" s="175" t="s">
        <v>97</v>
      </c>
      <c r="M193" s="176" t="s">
        <v>16</v>
      </c>
      <c r="N193" s="176" t="s">
        <v>17</v>
      </c>
      <c r="O193" s="177" t="s">
        <v>18</v>
      </c>
      <c r="Y193" s="8" t="s">
        <v>98</v>
      </c>
      <c r="Z193" s="172" t="s">
        <v>8</v>
      </c>
      <c r="AA193" s="172" t="s">
        <v>9</v>
      </c>
      <c r="AB193" s="173" t="s">
        <v>10</v>
      </c>
    </row>
    <row r="194" spans="2:28" ht="15" customHeight="1">
      <c r="B194" s="283" t="s">
        <v>97</v>
      </c>
      <c r="C194" s="180" t="s">
        <v>16</v>
      </c>
      <c r="D194" s="180" t="s">
        <v>17</v>
      </c>
      <c r="E194" s="181" t="s">
        <v>18</v>
      </c>
      <c r="F194" s="182"/>
      <c r="G194" s="14" t="s">
        <v>12</v>
      </c>
      <c r="H194" s="464" t="s">
        <v>13</v>
      </c>
      <c r="I194" s="464"/>
      <c r="J194" s="15">
        <f>AB205</f>
        <v>1439.6</v>
      </c>
      <c r="K194" s="183"/>
      <c r="L194" s="184" t="str">
        <f t="shared" ref="L194:M197" si="4">G196</f>
        <v>Management</v>
      </c>
      <c r="M194" s="185">
        <f t="shared" si="4"/>
        <v>53919.561903544411</v>
      </c>
      <c r="N194" s="186">
        <f>$H$14</f>
        <v>0.05</v>
      </c>
      <c r="O194" s="187">
        <f>M194*N194</f>
        <v>2695.9780951772209</v>
      </c>
      <c r="Y194" s="17" t="s">
        <v>14</v>
      </c>
      <c r="Z194" s="300">
        <v>52</v>
      </c>
      <c r="AA194" s="18">
        <v>40</v>
      </c>
      <c r="AB194" s="19">
        <f>52*40</f>
        <v>2080</v>
      </c>
    </row>
    <row r="195" spans="2:28" ht="15" customHeight="1">
      <c r="B195" s="268" t="s">
        <v>15</v>
      </c>
      <c r="C195" s="189">
        <v>50346.250729022722</v>
      </c>
      <c r="D195" s="190">
        <v>0.05</v>
      </c>
      <c r="E195" s="191">
        <v>2517.3125364511361</v>
      </c>
      <c r="F195" s="192"/>
      <c r="G195" s="175" t="s">
        <v>97</v>
      </c>
      <c r="H195" s="176" t="s">
        <v>16</v>
      </c>
      <c r="I195" s="176" t="s">
        <v>17</v>
      </c>
      <c r="J195" s="177" t="s">
        <v>18</v>
      </c>
      <c r="K195" s="183"/>
      <c r="L195" s="184" t="str">
        <f t="shared" si="4"/>
        <v>Clinical w/Indep Lic</v>
      </c>
      <c r="M195" s="185">
        <f t="shared" si="4"/>
        <v>60923</v>
      </c>
      <c r="N195" s="186">
        <f>$H$15</f>
        <v>0.05</v>
      </c>
      <c r="O195" s="187">
        <f>M195*N195</f>
        <v>3046.15</v>
      </c>
      <c r="Y195" s="17" t="s">
        <v>76</v>
      </c>
      <c r="Z195" s="18"/>
      <c r="AA195" s="18"/>
      <c r="AB195" s="19"/>
    </row>
    <row r="196" spans="2:28" ht="15" customHeight="1">
      <c r="B196" s="268" t="s">
        <v>44</v>
      </c>
      <c r="C196" s="189">
        <v>50000</v>
      </c>
      <c r="D196" s="190">
        <v>0.05</v>
      </c>
      <c r="E196" s="191">
        <v>2500</v>
      </c>
      <c r="F196" s="192"/>
      <c r="G196" s="184" t="str">
        <f>B170</f>
        <v>Management</v>
      </c>
      <c r="H196" s="185">
        <f>H5</f>
        <v>53919.561903544411</v>
      </c>
      <c r="I196" s="186">
        <f>$H$14</f>
        <v>0.05</v>
      </c>
      <c r="J196" s="187">
        <f>H196*I196</f>
        <v>2695.9780951772209</v>
      </c>
      <c r="K196" s="183"/>
      <c r="L196" s="184" t="str">
        <f t="shared" si="4"/>
        <v>Direct Care III</v>
      </c>
      <c r="M196" s="185">
        <f t="shared" si="4"/>
        <v>41517</v>
      </c>
      <c r="N196" s="186">
        <v>0.3</v>
      </c>
      <c r="O196" s="187">
        <f>M196*N196</f>
        <v>12455.1</v>
      </c>
      <c r="Y196" s="46" t="s">
        <v>69</v>
      </c>
      <c r="Z196" s="193">
        <v>4</v>
      </c>
      <c r="AA196" s="194">
        <f>'[2]48'!L5</f>
        <v>40</v>
      </c>
      <c r="AB196" s="195">
        <f>Z196*AA196</f>
        <v>160</v>
      </c>
    </row>
    <row r="197" spans="2:28" ht="15" customHeight="1">
      <c r="B197" s="268" t="s">
        <v>103</v>
      </c>
      <c r="C197" s="189">
        <v>45208.659101831727</v>
      </c>
      <c r="D197" s="190">
        <v>0.25</v>
      </c>
      <c r="E197" s="191">
        <v>11302.164775457932</v>
      </c>
      <c r="F197" s="192"/>
      <c r="G197" s="184" t="s">
        <v>93</v>
      </c>
      <c r="H197" s="185">
        <v>60923</v>
      </c>
      <c r="I197" s="186">
        <f>$H$15</f>
        <v>0.05</v>
      </c>
      <c r="J197" s="187">
        <f>H197*I197</f>
        <v>3046.15</v>
      </c>
      <c r="K197" s="183"/>
      <c r="L197" s="184">
        <f t="shared" si="4"/>
        <v>0</v>
      </c>
      <c r="M197" s="185">
        <f t="shared" si="4"/>
        <v>0</v>
      </c>
      <c r="N197" s="186">
        <v>0.7</v>
      </c>
      <c r="O197" s="187">
        <f>M197*N197</f>
        <v>0</v>
      </c>
      <c r="Y197" s="50"/>
      <c r="Z197" s="201"/>
      <c r="AA197" s="194"/>
      <c r="AB197" s="49"/>
    </row>
    <row r="198" spans="2:28" ht="15" customHeight="1">
      <c r="B198" s="301" t="s">
        <v>99</v>
      </c>
      <c r="C198" s="189">
        <v>33895.633294342391</v>
      </c>
      <c r="D198" s="190">
        <v>0.75</v>
      </c>
      <c r="E198" s="191">
        <v>25421.724970756793</v>
      </c>
      <c r="F198" s="192"/>
      <c r="G198" s="184" t="s">
        <v>29</v>
      </c>
      <c r="H198" s="196">
        <f>H10</f>
        <v>41517</v>
      </c>
      <c r="I198" s="186">
        <v>1</v>
      </c>
      <c r="J198" s="187">
        <f>H198*I198</f>
        <v>41517</v>
      </c>
      <c r="K198" s="183"/>
      <c r="L198" s="197" t="s">
        <v>25</v>
      </c>
      <c r="M198" s="198"/>
      <c r="N198" s="199">
        <f>SUM(N194:N197)</f>
        <v>1.1000000000000001</v>
      </c>
      <c r="O198" s="200">
        <f>SUM(O194:O197)</f>
        <v>18197.228095177219</v>
      </c>
      <c r="Y198" s="46" t="s">
        <v>71</v>
      </c>
      <c r="Z198" s="194">
        <f>Z194-Z196-Z201</f>
        <v>47.2</v>
      </c>
      <c r="AA198" s="194">
        <v>5</v>
      </c>
      <c r="AB198" s="195">
        <f>AA198*Z198</f>
        <v>236</v>
      </c>
    </row>
    <row r="199" spans="2:28" ht="15" customHeight="1">
      <c r="B199" s="269" t="s">
        <v>25</v>
      </c>
      <c r="C199" s="202"/>
      <c r="D199" s="203">
        <v>1.1000000000000001</v>
      </c>
      <c r="E199" s="204">
        <v>41741.202282665865</v>
      </c>
      <c r="F199" s="185"/>
      <c r="G199" s="184"/>
      <c r="H199" s="196"/>
      <c r="I199" s="186"/>
      <c r="J199" s="187"/>
      <c r="K199" s="16"/>
      <c r="L199" s="205"/>
      <c r="M199" s="206"/>
      <c r="N199" s="206"/>
      <c r="O199" s="207"/>
      <c r="Y199" s="46"/>
      <c r="Z199" s="193"/>
      <c r="AA199" s="194"/>
      <c r="AB199" s="195"/>
    </row>
    <row r="200" spans="2:28" ht="15" customHeight="1">
      <c r="B200" s="270"/>
      <c r="C200" s="209"/>
      <c r="D200" s="208"/>
      <c r="E200" s="210"/>
      <c r="F200" s="211"/>
      <c r="G200" s="197" t="s">
        <v>25</v>
      </c>
      <c r="H200" s="198"/>
      <c r="I200" s="199">
        <f>SUM(I196:I199)</f>
        <v>1.1000000000000001</v>
      </c>
      <c r="J200" s="200">
        <f>SUM(J196:J199)</f>
        <v>47259.128095177221</v>
      </c>
      <c r="K200" s="183"/>
      <c r="L200" s="205" t="s">
        <v>30</v>
      </c>
      <c r="M200" s="212">
        <f>H202</f>
        <v>0.22309999999999999</v>
      </c>
      <c r="N200" s="206"/>
      <c r="O200" s="187">
        <f>M200*O198</f>
        <v>4059.8015880340376</v>
      </c>
      <c r="Y200" s="46" t="s">
        <v>100</v>
      </c>
      <c r="Z200" s="193">
        <f>Z198</f>
        <v>47.2</v>
      </c>
      <c r="AA200" s="194">
        <v>4.5</v>
      </c>
      <c r="AB200" s="195">
        <f>Z200*AA200</f>
        <v>212.4</v>
      </c>
    </row>
    <row r="201" spans="2:28" ht="15" customHeight="1" thickBot="1">
      <c r="B201" s="271" t="s">
        <v>30</v>
      </c>
      <c r="C201" s="213">
        <v>0.20676407024615401</v>
      </c>
      <c r="D201" s="209"/>
      <c r="E201" s="191">
        <v>8630.5808809320497</v>
      </c>
      <c r="F201" s="192"/>
      <c r="G201" s="205"/>
      <c r="H201" s="206"/>
      <c r="I201" s="206"/>
      <c r="J201" s="207"/>
      <c r="K201" s="183"/>
      <c r="L201" s="214" t="s">
        <v>33</v>
      </c>
      <c r="M201" s="215"/>
      <c r="N201" s="216"/>
      <c r="O201" s="217">
        <f>SUM(O198:O200)</f>
        <v>22257.029683211258</v>
      </c>
      <c r="Y201" s="218" t="s">
        <v>72</v>
      </c>
      <c r="Z201" s="219">
        <v>0.8</v>
      </c>
      <c r="AA201" s="220">
        <v>40</v>
      </c>
      <c r="AB201" s="221">
        <f>AA201*Z201</f>
        <v>32</v>
      </c>
    </row>
    <row r="202" spans="2:28" ht="15" customHeight="1" thickTop="1" thickBot="1">
      <c r="B202" s="273" t="s">
        <v>33</v>
      </c>
      <c r="C202" s="222"/>
      <c r="D202" s="223"/>
      <c r="E202" s="224">
        <v>50371.783163597916</v>
      </c>
      <c r="F202" s="185"/>
      <c r="G202" s="205" t="s">
        <v>30</v>
      </c>
      <c r="H202" s="212">
        <f>H17</f>
        <v>0.22309999999999999</v>
      </c>
      <c r="I202" s="206"/>
      <c r="J202" s="187">
        <f>H202*J200</f>
        <v>10543.511478034037</v>
      </c>
      <c r="K202" s="183"/>
      <c r="L202" s="205" t="str">
        <f>G204</f>
        <v xml:space="preserve">Staff Training </v>
      </c>
      <c r="M202" s="290"/>
      <c r="N202" s="226"/>
      <c r="O202" s="272">
        <f>J204</f>
        <v>412</v>
      </c>
      <c r="Y202" s="46" t="s">
        <v>31</v>
      </c>
      <c r="Z202" s="228"/>
      <c r="AA202" s="228"/>
      <c r="AB202" s="195">
        <f>SUM(AB196:AB201)</f>
        <v>640.4</v>
      </c>
    </row>
    <row r="203" spans="2:28" ht="15" customHeight="1" thickTop="1" thickBot="1">
      <c r="B203" s="271" t="s">
        <v>39</v>
      </c>
      <c r="C203" s="291"/>
      <c r="D203" s="230"/>
      <c r="E203" s="191">
        <v>607.5</v>
      </c>
      <c r="F203" s="192"/>
      <c r="G203" s="214" t="s">
        <v>33</v>
      </c>
      <c r="H203" s="215"/>
      <c r="I203" s="216"/>
      <c r="J203" s="217">
        <f>SUM(J200:J202)</f>
        <v>57802.639573211258</v>
      </c>
      <c r="K203" s="183"/>
      <c r="L203" s="205" t="str">
        <f>G205</f>
        <v>Staff Mileage / Travel</v>
      </c>
      <c r="M203" s="185"/>
      <c r="N203" s="226"/>
      <c r="O203" s="272">
        <f>J205</f>
        <v>1209</v>
      </c>
      <c r="Y203" s="218" t="s">
        <v>34</v>
      </c>
      <c r="Z203" s="231"/>
      <c r="AA203" s="231"/>
      <c r="AB203" s="221">
        <f>AB194-AB202</f>
        <v>1439.6</v>
      </c>
    </row>
    <row r="204" spans="2:28" ht="15" customHeight="1" thickTop="1" thickBot="1">
      <c r="B204" s="271" t="s">
        <v>36</v>
      </c>
      <c r="C204" s="189"/>
      <c r="D204" s="230"/>
      <c r="E204" s="191">
        <v>1152.4197555347644</v>
      </c>
      <c r="F204" s="192"/>
      <c r="G204" s="205" t="str">
        <f>B178</f>
        <v xml:space="preserve">Staff Training </v>
      </c>
      <c r="H204" s="290"/>
      <c r="I204" s="226"/>
      <c r="J204" s="272">
        <f>H18*(AB201/8)</f>
        <v>412</v>
      </c>
      <c r="K204" s="250"/>
      <c r="L204" s="205" t="str">
        <f>G206</f>
        <v>Program Support - Clerical</v>
      </c>
      <c r="M204" s="185"/>
      <c r="N204" s="226"/>
      <c r="O204" s="272">
        <f>J206</f>
        <v>4326</v>
      </c>
      <c r="Y204" s="46" t="s">
        <v>37</v>
      </c>
      <c r="Z204" s="233"/>
      <c r="AA204" s="233"/>
      <c r="AB204" s="234">
        <f>SUM(D172:D173)</f>
        <v>1</v>
      </c>
    </row>
    <row r="205" spans="2:28" ht="15" customHeight="1" thickBot="1">
      <c r="B205" s="275" t="s">
        <v>57</v>
      </c>
      <c r="C205" s="306">
        <v>0.15</v>
      </c>
      <c r="D205" s="306"/>
      <c r="E205" s="191">
        <v>7500</v>
      </c>
      <c r="F205" s="192"/>
      <c r="G205" s="205" t="str">
        <f>B179</f>
        <v>Staff Mileage / Travel</v>
      </c>
      <c r="H205" s="185"/>
      <c r="I205" s="226"/>
      <c r="J205" s="272">
        <f>H19</f>
        <v>1209</v>
      </c>
      <c r="K205" s="255"/>
      <c r="L205" s="205" t="str">
        <f>G207</f>
        <v>Occupancy (Office Space)</v>
      </c>
      <c r="M205" s="232"/>
      <c r="N205" s="226"/>
      <c r="O205" s="272">
        <f>J207</f>
        <v>351.30000000000007</v>
      </c>
      <c r="Y205" s="240" t="s">
        <v>40</v>
      </c>
      <c r="Z205" s="241"/>
      <c r="AA205" s="242"/>
      <c r="AB205" s="243">
        <f>AB204*AB203</f>
        <v>1439.6</v>
      </c>
    </row>
    <row r="206" spans="2:28" ht="15" customHeight="1">
      <c r="B206" s="280" t="s">
        <v>60</v>
      </c>
      <c r="C206" s="189"/>
      <c r="D206" s="230"/>
      <c r="E206" s="191">
        <v>4039</v>
      </c>
      <c r="F206" s="192"/>
      <c r="G206" s="205" t="str">
        <f>B180</f>
        <v>Program Support - Clerical</v>
      </c>
      <c r="H206" s="185"/>
      <c r="I206" s="226"/>
      <c r="J206" s="272">
        <f>H22</f>
        <v>4326</v>
      </c>
      <c r="K206" s="250"/>
      <c r="L206" s="197" t="s">
        <v>43</v>
      </c>
      <c r="M206" s="198"/>
      <c r="N206" s="198"/>
      <c r="O206" s="200">
        <f>SUM(O201:O205)</f>
        <v>28555.329683211257</v>
      </c>
      <c r="Y206" s="168"/>
      <c r="AB206" s="302">
        <v>1374</v>
      </c>
    </row>
    <row r="207" spans="2:28" ht="15" customHeight="1">
      <c r="B207" s="280" t="s">
        <v>42</v>
      </c>
      <c r="C207" s="236"/>
      <c r="D207" s="230"/>
      <c r="E207" s="303">
        <v>866.77500000000009</v>
      </c>
      <c r="F207" s="304"/>
      <c r="G207" s="205" t="str">
        <f>B181</f>
        <v>Occupancy (Office Space)</v>
      </c>
      <c r="H207" s="232"/>
      <c r="I207" s="226"/>
      <c r="J207" s="281">
        <f>H20*SUM(I196:I197)</f>
        <v>351.30000000000007</v>
      </c>
      <c r="L207" s="205" t="s">
        <v>45</v>
      </c>
      <c r="M207" s="212">
        <f>H209</f>
        <v>0.109</v>
      </c>
      <c r="N207" s="206"/>
      <c r="O207" s="187">
        <f>M207*O206</f>
        <v>3112.5309354700271</v>
      </c>
      <c r="Y207" s="168"/>
    </row>
    <row r="208" spans="2:28" ht="15" customHeight="1">
      <c r="B208" s="269" t="s">
        <v>43</v>
      </c>
      <c r="C208" s="202"/>
      <c r="D208" s="202"/>
      <c r="E208" s="204">
        <v>64537.477919132682</v>
      </c>
      <c r="F208" s="185"/>
      <c r="G208" s="197" t="s">
        <v>43</v>
      </c>
      <c r="H208" s="198"/>
      <c r="I208" s="198"/>
      <c r="J208" s="200">
        <f>SUM(J203:J207)</f>
        <v>64100.939573211261</v>
      </c>
      <c r="K208" s="16"/>
      <c r="L208" s="205"/>
      <c r="M208" s="212"/>
      <c r="N208" s="206"/>
      <c r="O208" s="187"/>
      <c r="Y208" s="168"/>
    </row>
    <row r="209" spans="2:28" ht="15" customHeight="1" thickBot="1">
      <c r="B209" s="271" t="s">
        <v>45</v>
      </c>
      <c r="C209" s="213">
        <v>0.10308211953017005</v>
      </c>
      <c r="D209" s="209"/>
      <c r="E209" s="191">
        <v>6652.6600130357456</v>
      </c>
      <c r="F209" s="192"/>
      <c r="G209" s="205" t="s">
        <v>45</v>
      </c>
      <c r="H209" s="78">
        <f>$H$23</f>
        <v>0.109</v>
      </c>
      <c r="I209" s="206"/>
      <c r="J209" s="187">
        <f>H209*J208</f>
        <v>6987.0024134800278</v>
      </c>
      <c r="K209" s="16"/>
      <c r="L209" s="244" t="s">
        <v>50</v>
      </c>
      <c r="M209" s="245"/>
      <c r="N209" s="245"/>
      <c r="O209" s="246">
        <f>SUM(O206:O207)</f>
        <v>31667.860618681283</v>
      </c>
      <c r="Y209" s="168"/>
    </row>
    <row r="210" spans="2:28" ht="15" customHeight="1" thickTop="1">
      <c r="B210" s="271"/>
      <c r="C210" s="213"/>
      <c r="D210" s="209"/>
      <c r="E210" s="191"/>
      <c r="F210" s="192"/>
      <c r="G210" s="205" t="str">
        <f>G24</f>
        <v>PFMLA Trust Contribution</v>
      </c>
      <c r="H210" s="212">
        <f>H24</f>
        <v>3.7000000000000002E-3</v>
      </c>
      <c r="I210" s="206"/>
      <c r="J210" s="187">
        <f>J200*H210</f>
        <v>174.85877395215573</v>
      </c>
      <c r="K210" s="174"/>
      <c r="L210" s="205" t="s">
        <v>52</v>
      </c>
      <c r="M210" s="212"/>
      <c r="N210" s="206"/>
      <c r="O210" s="251">
        <f>O209/O192</f>
        <v>21.997680340845573</v>
      </c>
      <c r="Y210" s="168"/>
    </row>
    <row r="211" spans="2:28" ht="15" customHeight="1" thickBot="1">
      <c r="B211" s="282" t="s">
        <v>50</v>
      </c>
      <c r="C211" s="248"/>
      <c r="D211" s="248"/>
      <c r="E211" s="249">
        <v>71190.137932168422</v>
      </c>
      <c r="F211" s="185"/>
      <c r="G211" s="244" t="s">
        <v>50</v>
      </c>
      <c r="H211" s="245"/>
      <c r="I211" s="245"/>
      <c r="J211" s="246">
        <f>SUM(J208:J210)</f>
        <v>71262.800760643455</v>
      </c>
      <c r="K211" s="183"/>
      <c r="L211" s="205" t="s">
        <v>54</v>
      </c>
      <c r="M211" s="212" t="e">
        <f>M186</f>
        <v>#REF!</v>
      </c>
      <c r="N211" s="206"/>
      <c r="O211" s="256" t="e">
        <f>(O209*M211)+O209</f>
        <v>#REF!</v>
      </c>
      <c r="Y211" s="168"/>
    </row>
    <row r="212" spans="2:28" ht="15" customHeight="1" thickTop="1" thickBot="1">
      <c r="B212" s="271" t="s">
        <v>54</v>
      </c>
      <c r="C212" s="213">
        <v>3.3718689788053743E-2</v>
      </c>
      <c r="D212" s="209"/>
      <c r="E212" s="252">
        <v>73590.576109071961</v>
      </c>
      <c r="F212" s="253"/>
      <c r="G212" s="205" t="str">
        <f>G25</f>
        <v xml:space="preserve"> CAF (Period FY21 &amp; FY22)</v>
      </c>
      <c r="H212" s="212">
        <f>H25</f>
        <v>1.7780248869661817E-2</v>
      </c>
      <c r="I212" s="206"/>
      <c r="J212" s="254">
        <f>(J211*H212)-(J200*H212)</f>
        <v>426.79127377788825</v>
      </c>
      <c r="K212" s="183"/>
      <c r="L212" s="144" t="s">
        <v>73</v>
      </c>
      <c r="M212" s="145"/>
      <c r="N212" s="146"/>
      <c r="O212" s="261" t="e">
        <f>O211/O192</f>
        <v>#REF!</v>
      </c>
      <c r="Y212" s="168"/>
    </row>
    <row r="213" spans="2:28" ht="15" customHeight="1" thickBot="1">
      <c r="B213" s="271"/>
      <c r="C213" s="209"/>
      <c r="D213" s="209"/>
      <c r="E213" s="257" t="s">
        <v>56</v>
      </c>
      <c r="F213" s="258"/>
      <c r="G213" s="205" t="s">
        <v>10</v>
      </c>
      <c r="H213" s="212"/>
      <c r="I213" s="206"/>
      <c r="J213" s="256">
        <f>J212+J211</f>
        <v>71689.592034421337</v>
      </c>
      <c r="K213" s="183"/>
      <c r="L213" s="206"/>
      <c r="M213" s="206"/>
      <c r="N213" s="143"/>
      <c r="O213" s="298"/>
      <c r="Y213" s="168"/>
    </row>
    <row r="214" spans="2:28" ht="15" customHeight="1" thickBot="1">
      <c r="B214" s="139" t="s">
        <v>58</v>
      </c>
      <c r="C214" s="140"/>
      <c r="D214" s="141"/>
      <c r="E214" s="142">
        <v>57.477944327884082</v>
      </c>
      <c r="F214" s="143"/>
      <c r="G214" s="144" t="s">
        <v>94</v>
      </c>
      <c r="H214" s="145"/>
      <c r="I214" s="146"/>
      <c r="J214" s="261">
        <f>J213/J194</f>
        <v>49.79827176606095</v>
      </c>
      <c r="K214" s="183">
        <f>J214*0.25</f>
        <v>12.449567941515237</v>
      </c>
      <c r="Y214" s="151"/>
    </row>
    <row r="215" spans="2:28" ht="15" customHeight="1" thickBot="1">
      <c r="G215" s="154" t="s">
        <v>61</v>
      </c>
      <c r="H215" s="155"/>
      <c r="I215" s="156"/>
      <c r="J215" s="265">
        <f>J214/4</f>
        <v>12.449567941515237</v>
      </c>
      <c r="K215" s="183">
        <f>J215*0.25</f>
        <v>3.1123919853788093</v>
      </c>
      <c r="L215" s="206"/>
      <c r="M215" s="206"/>
      <c r="N215" s="143"/>
      <c r="O215" s="143"/>
      <c r="Y215" s="158"/>
      <c r="Z215" s="266"/>
    </row>
    <row r="216" spans="2:28" ht="15" customHeight="1" thickBot="1">
      <c r="G216" s="206"/>
      <c r="H216" s="206"/>
      <c r="I216" s="143"/>
      <c r="J216" s="143"/>
      <c r="K216" s="183"/>
      <c r="L216" s="14" t="s">
        <v>12</v>
      </c>
      <c r="M216" s="464" t="s">
        <v>13</v>
      </c>
      <c r="N216" s="464"/>
      <c r="O216" s="15">
        <f>J218</f>
        <v>1421.3</v>
      </c>
      <c r="Y216" s="168"/>
    </row>
    <row r="217" spans="2:28" ht="15" customHeight="1" thickBot="1">
      <c r="B217" s="457" t="s">
        <v>105</v>
      </c>
      <c r="C217" s="458"/>
      <c r="D217" s="458"/>
      <c r="E217" s="459"/>
      <c r="F217" s="6"/>
      <c r="G217" s="460" t="s">
        <v>102</v>
      </c>
      <c r="H217" s="461"/>
      <c r="I217" s="461"/>
      <c r="J217" s="462"/>
      <c r="K217" s="183"/>
      <c r="L217" s="175" t="s">
        <v>97</v>
      </c>
      <c r="M217" s="176" t="s">
        <v>16</v>
      </c>
      <c r="N217" s="176" t="s">
        <v>17</v>
      </c>
      <c r="O217" s="177" t="s">
        <v>18</v>
      </c>
      <c r="Y217" s="8" t="s">
        <v>98</v>
      </c>
      <c r="Z217" s="172" t="s">
        <v>8</v>
      </c>
      <c r="AA217" s="172" t="s">
        <v>9</v>
      </c>
      <c r="AB217" s="173" t="s">
        <v>10</v>
      </c>
    </row>
    <row r="218" spans="2:28" ht="15" customHeight="1">
      <c r="B218" s="11" t="s">
        <v>12</v>
      </c>
      <c r="C218" s="463" t="s">
        <v>13</v>
      </c>
      <c r="D218" s="463"/>
      <c r="E218" s="12">
        <v>1236.0925</v>
      </c>
      <c r="F218" s="13"/>
      <c r="G218" s="14" t="s">
        <v>12</v>
      </c>
      <c r="H218" s="464" t="s">
        <v>13</v>
      </c>
      <c r="I218" s="464"/>
      <c r="J218" s="15">
        <f>AB229</f>
        <v>1421.3</v>
      </c>
      <c r="K218" s="183"/>
      <c r="L218" s="184" t="str">
        <f t="shared" ref="L218:M221" si="5">G220</f>
        <v>Management</v>
      </c>
      <c r="M218" s="185">
        <f t="shared" si="5"/>
        <v>53919.561903544411</v>
      </c>
      <c r="N218" s="186">
        <v>0.05</v>
      </c>
      <c r="O218" s="187">
        <f>M218*N218</f>
        <v>2695.9780951772209</v>
      </c>
      <c r="Y218" s="17" t="s">
        <v>14</v>
      </c>
      <c r="Z218" s="18">
        <v>52</v>
      </c>
      <c r="AA218" s="18">
        <v>40</v>
      </c>
      <c r="AB218" s="178">
        <f>52*40</f>
        <v>2080</v>
      </c>
    </row>
    <row r="219" spans="2:28" ht="15" customHeight="1">
      <c r="B219" s="283" t="s">
        <v>97</v>
      </c>
      <c r="C219" s="180" t="s">
        <v>16</v>
      </c>
      <c r="D219" s="180" t="s">
        <v>17</v>
      </c>
      <c r="E219" s="181" t="s">
        <v>18</v>
      </c>
      <c r="F219" s="182"/>
      <c r="G219" s="175" t="s">
        <v>97</v>
      </c>
      <c r="H219" s="176" t="s">
        <v>16</v>
      </c>
      <c r="I219" s="176" t="s">
        <v>17</v>
      </c>
      <c r="J219" s="177" t="s">
        <v>18</v>
      </c>
      <c r="K219" s="183"/>
      <c r="L219" s="184" t="str">
        <f t="shared" si="5"/>
        <v>Clinical w/Indep Lic</v>
      </c>
      <c r="M219" s="185">
        <f t="shared" si="5"/>
        <v>60923</v>
      </c>
      <c r="N219" s="186">
        <f>$H$15</f>
        <v>0.05</v>
      </c>
      <c r="O219" s="187">
        <f>M219*N219</f>
        <v>3046.15</v>
      </c>
      <c r="Y219" s="17" t="s">
        <v>76</v>
      </c>
      <c r="Z219" s="18"/>
      <c r="AA219" s="18"/>
      <c r="AB219" s="19"/>
    </row>
    <row r="220" spans="2:28" ht="15" customHeight="1">
      <c r="B220" s="268" t="s">
        <v>15</v>
      </c>
      <c r="C220" s="189">
        <v>50346.250729022722</v>
      </c>
      <c r="D220" s="190">
        <v>0.05</v>
      </c>
      <c r="E220" s="191">
        <v>2517.3125364511361</v>
      </c>
      <c r="F220" s="192"/>
      <c r="G220" s="184" t="str">
        <f>B195</f>
        <v>Management</v>
      </c>
      <c r="H220" s="185">
        <f>H5</f>
        <v>53919.561903544411</v>
      </c>
      <c r="I220" s="186">
        <v>0.05</v>
      </c>
      <c r="J220" s="187">
        <f>H220*I220</f>
        <v>2695.9780951772209</v>
      </c>
      <c r="K220" s="183"/>
      <c r="L220" s="184" t="str">
        <f t="shared" si="5"/>
        <v>Caseworker</v>
      </c>
      <c r="M220" s="185">
        <f t="shared" si="5"/>
        <v>43971</v>
      </c>
      <c r="N220" s="186">
        <v>0.25</v>
      </c>
      <c r="O220" s="187">
        <f>M220*N220</f>
        <v>10992.75</v>
      </c>
      <c r="Y220" s="46" t="s">
        <v>69</v>
      </c>
      <c r="Z220" s="193">
        <v>4</v>
      </c>
      <c r="AA220" s="194">
        <f>'[2]58'!M5</f>
        <v>40</v>
      </c>
      <c r="AB220" s="195">
        <f>Z220*AA220</f>
        <v>160</v>
      </c>
    </row>
    <row r="221" spans="2:28" ht="15" customHeight="1">
      <c r="B221" s="268" t="s">
        <v>44</v>
      </c>
      <c r="C221" s="189">
        <v>50000</v>
      </c>
      <c r="D221" s="190">
        <v>0.05</v>
      </c>
      <c r="E221" s="191">
        <v>2500</v>
      </c>
      <c r="F221" s="192"/>
      <c r="G221" s="184" t="s">
        <v>93</v>
      </c>
      <c r="H221" s="185">
        <v>60923</v>
      </c>
      <c r="I221" s="186">
        <f>$H$15</f>
        <v>0.05</v>
      </c>
      <c r="J221" s="187">
        <f>H221*I221</f>
        <v>3046.15</v>
      </c>
      <c r="K221" s="183"/>
      <c r="L221" s="184">
        <f t="shared" si="5"/>
        <v>0</v>
      </c>
      <c r="M221" s="185">
        <f t="shared" si="5"/>
        <v>0</v>
      </c>
      <c r="N221" s="186">
        <v>0.75</v>
      </c>
      <c r="O221" s="187">
        <f>M221*N221</f>
        <v>0</v>
      </c>
      <c r="Y221" s="50"/>
      <c r="Z221" s="201"/>
      <c r="AA221" s="194"/>
      <c r="AB221" s="49"/>
    </row>
    <row r="222" spans="2:28" ht="15" customHeight="1">
      <c r="B222" s="268" t="s">
        <v>103</v>
      </c>
      <c r="C222" s="189">
        <v>45208.659101831727</v>
      </c>
      <c r="D222" s="190">
        <v>0.5</v>
      </c>
      <c r="E222" s="191">
        <v>22604.329550915863</v>
      </c>
      <c r="F222" s="192"/>
      <c r="G222" s="184" t="s">
        <v>104</v>
      </c>
      <c r="H222" s="196">
        <f>H9</f>
        <v>43971</v>
      </c>
      <c r="I222" s="186">
        <v>1</v>
      </c>
      <c r="J222" s="187">
        <f>H222*I222</f>
        <v>43971</v>
      </c>
      <c r="K222" s="183"/>
      <c r="L222" s="197" t="s">
        <v>25</v>
      </c>
      <c r="M222" s="198"/>
      <c r="N222" s="199">
        <f>SUM(N218:N221)</f>
        <v>1.1000000000000001</v>
      </c>
      <c r="O222" s="200">
        <f>SUM(O218:O221)</f>
        <v>16734.878095177221</v>
      </c>
      <c r="Y222" s="46" t="s">
        <v>71</v>
      </c>
      <c r="Z222" s="193">
        <f>Z218-Z220-Z225</f>
        <v>46.6</v>
      </c>
      <c r="AA222" s="194">
        <v>5</v>
      </c>
      <c r="AB222" s="195">
        <f>AA222*Z222</f>
        <v>233</v>
      </c>
    </row>
    <row r="223" spans="2:28" ht="15" customHeight="1">
      <c r="B223" s="301" t="s">
        <v>99</v>
      </c>
      <c r="C223" s="189">
        <v>33895.633294342391</v>
      </c>
      <c r="D223" s="190">
        <v>0.5</v>
      </c>
      <c r="E223" s="191">
        <v>16947.816647171196</v>
      </c>
      <c r="F223" s="192"/>
      <c r="G223" s="184"/>
      <c r="H223" s="196"/>
      <c r="I223" s="186"/>
      <c r="J223" s="187"/>
      <c r="K223" s="16"/>
      <c r="L223" s="205"/>
      <c r="M223" s="206"/>
      <c r="N223" s="206"/>
      <c r="O223" s="207"/>
      <c r="Y223" s="46"/>
      <c r="Z223" s="193"/>
      <c r="AA223" s="194"/>
      <c r="AB223" s="195"/>
    </row>
    <row r="224" spans="2:28" ht="15" customHeight="1">
      <c r="B224" s="269" t="s">
        <v>25</v>
      </c>
      <c r="C224" s="202"/>
      <c r="D224" s="203">
        <v>1.1000000000000001</v>
      </c>
      <c r="E224" s="204">
        <v>44569.458734538195</v>
      </c>
      <c r="F224" s="185"/>
      <c r="G224" s="197" t="s">
        <v>25</v>
      </c>
      <c r="H224" s="198"/>
      <c r="I224" s="199">
        <f>SUM(I220:I223)</f>
        <v>1.1000000000000001</v>
      </c>
      <c r="J224" s="200">
        <f>SUM(J220:J223)</f>
        <v>49713.128095177221</v>
      </c>
      <c r="K224" s="183"/>
      <c r="L224" s="205" t="s">
        <v>30</v>
      </c>
      <c r="M224" s="212">
        <f>H226</f>
        <v>0.22309999999999999</v>
      </c>
      <c r="N224" s="206"/>
      <c r="O224" s="187">
        <f>M224*O222</f>
        <v>3733.5513030340376</v>
      </c>
      <c r="Y224" s="46" t="s">
        <v>100</v>
      </c>
      <c r="Z224" s="193">
        <f>Z222</f>
        <v>46.6</v>
      </c>
      <c r="AA224" s="194">
        <v>4.5</v>
      </c>
      <c r="AB224" s="195">
        <f>Z224*AA224</f>
        <v>209.70000000000002</v>
      </c>
    </row>
    <row r="225" spans="2:28" ht="15" customHeight="1" thickBot="1">
      <c r="B225" s="270"/>
      <c r="C225" s="209"/>
      <c r="D225" s="208"/>
      <c r="E225" s="210"/>
      <c r="F225" s="211"/>
      <c r="G225" s="205"/>
      <c r="H225" s="206"/>
      <c r="I225" s="206"/>
      <c r="J225" s="207"/>
      <c r="K225" s="183"/>
      <c r="L225" s="214" t="s">
        <v>33</v>
      </c>
      <c r="M225" s="215"/>
      <c r="N225" s="216"/>
      <c r="O225" s="217">
        <f>SUM(O222:O224)</f>
        <v>20468.429398211258</v>
      </c>
      <c r="Y225" s="218" t="s">
        <v>72</v>
      </c>
      <c r="Z225" s="219">
        <v>1.4</v>
      </c>
      <c r="AA225" s="220">
        <v>40</v>
      </c>
      <c r="AB225" s="221">
        <f>Z225*AA225</f>
        <v>56</v>
      </c>
    </row>
    <row r="226" spans="2:28" ht="15" customHeight="1" thickTop="1">
      <c r="B226" s="271" t="s">
        <v>30</v>
      </c>
      <c r="C226" s="213">
        <v>0.20676407024615401</v>
      </c>
      <c r="D226" s="209"/>
      <c r="E226" s="191">
        <v>9215.3626966211177</v>
      </c>
      <c r="F226" s="192"/>
      <c r="G226" s="205" t="s">
        <v>30</v>
      </c>
      <c r="H226" s="212">
        <f>H17</f>
        <v>0.22309999999999999</v>
      </c>
      <c r="I226" s="206"/>
      <c r="J226" s="187">
        <f>H226*J224</f>
        <v>11090.998878034037</v>
      </c>
      <c r="K226" s="183"/>
      <c r="L226" s="205" t="str">
        <f>G228</f>
        <v>Staff Training (Per DC FTE per day)</v>
      </c>
      <c r="M226" s="290"/>
      <c r="N226" s="226"/>
      <c r="O226" s="272">
        <f>J228</f>
        <v>721</v>
      </c>
      <c r="Y226" s="46" t="s">
        <v>31</v>
      </c>
      <c r="Z226" s="228"/>
      <c r="AA226" s="228"/>
      <c r="AB226" s="195">
        <f>SUM(AB220:AB225)</f>
        <v>658.7</v>
      </c>
    </row>
    <row r="227" spans="2:28" ht="15" customHeight="1" thickBot="1">
      <c r="B227" s="273" t="s">
        <v>33</v>
      </c>
      <c r="C227" s="222"/>
      <c r="D227" s="223"/>
      <c r="E227" s="224">
        <v>53784.821431159311</v>
      </c>
      <c r="F227" s="185"/>
      <c r="G227" s="214" t="s">
        <v>33</v>
      </c>
      <c r="H227" s="215"/>
      <c r="I227" s="216"/>
      <c r="J227" s="217">
        <f>SUM(J224:J226)</f>
        <v>60804.126973211256</v>
      </c>
      <c r="K227" s="183"/>
      <c r="L227" s="205" t="str">
        <f>G229</f>
        <v>Staff Mileage / Travel (Per DC FTE)</v>
      </c>
      <c r="M227" s="185"/>
      <c r="N227" s="226"/>
      <c r="O227" s="272">
        <f>J229</f>
        <v>1209</v>
      </c>
      <c r="Y227" s="218" t="s">
        <v>34</v>
      </c>
      <c r="Z227" s="231"/>
      <c r="AA227" s="231"/>
      <c r="AB227" s="221">
        <f>AB218-AB226</f>
        <v>1421.3</v>
      </c>
    </row>
    <row r="228" spans="2:28" ht="15" customHeight="1" thickTop="1" thickBot="1">
      <c r="B228" s="271" t="s">
        <v>39</v>
      </c>
      <c r="C228" s="291"/>
      <c r="D228" s="230"/>
      <c r="E228" s="191">
        <v>765</v>
      </c>
      <c r="F228" s="192"/>
      <c r="G228" s="205" t="str">
        <f>B203</f>
        <v>Staff Training (Per DC FTE per day)</v>
      </c>
      <c r="H228" s="290"/>
      <c r="I228" s="226"/>
      <c r="J228" s="272">
        <f>H18*(AB225/8)</f>
        <v>721</v>
      </c>
      <c r="K228" s="250"/>
      <c r="L228" s="205" t="str">
        <f>G230</f>
        <v>Clinical Consultant</v>
      </c>
      <c r="M228" s="305">
        <v>0.15</v>
      </c>
      <c r="N228" s="305"/>
      <c r="O228" s="272">
        <f>J230</f>
        <v>9138.4499999999989</v>
      </c>
      <c r="Y228" s="46" t="s">
        <v>37</v>
      </c>
      <c r="Z228" s="233"/>
      <c r="AA228" s="233"/>
      <c r="AB228" s="234">
        <f>SUM(D197:D198)</f>
        <v>1</v>
      </c>
    </row>
    <row r="229" spans="2:28" ht="15" customHeight="1" thickBot="1">
      <c r="B229" s="271" t="s">
        <v>36</v>
      </c>
      <c r="C229" s="189"/>
      <c r="D229" s="230"/>
      <c r="E229" s="191">
        <v>1152.4197555347644</v>
      </c>
      <c r="F229" s="192"/>
      <c r="G229" s="205" t="str">
        <f>B204</f>
        <v>Staff Mileage / Travel (Per DC FTE)</v>
      </c>
      <c r="H229" s="185"/>
      <c r="I229" s="226"/>
      <c r="J229" s="272">
        <f>H19</f>
        <v>1209</v>
      </c>
      <c r="K229" s="255"/>
      <c r="L229" s="205" t="str">
        <f>G231</f>
        <v>Program Support - Clerical</v>
      </c>
      <c r="M229" s="185"/>
      <c r="N229" s="226"/>
      <c r="O229" s="272">
        <f>J231</f>
        <v>4326</v>
      </c>
      <c r="Y229" s="240" t="s">
        <v>40</v>
      </c>
      <c r="Z229" s="241"/>
      <c r="AA229" s="242"/>
      <c r="AB229" s="243">
        <f>AB228*AB227</f>
        <v>1421.3</v>
      </c>
    </row>
    <row r="230" spans="2:28" ht="16.5" customHeight="1">
      <c r="B230" s="271" t="s">
        <v>106</v>
      </c>
      <c r="C230" s="306">
        <v>0.25</v>
      </c>
      <c r="D230" s="306"/>
      <c r="E230" s="191">
        <v>12500</v>
      </c>
      <c r="F230" s="192"/>
      <c r="G230" s="205" t="str">
        <f>B205</f>
        <v>Clinical Consultant</v>
      </c>
      <c r="H230" s="305">
        <v>0.15</v>
      </c>
      <c r="I230" s="305"/>
      <c r="J230" s="272">
        <f>H21*H230</f>
        <v>9138.4499999999989</v>
      </c>
      <c r="K230" s="250"/>
      <c r="L230" s="205" t="str">
        <f>G232</f>
        <v>Occupancy (Office Space)</v>
      </c>
      <c r="M230" s="232"/>
      <c r="N230" s="226"/>
      <c r="O230" s="272">
        <f>J232</f>
        <v>351.30000000000007</v>
      </c>
      <c r="Y230" s="168"/>
      <c r="AB230" s="302"/>
    </row>
    <row r="231" spans="2:28" ht="15.75" customHeight="1">
      <c r="B231" s="280" t="s">
        <v>60</v>
      </c>
      <c r="C231" s="189"/>
      <c r="D231" s="230"/>
      <c r="E231" s="191">
        <v>4039</v>
      </c>
      <c r="F231" s="192"/>
      <c r="G231" s="205" t="str">
        <f>B206</f>
        <v>Program Support - Clerical</v>
      </c>
      <c r="H231" s="185"/>
      <c r="I231" s="226"/>
      <c r="J231" s="272">
        <f>H22</f>
        <v>4326</v>
      </c>
      <c r="L231" s="197" t="s">
        <v>43</v>
      </c>
      <c r="M231" s="198"/>
      <c r="N231" s="198"/>
      <c r="O231" s="200">
        <f>SUM(O225:O230)</f>
        <v>36214.179398211258</v>
      </c>
      <c r="Y231" s="168"/>
    </row>
    <row r="232" spans="2:28" ht="13.5" customHeight="1">
      <c r="B232" s="280" t="s">
        <v>42</v>
      </c>
      <c r="C232" s="236"/>
      <c r="D232" s="230"/>
      <c r="E232" s="303">
        <v>1485.9000000000003</v>
      </c>
      <c r="F232" s="304"/>
      <c r="G232" s="205" t="str">
        <f>B207</f>
        <v>Occupancy (Office Space)</v>
      </c>
      <c r="H232" s="232"/>
      <c r="I232" s="226"/>
      <c r="J232" s="281">
        <f>H20*SUM(I220:I221)</f>
        <v>351.30000000000007</v>
      </c>
      <c r="K232" s="16"/>
      <c r="L232" s="205" t="s">
        <v>45</v>
      </c>
      <c r="M232" s="212">
        <f>H234</f>
        <v>0.109</v>
      </c>
      <c r="N232" s="206"/>
      <c r="O232" s="187">
        <f>M232*O231</f>
        <v>3947.3455544050271</v>
      </c>
      <c r="Y232" s="168"/>
    </row>
    <row r="233" spans="2:28" ht="15" customHeight="1">
      <c r="B233" s="269" t="s">
        <v>43</v>
      </c>
      <c r="C233" s="202"/>
      <c r="D233" s="202"/>
      <c r="E233" s="204">
        <v>73727.141186694062</v>
      </c>
      <c r="F233" s="185"/>
      <c r="G233" s="197" t="s">
        <v>43</v>
      </c>
      <c r="H233" s="198"/>
      <c r="I233" s="198"/>
      <c r="J233" s="200">
        <f>SUM(J227:J232)</f>
        <v>76549.876973211256</v>
      </c>
      <c r="K233" s="16"/>
      <c r="L233" s="205"/>
      <c r="M233" s="212"/>
      <c r="N233" s="206"/>
      <c r="O233" s="187"/>
      <c r="Y233" s="168"/>
    </row>
    <row r="234" spans="2:28" ht="15" customHeight="1" thickBot="1">
      <c r="B234" s="271" t="s">
        <v>45</v>
      </c>
      <c r="C234" s="213">
        <v>0.10308211953017005</v>
      </c>
      <c r="D234" s="209"/>
      <c r="E234" s="191">
        <v>7599.9499804245206</v>
      </c>
      <c r="F234" s="192"/>
      <c r="G234" s="205" t="s">
        <v>45</v>
      </c>
      <c r="H234" s="78">
        <f>$H$23</f>
        <v>0.109</v>
      </c>
      <c r="I234" s="206"/>
      <c r="J234" s="187">
        <f>H234*J233</f>
        <v>8343.9365900800276</v>
      </c>
      <c r="K234" s="174"/>
      <c r="L234" s="244" t="s">
        <v>50</v>
      </c>
      <c r="M234" s="245"/>
      <c r="N234" s="245"/>
      <c r="O234" s="246">
        <f>SUM(O231:O232)</f>
        <v>40161.524952616288</v>
      </c>
      <c r="Y234" s="168"/>
    </row>
    <row r="235" spans="2:28" ht="15" customHeight="1" thickTop="1">
      <c r="B235" s="271"/>
      <c r="C235" s="213"/>
      <c r="D235" s="209"/>
      <c r="E235" s="191"/>
      <c r="F235" s="192"/>
      <c r="G235" s="205" t="str">
        <f>G24</f>
        <v>PFMLA Trust Contribution</v>
      </c>
      <c r="H235" s="212">
        <f>H24</f>
        <v>3.7000000000000002E-3</v>
      </c>
      <c r="I235" s="206"/>
      <c r="J235" s="187">
        <f>J224*H235</f>
        <v>183.93857395215574</v>
      </c>
      <c r="K235" s="183"/>
      <c r="L235" s="205" t="s">
        <v>52</v>
      </c>
      <c r="M235" s="212"/>
      <c r="N235" s="206"/>
      <c r="O235" s="251">
        <f>O234/O216</f>
        <v>28.256895062700547</v>
      </c>
      <c r="Y235" s="168"/>
    </row>
    <row r="236" spans="2:28" ht="15" customHeight="1" thickBot="1">
      <c r="B236" s="282" t="s">
        <v>50</v>
      </c>
      <c r="C236" s="248"/>
      <c r="D236" s="248"/>
      <c r="E236" s="249">
        <v>81327.091167118575</v>
      </c>
      <c r="F236" s="185"/>
      <c r="G236" s="244" t="s">
        <v>50</v>
      </c>
      <c r="H236" s="245"/>
      <c r="I236" s="245"/>
      <c r="J236" s="246">
        <f>SUM(J233:J235)</f>
        <v>85077.752137243442</v>
      </c>
      <c r="K236" s="183"/>
      <c r="L236" s="205" t="s">
        <v>54</v>
      </c>
      <c r="M236" s="212" t="e">
        <f>M211</f>
        <v>#REF!</v>
      </c>
      <c r="N236" s="206"/>
      <c r="O236" s="256" t="e">
        <f>(O234*M236)+O234</f>
        <v>#REF!</v>
      </c>
      <c r="Y236" s="168"/>
    </row>
    <row r="237" spans="2:28" ht="15" customHeight="1" thickTop="1" thickBot="1">
      <c r="B237" s="271" t="s">
        <v>54</v>
      </c>
      <c r="C237" s="213">
        <v>3.3718689788053743E-2</v>
      </c>
      <c r="D237" s="209"/>
      <c r="E237" s="252">
        <v>84069.334125547408</v>
      </c>
      <c r="F237" s="253"/>
      <c r="G237" s="205"/>
      <c r="H237" s="212"/>
      <c r="I237" s="206"/>
      <c r="J237" s="251"/>
      <c r="K237" s="183"/>
      <c r="L237" s="144" t="s">
        <v>73</v>
      </c>
      <c r="M237" s="145"/>
      <c r="N237" s="146"/>
      <c r="O237" s="261" t="e">
        <f>O236/O216</f>
        <v>#REF!</v>
      </c>
      <c r="Y237" s="168"/>
    </row>
    <row r="238" spans="2:28" ht="15" customHeight="1" thickBot="1">
      <c r="B238" s="271"/>
      <c r="C238" s="209"/>
      <c r="D238" s="209"/>
      <c r="E238" s="257" t="s">
        <v>56</v>
      </c>
      <c r="F238" s="258"/>
      <c r="G238" s="205" t="s">
        <v>54</v>
      </c>
      <c r="H238" s="212">
        <f>H25</f>
        <v>1.7780248869661817E-2</v>
      </c>
      <c r="I238" s="206"/>
      <c r="J238" s="256">
        <f>(J236*H238)+J236</f>
        <v>86590.455743515035</v>
      </c>
      <c r="K238" s="183"/>
      <c r="Y238" s="168"/>
    </row>
    <row r="239" spans="2:28" ht="15" customHeight="1" thickBot="1">
      <c r="B239" s="139" t="s">
        <v>58</v>
      </c>
      <c r="C239" s="140"/>
      <c r="D239" s="141"/>
      <c r="E239" s="142">
        <v>68.002170711777154</v>
      </c>
      <c r="F239" s="143"/>
      <c r="G239" s="144" t="s">
        <v>94</v>
      </c>
      <c r="H239" s="145"/>
      <c r="I239" s="146"/>
      <c r="J239" s="261">
        <f>J238/J218</f>
        <v>60.923419224312276</v>
      </c>
      <c r="K239" s="183">
        <f>J239*0.25</f>
        <v>15.230854806078069</v>
      </c>
      <c r="Y239" s="151"/>
    </row>
    <row r="240" spans="2:28" ht="15" customHeight="1" thickBot="1">
      <c r="G240" s="154" t="s">
        <v>61</v>
      </c>
      <c r="H240" s="155"/>
      <c r="I240" s="156"/>
      <c r="J240" s="265">
        <f>J239/4</f>
        <v>15.230854806078069</v>
      </c>
      <c r="K240" s="183">
        <f>J240*0.25</f>
        <v>3.8077137015195173</v>
      </c>
      <c r="Y240" s="158"/>
      <c r="Z240" s="307"/>
    </row>
    <row r="241" spans="2:29" ht="15" customHeight="1" thickBot="1">
      <c r="K241" s="183"/>
      <c r="L241" s="14" t="s">
        <v>12</v>
      </c>
      <c r="M241" s="464" t="s">
        <v>13</v>
      </c>
      <c r="N241" s="464"/>
      <c r="O241" s="15">
        <f>J243</f>
        <v>1247.3999999999999</v>
      </c>
      <c r="Y241" s="168"/>
    </row>
    <row r="242" spans="2:29" ht="15" customHeight="1" thickBot="1">
      <c r="B242" s="483" t="s">
        <v>107</v>
      </c>
      <c r="C242" s="484"/>
      <c r="D242" s="484"/>
      <c r="E242" s="485"/>
      <c r="F242" s="313"/>
      <c r="G242" s="460" t="s">
        <v>222</v>
      </c>
      <c r="H242" s="461"/>
      <c r="I242" s="461"/>
      <c r="J242" s="462"/>
      <c r="K242" s="183"/>
      <c r="L242" s="175" t="s">
        <v>97</v>
      </c>
      <c r="M242" s="176" t="s">
        <v>16</v>
      </c>
      <c r="N242" s="176" t="s">
        <v>17</v>
      </c>
      <c r="O242" s="177" t="s">
        <v>18</v>
      </c>
      <c r="Y242" s="8" t="s">
        <v>98</v>
      </c>
      <c r="Z242" s="172" t="s">
        <v>8</v>
      </c>
      <c r="AA242" s="172" t="s">
        <v>9</v>
      </c>
      <c r="AB242" s="173" t="s">
        <v>10</v>
      </c>
    </row>
    <row r="243" spans="2:29" ht="15" customHeight="1">
      <c r="B243" s="11" t="s">
        <v>12</v>
      </c>
      <c r="C243" s="478" t="s">
        <v>13</v>
      </c>
      <c r="D243" s="478"/>
      <c r="E243" s="317">
        <v>1220.4000000000001</v>
      </c>
      <c r="F243" s="318"/>
      <c r="G243" s="14" t="s">
        <v>12</v>
      </c>
      <c r="H243" s="464" t="s">
        <v>13</v>
      </c>
      <c r="I243" s="464"/>
      <c r="J243" s="15">
        <f>AB254</f>
        <v>1247.3999999999999</v>
      </c>
      <c r="K243" s="183"/>
      <c r="L243" s="184" t="str">
        <f t="shared" ref="L243:M246" si="6">G245</f>
        <v>Management</v>
      </c>
      <c r="M243" s="185">
        <f t="shared" si="6"/>
        <v>53919.561903544411</v>
      </c>
      <c r="N243" s="186">
        <v>0.05</v>
      </c>
      <c r="O243" s="187">
        <f>N243*M243</f>
        <v>2695.9780951772209</v>
      </c>
      <c r="Y243" s="17" t="s">
        <v>14</v>
      </c>
      <c r="Z243" s="18">
        <v>52</v>
      </c>
      <c r="AA243" s="18">
        <v>40</v>
      </c>
      <c r="AB243" s="178">
        <v>2080</v>
      </c>
    </row>
    <row r="244" spans="2:29" ht="15" customHeight="1">
      <c r="B244" s="322"/>
      <c r="C244" s="323" t="s">
        <v>16</v>
      </c>
      <c r="D244" s="323" t="s">
        <v>17</v>
      </c>
      <c r="E244" s="324" t="s">
        <v>18</v>
      </c>
      <c r="F244" s="325"/>
      <c r="G244" s="175" t="s">
        <v>97</v>
      </c>
      <c r="H244" s="176" t="s">
        <v>16</v>
      </c>
      <c r="I244" s="176" t="s">
        <v>17</v>
      </c>
      <c r="J244" s="177" t="s">
        <v>18</v>
      </c>
      <c r="K244" s="183"/>
      <c r="L244" s="184" t="str">
        <f t="shared" si="6"/>
        <v>Clinical w/Indep Lic</v>
      </c>
      <c r="M244" s="185">
        <f t="shared" si="6"/>
        <v>60923</v>
      </c>
      <c r="N244" s="186">
        <f>$H$15</f>
        <v>0.05</v>
      </c>
      <c r="O244" s="187">
        <f t="shared" ref="O244:O246" si="7">N244*M244</f>
        <v>3046.15</v>
      </c>
      <c r="Y244" s="17" t="s">
        <v>76</v>
      </c>
      <c r="Z244" s="18"/>
      <c r="AA244" s="18"/>
      <c r="AB244" s="19"/>
    </row>
    <row r="245" spans="2:29" ht="15" customHeight="1">
      <c r="B245" s="326" t="s">
        <v>15</v>
      </c>
      <c r="C245" s="327">
        <v>50346.250729022722</v>
      </c>
      <c r="D245" s="190">
        <v>0.05</v>
      </c>
      <c r="E245" s="328">
        <v>2517.3125364511361</v>
      </c>
      <c r="F245" s="329"/>
      <c r="G245" s="184" t="str">
        <f>B220</f>
        <v>Management</v>
      </c>
      <c r="H245" s="185">
        <f>H5</f>
        <v>53919.561903544411</v>
      </c>
      <c r="I245" s="186">
        <v>0.05</v>
      </c>
      <c r="J245" s="187">
        <f>I245*H245</f>
        <v>2695.9780951772209</v>
      </c>
      <c r="K245" s="183"/>
      <c r="L245" s="184" t="str">
        <f t="shared" si="6"/>
        <v>Caseworker</v>
      </c>
      <c r="M245" s="185">
        <f t="shared" si="6"/>
        <v>43971</v>
      </c>
      <c r="N245" s="186">
        <v>0.5</v>
      </c>
      <c r="O245" s="187">
        <f t="shared" si="7"/>
        <v>21985.5</v>
      </c>
      <c r="Y245" s="46" t="s">
        <v>21</v>
      </c>
      <c r="Z245" s="193">
        <v>4</v>
      </c>
      <c r="AA245" s="194">
        <f>AA220</f>
        <v>40</v>
      </c>
      <c r="AB245" s="195">
        <f>Z245*AA245</f>
        <v>160</v>
      </c>
      <c r="AC245" s="3"/>
    </row>
    <row r="246" spans="2:29" ht="15" customHeight="1">
      <c r="B246" s="326" t="s">
        <v>44</v>
      </c>
      <c r="C246" s="327">
        <v>50000</v>
      </c>
      <c r="D246" s="190">
        <v>0.05</v>
      </c>
      <c r="E246" s="328">
        <v>2500</v>
      </c>
      <c r="F246" s="329"/>
      <c r="G246" s="184" t="s">
        <v>93</v>
      </c>
      <c r="H246" s="185">
        <v>60923</v>
      </c>
      <c r="I246" s="186">
        <f>$H$15</f>
        <v>0.05</v>
      </c>
      <c r="J246" s="187">
        <f t="shared" ref="J246:J247" si="8">I246*H246</f>
        <v>3046.15</v>
      </c>
      <c r="K246" s="183"/>
      <c r="L246" s="184">
        <f t="shared" si="6"/>
        <v>0</v>
      </c>
      <c r="M246" s="185">
        <f t="shared" si="6"/>
        <v>0</v>
      </c>
      <c r="N246" s="186">
        <v>0.5</v>
      </c>
      <c r="O246" s="187">
        <f t="shared" si="7"/>
        <v>0</v>
      </c>
      <c r="Y246" s="50"/>
      <c r="Z246" s="201"/>
      <c r="AA246" s="194"/>
      <c r="AB246" s="195"/>
      <c r="AC246" s="3"/>
    </row>
    <row r="247" spans="2:29" ht="15" customHeight="1">
      <c r="B247" s="326" t="s">
        <v>103</v>
      </c>
      <c r="C247" s="327">
        <v>45208.659101831727</v>
      </c>
      <c r="D247" s="331">
        <v>0.5</v>
      </c>
      <c r="E247" s="328">
        <v>22604.329550915863</v>
      </c>
      <c r="F247" s="329"/>
      <c r="G247" s="184" t="s">
        <v>104</v>
      </c>
      <c r="H247" s="196">
        <f>H9</f>
        <v>43971</v>
      </c>
      <c r="I247" s="186">
        <v>1</v>
      </c>
      <c r="J247" s="187">
        <f t="shared" si="8"/>
        <v>43971</v>
      </c>
      <c r="K247" s="16"/>
      <c r="L247" s="197" t="s">
        <v>25</v>
      </c>
      <c r="M247" s="198"/>
      <c r="N247" s="199">
        <f>SUM(N243:N246)</f>
        <v>1.1000000000000001</v>
      </c>
      <c r="O247" s="200">
        <f>SUM(O243:O246)</f>
        <v>27727.628095177221</v>
      </c>
      <c r="Y247" s="46" t="s">
        <v>71</v>
      </c>
      <c r="Z247" s="193">
        <f>Z243-Z245-Z249</f>
        <v>46.2</v>
      </c>
      <c r="AA247" s="194">
        <v>7</v>
      </c>
      <c r="AB247" s="195">
        <f t="shared" ref="AB247:AB248" si="9">Z247*AA247</f>
        <v>323.40000000000003</v>
      </c>
      <c r="AC247" s="3"/>
    </row>
    <row r="248" spans="2:29" ht="15" customHeight="1">
      <c r="B248" s="326" t="s">
        <v>99</v>
      </c>
      <c r="C248" s="327">
        <v>33895.633294342391</v>
      </c>
      <c r="D248" s="331">
        <v>0.5</v>
      </c>
      <c r="E248" s="328">
        <v>16947.816647171196</v>
      </c>
      <c r="F248" s="329"/>
      <c r="G248" s="184"/>
      <c r="H248" s="196"/>
      <c r="I248" s="186"/>
      <c r="J248" s="187"/>
      <c r="K248" s="183"/>
      <c r="L248" s="205"/>
      <c r="M248" s="206"/>
      <c r="N248" s="206"/>
      <c r="O248" s="207"/>
      <c r="Y248" s="46" t="s">
        <v>100</v>
      </c>
      <c r="Z248" s="193">
        <f>Z247</f>
        <v>46.2</v>
      </c>
      <c r="AA248" s="194">
        <v>6</v>
      </c>
      <c r="AB248" s="195">
        <f t="shared" si="9"/>
        <v>277.20000000000005</v>
      </c>
      <c r="AC248" s="3"/>
    </row>
    <row r="249" spans="2:29" ht="15" customHeight="1">
      <c r="B249" s="340" t="s">
        <v>25</v>
      </c>
      <c r="C249" s="341"/>
      <c r="D249" s="342">
        <v>1.1000000000000001</v>
      </c>
      <c r="E249" s="343">
        <v>44569.458734538195</v>
      </c>
      <c r="F249" s="320"/>
      <c r="G249" s="197" t="s">
        <v>25</v>
      </c>
      <c r="H249" s="198"/>
      <c r="I249" s="199">
        <f>SUM(I245:I248)</f>
        <v>1.1000000000000001</v>
      </c>
      <c r="J249" s="200">
        <f>SUM(J245:J248)</f>
        <v>49713.128095177221</v>
      </c>
      <c r="K249" s="183"/>
      <c r="L249" s="205" t="s">
        <v>30</v>
      </c>
      <c r="M249" s="212">
        <f>H251</f>
        <v>0.22309999999999999</v>
      </c>
      <c r="N249" s="206"/>
      <c r="O249" s="187">
        <f>M249*O247</f>
        <v>6186.0338280340375</v>
      </c>
      <c r="Y249" s="218" t="s">
        <v>72</v>
      </c>
      <c r="Z249" s="219">
        <v>1.8</v>
      </c>
      <c r="AA249" s="220">
        <v>40</v>
      </c>
      <c r="AB249" s="308">
        <f>Z249*AA249</f>
        <v>72</v>
      </c>
      <c r="AC249" s="3"/>
    </row>
    <row r="250" spans="2:29" ht="15" customHeight="1" thickBot="1">
      <c r="B250" s="346"/>
      <c r="C250" s="347"/>
      <c r="D250" s="348"/>
      <c r="E250" s="349"/>
      <c r="F250" s="350"/>
      <c r="G250" s="205"/>
      <c r="H250" s="206"/>
      <c r="I250" s="206"/>
      <c r="J250" s="207"/>
      <c r="K250" s="183"/>
      <c r="L250" s="214" t="s">
        <v>33</v>
      </c>
      <c r="M250" s="215"/>
      <c r="N250" s="216"/>
      <c r="O250" s="217">
        <f>SUM(O247:O249)</f>
        <v>33913.661923211257</v>
      </c>
      <c r="Y250" s="46"/>
      <c r="Z250" s="228"/>
      <c r="AA250" s="228"/>
      <c r="AB250" s="195"/>
      <c r="AC250" s="3"/>
    </row>
    <row r="251" spans="2:29" ht="15" customHeight="1" thickTop="1">
      <c r="B251" s="355" t="s">
        <v>30</v>
      </c>
      <c r="C251" s="356">
        <v>0.20676407024615401</v>
      </c>
      <c r="D251" s="347"/>
      <c r="E251" s="328">
        <v>9215.3626966211177</v>
      </c>
      <c r="F251" s="329"/>
      <c r="G251" s="205" t="s">
        <v>30</v>
      </c>
      <c r="H251" s="212">
        <f>H17</f>
        <v>0.22309999999999999</v>
      </c>
      <c r="I251" s="206"/>
      <c r="J251" s="187">
        <f>H251*J249</f>
        <v>11090.998878034037</v>
      </c>
      <c r="K251" s="183"/>
      <c r="L251" s="205" t="str">
        <f>G253</f>
        <v>Staff Training (Per DC FTE per day)</v>
      </c>
      <c r="M251" s="290"/>
      <c r="N251" s="226"/>
      <c r="O251" s="272">
        <f>J253</f>
        <v>927</v>
      </c>
      <c r="Y251" s="46" t="s">
        <v>31</v>
      </c>
      <c r="Z251" s="228"/>
      <c r="AA251" s="228"/>
      <c r="AB251" s="195">
        <f>SUM(AB245:AB249)</f>
        <v>832.60000000000014</v>
      </c>
      <c r="AC251" s="3"/>
    </row>
    <row r="252" spans="2:29" ht="15" customHeight="1" thickBot="1">
      <c r="B252" s="359" t="s">
        <v>33</v>
      </c>
      <c r="C252" s="360"/>
      <c r="D252" s="361"/>
      <c r="E252" s="362">
        <v>53784.821431159311</v>
      </c>
      <c r="F252" s="320"/>
      <c r="G252" s="214" t="s">
        <v>33</v>
      </c>
      <c r="H252" s="215"/>
      <c r="I252" s="216"/>
      <c r="J252" s="217">
        <f>SUM(J249:J251)</f>
        <v>60804.126973211256</v>
      </c>
      <c r="K252" s="250"/>
      <c r="L252" s="205" t="str">
        <f>G254</f>
        <v>Staff Mileage / Travel (Per DC FTE)</v>
      </c>
      <c r="M252" s="185"/>
      <c r="N252" s="226"/>
      <c r="O252" s="272">
        <f t="shared" ref="O252:O255" si="10">J254</f>
        <v>1209</v>
      </c>
      <c r="Y252" s="218" t="s">
        <v>34</v>
      </c>
      <c r="Z252" s="231"/>
      <c r="AA252" s="231"/>
      <c r="AB252" s="221">
        <f>AB243-AB251</f>
        <v>1247.3999999999999</v>
      </c>
      <c r="AC252" s="3"/>
    </row>
    <row r="253" spans="2:29" ht="15" customHeight="1" thickTop="1" thickBot="1">
      <c r="B253" s="268" t="s">
        <v>39</v>
      </c>
      <c r="C253" s="364"/>
      <c r="D253" s="365"/>
      <c r="E253" s="328">
        <v>917.99999999999989</v>
      </c>
      <c r="F253" s="329"/>
      <c r="G253" s="205" t="str">
        <f>B228</f>
        <v>Staff Training (Per DC FTE per day)</v>
      </c>
      <c r="H253" s="290"/>
      <c r="I253" s="226"/>
      <c r="J253" s="272">
        <f>H18*(AB249/8)</f>
        <v>927</v>
      </c>
      <c r="K253" s="255"/>
      <c r="L253" s="205" t="str">
        <f>G255</f>
        <v xml:space="preserve">Clinical Consultant </v>
      </c>
      <c r="M253" s="305">
        <v>0.25</v>
      </c>
      <c r="N253" s="305"/>
      <c r="O253" s="272">
        <f t="shared" si="10"/>
        <v>12184.6</v>
      </c>
      <c r="Y253" s="46" t="s">
        <v>37</v>
      </c>
      <c r="Z253" s="233"/>
      <c r="AA253" s="233"/>
      <c r="AB253" s="234">
        <f>SUM(D222:D223)</f>
        <v>1</v>
      </c>
      <c r="AC253" s="3"/>
    </row>
    <row r="254" spans="2:29" ht="15" customHeight="1" thickBot="1">
      <c r="B254" s="271" t="s">
        <v>36</v>
      </c>
      <c r="C254" s="327"/>
      <c r="D254" s="365"/>
      <c r="E254" s="328">
        <v>1500</v>
      </c>
      <c r="F254" s="329"/>
      <c r="G254" s="205" t="str">
        <f>B229</f>
        <v>Staff Mileage / Travel (Per DC FTE)</v>
      </c>
      <c r="H254" s="185"/>
      <c r="I254" s="226"/>
      <c r="J254" s="272">
        <f>H19</f>
        <v>1209</v>
      </c>
      <c r="K254" s="250"/>
      <c r="L254" s="205" t="str">
        <f>G256</f>
        <v>Program Support - Clerical</v>
      </c>
      <c r="M254" s="185"/>
      <c r="N254" s="226"/>
      <c r="O254" s="272">
        <f t="shared" si="10"/>
        <v>4326</v>
      </c>
      <c r="Y254" s="240" t="s">
        <v>40</v>
      </c>
      <c r="Z254" s="241"/>
      <c r="AA254" s="242"/>
      <c r="AB254" s="243">
        <f>AB253*AB252</f>
        <v>1247.3999999999999</v>
      </c>
      <c r="AC254" s="3"/>
    </row>
    <row r="255" spans="2:29" ht="15" customHeight="1">
      <c r="B255" s="326" t="s">
        <v>106</v>
      </c>
      <c r="C255" s="368">
        <v>0.3</v>
      </c>
      <c r="D255" s="368"/>
      <c r="E255" s="328">
        <v>15000</v>
      </c>
      <c r="F255" s="329"/>
      <c r="G255" s="205" t="str">
        <f>B230</f>
        <v xml:space="preserve">Clinical Consultant </v>
      </c>
      <c r="H255" s="305">
        <v>0.2</v>
      </c>
      <c r="I255" s="305"/>
      <c r="J255" s="272">
        <f>H21*H255</f>
        <v>12184.6</v>
      </c>
      <c r="L255" s="205" t="str">
        <f>G257</f>
        <v>Occupancy (Office Space)</v>
      </c>
      <c r="M255" s="232"/>
      <c r="N255" s="226"/>
      <c r="O255" s="272">
        <f t="shared" si="10"/>
        <v>351.30000000000007</v>
      </c>
      <c r="Y255" s="168"/>
      <c r="AB255" s="302"/>
      <c r="AC255" s="3"/>
    </row>
    <row r="256" spans="2:29" ht="14.25" customHeight="1">
      <c r="B256" s="280" t="s">
        <v>60</v>
      </c>
      <c r="C256" s="327"/>
      <c r="D256" s="370"/>
      <c r="E256" s="328">
        <v>4039</v>
      </c>
      <c r="F256" s="329"/>
      <c r="G256" s="205" t="str">
        <f>B231</f>
        <v>Program Support - Clerical</v>
      </c>
      <c r="H256" s="185"/>
      <c r="I256" s="226"/>
      <c r="J256" s="272">
        <f>H22</f>
        <v>4326</v>
      </c>
      <c r="L256" s="197" t="s">
        <v>43</v>
      </c>
      <c r="M256" s="198"/>
      <c r="N256" s="198"/>
      <c r="O256" s="200">
        <f>SUM(O250:O255)</f>
        <v>52911.561923211259</v>
      </c>
      <c r="Y256" s="168"/>
      <c r="AC256" s="3"/>
    </row>
    <row r="257" spans="2:29" ht="11.25" customHeight="1">
      <c r="B257" s="280" t="s">
        <v>42</v>
      </c>
      <c r="C257" s="371"/>
      <c r="D257" s="370"/>
      <c r="E257" s="372">
        <v>1485.9000000000003</v>
      </c>
      <c r="F257" s="373"/>
      <c r="G257" s="205" t="str">
        <f>B232</f>
        <v>Occupancy (Office Space)</v>
      </c>
      <c r="H257" s="232"/>
      <c r="I257" s="226"/>
      <c r="J257" s="281">
        <f>H20*SUM(I245:I246)</f>
        <v>351.30000000000007</v>
      </c>
      <c r="K257" s="309"/>
      <c r="L257" s="205" t="s">
        <v>45</v>
      </c>
      <c r="M257" s="212">
        <f>H259</f>
        <v>0.109</v>
      </c>
      <c r="N257" s="206"/>
      <c r="O257" s="187">
        <f>M257*O256</f>
        <v>5767.3602496300273</v>
      </c>
      <c r="Y257" s="168"/>
      <c r="AC257" s="3"/>
    </row>
    <row r="258" spans="2:29" ht="15" customHeight="1">
      <c r="B258" s="340" t="s">
        <v>43</v>
      </c>
      <c r="C258" s="341"/>
      <c r="D258" s="341"/>
      <c r="E258" s="343">
        <v>76727.721431159298</v>
      </c>
      <c r="F258" s="320"/>
      <c r="G258" s="197" t="s">
        <v>43</v>
      </c>
      <c r="H258" s="198"/>
      <c r="I258" s="198"/>
      <c r="J258" s="200">
        <f>SUM(J252:J257)</f>
        <v>79802.026973211265</v>
      </c>
      <c r="K258" s="309"/>
      <c r="L258" s="205"/>
      <c r="M258" s="212"/>
      <c r="N258" s="206"/>
      <c r="O258" s="187"/>
      <c r="Y258" s="168"/>
      <c r="AC258" s="3"/>
    </row>
    <row r="259" spans="2:29" ht="15" customHeight="1" thickBot="1">
      <c r="B259" s="355" t="s">
        <v>45</v>
      </c>
      <c r="C259" s="356">
        <v>0.10308211953017005</v>
      </c>
      <c r="D259" s="347"/>
      <c r="E259" s="328">
        <v>7909.2561518443526</v>
      </c>
      <c r="F259" s="329"/>
      <c r="G259" s="205" t="s">
        <v>45</v>
      </c>
      <c r="H259" s="78">
        <f>$H$23</f>
        <v>0.109</v>
      </c>
      <c r="I259" s="206"/>
      <c r="J259" s="187">
        <f>H259*J258</f>
        <v>8698.4209400800282</v>
      </c>
      <c r="K259" s="310"/>
      <c r="L259" s="244" t="s">
        <v>50</v>
      </c>
      <c r="M259" s="245"/>
      <c r="N259" s="245"/>
      <c r="O259" s="246">
        <f>SUM(O256:O257)</f>
        <v>58678.922172841289</v>
      </c>
      <c r="Y259" s="168"/>
      <c r="AC259" s="3"/>
    </row>
    <row r="260" spans="2:29" ht="15" customHeight="1" thickTop="1">
      <c r="B260" s="355"/>
      <c r="C260" s="356"/>
      <c r="D260" s="347"/>
      <c r="E260" s="328"/>
      <c r="F260" s="329"/>
      <c r="G260" s="205" t="str">
        <f>G24</f>
        <v>PFMLA Trust Contribution</v>
      </c>
      <c r="H260" s="212">
        <f>H24</f>
        <v>3.7000000000000002E-3</v>
      </c>
      <c r="I260" s="206"/>
      <c r="J260" s="187">
        <f>J249*H260</f>
        <v>183.93857395215574</v>
      </c>
      <c r="K260" s="311"/>
      <c r="L260" s="205" t="s">
        <v>52</v>
      </c>
      <c r="M260" s="212"/>
      <c r="N260" s="206"/>
      <c r="O260" s="251">
        <f>O259/O241</f>
        <v>47.040982982877424</v>
      </c>
      <c r="Y260" s="168"/>
      <c r="AC260" s="3"/>
    </row>
    <row r="261" spans="2:29" ht="15" customHeight="1" thickBot="1">
      <c r="B261" s="378" t="s">
        <v>50</v>
      </c>
      <c r="C261" s="379"/>
      <c r="D261" s="379"/>
      <c r="E261" s="380">
        <v>84636.977583003652</v>
      </c>
      <c r="F261" s="320"/>
      <c r="G261" s="244" t="s">
        <v>50</v>
      </c>
      <c r="H261" s="245"/>
      <c r="I261" s="245"/>
      <c r="J261" s="246">
        <f>SUM(J258:J260)</f>
        <v>88684.38648724345</v>
      </c>
      <c r="K261" s="311"/>
      <c r="L261" s="205" t="s">
        <v>54</v>
      </c>
      <c r="M261" s="212" t="e">
        <f>M236</f>
        <v>#REF!</v>
      </c>
      <c r="N261" s="206"/>
      <c r="O261" s="256" t="e">
        <f>(O259*M261)+O259</f>
        <v>#REF!</v>
      </c>
      <c r="Y261" s="168"/>
      <c r="AC261" s="3"/>
    </row>
    <row r="262" spans="2:29" ht="15" customHeight="1" thickTop="1" thickBot="1">
      <c r="B262" s="355" t="s">
        <v>54</v>
      </c>
      <c r="C262" s="356">
        <v>3.3718689788053743E-2</v>
      </c>
      <c r="D262" s="347"/>
      <c r="E262" s="381">
        <v>87490.825574723407</v>
      </c>
      <c r="F262" s="382"/>
      <c r="G262" s="205" t="str">
        <f>G25</f>
        <v xml:space="preserve"> CAF (Period FY21 &amp; FY22)</v>
      </c>
      <c r="H262" s="212">
        <f>H25</f>
        <v>1.7780248869661817E-2</v>
      </c>
      <c r="I262" s="206"/>
      <c r="J262" s="254">
        <f>(J261*H262)-(J249*H262)</f>
        <v>692.91867297483407</v>
      </c>
      <c r="K262" s="311"/>
      <c r="L262" s="144" t="s">
        <v>73</v>
      </c>
      <c r="M262" s="145"/>
      <c r="N262" s="146"/>
      <c r="O262" s="261" t="e">
        <f>O261/O241</f>
        <v>#REF!</v>
      </c>
      <c r="Y262" s="168"/>
      <c r="AC262" s="3"/>
    </row>
    <row r="263" spans="2:29" ht="15" customHeight="1" thickBot="1">
      <c r="B263" s="355"/>
      <c r="C263" s="347"/>
      <c r="D263" s="347"/>
      <c r="E263" s="387" t="s">
        <v>56</v>
      </c>
      <c r="F263" s="388"/>
      <c r="G263" s="205" t="s">
        <v>10</v>
      </c>
      <c r="H263" s="212"/>
      <c r="I263" s="206"/>
      <c r="J263" s="256">
        <f>J262+J261</f>
        <v>89377.305160218282</v>
      </c>
      <c r="K263" s="311"/>
      <c r="Y263" s="168"/>
    </row>
    <row r="264" spans="2:29" ht="15" customHeight="1" thickBot="1">
      <c r="B264" s="390" t="s">
        <v>58</v>
      </c>
      <c r="C264" s="391"/>
      <c r="D264" s="392"/>
      <c r="E264" s="393">
        <v>71.700286442742879</v>
      </c>
      <c r="F264" s="389"/>
      <c r="G264" s="144" t="s">
        <v>94</v>
      </c>
      <c r="H264" s="145"/>
      <c r="I264" s="146"/>
      <c r="J264" s="261">
        <f>J263/J243-0.01</f>
        <v>71.64087795431962</v>
      </c>
      <c r="K264" s="311">
        <f>J264*0.25</f>
        <v>17.910219488579905</v>
      </c>
      <c r="Y264" s="151"/>
    </row>
    <row r="265" spans="2:29" ht="15" customHeight="1" thickBot="1">
      <c r="B265" s="348"/>
      <c r="C265" s="348"/>
      <c r="D265" s="395"/>
      <c r="E265" s="395"/>
      <c r="F265" s="389"/>
      <c r="G265" s="154" t="s">
        <v>61</v>
      </c>
      <c r="H265" s="155"/>
      <c r="I265" s="156"/>
      <c r="J265" s="265">
        <f>J264/4</f>
        <v>17.910219488579905</v>
      </c>
      <c r="K265" s="311">
        <f>J265*0.25</f>
        <v>4.4775548721449763</v>
      </c>
      <c r="Y265" s="158"/>
      <c r="Z265" s="266"/>
    </row>
    <row r="266" spans="2:29" ht="15" customHeight="1" thickBot="1">
      <c r="K266" s="311"/>
      <c r="L266" s="14" t="s">
        <v>12</v>
      </c>
      <c r="M266" s="479" t="s">
        <v>13</v>
      </c>
      <c r="N266" s="479"/>
      <c r="O266" s="312">
        <f>J268</f>
        <v>1219</v>
      </c>
      <c r="Y266" s="168"/>
    </row>
    <row r="267" spans="2:29" ht="15" customHeight="1" thickBot="1">
      <c r="G267" s="486" t="s">
        <v>107</v>
      </c>
      <c r="H267" s="487"/>
      <c r="I267" s="487"/>
      <c r="J267" s="488"/>
      <c r="K267" s="311"/>
      <c r="L267" s="314"/>
      <c r="M267" s="315" t="s">
        <v>16</v>
      </c>
      <c r="N267" s="315" t="s">
        <v>17</v>
      </c>
      <c r="O267" s="316" t="s">
        <v>18</v>
      </c>
      <c r="Y267" s="8" t="s">
        <v>98</v>
      </c>
      <c r="Z267" s="172" t="s">
        <v>8</v>
      </c>
      <c r="AA267" s="172" t="s">
        <v>9</v>
      </c>
      <c r="AB267" s="173" t="s">
        <v>10</v>
      </c>
    </row>
    <row r="268" spans="2:29" ht="15" customHeight="1">
      <c r="G268" s="14" t="s">
        <v>12</v>
      </c>
      <c r="H268" s="479" t="s">
        <v>13</v>
      </c>
      <c r="I268" s="479"/>
      <c r="J268" s="312">
        <f>AB279</f>
        <v>1219</v>
      </c>
      <c r="K268" s="311"/>
      <c r="L268" s="319" t="str">
        <f>G270</f>
        <v>Management</v>
      </c>
      <c r="M268" s="320">
        <f>D31</f>
        <v>0</v>
      </c>
      <c r="N268" s="186">
        <f>$H$14</f>
        <v>0.05</v>
      </c>
      <c r="O268" s="321">
        <f>M268*N268</f>
        <v>0</v>
      </c>
      <c r="Y268" s="17" t="s">
        <v>14</v>
      </c>
      <c r="Z268" s="18">
        <v>52</v>
      </c>
      <c r="AA268" s="18">
        <v>40</v>
      </c>
      <c r="AB268" s="178">
        <f>52*40</f>
        <v>2080</v>
      </c>
    </row>
    <row r="269" spans="2:29" ht="15" customHeight="1">
      <c r="G269" s="314"/>
      <c r="H269" s="315" t="s">
        <v>16</v>
      </c>
      <c r="I269" s="315" t="s">
        <v>17</v>
      </c>
      <c r="J269" s="316" t="s">
        <v>18</v>
      </c>
      <c r="K269" s="311"/>
      <c r="L269" s="319" t="str">
        <f>G271</f>
        <v>Clinical w/Indep Lic</v>
      </c>
      <c r="M269" s="320">
        <f>D36</f>
        <v>0</v>
      </c>
      <c r="N269" s="186">
        <f>$H$15</f>
        <v>0.05</v>
      </c>
      <c r="O269" s="321">
        <f>M269*N269</f>
        <v>0</v>
      </c>
      <c r="Y269" s="17" t="s">
        <v>76</v>
      </c>
      <c r="Z269" s="18"/>
      <c r="AA269" s="18"/>
      <c r="AB269" s="19"/>
    </row>
    <row r="270" spans="2:29" ht="15" customHeight="1">
      <c r="G270" s="319" t="str">
        <f>B245</f>
        <v>Management</v>
      </c>
      <c r="H270" s="320">
        <f>H5</f>
        <v>53919.561903544411</v>
      </c>
      <c r="I270" s="186">
        <f>$H$14</f>
        <v>0.05</v>
      </c>
      <c r="J270" s="321">
        <f>H270*I270</f>
        <v>2695.9780951772209</v>
      </c>
      <c r="K270" s="311"/>
      <c r="L270" s="319" t="str">
        <f>G272</f>
        <v>Case Manager: Maters Required</v>
      </c>
      <c r="M270" s="320">
        <f>D37</f>
        <v>0</v>
      </c>
      <c r="N270" s="330">
        <v>0.5</v>
      </c>
      <c r="O270" s="321">
        <f>M270*N270</f>
        <v>0</v>
      </c>
      <c r="Y270" s="46" t="s">
        <v>21</v>
      </c>
      <c r="Z270" s="193">
        <v>4</v>
      </c>
      <c r="AA270" s="194">
        <f>'[2]71'!M5</f>
        <v>40</v>
      </c>
      <c r="AB270" s="195">
        <f>Z270*AA270</f>
        <v>160</v>
      </c>
    </row>
    <row r="271" spans="2:29" ht="15" customHeight="1">
      <c r="G271" s="184" t="s">
        <v>93</v>
      </c>
      <c r="H271" s="185">
        <v>60923</v>
      </c>
      <c r="I271" s="186">
        <f>$H$15</f>
        <v>0.05</v>
      </c>
      <c r="J271" s="321">
        <f>H271*I271</f>
        <v>3046.15</v>
      </c>
      <c r="K271" s="311"/>
      <c r="L271" s="319" t="str">
        <f>G273</f>
        <v>Caseworker</v>
      </c>
      <c r="M271" s="320">
        <f>D38</f>
        <v>0</v>
      </c>
      <c r="N271" s="330">
        <v>0.5</v>
      </c>
      <c r="O271" s="321">
        <f>M271*N271</f>
        <v>0</v>
      </c>
      <c r="Y271" s="50"/>
      <c r="Z271" s="201"/>
      <c r="AA271" s="194"/>
      <c r="AB271" s="49"/>
    </row>
    <row r="272" spans="2:29" ht="15" customHeight="1">
      <c r="G272" s="184" t="s">
        <v>108</v>
      </c>
      <c r="H272" s="332">
        <v>52666</v>
      </c>
      <c r="I272" s="330">
        <v>0.2</v>
      </c>
      <c r="J272" s="321">
        <f>H272*I272</f>
        <v>10533.2</v>
      </c>
      <c r="K272" s="309"/>
      <c r="L272" s="333" t="s">
        <v>25</v>
      </c>
      <c r="M272" s="334"/>
      <c r="N272" s="335">
        <f>SUM(N268:N271)</f>
        <v>1.1000000000000001</v>
      </c>
      <c r="O272" s="336">
        <f>SUM(O268:O271)</f>
        <v>0</v>
      </c>
      <c r="Y272" s="46" t="s">
        <v>71</v>
      </c>
      <c r="Z272" s="194">
        <f>Z268-Z270-Z274</f>
        <v>46</v>
      </c>
      <c r="AA272" s="194">
        <v>7</v>
      </c>
      <c r="AB272" s="195">
        <f>AA272*Z272</f>
        <v>322</v>
      </c>
    </row>
    <row r="273" spans="7:28" ht="15" customHeight="1">
      <c r="G273" s="184" t="s">
        <v>104</v>
      </c>
      <c r="H273" s="196">
        <v>43971</v>
      </c>
      <c r="I273" s="330">
        <v>0.8</v>
      </c>
      <c r="J273" s="321">
        <f>H273*I273</f>
        <v>35176.800000000003</v>
      </c>
      <c r="K273" s="311"/>
      <c r="L273" s="337"/>
      <c r="M273" s="338"/>
      <c r="N273" s="338"/>
      <c r="O273" s="339"/>
      <c r="Y273" s="46" t="s">
        <v>28</v>
      </c>
      <c r="Z273" s="193">
        <f>Z272</f>
        <v>46</v>
      </c>
      <c r="AA273" s="194">
        <v>6.5</v>
      </c>
      <c r="AB273" s="195">
        <f>Z273*AA273</f>
        <v>299</v>
      </c>
    </row>
    <row r="274" spans="7:28" ht="15" customHeight="1">
      <c r="G274" s="333" t="s">
        <v>25</v>
      </c>
      <c r="H274" s="334"/>
      <c r="I274" s="335">
        <f>SUM(I270:I273)</f>
        <v>1.1000000000000001</v>
      </c>
      <c r="J274" s="336">
        <f>SUM(J270:J273)</f>
        <v>51452.128095177221</v>
      </c>
      <c r="K274" s="311"/>
      <c r="L274" s="337" t="s">
        <v>30</v>
      </c>
      <c r="M274" s="344">
        <f>D43</f>
        <v>0</v>
      </c>
      <c r="N274" s="338"/>
      <c r="O274" s="321">
        <f>M274*O272</f>
        <v>0</v>
      </c>
      <c r="Y274" s="218" t="s">
        <v>72</v>
      </c>
      <c r="Z274" s="345">
        <v>2</v>
      </c>
      <c r="AA274" s="220">
        <v>40</v>
      </c>
      <c r="AB274" s="221">
        <f>Z274*AA274</f>
        <v>80</v>
      </c>
    </row>
    <row r="275" spans="7:28" ht="15" customHeight="1" thickBot="1">
      <c r="G275" s="337"/>
      <c r="H275" s="338"/>
      <c r="I275" s="338"/>
      <c r="J275" s="339"/>
      <c r="K275" s="311"/>
      <c r="L275" s="351" t="s">
        <v>33</v>
      </c>
      <c r="M275" s="352"/>
      <c r="N275" s="353"/>
      <c r="O275" s="354">
        <f>SUM(O272:O274)</f>
        <v>0</v>
      </c>
      <c r="Y275" s="46"/>
      <c r="Z275" s="228"/>
      <c r="AA275" s="228"/>
      <c r="AB275" s="195"/>
    </row>
    <row r="276" spans="7:28" ht="15" customHeight="1" thickTop="1">
      <c r="G276" s="337" t="s">
        <v>30</v>
      </c>
      <c r="H276" s="344">
        <f>H17</f>
        <v>0.22309999999999999</v>
      </c>
      <c r="I276" s="338"/>
      <c r="J276" s="321">
        <f>H276*J274</f>
        <v>11478.969778034038</v>
      </c>
      <c r="K276" s="311"/>
      <c r="L276" s="184" t="str">
        <f>G278</f>
        <v>Staff Training (Per DC FTE per day)</v>
      </c>
      <c r="M276" s="357"/>
      <c r="N276" s="358"/>
      <c r="O276" s="272">
        <f>D45*(AF237/8)</f>
        <v>0</v>
      </c>
      <c r="Y276" s="46" t="s">
        <v>31</v>
      </c>
      <c r="Z276" s="228"/>
      <c r="AA276" s="228"/>
      <c r="AB276" s="195">
        <f>SUM(AB270:AB274)</f>
        <v>861</v>
      </c>
    </row>
    <row r="277" spans="7:28" ht="15" customHeight="1" thickBot="1">
      <c r="G277" s="351" t="s">
        <v>33</v>
      </c>
      <c r="H277" s="352"/>
      <c r="I277" s="353"/>
      <c r="J277" s="354">
        <f>SUM(J274:J276)</f>
        <v>62931.097873211256</v>
      </c>
      <c r="K277" s="363"/>
      <c r="L277" s="184" t="str">
        <f>G279</f>
        <v>Staff Mileage / Travel (Per DC FTE)</v>
      </c>
      <c r="M277" s="320"/>
      <c r="N277" s="358"/>
      <c r="O277" s="272" t="e">
        <f>(1500*D27)+1500</f>
        <v>#VALUE!</v>
      </c>
      <c r="Y277" s="218" t="s">
        <v>34</v>
      </c>
      <c r="Z277" s="231"/>
      <c r="AA277" s="231"/>
      <c r="AB277" s="221">
        <f>AB268-AB276</f>
        <v>1219</v>
      </c>
    </row>
    <row r="278" spans="7:28" ht="15" customHeight="1" thickTop="1" thickBot="1">
      <c r="G278" s="184" t="str">
        <f>B253</f>
        <v>Staff Training (Per DC FTE per day)</v>
      </c>
      <c r="H278" s="357"/>
      <c r="I278" s="358"/>
      <c r="J278" s="272">
        <f>H18*(AB274/8)</f>
        <v>1030</v>
      </c>
      <c r="K278" s="366"/>
      <c r="L278" s="184" t="str">
        <f>G280</f>
        <v xml:space="preserve">Clinical Consultant </v>
      </c>
      <c r="M278" s="367">
        <v>0.3</v>
      </c>
      <c r="N278" s="367"/>
      <c r="O278" s="272">
        <f>D48*M278</f>
        <v>0</v>
      </c>
      <c r="Y278" s="46" t="s">
        <v>37</v>
      </c>
      <c r="Z278" s="233"/>
      <c r="AA278" s="233"/>
      <c r="AB278" s="234">
        <f>SUM(D247:D248)</f>
        <v>1</v>
      </c>
    </row>
    <row r="279" spans="7:28" ht="15" customHeight="1" thickBot="1">
      <c r="G279" s="184" t="str">
        <f t="shared" ref="G279:G282" si="11">B254</f>
        <v>Staff Mileage / Travel (Per DC FTE)</v>
      </c>
      <c r="H279" s="320"/>
      <c r="I279" s="358"/>
      <c r="J279" s="272">
        <v>1554</v>
      </c>
      <c r="K279" s="363"/>
      <c r="L279" s="184" t="str">
        <f>G281</f>
        <v>Program Support - Clerical</v>
      </c>
      <c r="M279" s="320"/>
      <c r="N279" s="358"/>
      <c r="O279" s="272" t="str">
        <f>D49</f>
        <v>FTE</v>
      </c>
      <c r="Y279" s="240" t="s">
        <v>40</v>
      </c>
      <c r="Z279" s="241"/>
      <c r="AA279" s="242"/>
      <c r="AB279" s="243">
        <f>AB278*AB277</f>
        <v>1219</v>
      </c>
    </row>
    <row r="280" spans="7:28" ht="15" customHeight="1">
      <c r="G280" s="184" t="str">
        <f t="shared" si="11"/>
        <v xml:space="preserve">Clinical Consultant </v>
      </c>
      <c r="H280" s="367">
        <v>0.2</v>
      </c>
      <c r="I280" s="367"/>
      <c r="J280" s="272">
        <f>H21*H280</f>
        <v>12184.6</v>
      </c>
      <c r="L280" s="184" t="str">
        <f>G282</f>
        <v>Occupancy (Office Space)</v>
      </c>
      <c r="M280" s="369"/>
      <c r="N280" s="358"/>
      <c r="O280" s="281">
        <f>D47*SUM(N268:N270)</f>
        <v>0</v>
      </c>
    </row>
    <row r="281" spans="7:28" ht="15" customHeight="1">
      <c r="G281" s="184" t="str">
        <f t="shared" si="11"/>
        <v>Program Support - Clerical</v>
      </c>
      <c r="H281" s="320"/>
      <c r="I281" s="358"/>
      <c r="J281" s="272">
        <f>H22</f>
        <v>4326</v>
      </c>
      <c r="L281" s="333" t="s">
        <v>43</v>
      </c>
      <c r="M281" s="334"/>
      <c r="N281" s="334"/>
      <c r="O281" s="336" t="e">
        <f>SUM(O275:O280)</f>
        <v>#VALUE!</v>
      </c>
    </row>
    <row r="282" spans="7:28" ht="15" customHeight="1">
      <c r="G282" s="184" t="str">
        <f t="shared" si="11"/>
        <v>Occupancy (Office Space)</v>
      </c>
      <c r="H282" s="369"/>
      <c r="I282" s="358"/>
      <c r="J282" s="281">
        <f>H20*SUM(I270:I271)</f>
        <v>351.30000000000007</v>
      </c>
      <c r="L282" s="337" t="s">
        <v>45</v>
      </c>
      <c r="M282" s="344">
        <f>D50</f>
        <v>0.05</v>
      </c>
      <c r="N282" s="338"/>
      <c r="O282" s="321" t="e">
        <f>M282*O281</f>
        <v>#VALUE!</v>
      </c>
    </row>
    <row r="283" spans="7:28" ht="15" customHeight="1">
      <c r="G283" s="333" t="s">
        <v>43</v>
      </c>
      <c r="H283" s="334"/>
      <c r="I283" s="334"/>
      <c r="J283" s="336">
        <f>SUM(J277:J282)</f>
        <v>82376.997873211265</v>
      </c>
      <c r="L283" s="337"/>
      <c r="M283" s="344"/>
      <c r="N283" s="338"/>
      <c r="O283" s="321"/>
    </row>
    <row r="284" spans="7:28" ht="15" customHeight="1" thickBot="1">
      <c r="G284" s="337" t="s">
        <v>45</v>
      </c>
      <c r="H284" s="78">
        <f>$H$23</f>
        <v>0.109</v>
      </c>
      <c r="I284" s="338"/>
      <c r="J284" s="321">
        <f>H284*J283</f>
        <v>8979.0927681800276</v>
      </c>
      <c r="L284" s="374" t="s">
        <v>50</v>
      </c>
      <c r="M284" s="375"/>
      <c r="N284" s="375"/>
      <c r="O284" s="376" t="e">
        <f>SUM(O281:O282)</f>
        <v>#VALUE!</v>
      </c>
    </row>
    <row r="285" spans="7:28" ht="15" customHeight="1" thickTop="1">
      <c r="G285" s="205" t="str">
        <f>G24</f>
        <v>PFMLA Trust Contribution</v>
      </c>
      <c r="H285" s="212">
        <f>H24</f>
        <v>3.7000000000000002E-3</v>
      </c>
      <c r="I285" s="206"/>
      <c r="J285" s="187">
        <f>J274*H285</f>
        <v>190.37287395215571</v>
      </c>
      <c r="L285" s="205" t="s">
        <v>52</v>
      </c>
      <c r="M285" s="344"/>
      <c r="N285" s="338"/>
      <c r="O285" s="377" t="e">
        <f>O284/O266</f>
        <v>#VALUE!</v>
      </c>
    </row>
    <row r="286" spans="7:28" ht="15" customHeight="1" thickBot="1">
      <c r="G286" s="374" t="s">
        <v>50</v>
      </c>
      <c r="H286" s="375"/>
      <c r="I286" s="375"/>
      <c r="J286" s="376">
        <f>SUM(J283:J285)</f>
        <v>91546.46351534345</v>
      </c>
      <c r="L286" s="205" t="s">
        <v>54</v>
      </c>
      <c r="M286" s="344">
        <f>D51</f>
        <v>1</v>
      </c>
      <c r="N286" s="338"/>
      <c r="O286" s="256" t="e">
        <f>(O284*M286)+O284</f>
        <v>#VALUE!</v>
      </c>
    </row>
    <row r="287" spans="7:28" ht="15" customHeight="1" thickTop="1" thickBot="1">
      <c r="G287" s="205" t="str">
        <f>G25</f>
        <v xml:space="preserve"> CAF (Period FY21 &amp; FY22)</v>
      </c>
      <c r="H287" s="344">
        <f>H25</f>
        <v>1.7780248869661817E-2</v>
      </c>
      <c r="I287" s="338"/>
      <c r="J287" s="383">
        <f>(J286*H287)-(J274*H287)</f>
        <v>712.88726203425233</v>
      </c>
      <c r="K287" s="384"/>
      <c r="L287" s="144" t="s">
        <v>73</v>
      </c>
      <c r="M287" s="385"/>
      <c r="N287" s="386"/>
      <c r="O287" s="261" t="e">
        <f>O286/O266</f>
        <v>#VALUE!</v>
      </c>
    </row>
    <row r="288" spans="7:28" ht="15" customHeight="1" thickBot="1">
      <c r="G288" s="205" t="s">
        <v>10</v>
      </c>
      <c r="H288" s="344"/>
      <c r="I288" s="338"/>
      <c r="J288" s="256">
        <f>J287+J286</f>
        <v>92259.350777377709</v>
      </c>
      <c r="K288" s="384"/>
      <c r="L288" s="206"/>
      <c r="M288" s="338"/>
      <c r="N288" s="389"/>
      <c r="O288" s="298"/>
    </row>
    <row r="289" spans="7:26" ht="15" customHeight="1" thickBot="1">
      <c r="G289" s="144" t="s">
        <v>109</v>
      </c>
      <c r="H289" s="385"/>
      <c r="I289" s="386"/>
      <c r="J289" s="261">
        <f>J288/J268</f>
        <v>75.68445510859533</v>
      </c>
      <c r="K289" s="4">
        <f>J289*0.25</f>
        <v>18.921113777148832</v>
      </c>
      <c r="L289" s="394" t="s">
        <v>110</v>
      </c>
      <c r="Y289" s="151"/>
    </row>
    <row r="290" spans="7:26" ht="15" customHeight="1" thickBot="1">
      <c r="G290" s="154" t="s">
        <v>111</v>
      </c>
      <c r="H290" s="155"/>
      <c r="I290" s="156"/>
      <c r="J290" s="265">
        <f>J289/4</f>
        <v>18.921113777148832</v>
      </c>
      <c r="K290" s="4">
        <f>J290*0.25</f>
        <v>4.7302784442872081</v>
      </c>
      <c r="Y290" s="158"/>
      <c r="Z290" s="266"/>
    </row>
    <row r="291" spans="7:26" ht="15" customHeight="1">
      <c r="G291" s="394"/>
      <c r="Y291" s="162"/>
      <c r="Z291" s="163"/>
    </row>
  </sheetData>
  <mergeCells count="96">
    <mergeCell ref="G1:AB1"/>
    <mergeCell ref="G2:AB2"/>
    <mergeCell ref="I20:AB20"/>
    <mergeCell ref="I21:AB21"/>
    <mergeCell ref="I17:AB17"/>
    <mergeCell ref="I18:AB18"/>
    <mergeCell ref="I16:AB16"/>
    <mergeCell ref="I15:AB15"/>
    <mergeCell ref="C243:D243"/>
    <mergeCell ref="H268:I268"/>
    <mergeCell ref="I5:AB5"/>
    <mergeCell ref="G3:AB3"/>
    <mergeCell ref="I12:AB12"/>
    <mergeCell ref="I11:AB11"/>
    <mergeCell ref="I10:AB10"/>
    <mergeCell ref="I9:AB9"/>
    <mergeCell ref="I8:AB8"/>
    <mergeCell ref="I7:AB7"/>
    <mergeCell ref="C218:D218"/>
    <mergeCell ref="H243:I243"/>
    <mergeCell ref="M266:N266"/>
    <mergeCell ref="B242:E242"/>
    <mergeCell ref="G267:J267"/>
    <mergeCell ref="C193:D193"/>
    <mergeCell ref="H218:I218"/>
    <mergeCell ref="M241:N241"/>
    <mergeCell ref="B217:E217"/>
    <mergeCell ref="G242:J242"/>
    <mergeCell ref="C168:D168"/>
    <mergeCell ref="H194:I194"/>
    <mergeCell ref="M216:N216"/>
    <mergeCell ref="B192:E192"/>
    <mergeCell ref="G217:J217"/>
    <mergeCell ref="G193:J193"/>
    <mergeCell ref="H169:I169"/>
    <mergeCell ref="L191:O191"/>
    <mergeCell ref="M192:N192"/>
    <mergeCell ref="B167:E167"/>
    <mergeCell ref="G168:J168"/>
    <mergeCell ref="H145:I145"/>
    <mergeCell ref="L166:O166"/>
    <mergeCell ref="M167:N167"/>
    <mergeCell ref="B142:E142"/>
    <mergeCell ref="G144:J144"/>
    <mergeCell ref="C143:D143"/>
    <mergeCell ref="H121:I121"/>
    <mergeCell ref="L142:O142"/>
    <mergeCell ref="M143:N143"/>
    <mergeCell ref="B118:E118"/>
    <mergeCell ref="G120:J120"/>
    <mergeCell ref="C119:D119"/>
    <mergeCell ref="H97:I97"/>
    <mergeCell ref="Y109:AB109"/>
    <mergeCell ref="L118:O118"/>
    <mergeCell ref="M119:N119"/>
    <mergeCell ref="B94:E94"/>
    <mergeCell ref="L94:O94"/>
    <mergeCell ref="M95:N95"/>
    <mergeCell ref="C95:D95"/>
    <mergeCell ref="G96:J96"/>
    <mergeCell ref="Y63:AB63"/>
    <mergeCell ref="L71:O71"/>
    <mergeCell ref="M72:N72"/>
    <mergeCell ref="C71:D71"/>
    <mergeCell ref="Y85:AB85"/>
    <mergeCell ref="G73:J73"/>
    <mergeCell ref="C48:D48"/>
    <mergeCell ref="H74:I74"/>
    <mergeCell ref="Y40:AB40"/>
    <mergeCell ref="L49:O49"/>
    <mergeCell ref="B70:E70"/>
    <mergeCell ref="G51:J51"/>
    <mergeCell ref="M51:N51"/>
    <mergeCell ref="C26:D26"/>
    <mergeCell ref="H52:I52"/>
    <mergeCell ref="I25:AB25"/>
    <mergeCell ref="B47:E47"/>
    <mergeCell ref="G29:J29"/>
    <mergeCell ref="L29:O29"/>
    <mergeCell ref="C4:D4"/>
    <mergeCell ref="H30:I30"/>
    <mergeCell ref="M30:N30"/>
    <mergeCell ref="I6:AB6"/>
    <mergeCell ref="I4:AB4"/>
    <mergeCell ref="G13:AB13"/>
    <mergeCell ref="G27:AB27"/>
    <mergeCell ref="B25:E25"/>
    <mergeCell ref="I14:AB14"/>
    <mergeCell ref="B2:E2"/>
    <mergeCell ref="G28:J28"/>
    <mergeCell ref="L28:O28"/>
    <mergeCell ref="I22:AB22"/>
    <mergeCell ref="I23:AB23"/>
    <mergeCell ref="I24:AB24"/>
    <mergeCell ref="I19:AB19"/>
    <mergeCell ref="B3:E3"/>
  </mergeCells>
  <pageMargins left="0.25" right="0.25" top="0.25" bottom="0.25" header="0.3" footer="0.3"/>
  <pageSetup orientation="portrait" r:id="rId1"/>
  <headerFooter>
    <oddFooter>&amp;R101 CMR 423 proposed rates 7/1/20</oddFooter>
  </headerFooter>
  <rowBreaks count="5" manualBreakCount="5">
    <brk id="25" max="16383" man="1"/>
    <brk id="48" max="16383" man="1"/>
    <brk id="93" max="16383" man="1"/>
    <brk id="141" max="16383" man="1"/>
    <brk id="19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"/>
  <sheetViews>
    <sheetView topLeftCell="BG7" workbookViewId="0">
      <selection activeCell="BO7" sqref="BO7:BZ27"/>
    </sheetView>
  </sheetViews>
  <sheetFormatPr defaultRowHeight="12.75"/>
  <cols>
    <col min="1" max="1" width="38.42578125" style="398" customWidth="1"/>
    <col min="2" max="2" width="12.85546875" style="403" customWidth="1"/>
    <col min="3" max="82" width="7.7109375" style="398" customWidth="1"/>
    <col min="83" max="256" width="8.85546875" style="398"/>
    <col min="257" max="257" width="38.42578125" style="398" customWidth="1"/>
    <col min="258" max="258" width="12.85546875" style="398" customWidth="1"/>
    <col min="259" max="338" width="7.7109375" style="398" customWidth="1"/>
    <col min="339" max="512" width="8.85546875" style="398"/>
    <col min="513" max="513" width="38.42578125" style="398" customWidth="1"/>
    <col min="514" max="514" width="12.85546875" style="398" customWidth="1"/>
    <col min="515" max="594" width="7.7109375" style="398" customWidth="1"/>
    <col min="595" max="768" width="8.85546875" style="398"/>
    <col min="769" max="769" width="38.42578125" style="398" customWidth="1"/>
    <col min="770" max="770" width="12.85546875" style="398" customWidth="1"/>
    <col min="771" max="850" width="7.7109375" style="398" customWidth="1"/>
    <col min="851" max="1024" width="8.85546875" style="398"/>
    <col min="1025" max="1025" width="38.42578125" style="398" customWidth="1"/>
    <col min="1026" max="1026" width="12.85546875" style="398" customWidth="1"/>
    <col min="1027" max="1106" width="7.7109375" style="398" customWidth="1"/>
    <col min="1107" max="1280" width="8.85546875" style="398"/>
    <col min="1281" max="1281" width="38.42578125" style="398" customWidth="1"/>
    <col min="1282" max="1282" width="12.85546875" style="398" customWidth="1"/>
    <col min="1283" max="1362" width="7.7109375" style="398" customWidth="1"/>
    <col min="1363" max="1536" width="8.85546875" style="398"/>
    <col min="1537" max="1537" width="38.42578125" style="398" customWidth="1"/>
    <col min="1538" max="1538" width="12.85546875" style="398" customWidth="1"/>
    <col min="1539" max="1618" width="7.7109375" style="398" customWidth="1"/>
    <col min="1619" max="1792" width="8.85546875" style="398"/>
    <col min="1793" max="1793" width="38.42578125" style="398" customWidth="1"/>
    <col min="1794" max="1794" width="12.85546875" style="398" customWidth="1"/>
    <col min="1795" max="1874" width="7.7109375" style="398" customWidth="1"/>
    <col min="1875" max="2048" width="8.85546875" style="398"/>
    <col min="2049" max="2049" width="38.42578125" style="398" customWidth="1"/>
    <col min="2050" max="2050" width="12.85546875" style="398" customWidth="1"/>
    <col min="2051" max="2130" width="7.7109375" style="398" customWidth="1"/>
    <col min="2131" max="2304" width="8.85546875" style="398"/>
    <col min="2305" max="2305" width="38.42578125" style="398" customWidth="1"/>
    <col min="2306" max="2306" width="12.85546875" style="398" customWidth="1"/>
    <col min="2307" max="2386" width="7.7109375" style="398" customWidth="1"/>
    <col min="2387" max="2560" width="8.85546875" style="398"/>
    <col min="2561" max="2561" width="38.42578125" style="398" customWidth="1"/>
    <col min="2562" max="2562" width="12.85546875" style="398" customWidth="1"/>
    <col min="2563" max="2642" width="7.7109375" style="398" customWidth="1"/>
    <col min="2643" max="2816" width="8.85546875" style="398"/>
    <col min="2817" max="2817" width="38.42578125" style="398" customWidth="1"/>
    <col min="2818" max="2818" width="12.85546875" style="398" customWidth="1"/>
    <col min="2819" max="2898" width="7.7109375" style="398" customWidth="1"/>
    <col min="2899" max="3072" width="8.85546875" style="398"/>
    <col min="3073" max="3073" width="38.42578125" style="398" customWidth="1"/>
    <col min="3074" max="3074" width="12.85546875" style="398" customWidth="1"/>
    <col min="3075" max="3154" width="7.7109375" style="398" customWidth="1"/>
    <col min="3155" max="3328" width="8.85546875" style="398"/>
    <col min="3329" max="3329" width="38.42578125" style="398" customWidth="1"/>
    <col min="3330" max="3330" width="12.85546875" style="398" customWidth="1"/>
    <col min="3331" max="3410" width="7.7109375" style="398" customWidth="1"/>
    <col min="3411" max="3584" width="8.85546875" style="398"/>
    <col min="3585" max="3585" width="38.42578125" style="398" customWidth="1"/>
    <col min="3586" max="3586" width="12.85546875" style="398" customWidth="1"/>
    <col min="3587" max="3666" width="7.7109375" style="398" customWidth="1"/>
    <col min="3667" max="3840" width="8.85546875" style="398"/>
    <col min="3841" max="3841" width="38.42578125" style="398" customWidth="1"/>
    <col min="3842" max="3842" width="12.85546875" style="398" customWidth="1"/>
    <col min="3843" max="3922" width="7.7109375" style="398" customWidth="1"/>
    <col min="3923" max="4096" width="8.85546875" style="398"/>
    <col min="4097" max="4097" width="38.42578125" style="398" customWidth="1"/>
    <col min="4098" max="4098" width="12.85546875" style="398" customWidth="1"/>
    <col min="4099" max="4178" width="7.7109375" style="398" customWidth="1"/>
    <col min="4179" max="4352" width="8.85546875" style="398"/>
    <col min="4353" max="4353" width="38.42578125" style="398" customWidth="1"/>
    <col min="4354" max="4354" width="12.85546875" style="398" customWidth="1"/>
    <col min="4355" max="4434" width="7.7109375" style="398" customWidth="1"/>
    <col min="4435" max="4608" width="8.85546875" style="398"/>
    <col min="4609" max="4609" width="38.42578125" style="398" customWidth="1"/>
    <col min="4610" max="4610" width="12.85546875" style="398" customWidth="1"/>
    <col min="4611" max="4690" width="7.7109375" style="398" customWidth="1"/>
    <col min="4691" max="4864" width="8.85546875" style="398"/>
    <col min="4865" max="4865" width="38.42578125" style="398" customWidth="1"/>
    <col min="4866" max="4866" width="12.85546875" style="398" customWidth="1"/>
    <col min="4867" max="4946" width="7.7109375" style="398" customWidth="1"/>
    <col min="4947" max="5120" width="8.85546875" style="398"/>
    <col min="5121" max="5121" width="38.42578125" style="398" customWidth="1"/>
    <col min="5122" max="5122" width="12.85546875" style="398" customWidth="1"/>
    <col min="5123" max="5202" width="7.7109375" style="398" customWidth="1"/>
    <col min="5203" max="5376" width="8.85546875" style="398"/>
    <col min="5377" max="5377" width="38.42578125" style="398" customWidth="1"/>
    <col min="5378" max="5378" width="12.85546875" style="398" customWidth="1"/>
    <col min="5379" max="5458" width="7.7109375" style="398" customWidth="1"/>
    <col min="5459" max="5632" width="8.85546875" style="398"/>
    <col min="5633" max="5633" width="38.42578125" style="398" customWidth="1"/>
    <col min="5634" max="5634" width="12.85546875" style="398" customWidth="1"/>
    <col min="5635" max="5714" width="7.7109375" style="398" customWidth="1"/>
    <col min="5715" max="5888" width="8.85546875" style="398"/>
    <col min="5889" max="5889" width="38.42578125" style="398" customWidth="1"/>
    <col min="5890" max="5890" width="12.85546875" style="398" customWidth="1"/>
    <col min="5891" max="5970" width="7.7109375" style="398" customWidth="1"/>
    <col min="5971" max="6144" width="8.85546875" style="398"/>
    <col min="6145" max="6145" width="38.42578125" style="398" customWidth="1"/>
    <col min="6146" max="6146" width="12.85546875" style="398" customWidth="1"/>
    <col min="6147" max="6226" width="7.7109375" style="398" customWidth="1"/>
    <col min="6227" max="6400" width="8.85546875" style="398"/>
    <col min="6401" max="6401" width="38.42578125" style="398" customWidth="1"/>
    <col min="6402" max="6402" width="12.85546875" style="398" customWidth="1"/>
    <col min="6403" max="6482" width="7.7109375" style="398" customWidth="1"/>
    <col min="6483" max="6656" width="8.85546875" style="398"/>
    <col min="6657" max="6657" width="38.42578125" style="398" customWidth="1"/>
    <col min="6658" max="6658" width="12.85546875" style="398" customWidth="1"/>
    <col min="6659" max="6738" width="7.7109375" style="398" customWidth="1"/>
    <col min="6739" max="6912" width="8.85546875" style="398"/>
    <col min="6913" max="6913" width="38.42578125" style="398" customWidth="1"/>
    <col min="6914" max="6914" width="12.85546875" style="398" customWidth="1"/>
    <col min="6915" max="6994" width="7.7109375" style="398" customWidth="1"/>
    <col min="6995" max="7168" width="8.85546875" style="398"/>
    <col min="7169" max="7169" width="38.42578125" style="398" customWidth="1"/>
    <col min="7170" max="7170" width="12.85546875" style="398" customWidth="1"/>
    <col min="7171" max="7250" width="7.7109375" style="398" customWidth="1"/>
    <col min="7251" max="7424" width="8.85546875" style="398"/>
    <col min="7425" max="7425" width="38.42578125" style="398" customWidth="1"/>
    <col min="7426" max="7426" width="12.85546875" style="398" customWidth="1"/>
    <col min="7427" max="7506" width="7.7109375" style="398" customWidth="1"/>
    <col min="7507" max="7680" width="8.85546875" style="398"/>
    <col min="7681" max="7681" width="38.42578125" style="398" customWidth="1"/>
    <col min="7682" max="7682" width="12.85546875" style="398" customWidth="1"/>
    <col min="7683" max="7762" width="7.7109375" style="398" customWidth="1"/>
    <col min="7763" max="7936" width="8.85546875" style="398"/>
    <col min="7937" max="7937" width="38.42578125" style="398" customWidth="1"/>
    <col min="7938" max="7938" width="12.85546875" style="398" customWidth="1"/>
    <col min="7939" max="8018" width="7.7109375" style="398" customWidth="1"/>
    <col min="8019" max="8192" width="8.85546875" style="398"/>
    <col min="8193" max="8193" width="38.42578125" style="398" customWidth="1"/>
    <col min="8194" max="8194" width="12.85546875" style="398" customWidth="1"/>
    <col min="8195" max="8274" width="7.7109375" style="398" customWidth="1"/>
    <col min="8275" max="8448" width="8.85546875" style="398"/>
    <col min="8449" max="8449" width="38.42578125" style="398" customWidth="1"/>
    <col min="8450" max="8450" width="12.85546875" style="398" customWidth="1"/>
    <col min="8451" max="8530" width="7.7109375" style="398" customWidth="1"/>
    <col min="8531" max="8704" width="8.85546875" style="398"/>
    <col min="8705" max="8705" width="38.42578125" style="398" customWidth="1"/>
    <col min="8706" max="8706" width="12.85546875" style="398" customWidth="1"/>
    <col min="8707" max="8786" width="7.7109375" style="398" customWidth="1"/>
    <col min="8787" max="8960" width="8.85546875" style="398"/>
    <col min="8961" max="8961" width="38.42578125" style="398" customWidth="1"/>
    <col min="8962" max="8962" width="12.85546875" style="398" customWidth="1"/>
    <col min="8963" max="9042" width="7.7109375" style="398" customWidth="1"/>
    <col min="9043" max="9216" width="8.85546875" style="398"/>
    <col min="9217" max="9217" width="38.42578125" style="398" customWidth="1"/>
    <col min="9218" max="9218" width="12.85546875" style="398" customWidth="1"/>
    <col min="9219" max="9298" width="7.7109375" style="398" customWidth="1"/>
    <col min="9299" max="9472" width="8.85546875" style="398"/>
    <col min="9473" max="9473" width="38.42578125" style="398" customWidth="1"/>
    <col min="9474" max="9474" width="12.85546875" style="398" customWidth="1"/>
    <col min="9475" max="9554" width="7.7109375" style="398" customWidth="1"/>
    <col min="9555" max="9728" width="8.85546875" style="398"/>
    <col min="9729" max="9729" width="38.42578125" style="398" customWidth="1"/>
    <col min="9730" max="9730" width="12.85546875" style="398" customWidth="1"/>
    <col min="9731" max="9810" width="7.7109375" style="398" customWidth="1"/>
    <col min="9811" max="9984" width="8.85546875" style="398"/>
    <col min="9985" max="9985" width="38.42578125" style="398" customWidth="1"/>
    <col min="9986" max="9986" width="12.85546875" style="398" customWidth="1"/>
    <col min="9987" max="10066" width="7.7109375" style="398" customWidth="1"/>
    <col min="10067" max="10240" width="8.85546875" style="398"/>
    <col min="10241" max="10241" width="38.42578125" style="398" customWidth="1"/>
    <col min="10242" max="10242" width="12.85546875" style="398" customWidth="1"/>
    <col min="10243" max="10322" width="7.7109375" style="398" customWidth="1"/>
    <col min="10323" max="10496" width="8.85546875" style="398"/>
    <col min="10497" max="10497" width="38.42578125" style="398" customWidth="1"/>
    <col min="10498" max="10498" width="12.85546875" style="398" customWidth="1"/>
    <col min="10499" max="10578" width="7.7109375" style="398" customWidth="1"/>
    <col min="10579" max="10752" width="8.85546875" style="398"/>
    <col min="10753" max="10753" width="38.42578125" style="398" customWidth="1"/>
    <col min="10754" max="10754" width="12.85546875" style="398" customWidth="1"/>
    <col min="10755" max="10834" width="7.7109375" style="398" customWidth="1"/>
    <col min="10835" max="11008" width="8.85546875" style="398"/>
    <col min="11009" max="11009" width="38.42578125" style="398" customWidth="1"/>
    <col min="11010" max="11010" width="12.85546875" style="398" customWidth="1"/>
    <col min="11011" max="11090" width="7.7109375" style="398" customWidth="1"/>
    <col min="11091" max="11264" width="8.85546875" style="398"/>
    <col min="11265" max="11265" width="38.42578125" style="398" customWidth="1"/>
    <col min="11266" max="11266" width="12.85546875" style="398" customWidth="1"/>
    <col min="11267" max="11346" width="7.7109375" style="398" customWidth="1"/>
    <col min="11347" max="11520" width="8.85546875" style="398"/>
    <col min="11521" max="11521" width="38.42578125" style="398" customWidth="1"/>
    <col min="11522" max="11522" width="12.85546875" style="398" customWidth="1"/>
    <col min="11523" max="11602" width="7.7109375" style="398" customWidth="1"/>
    <col min="11603" max="11776" width="8.85546875" style="398"/>
    <col min="11777" max="11777" width="38.42578125" style="398" customWidth="1"/>
    <col min="11778" max="11778" width="12.85546875" style="398" customWidth="1"/>
    <col min="11779" max="11858" width="7.7109375" style="398" customWidth="1"/>
    <col min="11859" max="12032" width="8.85546875" style="398"/>
    <col min="12033" max="12033" width="38.42578125" style="398" customWidth="1"/>
    <col min="12034" max="12034" width="12.85546875" style="398" customWidth="1"/>
    <col min="12035" max="12114" width="7.7109375" style="398" customWidth="1"/>
    <col min="12115" max="12288" width="8.85546875" style="398"/>
    <col min="12289" max="12289" width="38.42578125" style="398" customWidth="1"/>
    <col min="12290" max="12290" width="12.85546875" style="398" customWidth="1"/>
    <col min="12291" max="12370" width="7.7109375" style="398" customWidth="1"/>
    <col min="12371" max="12544" width="8.85546875" style="398"/>
    <col min="12545" max="12545" width="38.42578125" style="398" customWidth="1"/>
    <col min="12546" max="12546" width="12.85546875" style="398" customWidth="1"/>
    <col min="12547" max="12626" width="7.7109375" style="398" customWidth="1"/>
    <col min="12627" max="12800" width="8.85546875" style="398"/>
    <col min="12801" max="12801" width="38.42578125" style="398" customWidth="1"/>
    <col min="12802" max="12802" width="12.85546875" style="398" customWidth="1"/>
    <col min="12803" max="12882" width="7.7109375" style="398" customWidth="1"/>
    <col min="12883" max="13056" width="8.85546875" style="398"/>
    <col min="13057" max="13057" width="38.42578125" style="398" customWidth="1"/>
    <col min="13058" max="13058" width="12.85546875" style="398" customWidth="1"/>
    <col min="13059" max="13138" width="7.7109375" style="398" customWidth="1"/>
    <col min="13139" max="13312" width="8.85546875" style="398"/>
    <col min="13313" max="13313" width="38.42578125" style="398" customWidth="1"/>
    <col min="13314" max="13314" width="12.85546875" style="398" customWidth="1"/>
    <col min="13315" max="13394" width="7.7109375" style="398" customWidth="1"/>
    <col min="13395" max="13568" width="8.85546875" style="398"/>
    <col min="13569" max="13569" width="38.42578125" style="398" customWidth="1"/>
    <col min="13570" max="13570" width="12.85546875" style="398" customWidth="1"/>
    <col min="13571" max="13650" width="7.7109375" style="398" customWidth="1"/>
    <col min="13651" max="13824" width="8.85546875" style="398"/>
    <col min="13825" max="13825" width="38.42578125" style="398" customWidth="1"/>
    <col min="13826" max="13826" width="12.85546875" style="398" customWidth="1"/>
    <col min="13827" max="13906" width="7.7109375" style="398" customWidth="1"/>
    <col min="13907" max="14080" width="8.85546875" style="398"/>
    <col min="14081" max="14081" width="38.42578125" style="398" customWidth="1"/>
    <col min="14082" max="14082" width="12.85546875" style="398" customWidth="1"/>
    <col min="14083" max="14162" width="7.7109375" style="398" customWidth="1"/>
    <col min="14163" max="14336" width="8.85546875" style="398"/>
    <col min="14337" max="14337" width="38.42578125" style="398" customWidth="1"/>
    <col min="14338" max="14338" width="12.85546875" style="398" customWidth="1"/>
    <col min="14339" max="14418" width="7.7109375" style="398" customWidth="1"/>
    <col min="14419" max="14592" width="8.85546875" style="398"/>
    <col min="14593" max="14593" width="38.42578125" style="398" customWidth="1"/>
    <col min="14594" max="14594" width="12.85546875" style="398" customWidth="1"/>
    <col min="14595" max="14674" width="7.7109375" style="398" customWidth="1"/>
    <col min="14675" max="14848" width="8.85546875" style="398"/>
    <col min="14849" max="14849" width="38.42578125" style="398" customWidth="1"/>
    <col min="14850" max="14850" width="12.85546875" style="398" customWidth="1"/>
    <col min="14851" max="14930" width="7.7109375" style="398" customWidth="1"/>
    <col min="14931" max="15104" width="8.85546875" style="398"/>
    <col min="15105" max="15105" width="38.42578125" style="398" customWidth="1"/>
    <col min="15106" max="15106" width="12.85546875" style="398" customWidth="1"/>
    <col min="15107" max="15186" width="7.7109375" style="398" customWidth="1"/>
    <col min="15187" max="15360" width="8.85546875" style="398"/>
    <col min="15361" max="15361" width="38.42578125" style="398" customWidth="1"/>
    <col min="15362" max="15362" width="12.85546875" style="398" customWidth="1"/>
    <col min="15363" max="15442" width="7.7109375" style="398" customWidth="1"/>
    <col min="15443" max="15616" width="8.85546875" style="398"/>
    <col min="15617" max="15617" width="38.42578125" style="398" customWidth="1"/>
    <col min="15618" max="15618" width="12.85546875" style="398" customWidth="1"/>
    <col min="15619" max="15698" width="7.7109375" style="398" customWidth="1"/>
    <col min="15699" max="15872" width="8.85546875" style="398"/>
    <col min="15873" max="15873" width="38.42578125" style="398" customWidth="1"/>
    <col min="15874" max="15874" width="12.85546875" style="398" customWidth="1"/>
    <col min="15875" max="15954" width="7.7109375" style="398" customWidth="1"/>
    <col min="15955" max="16128" width="8.85546875" style="398"/>
    <col min="16129" max="16129" width="38.42578125" style="398" customWidth="1"/>
    <col min="16130" max="16130" width="12.85546875" style="398" customWidth="1"/>
    <col min="16131" max="16210" width="7.7109375" style="398" customWidth="1"/>
    <col min="16211" max="16384" width="8.85546875" style="398"/>
  </cols>
  <sheetData>
    <row r="1" spans="1:87" ht="18">
      <c r="A1" s="396" t="s">
        <v>112</v>
      </c>
      <c r="B1" s="397"/>
    </row>
    <row r="2" spans="1:87" ht="15.75">
      <c r="A2" s="399" t="s">
        <v>113</v>
      </c>
      <c r="B2" s="400"/>
    </row>
    <row r="3" spans="1:87" ht="15.75" thickBot="1">
      <c r="A3" s="401" t="s">
        <v>114</v>
      </c>
      <c r="B3" s="402"/>
    </row>
    <row r="6" spans="1:87">
      <c r="BM6" s="404" t="s">
        <v>115</v>
      </c>
      <c r="BN6" s="404" t="s">
        <v>115</v>
      </c>
      <c r="BO6" s="404" t="s">
        <v>115</v>
      </c>
      <c r="BP6" s="404" t="s">
        <v>115</v>
      </c>
      <c r="BQ6" s="405" t="s">
        <v>116</v>
      </c>
      <c r="BR6" s="405" t="s">
        <v>116</v>
      </c>
      <c r="BS6" s="405" t="s">
        <v>116</v>
      </c>
      <c r="BT6" s="405" t="s">
        <v>116</v>
      </c>
      <c r="BU6" s="406" t="s">
        <v>117</v>
      </c>
      <c r="BV6" s="406" t="s">
        <v>117</v>
      </c>
      <c r="BW6" s="406" t="s">
        <v>117</v>
      </c>
      <c r="BX6" s="406" t="s">
        <v>117</v>
      </c>
      <c r="BY6" s="407" t="s">
        <v>118</v>
      </c>
      <c r="BZ6" s="407" t="s">
        <v>118</v>
      </c>
      <c r="CA6" s="407" t="s">
        <v>118</v>
      </c>
      <c r="CB6" s="407" t="s">
        <v>118</v>
      </c>
    </row>
    <row r="7" spans="1:87" s="403" customFormat="1">
      <c r="B7" s="403" t="s">
        <v>119</v>
      </c>
      <c r="C7" s="408" t="s">
        <v>120</v>
      </c>
      <c r="D7" s="408" t="s">
        <v>121</v>
      </c>
      <c r="E7" s="408" t="s">
        <v>122</v>
      </c>
      <c r="F7" s="408" t="s">
        <v>123</v>
      </c>
      <c r="G7" s="408" t="s">
        <v>124</v>
      </c>
      <c r="H7" s="408" t="s">
        <v>125</v>
      </c>
      <c r="I7" s="408" t="s">
        <v>126</v>
      </c>
      <c r="J7" s="408" t="s">
        <v>127</v>
      </c>
      <c r="K7" s="408" t="s">
        <v>128</v>
      </c>
      <c r="L7" s="408" t="s">
        <v>129</v>
      </c>
      <c r="M7" s="408" t="s">
        <v>130</v>
      </c>
      <c r="N7" s="408" t="s">
        <v>131</v>
      </c>
      <c r="O7" s="408" t="s">
        <v>132</v>
      </c>
      <c r="P7" s="408" t="s">
        <v>133</v>
      </c>
      <c r="Q7" s="408" t="s">
        <v>134</v>
      </c>
      <c r="R7" s="408" t="s">
        <v>135</v>
      </c>
      <c r="S7" s="408" t="s">
        <v>136</v>
      </c>
      <c r="T7" s="408" t="s">
        <v>137</v>
      </c>
      <c r="U7" s="408" t="s">
        <v>138</v>
      </c>
      <c r="V7" s="408" t="s">
        <v>139</v>
      </c>
      <c r="W7" s="408" t="s">
        <v>140</v>
      </c>
      <c r="X7" s="408" t="s">
        <v>141</v>
      </c>
      <c r="Y7" s="408" t="s">
        <v>142</v>
      </c>
      <c r="Z7" s="408" t="s">
        <v>143</v>
      </c>
      <c r="AA7" s="408" t="s">
        <v>144</v>
      </c>
      <c r="AB7" s="408" t="s">
        <v>145</v>
      </c>
      <c r="AC7" s="408" t="s">
        <v>146</v>
      </c>
      <c r="AD7" s="408" t="s">
        <v>147</v>
      </c>
      <c r="AE7" s="408" t="s">
        <v>148</v>
      </c>
      <c r="AF7" s="408" t="s">
        <v>149</v>
      </c>
      <c r="AG7" s="408" t="s">
        <v>150</v>
      </c>
      <c r="AH7" s="408" t="s">
        <v>151</v>
      </c>
      <c r="AI7" s="408" t="s">
        <v>152</v>
      </c>
      <c r="AJ7" s="408" t="s">
        <v>153</v>
      </c>
      <c r="AK7" s="408" t="s">
        <v>154</v>
      </c>
      <c r="AL7" s="408" t="s">
        <v>155</v>
      </c>
      <c r="AM7" s="408" t="s">
        <v>156</v>
      </c>
      <c r="AN7" s="408" t="s">
        <v>157</v>
      </c>
      <c r="AO7" s="408" t="s">
        <v>158</v>
      </c>
      <c r="AP7" s="408" t="s">
        <v>159</v>
      </c>
      <c r="AQ7" s="408" t="s">
        <v>160</v>
      </c>
      <c r="AR7" s="408" t="s">
        <v>161</v>
      </c>
      <c r="AS7" s="408" t="s">
        <v>162</v>
      </c>
      <c r="AT7" s="408" t="s">
        <v>163</v>
      </c>
      <c r="AU7" s="403" t="s">
        <v>164</v>
      </c>
      <c r="AV7" s="403" t="s">
        <v>165</v>
      </c>
      <c r="AW7" s="403" t="s">
        <v>166</v>
      </c>
      <c r="AX7" s="403" t="s">
        <v>167</v>
      </c>
      <c r="AY7" s="403" t="s">
        <v>168</v>
      </c>
      <c r="AZ7" s="403" t="s">
        <v>169</v>
      </c>
      <c r="BA7" s="403" t="s">
        <v>170</v>
      </c>
      <c r="BB7" s="403" t="s">
        <v>171</v>
      </c>
      <c r="BC7" s="403" t="s">
        <v>172</v>
      </c>
      <c r="BD7" s="403" t="s">
        <v>173</v>
      </c>
      <c r="BE7" s="403" t="s">
        <v>174</v>
      </c>
      <c r="BF7" s="403" t="s">
        <v>175</v>
      </c>
      <c r="BG7" s="403" t="s">
        <v>176</v>
      </c>
      <c r="BH7" s="403" t="s">
        <v>177</v>
      </c>
      <c r="BI7" s="403" t="s">
        <v>178</v>
      </c>
      <c r="BJ7" s="403" t="s">
        <v>179</v>
      </c>
      <c r="BK7" s="403" t="s">
        <v>180</v>
      </c>
      <c r="BL7" s="403" t="s">
        <v>181</v>
      </c>
      <c r="BM7" s="403" t="s">
        <v>182</v>
      </c>
      <c r="BN7" s="403" t="s">
        <v>183</v>
      </c>
      <c r="BO7" s="403" t="s">
        <v>184</v>
      </c>
      <c r="BP7" s="403" t="s">
        <v>185</v>
      </c>
      <c r="BQ7" s="403" t="s">
        <v>186</v>
      </c>
      <c r="BR7" s="403" t="s">
        <v>187</v>
      </c>
      <c r="BS7" s="403" t="s">
        <v>188</v>
      </c>
      <c r="BT7" s="403" t="s">
        <v>189</v>
      </c>
      <c r="BU7" s="403" t="s">
        <v>190</v>
      </c>
      <c r="BV7" s="403" t="s">
        <v>191</v>
      </c>
      <c r="BW7" s="403" t="s">
        <v>192</v>
      </c>
      <c r="BX7" s="403" t="s">
        <v>193</v>
      </c>
      <c r="BY7" s="403" t="s">
        <v>194</v>
      </c>
      <c r="BZ7" s="403" t="s">
        <v>195</v>
      </c>
      <c r="CA7" s="403" t="s">
        <v>196</v>
      </c>
      <c r="CB7" s="403" t="s">
        <v>197</v>
      </c>
      <c r="CC7" s="403" t="s">
        <v>198</v>
      </c>
      <c r="CD7" s="403" t="s">
        <v>199</v>
      </c>
      <c r="CE7" s="403" t="s">
        <v>200</v>
      </c>
      <c r="CF7" s="403" t="s">
        <v>201</v>
      </c>
      <c r="CG7" s="403" t="s">
        <v>202</v>
      </c>
      <c r="CH7" s="403" t="s">
        <v>203</v>
      </c>
      <c r="CI7" s="403" t="s">
        <v>204</v>
      </c>
    </row>
    <row r="8" spans="1:87" ht="13.5" thickBot="1">
      <c r="A8" s="403" t="s">
        <v>205</v>
      </c>
      <c r="B8" s="403" t="s">
        <v>206</v>
      </c>
      <c r="C8" s="409">
        <v>2.0343964480826999</v>
      </c>
      <c r="D8" s="409">
        <v>2.05943632395637</v>
      </c>
      <c r="E8" s="409">
        <v>2.0644664349199</v>
      </c>
      <c r="F8" s="409">
        <v>2.0865413060551998</v>
      </c>
      <c r="G8" s="409">
        <v>2.1041383265898301</v>
      </c>
      <c r="H8" s="409">
        <v>2.1144127778695201</v>
      </c>
      <c r="I8" s="409">
        <v>2.1507704710507598</v>
      </c>
      <c r="J8" s="409">
        <v>2.1697119451171401</v>
      </c>
      <c r="K8" s="409">
        <v>2.18694695083656</v>
      </c>
      <c r="L8" s="409">
        <v>2.2122122749579498</v>
      </c>
      <c r="M8" s="409">
        <v>2.23480678878395</v>
      </c>
      <c r="N8" s="409">
        <v>2.2202677130356299</v>
      </c>
      <c r="O8" s="409">
        <v>2.23175261179881</v>
      </c>
      <c r="P8" s="409">
        <v>2.2580164013091002</v>
      </c>
      <c r="Q8" s="409">
        <v>2.2753709772035502</v>
      </c>
      <c r="R8" s="409">
        <v>2.30194291888919</v>
      </c>
      <c r="S8" s="409">
        <v>2.3192533891099099</v>
      </c>
      <c r="T8" s="409">
        <v>2.3629433902934598</v>
      </c>
      <c r="U8" s="409">
        <v>2.4039288645996799</v>
      </c>
      <c r="V8" s="409">
        <v>2.3508177475344398</v>
      </c>
      <c r="W8" s="409">
        <v>2.3395569969345802</v>
      </c>
      <c r="X8" s="409">
        <v>2.34609570313232</v>
      </c>
      <c r="Y8" s="409">
        <v>2.3657863595331099</v>
      </c>
      <c r="Z8" s="409">
        <v>2.3805218237276899</v>
      </c>
      <c r="AA8" s="409">
        <v>2.3783358335942402</v>
      </c>
      <c r="AB8" s="409">
        <v>2.3830414859475502</v>
      </c>
      <c r="AC8" s="409">
        <v>2.3975323184108199</v>
      </c>
      <c r="AD8" s="409">
        <v>2.4214524193269198</v>
      </c>
      <c r="AE8" s="409">
        <v>2.4313760255508901</v>
      </c>
      <c r="AF8" s="409">
        <v>2.4766460484572002</v>
      </c>
      <c r="AG8" s="409">
        <v>2.4881988275326701</v>
      </c>
      <c r="AH8" s="409">
        <v>2.4967467306687299</v>
      </c>
      <c r="AI8" s="409">
        <v>2.5126682010265902</v>
      </c>
      <c r="AJ8" s="409">
        <v>2.5190165748075999</v>
      </c>
      <c r="AK8" s="409">
        <v>2.52926548445051</v>
      </c>
      <c r="AL8" s="409">
        <v>2.5498254535670202</v>
      </c>
      <c r="AM8" s="409">
        <v>2.5565788634062199</v>
      </c>
      <c r="AN8" s="409">
        <v>2.5541938570175202</v>
      </c>
      <c r="AO8" s="409">
        <v>2.5733736468802801</v>
      </c>
      <c r="AP8" s="409">
        <v>2.5879825683785702</v>
      </c>
      <c r="AQ8" s="409">
        <v>2.5968750678528201</v>
      </c>
      <c r="AR8" s="409">
        <v>2.60749339976029</v>
      </c>
      <c r="AS8" s="409">
        <v>2.61387953217735</v>
      </c>
      <c r="AT8" s="409">
        <v>2.6160583623265499</v>
      </c>
      <c r="AU8" s="398">
        <v>2.61118766519375</v>
      </c>
      <c r="AV8" s="398">
        <v>2.6220108220798601</v>
      </c>
      <c r="AW8" s="398">
        <v>2.6188417055922</v>
      </c>
      <c r="AX8" s="398">
        <v>2.6260990473395398</v>
      </c>
      <c r="AY8" s="398">
        <v>2.6201146582822998</v>
      </c>
      <c r="AZ8" s="398">
        <v>2.6412696718547601</v>
      </c>
      <c r="BA8" s="398">
        <v>2.6622794798761902</v>
      </c>
      <c r="BB8" s="398">
        <v>2.6769828092859602</v>
      </c>
      <c r="BC8" s="398">
        <v>2.69301979781623</v>
      </c>
      <c r="BD8" s="398">
        <v>2.6949351579636902</v>
      </c>
      <c r="BE8" s="398">
        <v>2.7072510455133001</v>
      </c>
      <c r="BF8" s="398">
        <v>2.7194666205217501</v>
      </c>
      <c r="BG8" s="398">
        <v>2.7583872583557998</v>
      </c>
      <c r="BH8" s="398">
        <v>2.7712174411052799</v>
      </c>
      <c r="BI8" s="398">
        <v>2.7767772539950299</v>
      </c>
      <c r="BJ8" s="398">
        <v>2.7900362938944698</v>
      </c>
      <c r="BK8" s="398">
        <v>2.79504989885013</v>
      </c>
      <c r="BL8" s="398">
        <v>2.8124753429938698</v>
      </c>
      <c r="BM8" s="398">
        <v>2.8258429652208199</v>
      </c>
      <c r="BN8" s="398">
        <v>2.84827109602332</v>
      </c>
      <c r="BO8" s="398">
        <v>2.8648096227990201</v>
      </c>
      <c r="BP8" s="398">
        <v>2.87366388911181</v>
      </c>
      <c r="BQ8" s="398">
        <v>2.8888357489521002</v>
      </c>
      <c r="BR8" s="398">
        <v>2.8975460997816902</v>
      </c>
      <c r="BS8" s="398">
        <v>2.9097169947994401</v>
      </c>
      <c r="BT8" s="398">
        <v>2.9296333194362298</v>
      </c>
      <c r="BU8" s="398">
        <v>2.94689616214067</v>
      </c>
      <c r="BV8" s="398">
        <v>2.9583483780456699</v>
      </c>
      <c r="BW8" s="398">
        <v>2.9813259042976701</v>
      </c>
      <c r="BX8" s="398">
        <v>3.0046912726057902</v>
      </c>
      <c r="BY8" s="398">
        <v>3.0255581522131298</v>
      </c>
      <c r="BZ8" s="398">
        <v>3.04587440346724</v>
      </c>
      <c r="CA8" s="398">
        <v>3.0658590818670399</v>
      </c>
      <c r="CB8" s="398">
        <v>3.0832941540272398</v>
      </c>
      <c r="CC8" s="398">
        <v>3.1029951080744298</v>
      </c>
      <c r="CD8" s="398">
        <v>3.1221931367125899</v>
      </c>
      <c r="CE8" s="398">
        <v>3.1400314557673501</v>
      </c>
      <c r="CF8" s="398">
        <v>3.1597078634776099</v>
      </c>
      <c r="CG8" s="398">
        <v>3.1784171022252501</v>
      </c>
      <c r="CH8" s="398">
        <v>3.1965028368224302</v>
      </c>
    </row>
    <row r="9" spans="1:87" ht="13.5" thickBot="1">
      <c r="A9" s="403" t="s">
        <v>207</v>
      </c>
      <c r="B9" s="403" t="s">
        <v>208</v>
      </c>
      <c r="C9" s="409">
        <v>2.0343964480826999</v>
      </c>
      <c r="D9" s="409">
        <v>2.05943632395637</v>
      </c>
      <c r="E9" s="409">
        <v>2.0644664349199</v>
      </c>
      <c r="F9" s="409">
        <v>2.0865413060551998</v>
      </c>
      <c r="G9" s="409">
        <v>2.1041383265898301</v>
      </c>
      <c r="H9" s="409">
        <v>2.1144127778695201</v>
      </c>
      <c r="I9" s="409">
        <v>2.1507704710507598</v>
      </c>
      <c r="J9" s="409">
        <v>2.1697119451171401</v>
      </c>
      <c r="K9" s="409">
        <v>2.18694695083656</v>
      </c>
      <c r="L9" s="409">
        <v>2.2122122749579498</v>
      </c>
      <c r="M9" s="409">
        <v>2.23480678878395</v>
      </c>
      <c r="N9" s="409">
        <v>2.2202677130356299</v>
      </c>
      <c r="O9" s="409">
        <v>2.23175261179881</v>
      </c>
      <c r="P9" s="409">
        <v>2.2580164013091002</v>
      </c>
      <c r="Q9" s="409">
        <v>2.2753709772035502</v>
      </c>
      <c r="R9" s="409">
        <v>2.30194291888919</v>
      </c>
      <c r="S9" s="409">
        <v>2.3192533891099099</v>
      </c>
      <c r="T9" s="409">
        <v>2.3629433902934598</v>
      </c>
      <c r="U9" s="409">
        <v>2.4039288645996799</v>
      </c>
      <c r="V9" s="409">
        <v>2.3508177475344398</v>
      </c>
      <c r="W9" s="409">
        <v>2.3395569969345802</v>
      </c>
      <c r="X9" s="409">
        <v>2.34609570313232</v>
      </c>
      <c r="Y9" s="409">
        <v>2.3657863595331099</v>
      </c>
      <c r="Z9" s="409">
        <v>2.3805218237276899</v>
      </c>
      <c r="AA9" s="409">
        <v>2.3783358335942402</v>
      </c>
      <c r="AB9" s="409">
        <v>2.3830414859475502</v>
      </c>
      <c r="AC9" s="409">
        <v>2.3975323184108199</v>
      </c>
      <c r="AD9" s="409">
        <v>2.4214524193269198</v>
      </c>
      <c r="AE9" s="409">
        <v>2.4313760255508901</v>
      </c>
      <c r="AF9" s="409">
        <v>2.4766460484572002</v>
      </c>
      <c r="AG9" s="409">
        <v>2.4881988275326701</v>
      </c>
      <c r="AH9" s="409">
        <v>2.4967467306687299</v>
      </c>
      <c r="AI9" s="409">
        <v>2.5126682010265902</v>
      </c>
      <c r="AJ9" s="409">
        <v>2.5190165748075999</v>
      </c>
      <c r="AK9" s="409">
        <v>2.52926548445051</v>
      </c>
      <c r="AL9" s="409">
        <v>2.5498254535670202</v>
      </c>
      <c r="AM9" s="409">
        <v>2.5565788634062199</v>
      </c>
      <c r="AN9" s="409">
        <v>2.5541938570175202</v>
      </c>
      <c r="AO9" s="409">
        <v>2.5733736468802801</v>
      </c>
      <c r="AP9" s="409">
        <v>2.5879825683785702</v>
      </c>
      <c r="AQ9" s="409">
        <v>2.5968750678528201</v>
      </c>
      <c r="AR9" s="409">
        <v>2.60749339976029</v>
      </c>
      <c r="AS9" s="409">
        <v>2.61387953217735</v>
      </c>
      <c r="AT9" s="409">
        <v>2.6160583623265499</v>
      </c>
      <c r="AU9" s="398">
        <v>2.61118766519375</v>
      </c>
      <c r="AV9" s="398">
        <v>2.6220108220798601</v>
      </c>
      <c r="AW9" s="398">
        <v>2.6188417055922</v>
      </c>
      <c r="AX9" s="398">
        <v>2.6260990473395398</v>
      </c>
      <c r="AY9" s="398">
        <v>2.6201146582822998</v>
      </c>
      <c r="AZ9" s="398">
        <v>2.6412696718547601</v>
      </c>
      <c r="BA9" s="398">
        <v>2.6622794798761902</v>
      </c>
      <c r="BB9" s="398">
        <v>2.6769828092859602</v>
      </c>
      <c r="BC9" s="398">
        <v>2.69301979781623</v>
      </c>
      <c r="BD9" s="398">
        <v>2.6949351579636902</v>
      </c>
      <c r="BE9" s="398">
        <v>2.7072510455133001</v>
      </c>
      <c r="BF9" s="398">
        <v>2.7194666205217501</v>
      </c>
      <c r="BG9" s="398">
        <v>2.7583872583557998</v>
      </c>
      <c r="BH9" s="398">
        <v>2.7712174411052799</v>
      </c>
      <c r="BI9" s="398">
        <v>2.7767772539950299</v>
      </c>
      <c r="BJ9" s="398">
        <v>2.7900362938944698</v>
      </c>
      <c r="BK9" s="398">
        <v>2.79504989885013</v>
      </c>
      <c r="BL9" s="398">
        <v>2.8124753429938698</v>
      </c>
      <c r="BM9" s="398">
        <v>2.8258429652208199</v>
      </c>
      <c r="BN9" s="398">
        <v>2.84582069929911</v>
      </c>
      <c r="BO9" s="398">
        <v>2.86055636092141</v>
      </c>
      <c r="BP9" s="410">
        <v>2.86714152292299</v>
      </c>
      <c r="BQ9" s="411">
        <v>2.87979046783079</v>
      </c>
      <c r="BR9" s="412">
        <v>2.8862359962744399</v>
      </c>
      <c r="BS9" s="412">
        <v>2.8952255447313102</v>
      </c>
      <c r="BT9" s="412">
        <v>2.9114792295702099</v>
      </c>
      <c r="BU9" s="412">
        <v>2.92478764045907</v>
      </c>
      <c r="BV9" s="412">
        <v>2.9313520578905301</v>
      </c>
      <c r="BW9" s="412">
        <v>2.9488666202170299</v>
      </c>
      <c r="BX9" s="413">
        <v>2.9672225449874401</v>
      </c>
      <c r="BY9" s="398">
        <v>2.9827762298190601</v>
      </c>
      <c r="BZ9" s="398">
        <v>2.9973649977235501</v>
      </c>
      <c r="CA9" s="398">
        <v>3.01160898598325</v>
      </c>
      <c r="CB9" s="398">
        <v>3.0243751954104701</v>
      </c>
      <c r="CC9" s="398">
        <v>3.0393168799481201</v>
      </c>
      <c r="CD9" s="398">
        <v>3.0546372008786999</v>
      </c>
      <c r="CE9" s="398">
        <v>3.0677758980614298</v>
      </c>
      <c r="CF9" s="398">
        <v>3.08286200226184</v>
      </c>
      <c r="CG9" s="398">
        <v>3.09713585293321</v>
      </c>
      <c r="CH9" s="398">
        <v>3.1105686621575002</v>
      </c>
    </row>
    <row r="10" spans="1:87">
      <c r="A10" s="403" t="s">
        <v>209</v>
      </c>
      <c r="B10" s="403" t="s">
        <v>210</v>
      </c>
      <c r="C10" s="409">
        <v>2.0343964480826999</v>
      </c>
      <c r="D10" s="409">
        <v>2.05943632395637</v>
      </c>
      <c r="E10" s="409">
        <v>2.0644664349199</v>
      </c>
      <c r="F10" s="409">
        <v>2.0865413060551998</v>
      </c>
      <c r="G10" s="409">
        <v>2.1041383265898301</v>
      </c>
      <c r="H10" s="409">
        <v>2.1144127778695201</v>
      </c>
      <c r="I10" s="409">
        <v>2.1507704710507598</v>
      </c>
      <c r="J10" s="409">
        <v>2.1697119451171401</v>
      </c>
      <c r="K10" s="409">
        <v>2.18694695083656</v>
      </c>
      <c r="L10" s="409">
        <v>2.2122122749579498</v>
      </c>
      <c r="M10" s="409">
        <v>2.23480678878395</v>
      </c>
      <c r="N10" s="409">
        <v>2.2202677130356299</v>
      </c>
      <c r="O10" s="409">
        <v>2.23175261179881</v>
      </c>
      <c r="P10" s="409">
        <v>2.2580164013091002</v>
      </c>
      <c r="Q10" s="409">
        <v>2.2753709772035502</v>
      </c>
      <c r="R10" s="409">
        <v>2.30194291888919</v>
      </c>
      <c r="S10" s="409">
        <v>2.3192533891099099</v>
      </c>
      <c r="T10" s="409">
        <v>2.3629433902934598</v>
      </c>
      <c r="U10" s="409">
        <v>2.4039288645996799</v>
      </c>
      <c r="V10" s="409">
        <v>2.3508177475344398</v>
      </c>
      <c r="W10" s="409">
        <v>2.3395569969345802</v>
      </c>
      <c r="X10" s="409">
        <v>2.34609570313232</v>
      </c>
      <c r="Y10" s="409">
        <v>2.3657863595331099</v>
      </c>
      <c r="Z10" s="409">
        <v>2.3805218237276899</v>
      </c>
      <c r="AA10" s="409">
        <v>2.3783358335942402</v>
      </c>
      <c r="AB10" s="409">
        <v>2.3830414859475502</v>
      </c>
      <c r="AC10" s="409">
        <v>2.3975323184108199</v>
      </c>
      <c r="AD10" s="409">
        <v>2.4214524193269198</v>
      </c>
      <c r="AE10" s="409">
        <v>2.4313760255508901</v>
      </c>
      <c r="AF10" s="409">
        <v>2.4766460484572002</v>
      </c>
      <c r="AG10" s="409">
        <v>2.4881988275326701</v>
      </c>
      <c r="AH10" s="409">
        <v>2.4967467306687299</v>
      </c>
      <c r="AI10" s="409">
        <v>2.5126682010265902</v>
      </c>
      <c r="AJ10" s="409">
        <v>2.5190165748075999</v>
      </c>
      <c r="AK10" s="409">
        <v>2.52926548445051</v>
      </c>
      <c r="AL10" s="409">
        <v>2.5498254535670202</v>
      </c>
      <c r="AM10" s="409">
        <v>2.5565788634062199</v>
      </c>
      <c r="AN10" s="409">
        <v>2.5541938570175202</v>
      </c>
      <c r="AO10" s="409">
        <v>2.5733736468802801</v>
      </c>
      <c r="AP10" s="409">
        <v>2.5879825683785702</v>
      </c>
      <c r="AQ10" s="409">
        <v>2.5968750678528201</v>
      </c>
      <c r="AR10" s="409">
        <v>2.60749339976029</v>
      </c>
      <c r="AS10" s="409">
        <v>2.61387953217735</v>
      </c>
      <c r="AT10" s="409">
        <v>2.6160583623265499</v>
      </c>
      <c r="AU10" s="398">
        <v>2.61118766519375</v>
      </c>
      <c r="AV10" s="398">
        <v>2.6220108220798601</v>
      </c>
      <c r="AW10" s="398">
        <v>2.6188417055922</v>
      </c>
      <c r="AX10" s="398">
        <v>2.6260990473395398</v>
      </c>
      <c r="AY10" s="398">
        <v>2.6201146582822998</v>
      </c>
      <c r="AZ10" s="398">
        <v>2.6412696718547601</v>
      </c>
      <c r="BA10" s="398">
        <v>2.6622794798761902</v>
      </c>
      <c r="BB10" s="398">
        <v>2.6769828092859602</v>
      </c>
      <c r="BC10" s="398">
        <v>2.69301979781623</v>
      </c>
      <c r="BD10" s="398">
        <v>2.6949351579636902</v>
      </c>
      <c r="BE10" s="398">
        <v>2.7072510455133001</v>
      </c>
      <c r="BF10" s="398">
        <v>2.7194666205217501</v>
      </c>
      <c r="BG10" s="398">
        <v>2.7583872583557998</v>
      </c>
      <c r="BH10" s="398">
        <v>2.7712174411052799</v>
      </c>
      <c r="BI10" s="398">
        <v>2.7767772539950299</v>
      </c>
      <c r="BJ10" s="398">
        <v>2.7900362938944698</v>
      </c>
      <c r="BK10" s="398">
        <v>2.79504989885013</v>
      </c>
      <c r="BL10" s="398">
        <v>2.8124753429938698</v>
      </c>
      <c r="BM10" s="398">
        <v>2.8258429652208199</v>
      </c>
      <c r="BN10" s="398">
        <v>2.8508726138222098</v>
      </c>
      <c r="BO10" s="398">
        <v>2.8707703287451301</v>
      </c>
      <c r="BP10" s="398">
        <v>2.8838742724040798</v>
      </c>
      <c r="BQ10" s="398">
        <v>2.9041973957490499</v>
      </c>
      <c r="BR10" s="398">
        <v>2.9181801842111201</v>
      </c>
      <c r="BS10" s="398">
        <v>2.9363927339244902</v>
      </c>
      <c r="BT10" s="398">
        <v>2.96289077167628</v>
      </c>
      <c r="BU10" s="398">
        <v>2.9870211065969401</v>
      </c>
      <c r="BV10" s="398">
        <v>3.0057565286188099</v>
      </c>
      <c r="BW10" s="398">
        <v>3.0365761747820499</v>
      </c>
      <c r="BX10" s="398">
        <v>3.0681959808882899</v>
      </c>
      <c r="BY10" s="398">
        <v>3.0977145098143102</v>
      </c>
      <c r="BZ10" s="398">
        <v>3.1270435262635901</v>
      </c>
      <c r="CA10" s="398">
        <v>3.1563342945986901</v>
      </c>
      <c r="CB10" s="398">
        <v>3.1831997293388401</v>
      </c>
      <c r="CC10" s="398">
        <v>3.2125565050276701</v>
      </c>
      <c r="CD10" s="398">
        <v>3.2415902186312202</v>
      </c>
      <c r="CE10" s="398">
        <v>3.2694429238234299</v>
      </c>
      <c r="CF10" s="398">
        <v>3.2994498764972602</v>
      </c>
      <c r="CG10" s="398">
        <v>3.3287005383778001</v>
      </c>
      <c r="CH10" s="398">
        <v>3.3574479886706499</v>
      </c>
    </row>
    <row r="12" spans="1:87"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</row>
    <row r="13" spans="1:87"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</row>
    <row r="15" spans="1:87">
      <c r="BM15" s="415"/>
      <c r="BN15" s="415"/>
      <c r="BO15" s="416" t="s">
        <v>211</v>
      </c>
      <c r="BP15" s="417"/>
      <c r="BQ15" s="417"/>
      <c r="BR15" s="418" t="s">
        <v>212</v>
      </c>
      <c r="BS15" s="419"/>
      <c r="BT15" s="419"/>
      <c r="BU15" s="419"/>
      <c r="BV15" s="419"/>
      <c r="BW15" s="419"/>
      <c r="BX15" s="417"/>
      <c r="BY15" s="417"/>
      <c r="BZ15" s="417"/>
    </row>
    <row r="16" spans="1:87">
      <c r="BO16" s="420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2"/>
    </row>
    <row r="17" spans="67:78">
      <c r="BO17" s="423"/>
      <c r="BP17" s="424" t="s">
        <v>213</v>
      </c>
      <c r="BQ17" s="425" t="s">
        <v>214</v>
      </c>
      <c r="BR17" s="425"/>
      <c r="BS17" s="425"/>
      <c r="BT17" s="425"/>
      <c r="BU17" s="425"/>
      <c r="BV17" s="425"/>
      <c r="BW17" s="425"/>
      <c r="BX17" s="425"/>
      <c r="BY17" s="425"/>
      <c r="BZ17" s="426"/>
    </row>
    <row r="18" spans="67:78">
      <c r="BO18" s="423"/>
      <c r="BP18" s="425"/>
      <c r="BQ18" s="408" t="str">
        <f>BP7</f>
        <v>2020Q2</v>
      </c>
      <c r="BR18" s="425"/>
      <c r="BS18" s="425"/>
      <c r="BT18" s="425"/>
      <c r="BU18" s="425"/>
      <c r="BV18" s="425"/>
      <c r="BW18" s="425"/>
      <c r="BX18" s="425"/>
      <c r="BY18" s="425"/>
      <c r="BZ18" s="427" t="s">
        <v>215</v>
      </c>
    </row>
    <row r="19" spans="67:78">
      <c r="BO19" s="423"/>
      <c r="BP19" s="425"/>
      <c r="BQ19" s="428">
        <f>BP9</f>
        <v>2.86714152292299</v>
      </c>
      <c r="BR19" s="429"/>
      <c r="BS19" s="425"/>
      <c r="BT19" s="425"/>
      <c r="BU19" s="425"/>
      <c r="BV19" s="425"/>
      <c r="BW19" s="425"/>
      <c r="BX19" s="425"/>
      <c r="BY19" s="425"/>
      <c r="BZ19" s="430">
        <f>BQ19</f>
        <v>2.86714152292299</v>
      </c>
    </row>
    <row r="20" spans="67:78">
      <c r="BO20" s="423"/>
      <c r="BP20" s="425"/>
      <c r="BQ20" s="425"/>
      <c r="BR20" s="425"/>
      <c r="BS20" s="425"/>
      <c r="BT20" s="425"/>
      <c r="BU20" s="425"/>
      <c r="BV20" s="425"/>
      <c r="BW20" s="425"/>
      <c r="BX20" s="425"/>
      <c r="BY20" s="425"/>
      <c r="BZ20" s="431"/>
    </row>
    <row r="21" spans="67:78">
      <c r="BO21" s="498" t="s">
        <v>216</v>
      </c>
      <c r="BP21" s="499"/>
      <c r="BQ21" s="499"/>
      <c r="BR21" s="425" t="s">
        <v>217</v>
      </c>
      <c r="BS21" s="425"/>
      <c r="BT21" s="425"/>
      <c r="BU21" s="425"/>
      <c r="BV21" s="425"/>
      <c r="BW21" s="425"/>
      <c r="BX21" s="425"/>
      <c r="BY21" s="425"/>
      <c r="BZ21" s="431"/>
    </row>
    <row r="22" spans="67:78">
      <c r="BO22" s="423"/>
      <c r="BP22" s="425"/>
      <c r="BQ22" s="403" t="str">
        <f>BQ7</f>
        <v>2020Q3</v>
      </c>
      <c r="BR22" s="403" t="str">
        <f t="shared" ref="BR22:BX22" si="0">BR7</f>
        <v>2020Q4</v>
      </c>
      <c r="BS22" s="403" t="str">
        <f t="shared" si="0"/>
        <v>2021Q1</v>
      </c>
      <c r="BT22" s="403" t="str">
        <f t="shared" si="0"/>
        <v>2021Q2</v>
      </c>
      <c r="BU22" s="403" t="str">
        <f t="shared" si="0"/>
        <v>2021Q3</v>
      </c>
      <c r="BV22" s="403" t="str">
        <f t="shared" si="0"/>
        <v>2021Q4</v>
      </c>
      <c r="BW22" s="403" t="str">
        <f t="shared" si="0"/>
        <v>2022Q1</v>
      </c>
      <c r="BX22" s="403" t="str">
        <f t="shared" si="0"/>
        <v>2022Q2</v>
      </c>
      <c r="BY22" s="425"/>
      <c r="BZ22" s="431"/>
    </row>
    <row r="23" spans="67:78">
      <c r="BO23" s="423"/>
      <c r="BP23" s="425"/>
      <c r="BQ23" s="409">
        <f>BQ9</f>
        <v>2.87979046783079</v>
      </c>
      <c r="BR23" s="409">
        <f t="shared" ref="BR23:BX23" si="1">BR9</f>
        <v>2.8862359962744399</v>
      </c>
      <c r="BS23" s="409">
        <f t="shared" si="1"/>
        <v>2.8952255447313102</v>
      </c>
      <c r="BT23" s="409">
        <f t="shared" si="1"/>
        <v>2.9114792295702099</v>
      </c>
      <c r="BU23" s="409">
        <f t="shared" si="1"/>
        <v>2.92478764045907</v>
      </c>
      <c r="BV23" s="409">
        <f t="shared" si="1"/>
        <v>2.9313520578905301</v>
      </c>
      <c r="BW23" s="409">
        <f t="shared" si="1"/>
        <v>2.9488666202170299</v>
      </c>
      <c r="BX23" s="409">
        <f t="shared" si="1"/>
        <v>2.9672225449874401</v>
      </c>
      <c r="BY23" s="425"/>
      <c r="BZ23" s="430">
        <f>AVERAGE(BQ23:BX23)</f>
        <v>2.9181200127451019</v>
      </c>
    </row>
    <row r="24" spans="67:78">
      <c r="BO24" s="423"/>
      <c r="BP24" s="425"/>
      <c r="BQ24" s="425"/>
      <c r="BR24" s="425"/>
      <c r="BS24" s="425"/>
      <c r="BT24" s="425"/>
      <c r="BU24" s="425"/>
      <c r="BV24" s="425"/>
      <c r="BW24" s="425"/>
      <c r="BX24" s="425"/>
      <c r="BY24" s="425"/>
      <c r="BZ24" s="431"/>
    </row>
    <row r="25" spans="67:78">
      <c r="BO25" s="423"/>
      <c r="BP25" s="425"/>
      <c r="BQ25" s="425"/>
      <c r="BR25" s="425"/>
      <c r="BS25" s="425"/>
      <c r="BT25" s="425"/>
      <c r="BU25" s="425"/>
      <c r="BV25" s="425"/>
      <c r="BW25" s="425"/>
      <c r="BX25" s="425"/>
      <c r="BY25" s="432" t="s">
        <v>54</v>
      </c>
      <c r="BZ25" s="433">
        <f>(BZ23-BZ19)/BZ19</f>
        <v>1.7780248869661817E-2</v>
      </c>
    </row>
    <row r="26" spans="67:78">
      <c r="BO26" s="434"/>
      <c r="BP26" s="435"/>
      <c r="BQ26" s="435"/>
      <c r="BR26" s="435"/>
      <c r="BS26" s="435"/>
      <c r="BT26" s="435"/>
      <c r="BU26" s="435"/>
      <c r="BV26" s="435"/>
      <c r="BW26" s="435"/>
      <c r="BX26" s="435"/>
      <c r="BY26" s="435"/>
      <c r="BZ26" s="436"/>
    </row>
  </sheetData>
  <mergeCells count="1">
    <mergeCell ref="BO21:BQ21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Proposed FY21 Model Budgets</vt:lpstr>
      <vt:lpstr>CAF 2019 Fall</vt:lpstr>
      <vt:lpstr>'CAF 2019 Fall'!Print_Area</vt:lpstr>
      <vt:lpstr>'Proposed FY21 Model Budgets'!Print_Area</vt:lpstr>
      <vt:lpstr>'CAF 2019 Fall'!Print_Titles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2020-03-06T14:26:15Z</cp:lastPrinted>
  <dcterms:created xsi:type="dcterms:W3CDTF">2020-03-06T13:18:38Z</dcterms:created>
  <dcterms:modified xsi:type="dcterms:W3CDTF">2020-03-06T18:38:27Z</dcterms:modified>
</cp:coreProperties>
</file>