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NE-TEAMS-LBE/Shared Documents/Data Analysis and Tracking/3. Tools &amp; Calculators/"/>
    </mc:Choice>
  </mc:AlternateContent>
  <xr:revisionPtr revIDLastSave="376" documentId="8_{36B9BB83-C366-4FE7-A91A-CBE399C18F66}" xr6:coauthVersionLast="47" xr6:coauthVersionMax="47" xr10:uidLastSave="{803452F4-8950-42F9-9464-48CCBEDD58AB}"/>
  <bookViews>
    <workbookView xWindow="-110" yWindow="-110" windowWidth="19420" windowHeight="11500" xr2:uid="{00000000-000D-0000-FFFF-FFFF00000000}"/>
  </bookViews>
  <sheets>
    <sheet name="INTRO" sheetId="14" r:id="rId1"/>
    <sheet name="Quick Calculations" sheetId="6" r:id="rId2"/>
    <sheet name="Building" sheetId="1" r:id="rId3"/>
    <sheet name="Renewable Energy" sheetId="15" r:id="rId4"/>
    <sheet name="Vehicles" sheetId="11" r:id="rId5"/>
    <sheet name="Reference" sheetId="5" r:id="rId6"/>
    <sheet name="source" sheetId="13" state="hidden" r:id="rId7"/>
    <sheet name="Notes" sheetId="16" state="hidden" r:id="rId8"/>
  </sheets>
  <definedNames>
    <definedName name="_xlnm._FilterDatabase" localSheetId="2" hidden="1">Building!$B$2:$I$2</definedName>
    <definedName name="_xlnm._FilterDatabase" localSheetId="5" hidden="1">Reference!$A$2:$J$75</definedName>
    <definedName name="_xlnm._FilterDatabase" localSheetId="3" hidden="1">'Renewable Energy'!$A$3:$D$3</definedName>
    <definedName name="_xlnm._FilterDatabase" localSheetId="4" hidden="1">Vehicles!$B$2:$H$2</definedName>
    <definedName name="blank">source!$A$3:$A$40</definedName>
    <definedName name="CY_2000" localSheetId="3">source!#REF!</definedName>
    <definedName name="CY_2000">source!#REF!</definedName>
    <definedName name="CY_2001">source!$B$29</definedName>
    <definedName name="CY_2002">source!$B$30</definedName>
    <definedName name="CY_2003">source!$B$31</definedName>
    <definedName name="CY_2004">source!$B$32</definedName>
    <definedName name="CY_2005">source!$B$33</definedName>
    <definedName name="CY_2006">source!$B$34</definedName>
    <definedName name="CY_2007">source!$B$35</definedName>
    <definedName name="CY_2008">source!$B$36</definedName>
    <definedName name="CY_2009">source!$B$37</definedName>
    <definedName name="CY_2010">source!$B$38</definedName>
    <definedName name="CY_2011">source!$B$39</definedName>
    <definedName name="CY_2012">source!$B$40</definedName>
    <definedName name="CY_2013">source!$B$41</definedName>
    <definedName name="CY_2014">source!$B$43</definedName>
    <definedName name="FY_2000" localSheetId="3">source!#REF!</definedName>
    <definedName name="FY_2000">source!#REF!</definedName>
    <definedName name="FY_2001" localSheetId="3">source!#REF!</definedName>
    <definedName name="FY_2001">source!#REF!</definedName>
    <definedName name="FY_2002">source!$B$3</definedName>
    <definedName name="FY_2003">source!$B$4</definedName>
    <definedName name="FY_2004">source!$B$5</definedName>
    <definedName name="FY_2005">source!$B$6</definedName>
    <definedName name="FY_2006">source!$B$7</definedName>
    <definedName name="FY_2007">source!$B$8</definedName>
    <definedName name="FY_2008">source!$B$9</definedName>
    <definedName name="FY_2009">source!$B$10</definedName>
    <definedName name="FY_2010">source!$B$11</definedName>
    <definedName name="FY_2011">source!$B$12</definedName>
    <definedName name="FY_2012">source!$B$13</definedName>
    <definedName name="FY_2013">source!$B$14</definedName>
    <definedName name="FY_2014">source!$B$15</definedName>
    <definedName name="_xlnm.Print_Area" localSheetId="0">INTRO!$A$4:$F$29</definedName>
    <definedName name="SELECT_YEAR">Vehicles!$A$3</definedName>
    <definedName name="year">source!$A$2:$A$46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1" l="1"/>
  <c r="E14" i="11"/>
  <c r="D50" i="13"/>
  <c r="D40" i="13"/>
  <c r="C72" i="5"/>
  <c r="D28" i="6" l="1"/>
  <c r="F25" i="5"/>
  <c r="F47" i="5"/>
  <c r="E24" i="5"/>
  <c r="F23" i="5" l="1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58" i="5"/>
  <c r="F59" i="5"/>
  <c r="F60" i="5"/>
  <c r="F62" i="5"/>
  <c r="F63" i="5"/>
  <c r="F4" i="5"/>
  <c r="F5" i="5"/>
  <c r="F6" i="5"/>
  <c r="F7" i="5"/>
  <c r="F8" i="5"/>
  <c r="F9" i="5"/>
  <c r="F10" i="5"/>
  <c r="F11" i="5"/>
  <c r="F12" i="5"/>
  <c r="F13" i="5"/>
  <c r="F15" i="5"/>
  <c r="F16" i="5"/>
  <c r="F17" i="5"/>
  <c r="F18" i="5"/>
  <c r="F19" i="5"/>
  <c r="F20" i="5"/>
  <c r="F21" i="5"/>
  <c r="F22" i="5"/>
  <c r="F24" i="5"/>
  <c r="F3" i="5"/>
  <c r="D63" i="5"/>
  <c r="D62" i="5"/>
  <c r="D58" i="5"/>
  <c r="D59" i="5"/>
  <c r="D60" i="5"/>
  <c r="D57" i="5"/>
  <c r="B7" i="6" l="1"/>
  <c r="B28" i="15"/>
  <c r="B21" i="15"/>
  <c r="B13" i="15"/>
  <c r="B7" i="15"/>
  <c r="E15" i="6"/>
  <c r="F15" i="6" s="1"/>
  <c r="E14" i="6"/>
  <c r="F14" i="6" s="1"/>
  <c r="E13" i="6"/>
  <c r="F13" i="6" s="1"/>
  <c r="D17" i="6"/>
  <c r="D16" i="6"/>
  <c r="D15" i="6"/>
  <c r="D14" i="6"/>
  <c r="D13" i="6"/>
  <c r="I5" i="1"/>
  <c r="C12" i="15"/>
  <c r="C11" i="15"/>
  <c r="C10" i="15"/>
  <c r="C6" i="15"/>
  <c r="C5" i="15"/>
  <c r="C4" i="15"/>
  <c r="C27" i="15"/>
  <c r="C26" i="15"/>
  <c r="C25" i="15"/>
  <c r="C20" i="15"/>
  <c r="C19" i="15"/>
  <c r="C18" i="15"/>
  <c r="D30" i="6"/>
  <c r="D29" i="6"/>
  <c r="C31" i="6"/>
  <c r="C30" i="6"/>
  <c r="C29" i="6"/>
  <c r="C28" i="6"/>
  <c r="C24" i="6"/>
  <c r="B17" i="6"/>
  <c r="B16" i="6"/>
  <c r="D9" i="6"/>
  <c r="D8" i="6"/>
  <c r="D7" i="6"/>
  <c r="D6" i="6"/>
  <c r="D5" i="6"/>
  <c r="B9" i="6"/>
  <c r="B8" i="6"/>
  <c r="B5" i="6"/>
  <c r="E14" i="5"/>
  <c r="F14" i="5" s="1"/>
  <c r="C28" i="15" l="1"/>
  <c r="C21" i="15"/>
  <c r="C7" i="15"/>
  <c r="C13" i="15"/>
  <c r="B58" i="5"/>
  <c r="E50" i="5"/>
  <c r="F50" i="5" s="1"/>
  <c r="B61" i="5"/>
  <c r="E61" i="5"/>
  <c r="F61" i="5" s="1"/>
  <c r="E48" i="5"/>
  <c r="F48" i="5" s="1"/>
  <c r="E49" i="5"/>
  <c r="F49" i="5" s="1"/>
  <c r="E52" i="5" l="1"/>
  <c r="F52" i="5" s="1"/>
  <c r="C40" i="6" l="1"/>
  <c r="C41" i="6"/>
  <c r="C28" i="13" l="1"/>
  <c r="I75" i="5" l="1"/>
  <c r="E75" i="5"/>
  <c r="B75" i="5"/>
  <c r="C75" i="5" s="1"/>
  <c r="F75" i="5" l="1"/>
  <c r="H31" i="6"/>
  <c r="H30" i="6"/>
  <c r="H29" i="6"/>
  <c r="H28" i="6"/>
  <c r="B15" i="6"/>
  <c r="B14" i="6"/>
  <c r="B13" i="6"/>
  <c r="E17" i="6"/>
  <c r="F17" i="6" s="1"/>
  <c r="E16" i="6"/>
  <c r="F16" i="6" s="1"/>
  <c r="E8" i="6"/>
  <c r="E5" i="6"/>
  <c r="F5" i="6" l="1"/>
  <c r="F8" i="6"/>
  <c r="B6" i="6"/>
  <c r="E9" i="6"/>
  <c r="F9" i="6" l="1"/>
  <c r="E70" i="5"/>
  <c r="F70" i="5" s="1"/>
  <c r="H27" i="15"/>
  <c r="I27" i="15" s="1"/>
  <c r="G27" i="15"/>
  <c r="E27" i="15" s="1"/>
  <c r="D27" i="15"/>
  <c r="H26" i="15"/>
  <c r="I26" i="15" s="1"/>
  <c r="G26" i="15"/>
  <c r="D26" i="15"/>
  <c r="H25" i="15"/>
  <c r="I25" i="15" s="1"/>
  <c r="G25" i="15"/>
  <c r="E25" i="15" s="1"/>
  <c r="D25" i="15"/>
  <c r="D12" i="15"/>
  <c r="H11" i="15"/>
  <c r="I11" i="15" s="1"/>
  <c r="D10" i="15"/>
  <c r="E7" i="6"/>
  <c r="F7" i="6" l="1"/>
  <c r="G10" i="15"/>
  <c r="E10" i="15" s="1"/>
  <c r="G12" i="15"/>
  <c r="E12" i="15" s="1"/>
  <c r="G11" i="15"/>
  <c r="E11" i="15" s="1"/>
  <c r="I28" i="15"/>
  <c r="G28" i="15"/>
  <c r="H28" i="15"/>
  <c r="D11" i="15"/>
  <c r="D13" i="15" s="1"/>
  <c r="D28" i="15"/>
  <c r="E26" i="15"/>
  <c r="E28" i="15" s="1"/>
  <c r="H10" i="15"/>
  <c r="H12" i="15"/>
  <c r="I12" i="15" s="1"/>
  <c r="E6" i="6"/>
  <c r="F6" i="6" l="1"/>
  <c r="E13" i="15"/>
  <c r="G13" i="15"/>
  <c r="H13" i="15"/>
  <c r="I10" i="15"/>
  <c r="I13" i="15" s="1"/>
  <c r="E74" i="5"/>
  <c r="E73" i="5"/>
  <c r="E72" i="5"/>
  <c r="F72" i="5" s="1"/>
  <c r="E71" i="5"/>
  <c r="F71" i="5" s="1"/>
  <c r="E69" i="5"/>
  <c r="F69" i="5" s="1"/>
  <c r="E68" i="5"/>
  <c r="F68" i="5" s="1"/>
  <c r="E64" i="5"/>
  <c r="C35" i="6"/>
  <c r="E56" i="5"/>
  <c r="E55" i="5"/>
  <c r="E54" i="5"/>
  <c r="E53" i="5"/>
  <c r="E51" i="5"/>
  <c r="I30" i="6"/>
  <c r="D13" i="11"/>
  <c r="D12" i="11"/>
  <c r="D11" i="11"/>
  <c r="D10" i="11"/>
  <c r="D9" i="11"/>
  <c r="D8" i="11"/>
  <c r="D7" i="11"/>
  <c r="D6" i="11"/>
  <c r="D5" i="11"/>
  <c r="D4" i="11"/>
  <c r="D3" i="11"/>
  <c r="I31" i="6" l="1"/>
  <c r="F51" i="5"/>
  <c r="E3" i="1"/>
  <c r="I29" i="6"/>
  <c r="I28" i="6"/>
  <c r="D31" i="6"/>
  <c r="G6" i="15" l="1"/>
  <c r="E6" i="15" s="1"/>
  <c r="H20" i="15"/>
  <c r="H19" i="15"/>
  <c r="I19" i="15" s="1"/>
  <c r="H18" i="15"/>
  <c r="I18" i="15" s="1"/>
  <c r="G20" i="15"/>
  <c r="E20" i="15" s="1"/>
  <c r="G19" i="15"/>
  <c r="E19" i="15" s="1"/>
  <c r="G18" i="15"/>
  <c r="E18" i="15" s="1"/>
  <c r="D20" i="15"/>
  <c r="D19" i="15"/>
  <c r="D18" i="15"/>
  <c r="D4" i="15"/>
  <c r="I20" i="15"/>
  <c r="I21" i="15" l="1"/>
  <c r="E21" i="15"/>
  <c r="D21" i="15"/>
  <c r="H4" i="15"/>
  <c r="I4" i="15" s="1"/>
  <c r="H21" i="15"/>
  <c r="G21" i="15"/>
  <c r="H6" i="15"/>
  <c r="I6" i="15" s="1"/>
  <c r="G4" i="15"/>
  <c r="H5" i="15"/>
  <c r="I5" i="15" s="1"/>
  <c r="G5" i="15"/>
  <c r="E5" i="15" s="1"/>
  <c r="D6" i="15"/>
  <c r="D5" i="15"/>
  <c r="J8" i="1"/>
  <c r="J7" i="1"/>
  <c r="J6" i="1"/>
  <c r="I4" i="1"/>
  <c r="H12" i="1"/>
  <c r="H11" i="1"/>
  <c r="H10" i="1"/>
  <c r="H9" i="1"/>
  <c r="H3" i="1"/>
  <c r="C2" i="13"/>
  <c r="D3" i="1" s="1"/>
  <c r="B69" i="5"/>
  <c r="B68" i="5"/>
  <c r="D7" i="15" l="1"/>
  <c r="I7" i="15"/>
  <c r="H7" i="15"/>
  <c r="E4" i="15"/>
  <c r="E7" i="15" s="1"/>
  <c r="G7" i="15"/>
  <c r="C58" i="5"/>
  <c r="C68" i="5"/>
  <c r="B63" i="5"/>
  <c r="C63" i="5" s="1"/>
  <c r="B62" i="5"/>
  <c r="C62" i="5" s="1"/>
  <c r="C61" i="5"/>
  <c r="B60" i="5"/>
  <c r="C60" i="5" s="1"/>
  <c r="C69" i="5"/>
  <c r="B59" i="5"/>
  <c r="C59" i="5" s="1"/>
  <c r="B52" i="5"/>
  <c r="C52" i="5" s="1"/>
  <c r="B51" i="5"/>
  <c r="C51" i="5" s="1"/>
  <c r="B50" i="5"/>
  <c r="C50" i="5" s="1"/>
  <c r="B48" i="5"/>
  <c r="C48" i="5" s="1"/>
  <c r="D17" i="1"/>
  <c r="F17" i="1" s="1"/>
  <c r="D16" i="1"/>
  <c r="F16" i="1" s="1"/>
  <c r="D15" i="1"/>
  <c r="F15" i="1" s="1"/>
  <c r="D14" i="1"/>
  <c r="F14" i="1" s="1"/>
  <c r="E12" i="11"/>
  <c r="E11" i="11"/>
  <c r="E10" i="11"/>
  <c r="E9" i="11"/>
  <c r="E8" i="11"/>
  <c r="E7" i="11"/>
  <c r="E6" i="11"/>
  <c r="E13" i="11"/>
  <c r="D13" i="1"/>
  <c r="F13" i="1" s="1"/>
  <c r="E5" i="11"/>
  <c r="E4" i="11"/>
  <c r="E3" i="1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J13" i="11"/>
  <c r="K13" i="11" s="1"/>
  <c r="F13" i="11"/>
  <c r="L14" i="11"/>
  <c r="M14" i="11" s="1"/>
  <c r="K14" i="11"/>
  <c r="H14" i="11"/>
  <c r="I14" i="11" s="1"/>
  <c r="G13" i="11" l="1"/>
  <c r="B49" i="5"/>
  <c r="C49" i="5" s="1"/>
  <c r="H13" i="11"/>
  <c r="I13" i="11" s="1"/>
  <c r="L13" i="11"/>
  <c r="M13" i="11" s="1"/>
  <c r="G14" i="11"/>
  <c r="N3" i="1"/>
  <c r="O3" i="1"/>
  <c r="J12" i="11"/>
  <c r="J11" i="11"/>
  <c r="J10" i="11"/>
  <c r="J9" i="11"/>
  <c r="J8" i="11"/>
  <c r="J7" i="11"/>
  <c r="J6" i="11"/>
  <c r="K6" i="11" s="1"/>
  <c r="F12" i="11"/>
  <c r="F11" i="11"/>
  <c r="F10" i="11"/>
  <c r="F9" i="11"/>
  <c r="F8" i="11"/>
  <c r="F7" i="11"/>
  <c r="G7" i="11" s="1"/>
  <c r="F6" i="11"/>
  <c r="J5" i="11"/>
  <c r="J4" i="11"/>
  <c r="F5" i="11"/>
  <c r="F4" i="11"/>
  <c r="F3" i="11"/>
  <c r="J3" i="11"/>
  <c r="M17" i="1"/>
  <c r="M16" i="1"/>
  <c r="M15" i="1"/>
  <c r="M14" i="1"/>
  <c r="O14" i="1" s="1"/>
  <c r="P14" i="1" s="1"/>
  <c r="M13" i="1"/>
  <c r="M12" i="1"/>
  <c r="M11" i="1"/>
  <c r="M10" i="1"/>
  <c r="M9" i="1"/>
  <c r="M8" i="1"/>
  <c r="M7" i="1"/>
  <c r="M6" i="1"/>
  <c r="M5" i="1"/>
  <c r="M4" i="1"/>
  <c r="E17" i="1"/>
  <c r="E16" i="1"/>
  <c r="E15" i="1"/>
  <c r="E14" i="1"/>
  <c r="E13" i="1"/>
  <c r="G13" i="1" s="1"/>
  <c r="L13" i="1" s="1"/>
  <c r="E12" i="1"/>
  <c r="E11" i="1"/>
  <c r="E10" i="1"/>
  <c r="E9" i="1"/>
  <c r="E8" i="1"/>
  <c r="E7" i="1"/>
  <c r="E6" i="1"/>
  <c r="E5" i="1"/>
  <c r="E4" i="1"/>
  <c r="F3" i="1"/>
  <c r="F18" i="1" s="1"/>
  <c r="P3" i="1" l="1"/>
  <c r="K3" i="1"/>
  <c r="G9" i="11"/>
  <c r="H3" i="11"/>
  <c r="I3" i="11" s="1"/>
  <c r="H10" i="11"/>
  <c r="I10" i="11" s="1"/>
  <c r="H4" i="11"/>
  <c r="I4" i="11" s="1"/>
  <c r="H9" i="11"/>
  <c r="I9" i="11" s="1"/>
  <c r="G12" i="11"/>
  <c r="H7" i="11"/>
  <c r="G6" i="11"/>
  <c r="G11" i="11"/>
  <c r="H5" i="11"/>
  <c r="I5" i="11" s="1"/>
  <c r="G10" i="11"/>
  <c r="G5" i="11"/>
  <c r="H12" i="11"/>
  <c r="I12" i="11" s="1"/>
  <c r="H11" i="11"/>
  <c r="I11" i="11" s="1"/>
  <c r="G3" i="11"/>
  <c r="G4" i="11"/>
  <c r="H6" i="11"/>
  <c r="I6" i="11" s="1"/>
  <c r="L12" i="11"/>
  <c r="M12" i="11" s="1"/>
  <c r="K12" i="11"/>
  <c r="L11" i="11"/>
  <c r="M11" i="11" s="1"/>
  <c r="K11" i="11"/>
  <c r="L10" i="11"/>
  <c r="M10" i="11" s="1"/>
  <c r="K10" i="11"/>
  <c r="L9" i="11"/>
  <c r="M9" i="11" s="1"/>
  <c r="K9" i="11"/>
  <c r="L8" i="11"/>
  <c r="M8" i="11" s="1"/>
  <c r="K8" i="11"/>
  <c r="H8" i="11"/>
  <c r="I8" i="11" s="1"/>
  <c r="G8" i="11"/>
  <c r="L7" i="11"/>
  <c r="K7" i="11"/>
  <c r="L6" i="11"/>
  <c r="M6" i="11" s="1"/>
  <c r="L5" i="11"/>
  <c r="M5" i="11" s="1"/>
  <c r="K5" i="11"/>
  <c r="L4" i="11"/>
  <c r="M4" i="11" s="1"/>
  <c r="K4" i="11"/>
  <c r="L3" i="11"/>
  <c r="M3" i="11" s="1"/>
  <c r="K3" i="11"/>
  <c r="G15" i="11" l="1"/>
  <c r="K15" i="11"/>
  <c r="I7" i="11"/>
  <c r="I15" i="11" s="1"/>
  <c r="H15" i="11"/>
  <c r="M7" i="11"/>
  <c r="M15" i="11" s="1"/>
  <c r="L15" i="11"/>
  <c r="I2" i="5"/>
  <c r="A2" i="5"/>
  <c r="G14" i="1"/>
  <c r="L14" i="1" s="1"/>
  <c r="O17" i="1"/>
  <c r="P17" i="1" s="1"/>
  <c r="N17" i="1"/>
  <c r="G17" i="1"/>
  <c r="L17" i="1" s="1"/>
  <c r="N14" i="1" l="1"/>
  <c r="N13" i="1"/>
  <c r="G16" i="1"/>
  <c r="L16" i="1" s="1"/>
  <c r="O16" i="1"/>
  <c r="P16" i="1" s="1"/>
  <c r="N16" i="1"/>
  <c r="O12" i="1"/>
  <c r="P12" i="1" s="1"/>
  <c r="N12" i="1"/>
  <c r="O11" i="1"/>
  <c r="P11" i="1" s="1"/>
  <c r="N11" i="1"/>
  <c r="O10" i="1"/>
  <c r="P10" i="1" s="1"/>
  <c r="N10" i="1"/>
  <c r="O9" i="1"/>
  <c r="P9" i="1" s="1"/>
  <c r="N9" i="1"/>
  <c r="O13" i="1"/>
  <c r="P13" i="1" s="1"/>
  <c r="O8" i="1"/>
  <c r="P8" i="1" s="1"/>
  <c r="N8" i="1"/>
  <c r="K8" i="1" s="1"/>
  <c r="O7" i="1"/>
  <c r="P7" i="1" s="1"/>
  <c r="N7" i="1"/>
  <c r="K7" i="1" s="1"/>
  <c r="O6" i="1"/>
  <c r="P6" i="1" s="1"/>
  <c r="N6" i="1"/>
  <c r="K6" i="1" s="1"/>
  <c r="O5" i="1"/>
  <c r="P5" i="1" s="1"/>
  <c r="N5" i="1"/>
  <c r="K5" i="1" s="1"/>
  <c r="O4" i="1"/>
  <c r="N4" i="1"/>
  <c r="O15" i="1"/>
  <c r="P15" i="1" s="1"/>
  <c r="N15" i="1"/>
  <c r="K4" i="1" l="1"/>
  <c r="K18" i="1" s="1"/>
  <c r="N18" i="1"/>
  <c r="P4" i="1"/>
  <c r="P18" i="1" s="1"/>
  <c r="O18" i="1"/>
  <c r="I18" i="1"/>
  <c r="J18" i="1"/>
  <c r="H18" i="1"/>
  <c r="G5" i="1"/>
  <c r="L5" i="1" s="1"/>
  <c r="G15" i="1" l="1"/>
  <c r="L15" i="1" s="1"/>
  <c r="G12" i="1" l="1"/>
  <c r="L12" i="1" s="1"/>
  <c r="G11" i="1"/>
  <c r="L11" i="1" s="1"/>
  <c r="G10" i="1"/>
  <c r="L10" i="1" s="1"/>
  <c r="G9" i="1"/>
  <c r="L9" i="1" s="1"/>
  <c r="G8" i="1"/>
  <c r="L8" i="1" s="1"/>
  <c r="G7" i="1"/>
  <c r="L7" i="1" s="1"/>
  <c r="G6" i="1"/>
  <c r="L6" i="1" s="1"/>
  <c r="G4" i="1"/>
  <c r="L4" i="1" s="1"/>
  <c r="G3" i="1"/>
  <c r="G18" i="1" l="1"/>
  <c r="L3" i="1"/>
  <c r="L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Vitello, Sophia (ENE)</author>
    <author>murrutia</author>
  </authors>
  <commentList>
    <comment ref="C4" authorId="0" shapeId="0" xr:uid="{45E2216E-188A-4F3A-875A-5F42FBE3880E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C12" authorId="0" shapeId="0" xr:uid="{57285C74-FA32-41A2-9126-EDD823441A3A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B23" authorId="0" shapeId="0" xr:uid="{FCF0EFE4-BB98-453A-B6D5-D4A7714DF169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B27" authorId="0" shapeId="0" xr:uid="{194EB3D2-EF04-48D7-8C99-C6A285682693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G27" authorId="0" shapeId="0" xr:uid="{D3C0CD14-CE3B-48A8-9384-61BC186FDBE3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A28" authorId="1" shapeId="0" xr:uid="{00000000-0006-0000-0100-000001000000}">
      <text>
        <r>
          <rPr>
            <sz val="9"/>
            <color indexed="81"/>
            <rFont val="Tahoma"/>
            <family val="2"/>
          </rPr>
          <t>Based on FY22 grid electricity emissions factors</t>
        </r>
      </text>
    </comment>
    <comment ref="A29" authorId="1" shapeId="0" xr:uid="{00000000-0006-0000-0100-000002000000}">
      <text>
        <r>
          <rPr>
            <sz val="9"/>
            <color indexed="81"/>
            <rFont val="Tahoma"/>
            <family val="2"/>
          </rPr>
          <t>Based on FY22 grid electricity emissions factors</t>
        </r>
      </text>
    </comment>
    <comment ref="A30" authorId="1" shapeId="0" xr:uid="{00000000-0006-0000-0100-000003000000}">
      <text>
        <r>
          <rPr>
            <sz val="9"/>
            <color indexed="81"/>
            <rFont val="Tahoma"/>
            <family val="2"/>
          </rPr>
          <t>Based on FY22 grid electricity emissions factors</t>
        </r>
      </text>
    </comment>
    <comment ref="B34" authorId="0" shapeId="0" xr:uid="{A4764271-8FD3-49AC-8F1F-06A89250269D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B39" authorId="0" shapeId="0" xr:uid="{9716E8A8-AF95-43F8-B63E-464EAD35F512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murrutia</author>
    <author>Vitello, Sophia (ENE)</author>
  </authors>
  <commentList>
    <comment ref="C2" authorId="0" shapeId="0" xr:uid="{00000000-0006-0000-0300-000001000000}">
      <text>
        <r>
          <rPr>
            <sz val="9"/>
            <color rgb="FF000000"/>
            <rFont val="Tahoma"/>
            <family val="2"/>
          </rPr>
          <t>Insert number here</t>
        </r>
      </text>
    </comment>
    <comment ref="H2" authorId="1" shapeId="0" xr:uid="{66C9DAFD-4780-4F72-B384-27A4F13A4CDB}">
      <text>
        <r>
          <rPr>
            <sz val="9"/>
            <color indexed="81"/>
            <rFont val="Tahoma"/>
            <family val="2"/>
          </rPr>
          <t>Columns will be grayed out &amp; left blank when not applicable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murrutia</author>
  </authors>
  <commentList>
    <comment ref="C2" authorId="0" shapeId="0" xr:uid="{00000000-0006-0000-0400-000001000000}">
      <text>
        <r>
          <rPr>
            <sz val="9"/>
            <color indexed="81"/>
            <rFont val="Tahoma"/>
            <family val="2"/>
          </rPr>
          <t>Insert number here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Vitello, Sophia (ENE)</author>
  </authors>
  <commentList>
    <comment ref="G2" authorId="0" shapeId="0" xr:uid="{C2EC696E-881D-4B2B-B52B-BD63FF672E3A}">
      <text>
        <r>
          <rPr>
            <sz val="12"/>
            <color indexed="81"/>
            <rFont val="Tahoma"/>
            <family val="2"/>
          </rPr>
          <t>Clolumns will be grayed out &amp; left blank when not applicable</t>
        </r>
      </text>
    </comment>
    <comment ref="B65" authorId="0" shapeId="0" xr:uid="{44BA9252-0CE5-4C11-B902-27F81BACA00C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C65" authorId="0" shapeId="0" xr:uid="{C115D073-1170-4FA6-9636-3E2BDEB983AD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D65" authorId="0" shapeId="0" xr:uid="{5B42DA1B-80BE-4F4F-BAB2-8AE5948D5207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E65" authorId="0" shapeId="0" xr:uid="{D4A2D5A2-1023-485F-8D72-8DAA29571B88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B66" authorId="0" shapeId="0" xr:uid="{70E0E654-431D-4F24-A26E-47D2D5D9FD1A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C66" authorId="0" shapeId="0" xr:uid="{3E321B8B-C065-40C6-B53B-BC4CFA404555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D66" authorId="0" shapeId="0" xr:uid="{935B8042-954F-4EBD-83AF-039A6DAEC285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E66" authorId="0" shapeId="0" xr:uid="{98BFDDD2-2989-49E3-B547-195CFE4C8B28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B67" authorId="0" shapeId="0" xr:uid="{0D9B8174-D690-4B7B-B221-9E588840C18A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C67" authorId="0" shapeId="0" xr:uid="{C4EEF795-CA81-412C-A321-525CDDCFCAB4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D67" authorId="0" shapeId="0" xr:uid="{D236FB7D-4F62-4D24-95EB-34F6C7150E9C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E67" authorId="0" shapeId="0" xr:uid="{1E4988E0-FC63-4DCF-AB3E-9CB0F08ED39F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I68" authorId="0" shapeId="0" xr:uid="{FD50F2CA-1E19-4296-939E-6180F1910FD9}">
      <text>
        <r>
          <rPr>
            <sz val="9"/>
            <color indexed="81"/>
            <rFont val="Tahoma"/>
            <family val="2"/>
          </rPr>
          <t>Conversion based on diesel gallon equivalent (DGE) value</t>
        </r>
      </text>
    </comment>
  </commentList>
</comments>
</file>

<file path=xl/sharedStrings.xml><?xml version="1.0" encoding="utf-8"?>
<sst xmlns="http://schemas.openxmlformats.org/spreadsheetml/2006/main" count="733" uniqueCount="331">
  <si>
    <t>For Quick Calculations</t>
  </si>
  <si>
    <t>For detailed calculations:</t>
  </si>
  <si>
    <t>For information regarding reference sources and factors, please use the "Reference" tab.</t>
  </si>
  <si>
    <t>RENEWABLE ENERGY CONVERSIONS</t>
  </si>
  <si>
    <t>Note:  Calculations may vary slightly between fiscal years and calendar years.  Please select calculations for the correct timeframe.</t>
  </si>
  <si>
    <t>FISCAL YEAR</t>
  </si>
  <si>
    <t>Technology</t>
  </si>
  <si>
    <t>Capacity Factor</t>
  </si>
  <si>
    <t>Enter Installed (MW)</t>
  </si>
  <si>
    <t>Number of MA homes this could power by electricity</t>
  </si>
  <si>
    <t>Estimated generation (kWh)</t>
  </si>
  <si>
    <t>Equivalent cars off the road</t>
  </si>
  <si>
    <t>Solar</t>
  </si>
  <si>
    <t xml:space="preserve">Land-based Wind </t>
  </si>
  <si>
    <t xml:space="preserve">Off-shore Wind </t>
  </si>
  <si>
    <t>Hydro</t>
  </si>
  <si>
    <t>Anaerobic Digestion</t>
  </si>
  <si>
    <t>CALENDAR YEAR</t>
  </si>
  <si>
    <t>ENERGY EFFICIENCY CONVERSIONS</t>
  </si>
  <si>
    <t>Powering &amp; Homes</t>
  </si>
  <si>
    <t>Total Fuel Usage (MMBTU)</t>
  </si>
  <si>
    <t>Number of MA homes powered AND heated</t>
  </si>
  <si>
    <t>Total Energy (MMBtu)</t>
  </si>
  <si>
    <t>Powering Homes</t>
  </si>
  <si>
    <t>Heating Homes</t>
  </si>
  <si>
    <t>Electricity Energy Units</t>
  </si>
  <si>
    <t>Energy Units</t>
  </si>
  <si>
    <t>Number of MA homes this could heat by fuel</t>
  </si>
  <si>
    <t>Kilowatt hours</t>
  </si>
  <si>
    <t>Natural Gas (Therms)</t>
  </si>
  <si>
    <t>Megawatt hours</t>
  </si>
  <si>
    <t>Natural Gas (MMBTU)</t>
  </si>
  <si>
    <t>Gigawatt hours</t>
  </si>
  <si>
    <t>Heating Fuels (Gallons)</t>
  </si>
  <si>
    <t>Electricity (MMBTU)</t>
  </si>
  <si>
    <t>Heating Fuels (MMBTU)</t>
  </si>
  <si>
    <t>Cars off the Road</t>
  </si>
  <si>
    <t>Gasoline (gallons)</t>
  </si>
  <si>
    <t>GHG</t>
  </si>
  <si>
    <t>Greenhouse Gas (CO2e)</t>
  </si>
  <si>
    <t>Equivalent Cars off the road</t>
  </si>
  <si>
    <t>Metric Tons</t>
  </si>
  <si>
    <t>Short Tons</t>
  </si>
  <si>
    <t>Building Fuel Calculations</t>
  </si>
  <si>
    <t>GHG Emissions*</t>
  </si>
  <si>
    <t>Equivalencies</t>
  </si>
  <si>
    <t>kBtu Conversions</t>
  </si>
  <si>
    <t>Select Year (CY or FY)</t>
  </si>
  <si>
    <t>Fuel</t>
  </si>
  <si>
    <t>Enter Fuel Amount (Native units)</t>
  </si>
  <si>
    <t>GHG Emissions Factor (lbs CO2e/unit)</t>
  </si>
  <si>
    <t>GHG Emissions Factor (metric tonnes CO2e/unit)</t>
  </si>
  <si>
    <t>Total GHG Emissions (lbs)</t>
  </si>
  <si>
    <t>Total GHG Emissions (metric tonnes)</t>
  </si>
  <si>
    <t>MA Homes powered by Electricity (kWh)</t>
  </si>
  <si>
    <t>MA Homes heated by Natural Gas (therms)</t>
  </si>
  <si>
    <t>MA Homes heated by Oil (gallons)</t>
  </si>
  <si>
    <t>MA Homes total energy use</t>
  </si>
  <si>
    <t>Passenger Vehicles equivalent to GHG Emissions</t>
  </si>
  <si>
    <t>kBtu Conversion Factor</t>
  </si>
  <si>
    <t>Total MMBtu:</t>
  </si>
  <si>
    <t>Total kBtu:</t>
  </si>
  <si>
    <t>Total Btu:</t>
  </si>
  <si>
    <t>FY_2022</t>
  </si>
  <si>
    <t>Grid Electricity (kWh)</t>
  </si>
  <si>
    <t>all</t>
  </si>
  <si>
    <t>Natural Gas (therms)</t>
  </si>
  <si>
    <t>Natural Gas (CCF)</t>
  </si>
  <si>
    <t>Oil #2/ Diesel for Buildings (gallons)</t>
  </si>
  <si>
    <t>Oil #4 (gallons)</t>
  </si>
  <si>
    <t>Oil #6 (gallons)</t>
  </si>
  <si>
    <t>On-Site Co-Gen Electricity (kWh)</t>
  </si>
  <si>
    <t>On-Site Hydro (kWh)</t>
  </si>
  <si>
    <t>On-Site Solar PV Electricity (kWh)</t>
  </si>
  <si>
    <t>On-Site Wind Electricity (kWh)</t>
  </si>
  <si>
    <t>Propane (gallons)</t>
  </si>
  <si>
    <t>Purchased Steam (mlbs)</t>
  </si>
  <si>
    <t>Coal (tons)</t>
  </si>
  <si>
    <t>Wood Pellets (tons)</t>
  </si>
  <si>
    <t>Cord Wood (chord)</t>
  </si>
  <si>
    <t>Totals:</t>
  </si>
  <si>
    <t>* GHG Emissions refer to CO2 equivalents (CO2e).  CO2e emissions include emissions from CO2 and other greenhouse gases.</t>
  </si>
  <si>
    <t>Renewable Energy Calculations</t>
  </si>
  <si>
    <t>Renewable Capacity</t>
  </si>
  <si>
    <t>RE Source</t>
  </si>
  <si>
    <t>Enter corresponding: Capacity (MW)</t>
  </si>
  <si>
    <t>Predicted Generation (kWh)</t>
  </si>
  <si>
    <t>Solar installed (MW)</t>
  </si>
  <si>
    <t>Land-based Wind installed (MW)</t>
  </si>
  <si>
    <t>Off-shore Wind installed (MW)</t>
  </si>
  <si>
    <t>Enter corresponding: Capacity (kW)</t>
  </si>
  <si>
    <t>Solar installed (kW)</t>
  </si>
  <si>
    <t>Land-based Wind installed (kW)</t>
  </si>
  <si>
    <t>Off-shore Wind installed (kW)</t>
  </si>
  <si>
    <t>Renewable Generation</t>
  </si>
  <si>
    <t>Enter corresponding: Generation (kWh)</t>
  </si>
  <si>
    <t>Predicted Capacity (MW)</t>
  </si>
  <si>
    <t>Solar installed (kWh)</t>
  </si>
  <si>
    <t>Land-based Wind installed (kWh)</t>
  </si>
  <si>
    <t>Off-shore Wind installed (kWh)</t>
  </si>
  <si>
    <t>Predicted Capacity (kW)</t>
  </si>
  <si>
    <t>Vehicle Fuel Calculations</t>
  </si>
  <si>
    <t>% added to CO2 emissions to account for total GHG emissions from other greenhouse gases</t>
  </si>
  <si>
    <t>Diesel Vehicles (gallons)</t>
  </si>
  <si>
    <t>E-85, Ethanol-85 (gallons)</t>
  </si>
  <si>
    <t>Jet Fuel (gallons)</t>
  </si>
  <si>
    <t>Used Vegetable Oil</t>
  </si>
  <si>
    <t>Biodiesel (B100) (gallons)</t>
  </si>
  <si>
    <t>Biodiesel (B20) (gallons)</t>
  </si>
  <si>
    <t>Biodiesel (B5) (gallons)</t>
  </si>
  <si>
    <t>CNG (gallons)</t>
  </si>
  <si>
    <t>LNG (gallons)</t>
  </si>
  <si>
    <t>Electric Vehicle (kWh)</t>
  </si>
  <si>
    <t>GHG Emissions Conversions</t>
  </si>
  <si>
    <t>Reference for GHG emissions</t>
  </si>
  <si>
    <t>Reference for CO2 emissions</t>
  </si>
  <si>
    <t>Reference for kBtu conversion</t>
  </si>
  <si>
    <t>Grid Electricity CY2001</t>
  </si>
  <si>
    <t>MassDEP factor calculated CO2e</t>
  </si>
  <si>
    <t>MA-based combo from MassDEP based on GHG inventory</t>
  </si>
  <si>
    <t>http://www.eia.gov/totalenergy/data/annual/pdf/sec12.pdf</t>
  </si>
  <si>
    <t>Grid Electricity CY2002</t>
  </si>
  <si>
    <t>Grid Electricity CY2003</t>
  </si>
  <si>
    <t>Grid Electricity CY2004</t>
  </si>
  <si>
    <t>Grid Electricity CY2005</t>
  </si>
  <si>
    <t>Grid Electricity CY2006</t>
  </si>
  <si>
    <t>Grid Electricity CY2007</t>
  </si>
  <si>
    <t>Grid Electricity CY2008</t>
  </si>
  <si>
    <t>Grid Electricity CY2009</t>
  </si>
  <si>
    <t>Grid Electricity CY2010</t>
  </si>
  <si>
    <t>Grid Electricity CY2011</t>
  </si>
  <si>
    <t>Grid Electricity CY2012</t>
  </si>
  <si>
    <t>Grid Electricity CY2013</t>
  </si>
  <si>
    <t>Grid Electricity CY2014</t>
  </si>
  <si>
    <t>Grid Electricity CY2015</t>
  </si>
  <si>
    <t>Grid Electricity CY2016</t>
  </si>
  <si>
    <t>Grid Electricity CY2017</t>
  </si>
  <si>
    <t>Grid Electricity CY2018</t>
  </si>
  <si>
    <t>Grid Electricity CY2019</t>
  </si>
  <si>
    <t>Grid Electricity CY2020</t>
  </si>
  <si>
    <t>Grid Electricity CY2021</t>
  </si>
  <si>
    <t>Grid Electricity CY2022</t>
  </si>
  <si>
    <t>Grid Electricity FY2002</t>
  </si>
  <si>
    <t>Grid Electricity FY2003</t>
  </si>
  <si>
    <t>Grid Electricity FY2004</t>
  </si>
  <si>
    <t>Grid Electricity FY2005</t>
  </si>
  <si>
    <t>Grid Electricity FY2006</t>
  </si>
  <si>
    <t>Grid Electricity FY2007</t>
  </si>
  <si>
    <t>Grid Electricity FY2008</t>
  </si>
  <si>
    <t>Grid Electricity FY2009</t>
  </si>
  <si>
    <t>Grid Electricity FY2010</t>
  </si>
  <si>
    <t>Grid Electricity FY2011</t>
  </si>
  <si>
    <t>Grid Electricity FY2012</t>
  </si>
  <si>
    <t>Grid Electricity FY2013</t>
  </si>
  <si>
    <t>Grid Electricity FY2014</t>
  </si>
  <si>
    <t>Grid Electricity FY2015</t>
  </si>
  <si>
    <t>Grid Electricity FY2016</t>
  </si>
  <si>
    <t>Grid Electricity FY2017</t>
  </si>
  <si>
    <t>Grid Electricity FY2018</t>
  </si>
  <si>
    <t>Grid Electricity FY2019</t>
  </si>
  <si>
    <t>Grid Electricity FY2020</t>
  </si>
  <si>
    <t>Grid Electricity FY2021</t>
  </si>
  <si>
    <t>Grid Electricity FY2022</t>
  </si>
  <si>
    <t>http://www.eia.gov/tools/faqs/faq.cfm?id=45&amp;t=8</t>
  </si>
  <si>
    <t>On-Site CHP Electricity (kWh)</t>
  </si>
  <si>
    <t>Electric Vehicles (kWh)</t>
  </si>
  <si>
    <t>based on CO2 number, followed guidance from Sharon Webber (DEP) on non-CO2 emissions based on mobile sector of MA GHG emissions total</t>
  </si>
  <si>
    <t>Propane (gallons) Vehicles</t>
  </si>
  <si>
    <t>Calculated based on B100+diesel, did not round to give Bio credit</t>
  </si>
  <si>
    <t>LPG (gallons)</t>
  </si>
  <si>
    <t>EPA only calculated CO2e for district steam</t>
  </si>
  <si>
    <t>based on average of Boston &amp; Cambridge calculated data</t>
  </si>
  <si>
    <t>https://www.energystar.gov/ia/business/tools_resources/target_finder/help/Energy_Units_Conversion_Table.htm</t>
  </si>
  <si>
    <t>based upon guidance from Dwayne Breger &amp; Rob Rizzo</t>
  </si>
  <si>
    <t>Kerosene (gallons) Vehicles</t>
  </si>
  <si>
    <r>
      <rPr>
        <b/>
        <sz val="11"/>
        <color theme="1"/>
        <rFont val="Calibri"/>
        <family val="2"/>
        <scheme val="minor"/>
      </rPr>
      <t>How to calculate Energy Use Intensity (EUI) for a building/s:</t>
    </r>
    <r>
      <rPr>
        <sz val="11"/>
        <color theme="1"/>
        <rFont val="Calibri"/>
        <family val="2"/>
        <scheme val="minor"/>
      </rPr>
      <t xml:space="preserve"> add up all kBtu totals for all building/s energy consumption and divide by the building or site square footage.</t>
    </r>
  </si>
  <si>
    <t>Energy Efficiency Equivalencies</t>
  </si>
  <si>
    <t>Equivalency Factor (divide by factor)</t>
  </si>
  <si>
    <t>MA Homes powered by Electricity per year (kWh) 2022</t>
  </si>
  <si>
    <t xml:space="preserve">2022 Customer Choice Report </t>
  </si>
  <si>
    <t>2022/2023 Winter Heating Report</t>
  </si>
  <si>
    <t>MA Homes heated by Natural Gas per year (therms) 2022</t>
  </si>
  <si>
    <t>MA Homes heated by Oil per year (gallons) 2022</t>
  </si>
  <si>
    <t>MA Homes total energy use (MMBtu) 2022</t>
  </si>
  <si>
    <t>EIA 2020 RECS Survey Data</t>
  </si>
  <si>
    <t>U.S. Vehicle GHG emissions per year</t>
  </si>
  <si>
    <t>EPA Tailpipe GHG Emissions Analysis</t>
  </si>
  <si>
    <t>Terms of Art</t>
  </si>
  <si>
    <t>Use:</t>
  </si>
  <si>
    <t>Instead of:</t>
  </si>
  <si>
    <t>Clean Energy</t>
  </si>
  <si>
    <t>Green</t>
  </si>
  <si>
    <t>Combined Heat and Power (CHP)</t>
  </si>
  <si>
    <t>Co-generation</t>
  </si>
  <si>
    <t>Wind Turbines</t>
  </si>
  <si>
    <t>Windmills</t>
  </si>
  <si>
    <t>Ground Source Heat Pumps (GSHP)</t>
  </si>
  <si>
    <t>Geothermal</t>
  </si>
  <si>
    <t>Massachusetts Homes for electricity and gas equivalences</t>
  </si>
  <si>
    <t xml:space="preserve">National car equivalencies </t>
  </si>
  <si>
    <t>MA Capacity Factors</t>
  </si>
  <si>
    <t>Renewable</t>
  </si>
  <si>
    <t>Factor</t>
  </si>
  <si>
    <t>Reference</t>
  </si>
  <si>
    <t>Solar Capacity</t>
  </si>
  <si>
    <t>DOER Analysis of MassCEC Production Tracking System Data</t>
  </si>
  <si>
    <t>Wind Capacity, land-based</t>
  </si>
  <si>
    <t>NREL 2023 Annual Technology Baseline Median Estimate (Moderate Scenario)</t>
  </si>
  <si>
    <t>Wind Capacity, offshore</t>
  </si>
  <si>
    <t xml:space="preserve">2018 DOE U.S. Hydropower Market Report </t>
  </si>
  <si>
    <t>DOER Analysis of Anaerobic Generation &amp; REC Data</t>
  </si>
  <si>
    <t>Unit</t>
  </si>
  <si>
    <t>Factor (Multiply by factor)</t>
  </si>
  <si>
    <t>Resulting Unit</t>
  </si>
  <si>
    <t>short ton</t>
  </si>
  <si>
    <t>metric ton</t>
  </si>
  <si>
    <t>Megawatt (MW)</t>
  </si>
  <si>
    <t>kilowatts (kW)</t>
  </si>
  <si>
    <t>kilowatt hours (kWh)</t>
  </si>
  <si>
    <t>Gigawatt (GW)</t>
  </si>
  <si>
    <t>therm</t>
  </si>
  <si>
    <t>kBtu</t>
  </si>
  <si>
    <t>Btu</t>
  </si>
  <si>
    <t>MMBtu</t>
  </si>
  <si>
    <t>Petroleum (barrel (bbl))</t>
  </si>
  <si>
    <t>U.S. gallons (gal)</t>
  </si>
  <si>
    <t>Coal (1 short ton)</t>
  </si>
  <si>
    <t>pounds (lb)</t>
  </si>
  <si>
    <t>Coal (1 long ton)</t>
  </si>
  <si>
    <t>Coal (1 metric ton)</t>
  </si>
  <si>
    <t>kilograms (kg)</t>
  </si>
  <si>
    <t>wood (1 cord (cd))</t>
  </si>
  <si>
    <t>short tons</t>
  </si>
  <si>
    <t>cubic feet (ft3)</t>
  </si>
  <si>
    <t>CO2 (1 metric ton)</t>
  </si>
  <si>
    <t>Year</t>
  </si>
  <si>
    <t>% Mobile Emissions</t>
  </si>
  <si>
    <r>
      <t>GHG Emission Factor into GHG</t>
    </r>
    <r>
      <rPr>
        <b/>
        <sz val="8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(lbs)</t>
    </r>
  </si>
  <si>
    <t>Conversion into GHG Metric Tons</t>
  </si>
  <si>
    <t>SELECT YEAR</t>
  </si>
  <si>
    <t>FY_2002</t>
  </si>
  <si>
    <t>FY_2003</t>
  </si>
  <si>
    <t>FY_2004</t>
  </si>
  <si>
    <t>FY_2005</t>
  </si>
  <si>
    <t>FY_2006</t>
  </si>
  <si>
    <t>FY_2007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</si>
  <si>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</si>
  <si>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</si>
  <si>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</si>
  <si>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</si>
  <si>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</si>
  <si>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</si>
  <si>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</si>
  <si>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</si>
  <si>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</si>
  <si>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</si>
  <si>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</si>
  <si>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</si>
  <si>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</si>
  <si>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</si>
  <si>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CY_2001</t>
  </si>
  <si>
    <t>CY_2002</t>
  </si>
  <si>
    <t>CY_2003</t>
  </si>
  <si>
    <t>CY_2004</t>
  </si>
  <si>
    <t>CY_2005</t>
  </si>
  <si>
    <t>CY_2006</t>
  </si>
  <si>
    <t>CY_2007</t>
  </si>
  <si>
    <t>CY_2008</t>
  </si>
  <si>
    <t>CY_2009</t>
  </si>
  <si>
    <t>CY_2010</t>
  </si>
  <si>
    <t>CY_2011</t>
  </si>
  <si>
    <t>CY_2012</t>
  </si>
  <si>
    <t>CY_2013</t>
  </si>
  <si>
    <t>CY_2014</t>
  </si>
  <si>
    <t>CY_2015</t>
  </si>
  <si>
    <t>CY_2016</t>
  </si>
  <si>
    <t>CY_2017</t>
  </si>
  <si>
    <t>CY_2018</t>
  </si>
  <si>
    <t>CY_2019</t>
  </si>
  <si>
    <t>CY_2020</t>
  </si>
  <si>
    <t>CY_2021</t>
  </si>
  <si>
    <t>CY_2022</t>
  </si>
  <si>
    <t>Steam</t>
  </si>
  <si>
    <t xml:space="preserve"> T:\LBE\Agency-Campus Energy-GHG Tracking &amp; Reporting\LBE Database\Account Updates from Agency\Steam</t>
  </si>
  <si>
    <t>https://portfoliomanager.energystar.gov/pdf/reference/Emissions.pdf</t>
  </si>
  <si>
    <t xml:space="preserve">https://portfoliomanager.energystar.gov/pdf/reference/Emissions.pdf </t>
  </si>
  <si>
    <t>https://theclimateregistry.org/wp-content/uploads/2022/11/2022-Default-Emission-Factors-Final.pdf</t>
  </si>
  <si>
    <t>https://www.eia.gov/totalenergy/data/annual/pdf/sec12.pdf</t>
  </si>
  <si>
    <t>https://www.energystar.gov/buildings/tools-and-resources/portfolio-manager-technical-reference-thermal-conversion-factors</t>
  </si>
  <si>
    <t>based on CO2 number, followed guidance from Sharon Webber (MassDEP) on non-CO2 emissions based on mobile sector of MA GHG emissions total</t>
  </si>
  <si>
    <t>https://afdc.energy.gov/fuels/properties?fuels=GS,DS,ELEC,BD,ETH,CNG,LNG,LPG,HY,ME</t>
  </si>
  <si>
    <t>https://www.eia.gov/energyexplained/units-and-calculators/british-thermal-units.php</t>
  </si>
  <si>
    <t>https://www.eia.gov/totalenergy/data/monthly/pdf/mer_b.pdf</t>
  </si>
  <si>
    <t>https://www.eia.gov/energyexplained/units-and-calculators/</t>
  </si>
  <si>
    <t>https://www.epa.gov/sites/default/files/2020-12/documents/mobileemissions.pdf</t>
  </si>
  <si>
    <t>see note</t>
  </si>
  <si>
    <t>Executive Order 594, Section 2 Guideline</t>
  </si>
  <si>
    <t>https://catalog.extension.oregonstate.edu/sites/catalog/files/project/pdf/ec1628.pdf</t>
  </si>
  <si>
    <t>CO2 Emissions Factor (lbs CO2/native unit)</t>
  </si>
  <si>
    <t>CO2 Emissions Factor (metric tonnes CO2/native unit)</t>
  </si>
  <si>
    <t>GHG Emissions Factor (lbs CO2e/native unit)</t>
  </si>
  <si>
    <t>GHG Emissions Factor (Metric Tons CO2e/native unit)</t>
  </si>
  <si>
    <t>GHG Emissions Factor (Metric Tons CO2e/kBtu)</t>
  </si>
  <si>
    <t>-</t>
  </si>
  <si>
    <t>CY_2023</t>
  </si>
  <si>
    <t>FY_2023</t>
  </si>
  <si>
    <t>Grid Electricity FY2023</t>
  </si>
  <si>
    <t>Grid Electricity CY2023</t>
  </si>
  <si>
    <t>calculated based off of 1 CCF = 1.023 therms</t>
  </si>
  <si>
    <t>https://www.epa.gov/climateleadership/ghg-emission-factors-hub</t>
  </si>
  <si>
    <t>Renewable Energy Source</t>
  </si>
  <si>
    <t>Reference to calculate equivalencies</t>
  </si>
  <si>
    <t xml:space="preserve">Enter data into the green cells in this calculator. Outputs will be provided in white cells. </t>
  </si>
  <si>
    <t>Grey cells are default values or are not applicable.</t>
  </si>
  <si>
    <t xml:space="preserve">For simple calculations regarding social math, renewables and energy efficiency calculations, </t>
  </si>
  <si>
    <t>please use "Quick Calculations" tab.</t>
  </si>
  <si>
    <t xml:space="preserve">If you are doing calculations for buildings and building fuels regarding GHG emissions, </t>
  </si>
  <si>
    <t>kBtu usage, or energy efficiency, use the "Buildings" tab.</t>
  </si>
  <si>
    <t xml:space="preserve">If you are doing calculations for vehicles and mobile fuels regarding GHG emissions, </t>
  </si>
  <si>
    <t>kBtu usage, or energy efficiency, use the "Vehicles" tab.</t>
  </si>
  <si>
    <t xml:space="preserve">If you are doing calculations for renewable energy regarding kBtu usage </t>
  </si>
  <si>
    <t>or energy efficiency, use the "Renewable Energy" tab.</t>
  </si>
  <si>
    <t xml:space="preserve">If you have further questions, please contact:
</t>
  </si>
  <si>
    <t>sophia.vitello@mass.gov</t>
  </si>
  <si>
    <t>Sophia Vitello, Program Analyst, Leading By Example, (617) 626-7353</t>
  </si>
  <si>
    <t>CY_2024</t>
  </si>
  <si>
    <t>CY_2025</t>
  </si>
  <si>
    <t>CY_2026</t>
  </si>
  <si>
    <t>FY_2024</t>
  </si>
  <si>
    <t>FY_2025</t>
  </si>
  <si>
    <t>FY_2026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</si>
</sst>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#,##0.000000"/>
    <numFmt numFmtId="165" formatCode="_(* #,##0.000_);_(* \(#,##0.000\);_(* &quot;-&quot;??_);_(@_)"/>
    <numFmt numFmtId="166" formatCode="_(* #,##0.0_);_(* \(#,##0.0\);_(* &quot;-&quot;??_);_(@_)"/>
    <numFmt numFmtId="167" formatCode="_(* #,##0.00000000_);_(* \(#,##0.00000000\);_(* &quot;-&quot;??_);_(@_)"/>
    <numFmt numFmtId="168" formatCode="_(* #,##0.000000_);_(* \(#,##0.000000\);_(* &quot;-&quot;??_);_(@_)"/>
    <numFmt numFmtId="169" formatCode="_(* #,##0_);_(* \(#,##0\);_(* &quot;-&quot;??_);_(@_)"/>
    <numFmt numFmtId="170" formatCode="_(* #,##0.00000_);_(* \(#,##0.00000\);_(* &quot;-&quot;??_);_(@_)"/>
    <numFmt numFmtId="171" formatCode="_(* #,##0.000000000_);_(* \(#,##0.000000000\);_(* &quot;-&quot;??_);_(@_)"/>
    <numFmt numFmtId="172" formatCode="_(* #,##0_);_(* \(#,##0\);_(* &quot;-&quot;???_);_(@_)"/>
    <numFmt numFmtId="173" formatCode="#,##0.000"/>
    <numFmt numFmtId="174" formatCode="#,##0.0000000"/>
    <numFmt numFmtId="175" formatCode="0.000"/>
    <numFmt numFmtId="176" formatCode="0.0000000"/>
    <numFmt numFmtId="177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28"/>
      <color indexed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24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ahoma"/>
      <family val="2"/>
    </font>
    <font>
      <sz val="12"/>
      <color rgb="FF000000"/>
      <name val="Calibri"/>
      <family val="2"/>
      <charset val="1"/>
    </font>
    <font>
      <b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51">
    <xf numFmtId="0" fontId="0" fillId="0" borderId="0" xfId="0"/>
    <xf numFmtId="43" fontId="1" fillId="0" borderId="1" xfId="1" applyFont="1" applyBorder="1" applyAlignment="1" applyProtection="1"/>
    <xf numFmtId="0" fontId="6" fillId="2" borderId="1" xfId="2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right"/>
    </xf>
    <xf numFmtId="0" fontId="7" fillId="0" borderId="1" xfId="2" applyFont="1" applyBorder="1"/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165" fontId="1" fillId="0" borderId="0" xfId="0" applyNumberFormat="1" applyFont="1"/>
    <xf numFmtId="0" fontId="0" fillId="0" borderId="0" xfId="0" applyAlignment="1">
      <alignment horizontal="center"/>
    </xf>
    <xf numFmtId="167" fontId="0" fillId="0" borderId="0" xfId="0" applyNumberFormat="1"/>
    <xf numFmtId="43" fontId="0" fillId="0" borderId="0" xfId="0" applyNumberFormat="1"/>
    <xf numFmtId="43" fontId="1" fillId="8" borderId="0" xfId="1" applyFont="1" applyFill="1" applyBorder="1" applyAlignment="1" applyProtection="1"/>
    <xf numFmtId="0" fontId="6" fillId="3" borderId="1" xfId="2" applyFont="1" applyFill="1" applyBorder="1" applyAlignment="1">
      <alignment horizontal="center" vertical="center" wrapText="1"/>
    </xf>
    <xf numFmtId="43" fontId="1" fillId="8" borderId="11" xfId="1" applyFont="1" applyFill="1" applyBorder="1" applyAlignment="1" applyProtection="1"/>
    <xf numFmtId="43" fontId="1" fillId="8" borderId="12" xfId="1" applyFont="1" applyFill="1" applyBorder="1" applyAlignment="1" applyProtection="1"/>
    <xf numFmtId="0" fontId="6" fillId="6" borderId="7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right"/>
    </xf>
    <xf numFmtId="0" fontId="16" fillId="8" borderId="4" xfId="0" applyFont="1" applyFill="1" applyBorder="1"/>
    <xf numFmtId="43" fontId="16" fillId="0" borderId="5" xfId="1" applyFont="1" applyBorder="1" applyAlignment="1" applyProtection="1"/>
    <xf numFmtId="0" fontId="16" fillId="0" borderId="0" xfId="0" applyFont="1"/>
    <xf numFmtId="165" fontId="1" fillId="0" borderId="0" xfId="1" applyNumberFormat="1" applyFont="1" applyAlignment="1" applyProtection="1"/>
    <xf numFmtId="0" fontId="6" fillId="10" borderId="1" xfId="2" applyFont="1" applyFill="1" applyBorder="1" applyAlignment="1">
      <alignment horizontal="center" vertical="center" wrapText="1"/>
    </xf>
    <xf numFmtId="165" fontId="6" fillId="10" borderId="1" xfId="1" applyNumberFormat="1" applyFont="1" applyFill="1" applyBorder="1" applyAlignment="1" applyProtection="1">
      <alignment horizontal="center" vertical="center" wrapText="1"/>
    </xf>
    <xf numFmtId="0" fontId="6" fillId="10" borderId="2" xfId="2" applyFont="1" applyFill="1" applyBorder="1" applyAlignment="1">
      <alignment vertical="center" wrapText="1"/>
    </xf>
    <xf numFmtId="168" fontId="6" fillId="10" borderId="1" xfId="1" applyNumberFormat="1" applyFont="1" applyFill="1" applyBorder="1" applyAlignment="1" applyProtection="1">
      <alignment horizontal="center" vertical="center" wrapText="1"/>
    </xf>
    <xf numFmtId="168" fontId="1" fillId="0" borderId="0" xfId="1" applyNumberFormat="1" applyFont="1" applyFill="1" applyBorder="1" applyAlignment="1" applyProtection="1"/>
    <xf numFmtId="168" fontId="0" fillId="0" borderId="0" xfId="1" applyNumberFormat="1" applyFont="1" applyAlignment="1" applyProtection="1"/>
    <xf numFmtId="168" fontId="1" fillId="0" borderId="0" xfId="1" applyNumberFormat="1" applyFont="1" applyAlignment="1" applyProtection="1"/>
    <xf numFmtId="43" fontId="1" fillId="0" borderId="0" xfId="1" applyFont="1" applyAlignment="1" applyProtection="1"/>
    <xf numFmtId="169" fontId="1" fillId="0" borderId="0" xfId="1" applyNumberFormat="1" applyFont="1" applyAlignment="1" applyProtection="1">
      <alignment horizontal="left"/>
    </xf>
    <xf numFmtId="0" fontId="16" fillId="8" borderId="4" xfId="0" applyFont="1" applyFill="1" applyBorder="1" applyAlignment="1">
      <alignment wrapText="1"/>
    </xf>
    <xf numFmtId="0" fontId="1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3" fontId="16" fillId="0" borderId="6" xfId="1" applyFont="1" applyBorder="1" applyAlignment="1" applyProtection="1"/>
    <xf numFmtId="0" fontId="6" fillId="2" borderId="1" xfId="2" applyFont="1" applyFill="1" applyBorder="1" applyAlignment="1">
      <alignment horizontal="center" vertical="center"/>
    </xf>
    <xf numFmtId="10" fontId="0" fillId="0" borderId="1" xfId="5" applyNumberFormat="1" applyFont="1" applyBorder="1" applyAlignment="1"/>
    <xf numFmtId="10" fontId="17" fillId="0" borderId="1" xfId="5" applyNumberFormat="1" applyFont="1" applyBorder="1" applyAlignment="1"/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7" fillId="0" borderId="1" xfId="1" applyFont="1" applyFill="1" applyBorder="1" applyAlignment="1" applyProtection="1"/>
    <xf numFmtId="43" fontId="0" fillId="0" borderId="0" xfId="1" applyFont="1"/>
    <xf numFmtId="169" fontId="0" fillId="0" borderId="5" xfId="1" applyNumberFormat="1" applyFont="1" applyBorder="1" applyAlignment="1" applyProtection="1"/>
    <xf numFmtId="0" fontId="11" fillId="0" borderId="0" xfId="0" applyFont="1"/>
    <xf numFmtId="0" fontId="16" fillId="8" borderId="1" xfId="0" applyFont="1" applyFill="1" applyBorder="1"/>
    <xf numFmtId="0" fontId="0" fillId="11" borderId="0" xfId="0" applyFill="1"/>
    <xf numFmtId="0" fontId="15" fillId="0" borderId="6" xfId="2" applyFont="1" applyBorder="1" applyAlignment="1">
      <alignment horizontal="right"/>
    </xf>
    <xf numFmtId="0" fontId="16" fillId="8" borderId="12" xfId="0" applyFont="1" applyFill="1" applyBorder="1"/>
    <xf numFmtId="165" fontId="3" fillId="0" borderId="1" xfId="1" applyNumberFormat="1" applyFont="1" applyFill="1" applyBorder="1" applyAlignment="1" applyProtection="1">
      <alignment horizontal="right"/>
    </xf>
    <xf numFmtId="168" fontId="7" fillId="0" borderId="1" xfId="1" applyNumberFormat="1" applyFont="1" applyFill="1" applyBorder="1" applyAlignment="1" applyProtection="1"/>
    <xf numFmtId="0" fontId="0" fillId="8" borderId="1" xfId="0" applyFill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0" borderId="1" xfId="0" applyBorder="1"/>
    <xf numFmtId="170" fontId="7" fillId="0" borderId="1" xfId="1" applyNumberFormat="1" applyFont="1" applyFill="1" applyBorder="1" applyAlignment="1" applyProtection="1">
      <alignment horizontal="right"/>
    </xf>
    <xf numFmtId="170" fontId="7" fillId="0" borderId="1" xfId="1" applyNumberFormat="1" applyFont="1" applyFill="1" applyBorder="1" applyAlignment="1" applyProtection="1"/>
    <xf numFmtId="43" fontId="1" fillId="0" borderId="1" xfId="1" applyFont="1" applyFill="1" applyBorder="1" applyAlignment="1" applyProtection="1"/>
    <xf numFmtId="43" fontId="1" fillId="0" borderId="2" xfId="1" applyFont="1" applyFill="1" applyBorder="1" applyAlignment="1" applyProtection="1"/>
    <xf numFmtId="43" fontId="6" fillId="6" borderId="1" xfId="1" applyFont="1" applyFill="1" applyBorder="1" applyAlignment="1" applyProtection="1">
      <alignment horizontal="center" vertical="center" wrapText="1"/>
    </xf>
    <xf numFmtId="43" fontId="16" fillId="8" borderId="10" xfId="1" applyFont="1" applyFill="1" applyBorder="1" applyAlignment="1" applyProtection="1">
      <alignment horizontal="left"/>
    </xf>
    <xf numFmtId="43" fontId="16" fillId="0" borderId="2" xfId="1" applyFont="1" applyFill="1" applyBorder="1" applyAlignment="1" applyProtection="1"/>
    <xf numFmtId="43" fontId="16" fillId="8" borderId="3" xfId="1" applyFont="1" applyFill="1" applyBorder="1" applyAlignment="1" applyProtection="1">
      <alignment horizontal="left"/>
    </xf>
    <xf numFmtId="10" fontId="17" fillId="9" borderId="1" xfId="5" applyNumberFormat="1" applyFont="1" applyFill="1" applyBorder="1" applyAlignment="1"/>
    <xf numFmtId="171" fontId="7" fillId="0" borderId="1" xfId="1" applyNumberFormat="1" applyFont="1" applyFill="1" applyBorder="1" applyAlignment="1" applyProtection="1"/>
    <xf numFmtId="171" fontId="0" fillId="0" borderId="1" xfId="1" applyNumberFormat="1" applyFont="1" applyBorder="1" applyAlignment="1"/>
    <xf numFmtId="169" fontId="0" fillId="0" borderId="0" xfId="1" applyNumberFormat="1" applyFont="1" applyAlignment="1" applyProtection="1">
      <alignment horizontal="center"/>
    </xf>
    <xf numFmtId="169" fontId="0" fillId="0" borderId="0" xfId="1" applyNumberFormat="1" applyFont="1" applyProtection="1"/>
    <xf numFmtId="169" fontId="0" fillId="0" borderId="1" xfId="1" applyNumberFormat="1" applyFont="1" applyBorder="1" applyAlignment="1" applyProtection="1"/>
    <xf numFmtId="169" fontId="18" fillId="0" borderId="1" xfId="1" applyNumberFormat="1" applyFont="1" applyBorder="1" applyAlignment="1" applyProtection="1"/>
    <xf numFmtId="169" fontId="16" fillId="0" borderId="5" xfId="1" applyNumberFormat="1" applyFont="1" applyBorder="1" applyAlignment="1" applyProtection="1"/>
    <xf numFmtId="169" fontId="0" fillId="0" borderId="1" xfId="1" applyNumberFormat="1" applyFont="1" applyFill="1" applyBorder="1" applyAlignment="1" applyProtection="1">
      <alignment horizontal="center"/>
    </xf>
    <xf numFmtId="169" fontId="15" fillId="0" borderId="1" xfId="1" applyNumberFormat="1" applyFont="1" applyFill="1" applyBorder="1" applyAlignment="1" applyProtection="1">
      <alignment horizontal="right"/>
    </xf>
    <xf numFmtId="169" fontId="15" fillId="8" borderId="1" xfId="1" applyNumberFormat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43" fontId="1" fillId="13" borderId="1" xfId="1" applyFont="1" applyFill="1" applyBorder="1" applyAlignment="1" applyProtection="1">
      <protection locked="0"/>
    </xf>
    <xf numFmtId="43" fontId="1" fillId="13" borderId="1" xfId="1" applyFont="1" applyFill="1" applyBorder="1" applyAlignment="1" applyProtection="1">
      <alignment horizontal="center"/>
      <protection locked="0"/>
    </xf>
    <xf numFmtId="0" fontId="15" fillId="0" borderId="0" xfId="2" applyFont="1" applyAlignment="1">
      <alignment horizontal="right"/>
    </xf>
    <xf numFmtId="0" fontId="6" fillId="3" borderId="17" xfId="2" applyFont="1" applyFill="1" applyBorder="1" applyAlignment="1">
      <alignment horizontal="center" vertical="center" wrapText="1"/>
    </xf>
    <xf numFmtId="169" fontId="6" fillId="10" borderId="18" xfId="1" applyNumberFormat="1" applyFont="1" applyFill="1" applyBorder="1" applyAlignment="1" applyProtection="1">
      <alignment horizontal="center" vertical="center" wrapText="1"/>
    </xf>
    <xf numFmtId="0" fontId="14" fillId="0" borderId="17" xfId="0" applyFont="1" applyBorder="1"/>
    <xf numFmtId="169" fontId="0" fillId="0" borderId="22" xfId="1" applyNumberFormat="1" applyFont="1" applyBorder="1" applyAlignment="1" applyProtection="1"/>
    <xf numFmtId="0" fontId="15" fillId="0" borderId="17" xfId="2" applyFont="1" applyBorder="1" applyAlignment="1">
      <alignment horizontal="right"/>
    </xf>
    <xf numFmtId="169" fontId="15" fillId="0" borderId="18" xfId="1" applyNumberFormat="1" applyFont="1" applyFill="1" applyBorder="1" applyAlignment="1" applyProtection="1">
      <alignment horizontal="right"/>
    </xf>
    <xf numFmtId="0" fontId="15" fillId="0" borderId="15" xfId="2" applyFont="1" applyBorder="1" applyAlignment="1">
      <alignment horizontal="right"/>
    </xf>
    <xf numFmtId="0" fontId="15" fillId="0" borderId="16" xfId="2" applyFont="1" applyBorder="1" applyAlignment="1">
      <alignment horizontal="right"/>
    </xf>
    <xf numFmtId="0" fontId="1" fillId="0" borderId="15" xfId="0" applyFont="1" applyBorder="1"/>
    <xf numFmtId="43" fontId="1" fillId="0" borderId="0" xfId="1" applyFont="1" applyBorder="1" applyAlignment="1" applyProtection="1"/>
    <xf numFmtId="165" fontId="1" fillId="0" borderId="0" xfId="1" applyNumberFormat="1" applyFont="1" applyBorder="1" applyAlignment="1" applyProtection="1"/>
    <xf numFmtId="0" fontId="1" fillId="0" borderId="16" xfId="0" applyFont="1" applyBorder="1"/>
    <xf numFmtId="0" fontId="0" fillId="0" borderId="15" xfId="0" applyBorder="1"/>
    <xf numFmtId="169" fontId="16" fillId="0" borderId="1" xfId="1" applyNumberFormat="1" applyFont="1" applyBorder="1" applyAlignment="1" applyProtection="1"/>
    <xf numFmtId="169" fontId="16" fillId="0" borderId="6" xfId="1" applyNumberFormat="1" applyFont="1" applyBorder="1" applyAlignment="1" applyProtection="1"/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169" fontId="0" fillId="0" borderId="0" xfId="1" applyNumberFormat="1" applyFont="1" applyFill="1" applyBorder="1" applyAlignment="1" applyProtection="1">
      <alignment horizontal="center"/>
    </xf>
    <xf numFmtId="169" fontId="7" fillId="0" borderId="0" xfId="1" applyNumberFormat="1" applyFont="1" applyFill="1" applyBorder="1" applyAlignment="1" applyProtection="1">
      <alignment horizontal="right"/>
    </xf>
    <xf numFmtId="0" fontId="14" fillId="0" borderId="1" xfId="0" applyFont="1" applyBorder="1" applyAlignment="1">
      <alignment wrapText="1"/>
    </xf>
    <xf numFmtId="169" fontId="7" fillId="0" borderId="1" xfId="1" applyNumberFormat="1" applyFont="1" applyFill="1" applyBorder="1" applyAlignment="1" applyProtection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0" fontId="14" fillId="0" borderId="1" xfId="0" applyFont="1" applyBorder="1"/>
    <xf numFmtId="0" fontId="0" fillId="0" borderId="5" xfId="0" applyBorder="1"/>
    <xf numFmtId="43" fontId="2" fillId="0" borderId="1" xfId="1" applyFont="1" applyBorder="1" applyAlignment="1" applyProtection="1">
      <alignment horizontal="center"/>
    </xf>
    <xf numFmtId="0" fontId="2" fillId="0" borderId="1" xfId="0" applyFont="1" applyBorder="1"/>
    <xf numFmtId="0" fontId="2" fillId="15" borderId="1" xfId="0" applyFont="1" applyFill="1" applyBorder="1" applyAlignment="1">
      <alignment horizontal="center" vertical="center" wrapText="1"/>
    </xf>
    <xf numFmtId="0" fontId="14" fillId="0" borderId="0" xfId="0" applyFont="1"/>
    <xf numFmtId="169" fontId="0" fillId="0" borderId="0" xfId="0" applyNumberFormat="1"/>
    <xf numFmtId="172" fontId="0" fillId="0" borderId="0" xfId="0" applyNumberFormat="1"/>
    <xf numFmtId="0" fontId="1" fillId="0" borderId="1" xfId="0" applyFont="1" applyBorder="1"/>
    <xf numFmtId="10" fontId="17" fillId="0" borderId="1" xfId="5" applyNumberFormat="1" applyFont="1" applyFill="1" applyBorder="1" applyAlignment="1"/>
    <xf numFmtId="43" fontId="1" fillId="8" borderId="1" xfId="1" applyFont="1" applyFill="1" applyBorder="1" applyAlignment="1" applyProtection="1">
      <protection hidden="1"/>
    </xf>
    <xf numFmtId="165" fontId="7" fillId="8" borderId="1" xfId="1" applyNumberFormat="1" applyFont="1" applyFill="1" applyBorder="1" applyAlignment="1" applyProtection="1">
      <alignment wrapText="1"/>
      <protection hidden="1"/>
    </xf>
    <xf numFmtId="168" fontId="7" fillId="8" borderId="1" xfId="1" applyNumberFormat="1" applyFont="1" applyFill="1" applyBorder="1" applyAlignment="1" applyProtection="1">
      <alignment horizontal="right"/>
      <protection hidden="1"/>
    </xf>
    <xf numFmtId="170" fontId="7" fillId="8" borderId="1" xfId="1" applyNumberFormat="1" applyFont="1" applyFill="1" applyBorder="1" applyAlignment="1" applyProtection="1">
      <alignment horizontal="right"/>
      <protection hidden="1"/>
    </xf>
    <xf numFmtId="43" fontId="1" fillId="8" borderId="0" xfId="1" applyFont="1" applyFill="1" applyBorder="1" applyAlignment="1" applyProtection="1">
      <protection hidden="1"/>
    </xf>
    <xf numFmtId="43" fontId="1" fillId="8" borderId="12" xfId="1" applyFont="1" applyFill="1" applyBorder="1" applyAlignment="1" applyProtection="1">
      <protection hidden="1"/>
    </xf>
    <xf numFmtId="173" fontId="0" fillId="0" borderId="1" xfId="0" applyNumberFormat="1" applyBorder="1"/>
    <xf numFmtId="174" fontId="0" fillId="0" borderId="1" xfId="0" applyNumberFormat="1" applyBorder="1"/>
    <xf numFmtId="0" fontId="21" fillId="0" borderId="1" xfId="0" applyFont="1" applyBorder="1"/>
    <xf numFmtId="0" fontId="7" fillId="0" borderId="5" xfId="2" applyFont="1" applyBorder="1"/>
    <xf numFmtId="168" fontId="7" fillId="0" borderId="5" xfId="1" applyNumberFormat="1" applyFont="1" applyFill="1" applyBorder="1" applyAlignment="1" applyProtection="1"/>
    <xf numFmtId="171" fontId="0" fillId="0" borderId="5" xfId="1" applyNumberFormat="1" applyFont="1" applyBorder="1" applyAlignment="1"/>
    <xf numFmtId="0" fontId="0" fillId="0" borderId="5" xfId="0" applyBorder="1" applyAlignment="1">
      <alignment horizontal="left"/>
    </xf>
    <xf numFmtId="165" fontId="3" fillId="0" borderId="5" xfId="1" applyNumberFormat="1" applyFont="1" applyFill="1" applyBorder="1" applyAlignment="1" applyProtection="1">
      <alignment horizontal="right"/>
    </xf>
    <xf numFmtId="0" fontId="7" fillId="0" borderId="19" xfId="2" applyFont="1" applyBorder="1"/>
    <xf numFmtId="168" fontId="7" fillId="0" borderId="19" xfId="1" applyNumberFormat="1" applyFont="1" applyFill="1" applyBorder="1" applyAlignment="1" applyProtection="1"/>
    <xf numFmtId="0" fontId="0" fillId="0" borderId="19" xfId="0" applyBorder="1" applyAlignment="1">
      <alignment horizontal="left"/>
    </xf>
    <xf numFmtId="0" fontId="0" fillId="8" borderId="19" xfId="0" applyFill="1" applyBorder="1" applyAlignment="1">
      <alignment horizontal="left"/>
    </xf>
    <xf numFmtId="165" fontId="3" fillId="0" borderId="19" xfId="1" applyNumberFormat="1" applyFont="1" applyFill="1" applyBorder="1" applyAlignment="1" applyProtection="1">
      <alignment horizontal="right"/>
    </xf>
    <xf numFmtId="0" fontId="0" fillId="8" borderId="5" xfId="0" applyFill="1" applyBorder="1" applyAlignment="1">
      <alignment horizontal="left"/>
    </xf>
    <xf numFmtId="174" fontId="0" fillId="0" borderId="19" xfId="0" applyNumberFormat="1" applyBorder="1"/>
    <xf numFmtId="0" fontId="7" fillId="0" borderId="7" xfId="2" applyFont="1" applyBorder="1"/>
    <xf numFmtId="168" fontId="7" fillId="0" borderId="7" xfId="1" applyNumberFormat="1" applyFont="1" applyFill="1" applyBorder="1" applyAlignment="1" applyProtection="1"/>
    <xf numFmtId="173" fontId="0" fillId="0" borderId="7" xfId="0" applyNumberFormat="1" applyBorder="1"/>
    <xf numFmtId="174" fontId="0" fillId="0" borderId="7" xfId="0" applyNumberFormat="1" applyBorder="1"/>
    <xf numFmtId="0" fontId="0" fillId="0" borderId="7" xfId="0" applyBorder="1" applyAlignment="1">
      <alignment horizontal="left"/>
    </xf>
    <xf numFmtId="0" fontId="0" fillId="8" borderId="7" xfId="0" applyFill="1" applyBorder="1" applyAlignment="1">
      <alignment horizontal="left"/>
    </xf>
    <xf numFmtId="165" fontId="3" fillId="0" borderId="7" xfId="1" applyNumberFormat="1" applyFont="1" applyFill="1" applyBorder="1" applyAlignment="1" applyProtection="1">
      <alignment horizontal="right"/>
    </xf>
    <xf numFmtId="173" fontId="0" fillId="0" borderId="5" xfId="0" applyNumberFormat="1" applyBorder="1"/>
    <xf numFmtId="174" fontId="0" fillId="0" borderId="5" xfId="0" applyNumberFormat="1" applyBorder="1"/>
    <xf numFmtId="43" fontId="7" fillId="0" borderId="5" xfId="1" applyFont="1" applyFill="1" applyBorder="1" applyAlignment="1" applyProtection="1"/>
    <xf numFmtId="10" fontId="17" fillId="9" borderId="19" xfId="5" applyNumberFormat="1" applyFont="1" applyFill="1" applyBorder="1" applyAlignment="1"/>
    <xf numFmtId="43" fontId="1" fillId="0" borderId="0" xfId="0" applyNumberFormat="1" applyFont="1"/>
    <xf numFmtId="168" fontId="7" fillId="0" borderId="1" xfId="1" applyNumberFormat="1" applyFont="1" applyFill="1" applyBorder="1" applyAlignment="1" applyProtection="1">
      <alignment horizontal="left"/>
    </xf>
    <xf numFmtId="172" fontId="1" fillId="0" borderId="0" xfId="0" applyNumberFormat="1" applyFont="1"/>
    <xf numFmtId="169" fontId="1" fillId="0" borderId="0" xfId="0" applyNumberFormat="1" applyFont="1"/>
    <xf numFmtId="175" fontId="0" fillId="0" borderId="5" xfId="0" applyNumberFormat="1" applyBorder="1"/>
    <xf numFmtId="175" fontId="0" fillId="0" borderId="1" xfId="0" applyNumberFormat="1" applyBorder="1"/>
    <xf numFmtId="175" fontId="0" fillId="0" borderId="7" xfId="0" applyNumberFormat="1" applyBorder="1"/>
    <xf numFmtId="175" fontId="0" fillId="0" borderId="19" xfId="0" applyNumberFormat="1" applyBorder="1"/>
    <xf numFmtId="176" fontId="0" fillId="0" borderId="5" xfId="0" applyNumberFormat="1" applyBorder="1"/>
    <xf numFmtId="176" fontId="0" fillId="0" borderId="1" xfId="0" applyNumberFormat="1" applyBorder="1"/>
    <xf numFmtId="176" fontId="0" fillId="0" borderId="7" xfId="0" applyNumberFormat="1" applyBorder="1"/>
    <xf numFmtId="169" fontId="0" fillId="0" borderId="1" xfId="1" applyNumberFormat="1" applyFont="1" applyFill="1" applyBorder="1" applyAlignment="1" applyProtection="1">
      <protection hidden="1"/>
    </xf>
    <xf numFmtId="169" fontId="0" fillId="0" borderId="5" xfId="1" applyNumberFormat="1" applyFont="1" applyFill="1" applyBorder="1" applyAlignment="1" applyProtection="1">
      <protection hidden="1"/>
    </xf>
    <xf numFmtId="0" fontId="2" fillId="4" borderId="5" xfId="0" applyFont="1" applyFill="1" applyBorder="1" applyAlignment="1">
      <alignment horizontal="center" vertical="center"/>
    </xf>
    <xf numFmtId="0" fontId="25" fillId="0" borderId="0" xfId="0" applyFont="1"/>
    <xf numFmtId="0" fontId="0" fillId="0" borderId="1" xfId="0" applyBorder="1" applyAlignment="1" applyProtection="1">
      <alignment horizontal="center"/>
      <protection hidden="1"/>
    </xf>
    <xf numFmtId="0" fontId="3" fillId="0" borderId="1" xfId="3" applyFont="1" applyBorder="1" applyAlignment="1" applyProtection="1">
      <alignment wrapText="1"/>
      <protection hidden="1"/>
    </xf>
    <xf numFmtId="165" fontId="7" fillId="8" borderId="1" xfId="1" applyNumberFormat="1" applyFont="1" applyFill="1" applyBorder="1" applyAlignment="1" applyProtection="1">
      <alignment wrapText="1"/>
    </xf>
    <xf numFmtId="168" fontId="7" fillId="8" borderId="1" xfId="1" applyNumberFormat="1" applyFont="1" applyFill="1" applyBorder="1" applyAlignment="1" applyProtection="1">
      <alignment horizontal="right"/>
    </xf>
    <xf numFmtId="170" fontId="7" fillId="8" borderId="1" xfId="1" applyNumberFormat="1" applyFont="1" applyFill="1" applyBorder="1" applyAlignment="1" applyProtection="1">
      <alignment horizontal="right"/>
    </xf>
    <xf numFmtId="169" fontId="15" fillId="0" borderId="1" xfId="2" applyNumberFormat="1" applyFont="1" applyBorder="1" applyAlignment="1">
      <alignment horizontal="right"/>
    </xf>
    <xf numFmtId="43" fontId="3" fillId="12" borderId="1" xfId="1" applyFont="1" applyFill="1" applyBorder="1" applyAlignment="1" applyProtection="1">
      <alignment horizontal="center"/>
      <protection locked="0"/>
    </xf>
    <xf numFmtId="43" fontId="0" fillId="12" borderId="1" xfId="1" applyFont="1" applyFill="1" applyBorder="1" applyAlignment="1" applyProtection="1">
      <alignment horizontal="center"/>
      <protection locked="0"/>
    </xf>
    <xf numFmtId="3" fontId="0" fillId="12" borderId="0" xfId="0" applyNumberFormat="1" applyFill="1" applyProtection="1">
      <protection locked="0"/>
    </xf>
    <xf numFmtId="43" fontId="21" fillId="12" borderId="0" xfId="1" applyFont="1" applyFill="1"/>
    <xf numFmtId="43" fontId="21" fillId="12" borderId="1" xfId="1" applyFont="1" applyFill="1" applyBorder="1"/>
    <xf numFmtId="0" fontId="2" fillId="16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6" fillId="18" borderId="1" xfId="2" applyFont="1" applyFill="1" applyBorder="1" applyAlignment="1">
      <alignment horizontal="center" vertical="center" wrapText="1"/>
    </xf>
    <xf numFmtId="3" fontId="24" fillId="12" borderId="0" xfId="0" applyNumberFormat="1" applyFont="1" applyFill="1" applyAlignment="1" applyProtection="1">
      <alignment wrapText="1"/>
      <protection locked="0"/>
    </xf>
    <xf numFmtId="43" fontId="1" fillId="12" borderId="1" xfId="1" applyFont="1" applyFill="1" applyBorder="1" applyAlignment="1" applyProtection="1">
      <protection locked="0"/>
    </xf>
    <xf numFmtId="43" fontId="0" fillId="12" borderId="1" xfId="1" applyFont="1" applyFill="1" applyBorder="1" applyAlignment="1" applyProtection="1">
      <protection locked="0"/>
    </xf>
    <xf numFmtId="43" fontId="1" fillId="12" borderId="7" xfId="1" applyFont="1" applyFill="1" applyBorder="1" applyAlignment="1" applyProtection="1">
      <protection locked="0"/>
    </xf>
    <xf numFmtId="43" fontId="1" fillId="12" borderId="1" xfId="1" applyFont="1" applyFill="1" applyBorder="1" applyAlignment="1" applyProtection="1">
      <protection hidden="1"/>
    </xf>
    <xf numFmtId="43" fontId="1" fillId="12" borderId="7" xfId="1" applyFont="1" applyFill="1" applyBorder="1" applyAlignment="1" applyProtection="1">
      <protection hidden="1"/>
    </xf>
    <xf numFmtId="169" fontId="7" fillId="12" borderId="1" xfId="1" applyNumberFormat="1" applyFont="1" applyFill="1" applyBorder="1" applyAlignment="1" applyProtection="1">
      <protection locked="0"/>
    </xf>
    <xf numFmtId="43" fontId="1" fillId="12" borderId="5" xfId="1" applyFont="1" applyFill="1" applyBorder="1" applyAlignment="1" applyProtection="1">
      <protection locked="0"/>
    </xf>
    <xf numFmtId="9" fontId="3" fillId="19" borderId="1" xfId="5" applyFont="1" applyFill="1" applyBorder="1" applyAlignment="1">
      <alignment horizontal="center"/>
    </xf>
    <xf numFmtId="9" fontId="0" fillId="19" borderId="1" xfId="5" applyFont="1" applyFill="1" applyBorder="1" applyAlignment="1" applyProtection="1">
      <alignment horizontal="center" vertical="center" wrapText="1"/>
    </xf>
    <xf numFmtId="165" fontId="7" fillId="19" borderId="1" xfId="1" applyNumberFormat="1" applyFont="1" applyFill="1" applyBorder="1" applyAlignment="1" applyProtection="1">
      <alignment wrapText="1"/>
    </xf>
    <xf numFmtId="168" fontId="7" fillId="19" borderId="1" xfId="1" applyNumberFormat="1" applyFont="1" applyFill="1" applyBorder="1" applyAlignment="1" applyProtection="1">
      <alignment horizontal="right"/>
    </xf>
    <xf numFmtId="165" fontId="3" fillId="19" borderId="1" xfId="1" applyNumberFormat="1" applyFont="1" applyFill="1" applyBorder="1" applyAlignment="1" applyProtection="1">
      <alignment horizontal="right" wrapText="1"/>
    </xf>
    <xf numFmtId="10" fontId="7" fillId="19" borderId="1" xfId="5" applyNumberFormat="1" applyFont="1" applyFill="1" applyBorder="1" applyAlignment="1" applyProtection="1"/>
    <xf numFmtId="165" fontId="7" fillId="19" borderId="1" xfId="1" applyNumberFormat="1" applyFont="1" applyFill="1" applyBorder="1" applyAlignment="1" applyProtection="1"/>
    <xf numFmtId="168" fontId="7" fillId="19" borderId="1" xfId="1" applyNumberFormat="1" applyFont="1" applyFill="1" applyBorder="1" applyAlignment="1" applyProtection="1"/>
    <xf numFmtId="165" fontId="3" fillId="19" borderId="10" xfId="1" applyNumberFormat="1" applyFont="1" applyFill="1" applyBorder="1" applyAlignment="1" applyProtection="1">
      <alignment horizontal="right"/>
    </xf>
    <xf numFmtId="165" fontId="3" fillId="19" borderId="3" xfId="1" applyNumberFormat="1" applyFont="1" applyFill="1" applyBorder="1" applyAlignment="1" applyProtection="1">
      <alignment horizontal="right"/>
    </xf>
    <xf numFmtId="165" fontId="3" fillId="19" borderId="1" xfId="1" applyNumberFormat="1" applyFont="1" applyFill="1" applyBorder="1" applyAlignment="1" applyProtection="1">
      <alignment horizontal="right"/>
    </xf>
    <xf numFmtId="165" fontId="3" fillId="19" borderId="3" xfId="1" applyNumberFormat="1" applyFont="1" applyFill="1" applyBorder="1" applyAlignment="1" applyProtection="1">
      <alignment horizontal="right" wrapText="1"/>
    </xf>
    <xf numFmtId="165" fontId="3" fillId="19" borderId="3" xfId="1" applyNumberFormat="1" applyFont="1" applyFill="1" applyBorder="1" applyAlignment="1" applyProtection="1">
      <alignment horizontal="right" wrapText="1"/>
      <protection hidden="1"/>
    </xf>
    <xf numFmtId="0" fontId="29" fillId="0" borderId="0" xfId="0" applyFont="1" applyAlignment="1">
      <alignment horizontal="center" vertical="center" wrapText="1"/>
    </xf>
    <xf numFmtId="169" fontId="0" fillId="0" borderId="1" xfId="1" applyNumberFormat="1" applyFont="1" applyFill="1" applyBorder="1" applyAlignment="1" applyProtection="1"/>
    <xf numFmtId="166" fontId="0" fillId="0" borderId="1" xfId="1" applyNumberFormat="1" applyFont="1" applyFill="1" applyBorder="1" applyAlignment="1" applyProtection="1"/>
    <xf numFmtId="165" fontId="0" fillId="0" borderId="1" xfId="1" applyNumberFormat="1" applyFont="1" applyFill="1" applyBorder="1" applyAlignment="1" applyProtection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8" fontId="30" fillId="0" borderId="1" xfId="1" applyNumberFormat="1" applyFont="1" applyFill="1" applyBorder="1" applyAlignment="1" applyProtection="1"/>
    <xf numFmtId="171" fontId="0" fillId="0" borderId="1" xfId="1" applyNumberFormat="1" applyFont="1" applyFill="1" applyBorder="1" applyAlignment="1"/>
    <xf numFmtId="0" fontId="5" fillId="0" borderId="1" xfId="4" applyFill="1" applyBorder="1" applyAlignment="1" applyProtection="1">
      <alignment horizontal="left"/>
    </xf>
    <xf numFmtId="43" fontId="5" fillId="0" borderId="1" xfId="4" applyNumberFormat="1" applyFill="1" applyBorder="1" applyAlignment="1" applyProtection="1">
      <alignment horizontal="left"/>
    </xf>
    <xf numFmtId="0" fontId="5" fillId="0" borderId="5" xfId="4" applyFill="1" applyBorder="1" applyAlignment="1" applyProtection="1">
      <alignment horizontal="left"/>
    </xf>
    <xf numFmtId="0" fontId="0" fillId="0" borderId="0" xfId="0" applyAlignment="1">
      <alignment horizontal="left"/>
    </xf>
    <xf numFmtId="174" fontId="0" fillId="0" borderId="1" xfId="0" applyNumberFormat="1" applyBorder="1" applyAlignment="1">
      <alignment horizontal="right"/>
    </xf>
    <xf numFmtId="0" fontId="5" fillId="0" borderId="19" xfId="4" applyFill="1" applyBorder="1" applyAlignment="1" applyProtection="1">
      <alignment horizontal="left"/>
    </xf>
    <xf numFmtId="0" fontId="5" fillId="0" borderId="7" xfId="4" applyFill="1" applyBorder="1" applyAlignment="1" applyProtection="1">
      <alignment horizontal="left"/>
    </xf>
    <xf numFmtId="169" fontId="1" fillId="0" borderId="0" xfId="1" applyNumberFormat="1" applyFont="1"/>
    <xf numFmtId="173" fontId="1" fillId="0" borderId="19" xfId="0" applyNumberFormat="1" applyFont="1" applyBorder="1"/>
    <xf numFmtId="174" fontId="1" fillId="0" borderId="19" xfId="1" applyNumberFormat="1" applyFont="1" applyBorder="1" applyAlignment="1" applyProtection="1"/>
    <xf numFmtId="177" fontId="7" fillId="0" borderId="1" xfId="1" applyNumberFormat="1" applyFont="1" applyFill="1" applyBorder="1" applyAlignment="1" applyProtection="1"/>
    <xf numFmtId="169" fontId="7" fillId="0" borderId="1" xfId="1" applyNumberFormat="1" applyFont="1" applyFill="1" applyBorder="1" applyAlignment="1" applyProtection="1"/>
    <xf numFmtId="0" fontId="28" fillId="20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/>
    </xf>
    <xf numFmtId="0" fontId="15" fillId="8" borderId="23" xfId="2" applyFont="1" applyFill="1" applyBorder="1" applyAlignment="1">
      <alignment horizontal="center"/>
    </xf>
    <xf numFmtId="0" fontId="15" fillId="8" borderId="24" xfId="2" applyFont="1" applyFill="1" applyBorder="1" applyAlignment="1">
      <alignment horizontal="center"/>
    </xf>
    <xf numFmtId="0" fontId="15" fillId="8" borderId="25" xfId="2" applyFont="1" applyFill="1" applyBorder="1" applyAlignment="1">
      <alignment horizontal="center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5" fillId="0" borderId="7" xfId="4" applyFill="1" applyBorder="1" applyAlignment="1" applyProtection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5" fillId="0" borderId="1" xfId="4" applyFill="1" applyBorder="1" applyAlignment="1" applyProtection="1">
      <alignment horizontal="center" vertical="center" wrapText="1"/>
    </xf>
    <xf numFmtId="0" fontId="32" fillId="8" borderId="1" xfId="0" applyFont="1" applyFill="1" applyBorder="1" applyAlignment="1">
      <alignment horizontal="left"/>
    </xf>
    <xf numFmtId="165" fontId="33" fillId="8" borderId="1" xfId="1" applyNumberFormat="1" applyFont="1" applyFill="1" applyBorder="1" applyAlignment="1" applyProtection="1">
      <alignment horizontal="right"/>
    </xf>
    <xf numFmtId="43" fontId="0" fillId="0" borderId="2" xfId="1" applyFont="1" applyFill="1" applyBorder="1" applyAlignment="1" applyProtection="1"/>
    <xf numFmtId="0" fontId="2" fillId="5" borderId="5" xfId="0" applyFont="1" applyFill="1" applyBorder="1" applyAlignment="1">
      <alignment horizontal="center" vertical="center"/>
    </xf>
    <xf numFmtId="0" fontId="10" fillId="5" borderId="2" xfId="0" applyFont="1" applyFill="1" applyBorder="1"/>
    <xf numFmtId="0" fontId="10" fillId="5" borderId="3" xfId="0" applyFont="1" applyFill="1" applyBorder="1"/>
    <xf numFmtId="165" fontId="2" fillId="5" borderId="5" xfId="1" applyNumberFormat="1" applyFont="1" applyFill="1" applyBorder="1" applyAlignment="1" applyProtection="1">
      <alignment horizontal="center" vertical="center"/>
    </xf>
    <xf numFmtId="0" fontId="10" fillId="5" borderId="4" xfId="0" applyFont="1" applyFill="1" applyBorder="1"/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7" borderId="5" xfId="0" applyFont="1" applyFill="1" applyBorder="1" applyAlignment="1">
      <alignment horizontal="center" vertical="center"/>
    </xf>
    <xf numFmtId="0" fontId="10" fillId="7" borderId="2" xfId="0" applyFont="1" applyFill="1" applyBorder="1"/>
    <xf numFmtId="0" fontId="10" fillId="7" borderId="4" xfId="0" applyFont="1" applyFill="1" applyBorder="1"/>
    <xf numFmtId="0" fontId="10" fillId="7" borderId="3" xfId="0" applyFont="1" applyFill="1" applyBorder="1"/>
    <xf numFmtId="0" fontId="2" fillId="0" borderId="0" xfId="0" applyFont="1" applyAlignment="1">
      <alignment horizontal="center" vertical="center"/>
    </xf>
    <xf numFmtId="0" fontId="5" fillId="0" borderId="1" xfId="4" applyBorder="1" applyAlignment="1" applyProtection="1"/>
    <xf numFmtId="165" fontId="2" fillId="4" borderId="6" xfId="1" applyNumberFormat="1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43" fontId="0" fillId="0" borderId="2" xfId="1" applyFont="1" applyBorder="1" applyAlignment="1" applyProtection="1"/>
    <xf numFmtId="0" fontId="21" fillId="0" borderId="2" xfId="0" applyFont="1" applyBorder="1"/>
    <xf numFmtId="0" fontId="21" fillId="0" borderId="3" xfId="0" applyFont="1" applyBorder="1"/>
    <xf numFmtId="0" fontId="2" fillId="7" borderId="6" xfId="0" applyFont="1" applyFill="1" applyBorder="1" applyAlignment="1">
      <alignment horizontal="center" vertical="center"/>
    </xf>
    <xf numFmtId="0" fontId="21" fillId="0" borderId="6" xfId="0" applyFont="1" applyBorder="1"/>
    <xf numFmtId="0" fontId="21" fillId="0" borderId="10" xfId="0" applyFont="1" applyBorder="1"/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9" fillId="10" borderId="2" xfId="2" applyFont="1" applyFill="1" applyBorder="1" applyAlignment="1">
      <alignment vertical="center"/>
    </xf>
    <xf numFmtId="0" fontId="9" fillId="10" borderId="3" xfId="2" applyFont="1" applyFill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9" fillId="2" borderId="4" xfId="2" applyFont="1" applyFill="1" applyBorder="1" applyAlignment="1">
      <alignment vertical="center"/>
    </xf>
    <xf numFmtId="0" fontId="9" fillId="2" borderId="3" xfId="2" applyFont="1" applyFill="1" applyBorder="1" applyAlignment="1">
      <alignment vertical="center"/>
    </xf>
    <xf numFmtId="0" fontId="6" fillId="18" borderId="5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 wrapText="1"/>
    </xf>
    <xf numFmtId="0" fontId="6" fillId="10" borderId="5" xfId="2" applyFont="1" applyFill="1" applyBorder="1" applyAlignment="1">
      <alignment horizontal="center" vertical="center" wrapText="1"/>
    </xf>
    <xf numFmtId="168" fontId="6" fillId="10" borderId="5" xfId="1" applyNumberFormat="1" applyFont="1" applyFill="1" applyBorder="1" applyAlignment="1" applyProtection="1">
      <alignment horizontal="center" vertical="center" wrapText="1"/>
    </xf>
    <xf numFmtId="169" fontId="6" fillId="10" borderId="5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19" fillId="12" borderId="5" xfId="0" applyFont="1" applyFill="1" applyBorder="1" applyAlignment="1">
      <alignment horizontal="center"/>
    </xf>
    <xf numFmtId="0" fontId="19" fillId="12" borderId="22" xfId="0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 vertical="center" wrapText="1"/>
    </xf>
    <xf numFmtId="0" fontId="6" fillId="6" borderId="5" xfId="2" applyFont="1" applyFill="1" applyBorder="1" applyAlignment="1">
      <alignment horizontal="center" vertical="center" wrapText="1"/>
    </xf>
    <xf numFmtId="169" fontId="6" fillId="10" borderId="22" xfId="1" applyNumberFormat="1" applyFont="1" applyFill="1" applyBorder="1" applyAlignment="1" applyProtection="1">
      <alignment horizontal="center" vertical="center" wrapText="1"/>
    </xf>
    <xf numFmtId="0" fontId="19" fillId="12" borderId="2" xfId="0" applyFont="1" applyFill="1" applyBorder="1"/>
    <xf numFmtId="0" fontId="19" fillId="12" borderId="4" xfId="0" applyFont="1" applyFill="1" applyBorder="1"/>
    <xf numFmtId="0" fontId="19" fillId="12" borderId="3" xfId="0" applyFont="1" applyFill="1" applyBorder="1"/>
    <xf numFmtId="0" fontId="0" fillId="0" borderId="0" xfId="0" applyAlignment="1">
      <alignment vertical="center"/>
    </xf>
    <xf numFmtId="0" fontId="20" fillId="14" borderId="2" xfId="0" applyFont="1" applyFill="1" applyBorder="1"/>
    <xf numFmtId="0" fontId="20" fillId="14" borderId="4" xfId="0" applyFont="1" applyFill="1" applyBorder="1"/>
    <xf numFmtId="0" fontId="20" fillId="14" borderId="3" xfId="0" applyFont="1" applyFill="1" applyBorder="1"/>
    <xf numFmtId="0" fontId="31" fillId="17" borderId="6" xfId="0" applyFont="1" applyFill="1" applyBorder="1"/>
    <xf numFmtId="0" fontId="31" fillId="17" borderId="12" xfId="0" applyFont="1" applyFill="1" applyBorder="1"/>
    <xf numFmtId="0" fontId="31" fillId="17" borderId="10" xfId="0" applyFont="1" applyFill="1" applyBorder="1"/>
    <xf numFmtId="0" fontId="0" fillId="16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15" borderId="2" xfId="0" applyFont="1" applyFill="1" applyBorder="1"/>
    <xf numFmtId="0" fontId="2" fillId="15" borderId="4" xfId="0" applyFont="1" applyFill="1" applyBorder="1"/>
    <xf numFmtId="0" fontId="2" fillId="15" borderId="3" xfId="0" applyFont="1" applyFill="1" applyBorder="1"/>
    <xf numFmtId="0" fontId="2" fillId="0" borderId="5" xfId="0" applyFont="1" applyBorder="1" applyAlignment="1">
      <alignment wrapText="1"/>
    </xf>
    <xf numFmtId="0" fontId="20" fillId="0" borderId="0" xfId="0" applyFont="1"/>
    <xf numFmtId="0" fontId="0" fillId="11" borderId="1" xfId="0" applyFill="1" applyBorder="1" applyAlignment="1">
      <alignment horizontal="center"/>
    </xf>
    <xf numFmtId="0" fontId="28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11" borderId="7" xfId="0" applyFill="1" applyBorder="1" applyAlignment="1">
      <alignment horizontal="center"/>
    </xf>
    <xf numFmtId="0" fontId="0" fillId="11" borderId="5" xfId="0" applyFill="1" applyBorder="1" applyAlignment="1">
      <alignment horizontal="center" wrapText="1"/>
    </xf>
    <xf numFmtId="0" fontId="0" fillId="11" borderId="0" xfId="0" applyFill="1" applyAlignment="1">
      <alignment horizontal="center"/>
    </xf>
    <xf numFmtId="0" fontId="2" fillId="15" borderId="20" xfId="0" applyFon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20" borderId="7" xfId="0" applyFill="1" applyBorder="1" applyAlignment="1">
      <alignment horizontal="center" vertical="top" wrapText="1"/>
    </xf>
    <xf numFmtId="0" fontId="0" fillId="20" borderId="21" xfId="0" applyFill="1" applyBorder="1" applyAlignment="1">
      <alignment horizontal="center" vertical="top"/>
    </xf>
    <xf numFmtId="0" fontId="5" fillId="20" borderId="5" xfId="4" applyFill="1" applyBorder="1" applyAlignment="1" applyProtection="1">
      <alignment horizontal="center" vertical="top"/>
    </xf>
    <xf numFmtId="0" fontId="5" fillId="5" borderId="9" xfId="4" applyFill="1" applyBorder="1" applyAlignment="1" applyProtection="1">
      <alignment horizontal="center" vertical="center" wrapText="1"/>
    </xf>
    <xf numFmtId="0" fontId="5" fillId="5" borderId="3" xfId="4" applyFill="1" applyBorder="1" applyAlignment="1" applyProtection="1">
      <alignment horizontal="center" vertical="center" wrapText="1"/>
    </xf>
    <xf numFmtId="10" fontId="17" fillId="9" borderId="7" xfId="5" applyNumberFormat="1" applyFont="1" applyFill="1" applyBorder="1" applyAlignment="1"/>
    <xf numFmtId="175" fontId="0" fillId="21" borderId="19" xfId="0" applyNumberFormat="1" applyFill="1" applyBorder="1"/>
    <xf numFmtId="174" fontId="0" fillId="21" borderId="19" xfId="0" applyNumberFormat="1" applyFill="1" applyBorder="1"/>
    <xf numFmtId="164" fontId="7" fillId="0" borderId="5" xfId="2" applyNumberFormat="1" applyFont="1" applyBorder="1" applyAlignment="1">
      <alignment horizontal="right"/>
    </xf>
    <xf numFmtId="168" fontId="7" fillId="0" borderId="5" xfId="1" applyNumberFormat="1" applyFont="1" applyFill="1" applyBorder="1" applyAlignment="1" applyProtection="1">
      <alignment horizontal="right"/>
    </xf>
    <xf numFmtId="173" fontId="1" fillId="0" borderId="1" xfId="0" applyNumberFormat="1" applyFont="1" applyBorder="1"/>
    <xf numFmtId="174" fontId="1" fillId="0" borderId="1" xfId="1" applyNumberFormat="1" applyFont="1" applyBorder="1" applyAlignment="1" applyProtection="1"/>
    <xf numFmtId="175" fontId="0" fillId="21" borderId="1" xfId="0" applyNumberFormat="1" applyFill="1" applyBorder="1"/>
    <xf numFmtId="174" fontId="0" fillId="21" borderId="1" xfId="0" applyNumberFormat="1" applyFill="1" applyBorder="1"/>
    <xf numFmtId="173" fontId="1" fillId="21" borderId="1" xfId="0" applyNumberFormat="1" applyFont="1" applyFill="1" applyBorder="1"/>
    <xf numFmtId="174" fontId="1" fillId="21" borderId="1" xfId="1" applyNumberFormat="1" applyFont="1" applyFill="1" applyBorder="1" applyAlignment="1" applyProtection="1"/>
    <xf numFmtId="173" fontId="1" fillId="21" borderId="19" xfId="0" applyNumberFormat="1" applyFont="1" applyFill="1" applyBorder="1"/>
    <xf numFmtId="174" fontId="1" fillId="21" borderId="19" xfId="1" applyNumberFormat="1" applyFont="1" applyFill="1" applyBorder="1" applyAlignment="1" applyProtection="1"/>
    <xf numFmtId="0" fontId="13" fillId="3" borderId="8" xfId="2" applyFont="1" applyFill="1" applyBorder="1" applyAlignment="1">
      <alignment horizontal="centerContinuous" vertical="center"/>
    </xf>
    <xf numFmtId="0" fontId="13" fillId="3" borderId="11" xfId="2" applyFont="1" applyFill="1" applyBorder="1" applyAlignment="1">
      <alignment horizontal="centerContinuous" vertical="center"/>
    </xf>
    <xf numFmtId="0" fontId="13" fillId="3" borderId="9" xfId="2" applyFont="1" applyFill="1" applyBorder="1" applyAlignment="1">
      <alignment horizontal="centerContinuous" vertical="center"/>
    </xf>
    <xf numFmtId="0" fontId="10" fillId="5" borderId="8" xfId="0" applyFont="1" applyFill="1" applyBorder="1" applyAlignment="1">
      <alignment horizontal="centerContinuous" vertical="center"/>
    </xf>
    <xf numFmtId="0" fontId="10" fillId="5" borderId="11" xfId="0" applyFont="1" applyFill="1" applyBorder="1" applyAlignment="1">
      <alignment horizontal="centerContinuous" vertical="center"/>
    </xf>
    <xf numFmtId="0" fontId="13" fillId="10" borderId="2" xfId="2" applyFont="1" applyFill="1" applyBorder="1" applyAlignment="1">
      <alignment horizontal="centerContinuous" vertical="center"/>
    </xf>
    <xf numFmtId="0" fontId="13" fillId="10" borderId="4" xfId="2" applyFont="1" applyFill="1" applyBorder="1" applyAlignment="1">
      <alignment horizontal="centerContinuous" vertical="center"/>
    </xf>
    <xf numFmtId="0" fontId="13" fillId="10" borderId="3" xfId="2" applyFont="1" applyFill="1" applyBorder="1" applyAlignment="1">
      <alignment horizontal="centerContinuous" vertical="center"/>
    </xf>
    <xf numFmtId="0" fontId="13" fillId="3" borderId="2" xfId="2" applyFont="1" applyFill="1" applyBorder="1" applyAlignment="1">
      <alignment horizontal="centerContinuous" vertical="center"/>
    </xf>
    <xf numFmtId="0" fontId="13" fillId="3" borderId="4" xfId="2" applyFont="1" applyFill="1" applyBorder="1" applyAlignment="1">
      <alignment horizontal="centerContinuous" vertical="center" wrapText="1"/>
    </xf>
    <xf numFmtId="0" fontId="13" fillId="3" borderId="3" xfId="2" applyFont="1" applyFill="1" applyBorder="1" applyAlignment="1">
      <alignment horizontal="centerContinuous" vertical="center" wrapText="1"/>
    </xf>
    <xf numFmtId="0" fontId="13" fillId="2" borderId="2" xfId="2" applyFont="1" applyFill="1" applyBorder="1" applyAlignment="1">
      <alignment horizontal="centerContinuous" vertical="center"/>
    </xf>
    <xf numFmtId="0" fontId="13" fillId="2" borderId="4" xfId="2" applyFont="1" applyFill="1" applyBorder="1" applyAlignment="1">
      <alignment horizontal="centerContinuous" vertical="center"/>
    </xf>
    <xf numFmtId="0" fontId="13" fillId="2" borderId="3" xfId="2" applyFont="1" applyFill="1" applyBorder="1" applyAlignment="1">
      <alignment horizontal="centerContinuous" vertical="center"/>
    </xf>
    <xf numFmtId="0" fontId="13" fillId="3" borderId="4" xfId="2" applyFont="1" applyFill="1" applyBorder="1" applyAlignment="1">
      <alignment horizontal="centerContinuous" vertical="center"/>
    </xf>
    <xf numFmtId="0" fontId="13" fillId="3" borderId="3" xfId="2" applyFont="1" applyFill="1" applyBorder="1" applyAlignment="1">
      <alignment horizontal="centerContinuous" vertical="center"/>
    </xf>
    <xf numFmtId="0" fontId="10" fillId="5" borderId="2" xfId="0" applyFont="1" applyFill="1" applyBorder="1" applyAlignment="1">
      <alignment horizontal="centerContinuous" vertical="center"/>
    </xf>
    <xf numFmtId="0" fontId="10" fillId="5" borderId="4" xfId="0" applyFont="1" applyFill="1" applyBorder="1" applyAlignment="1">
      <alignment horizontal="centerContinuous" vertical="center"/>
    </xf>
    <xf numFmtId="169" fontId="0" fillId="0" borderId="5" xfId="1" applyNumberFormat="1" applyFont="1" applyFill="1" applyBorder="1" applyAlignment="1" applyProtection="1"/>
    <xf numFmtId="169" fontId="18" fillId="0" borderId="1" xfId="1" applyNumberFormat="1" applyFont="1" applyFill="1" applyBorder="1" applyAlignment="1" applyProtection="1"/>
    <xf numFmtId="0" fontId="20" fillId="14" borderId="2" xfId="0" applyFont="1" applyFill="1" applyBorder="1" applyAlignment="1">
      <alignment horizontal="centerContinuous"/>
    </xf>
    <xf numFmtId="0" fontId="20" fillId="14" borderId="4" xfId="0" applyFont="1" applyFill="1" applyBorder="1" applyAlignment="1">
      <alignment horizontal="centerContinuous"/>
    </xf>
    <xf numFmtId="0" fontId="20" fillId="14" borderId="3" xfId="0" applyFont="1" applyFill="1" applyBorder="1" applyAlignment="1">
      <alignment horizontal="centerContinuous"/>
    </xf>
    <xf numFmtId="0" fontId="2" fillId="15" borderId="2" xfId="0" applyFont="1" applyFill="1" applyBorder="1" applyAlignment="1">
      <alignment horizontal="centerContinuous"/>
    </xf>
    <xf numFmtId="0" fontId="2" fillId="15" borderId="4" xfId="0" applyFont="1" applyFill="1" applyBorder="1" applyAlignment="1">
      <alignment horizontal="centerContinuous"/>
    </xf>
    <xf numFmtId="0" fontId="2" fillId="15" borderId="3" xfId="0" applyFont="1" applyFill="1" applyBorder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</cellXfs>
  <cellStyles count="6">
    <cellStyle name="Comma" xfId="1" builtinId="3"/>
    <cellStyle name="Hyperlink" xfId="4" builtinId="8"/>
    <cellStyle name="Normal" xfId="0" builtinId="0"/>
    <cellStyle name="Normal_Sheet1" xfId="2" xr:uid="{00000000-0005-0000-0000-000003000000}"/>
    <cellStyle name="Normal_Sheet2" xfId="3" xr:uid="{00000000-0005-0000-0000-000004000000}"/>
    <cellStyle name="Percent" xfId="5" builtinId="5"/>
  </cellStyles>
  <dxfs count="4">
    <dxf>
      <font>
        <color theme="0" tint="-0.14996795556505021"/>
      </font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831850</xdr:colOff>
      <xdr:row>1</xdr:row>
      <xdr:rowOff>50800</xdr:rowOff>
    </xdr:from>
    <xdr:to>
      <xdr:col>2</xdr:col>
      <xdr:colOff>5499100</xdr:colOff>
      <xdr:row>3</xdr:row>
      <xdr:rowOff>1346200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E0A4E0-4D3B-831B-60FF-54D942B3BCCC}"/>
            </a:ext>
          </a:extLst>
        </xdr:cNvPr>
        <xdr:cNvSpPr txBox="1"/>
      </xdr:nvSpPr>
      <xdr:spPr>
        <a:xfrm>
          <a:off x="2114550" y="234950"/>
          <a:ext cx="4667250" cy="1663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version of the Department</a:t>
          </a:r>
          <a:r>
            <a:rPr lang="en-US" sz="1100" baseline="0"/>
            <a:t> of Energy Resources Leading by Example (LBE) Conversions and GHG Calculator was published on </a:t>
          </a:r>
          <a:r>
            <a:rPr lang="en-US" sz="1100" baseline="0">
              <a:solidFill>
                <a:srgbClr val="FF0000"/>
              </a:solidFill>
            </a:rPr>
            <a:t>3/13/26</a:t>
          </a:r>
          <a:r>
            <a:rPr lang="en-US" sz="1100" baseline="0"/>
            <a:t>. Please visit the LBE Tools &amp; Resources webpage (</a:t>
          </a:r>
          <a:r>
            <a:rPr lang="en-US" sz="1100" baseline="0">
              <a:solidFill>
                <a:srgbClr val="00B050"/>
              </a:solidFill>
            </a:rPr>
            <a:t>https://www.mass.gov/info-details/leading-by-example-tools-and-resources</a:t>
          </a:r>
          <a:r>
            <a:rPr lang="en-US" sz="1100" baseline="0"/>
            <a:t>)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en-US" sz="1100" baseline="0"/>
            <a:t>to confirm you are using the most recent calculator.</a:t>
          </a:r>
        </a:p>
        <a:p>
          <a:endParaRPr lang="en-US" sz="1100" baseline="0"/>
        </a:p>
        <a:p>
          <a:r>
            <a:rPr lang="en-US" sz="1100" baseline="0">
              <a:solidFill>
                <a:sysClr val="windowText" lastClr="000000"/>
              </a:solidFill>
            </a:rPr>
            <a:t>The intent of this file is to calculate emissions for building &amp; vehicle energy usage as well as to translate energy consumption &amp; renewable generation into social equivalencies such as homes powered or cars removed from the road.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590550</xdr:colOff>
      <xdr:row>3</xdr:row>
      <xdr:rowOff>76200</xdr:rowOff>
    </xdr:from>
    <xdr:to>
      <xdr:col>2</xdr:col>
      <xdr:colOff>642701</xdr:colOff>
      <xdr:row>3</xdr:row>
      <xdr:rowOff>666750</xdr:rowOff>
    </xdr:to>
    <xdr:pic>
      <xdr:nvPicPr>
        <xdr:cNvPr id="4" name="Picture 3" descr="Leading by Example logo">
          <a:extLst>
            <a:ext uri="{FF2B5EF4-FFF2-40B4-BE49-F238E27FC236}">
              <a16:creationId xmlns:a16="http://schemas.microsoft.com/office/drawing/2014/main" id="{44AB7449-E2C4-8C7D-B246-D9172D26D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0" y="628650"/>
          <a:ext cx="661751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phia.vitello@mass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pa.gov/climateleadership/ghg-emission-factors-hub" TargetMode="External"/><Relationship Id="rId18" Type="http://schemas.openxmlformats.org/officeDocument/2006/relationships/hyperlink" Target="https://www.epa.gov/climateleadership/ghg-emission-factors-hub" TargetMode="External"/><Relationship Id="rId26" Type="http://schemas.openxmlformats.org/officeDocument/2006/relationships/hyperlink" Target="https://www.eia.gov/totalenergy/data/monthly/pdf/mer_b.pdf" TargetMode="External"/><Relationship Id="rId39" Type="http://schemas.openxmlformats.org/officeDocument/2006/relationships/hyperlink" Target="https://www.epa.gov/climateleadership/ghg-emission-factors-hub" TargetMode="External"/><Relationship Id="rId21" Type="http://schemas.openxmlformats.org/officeDocument/2006/relationships/hyperlink" Target="https://www.eia.gov/totalenergy/data/monthly/pdf/mer_b.pdf" TargetMode="External"/><Relationship Id="rId34" Type="http://schemas.openxmlformats.org/officeDocument/2006/relationships/hyperlink" Target="https://afdc.energy.gov/fuels/properties?fuels=GS,DS,ELEC,BD,ETH,CNG,LNG,LPG,HY,ME" TargetMode="External"/><Relationship Id="rId42" Type="http://schemas.openxmlformats.org/officeDocument/2006/relationships/hyperlink" Target="https://www.epa.gov/climateleadership/ghg-emission-factors-hub" TargetMode="External"/><Relationship Id="rId47" Type="http://schemas.openxmlformats.org/officeDocument/2006/relationships/hyperlink" Target="https://www.epa.gov/climateleadership/ghg-emission-factors-hub" TargetMode="External"/><Relationship Id="rId50" Type="http://schemas.openxmlformats.org/officeDocument/2006/relationships/comments" Target="../comments4.xml"/><Relationship Id="rId7" Type="http://schemas.openxmlformats.org/officeDocument/2006/relationships/hyperlink" Target="https://portfoliomanager.energystar.gov/pdf/reference/Emissions.pdf" TargetMode="External"/><Relationship Id="rId2" Type="http://schemas.openxmlformats.org/officeDocument/2006/relationships/hyperlink" Target="http://www.eia.gov/tools/faqs/faq.cfm?id=45&amp;t=8" TargetMode="External"/><Relationship Id="rId16" Type="http://schemas.openxmlformats.org/officeDocument/2006/relationships/hyperlink" Target="https://www.epa.gov/sites/default/files/2020-12/documents/mobileemissions.pdf" TargetMode="External"/><Relationship Id="rId29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11" Type="http://schemas.openxmlformats.org/officeDocument/2006/relationships/hyperlink" Target="https://www.energystar.gov/ia/business/tools_resources/target_finder/help/Energy_Units_Conversion_Table.htm" TargetMode="External"/><Relationship Id="rId24" Type="http://schemas.openxmlformats.org/officeDocument/2006/relationships/hyperlink" Target="https://www.eia.gov/totalenergy/data/monthly/pdf/mer_b.pdf" TargetMode="External"/><Relationship Id="rId32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7" Type="http://schemas.openxmlformats.org/officeDocument/2006/relationships/hyperlink" Target="https://www.epa.gov/climateleadership/ghg-emission-factors-hub" TargetMode="External"/><Relationship Id="rId40" Type="http://schemas.openxmlformats.org/officeDocument/2006/relationships/hyperlink" Target="https://www.epa.gov/climateleadership/ghg-emission-factors-hub" TargetMode="External"/><Relationship Id="rId45" Type="http://schemas.openxmlformats.org/officeDocument/2006/relationships/hyperlink" Target="https://www.epa.gov/climateleadership/ghg-emission-factors-hub" TargetMode="External"/><Relationship Id="rId5" Type="http://schemas.openxmlformats.org/officeDocument/2006/relationships/hyperlink" Target="https://www.eia.gov/consumption/residential/data/2020/c&amp;e/pdf/ce1.2.pdf" TargetMode="External"/><Relationship Id="rId15" Type="http://schemas.openxmlformats.org/officeDocument/2006/relationships/hyperlink" Target="https://www.epa.gov/climateleadership/ghg-emission-factors-hub" TargetMode="External"/><Relationship Id="rId23" Type="http://schemas.openxmlformats.org/officeDocument/2006/relationships/hyperlink" Target="https://www.eia.gov/totalenergy/data/monthly/pdf/mer_b.pdf" TargetMode="External"/><Relationship Id="rId28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6" Type="http://schemas.openxmlformats.org/officeDocument/2006/relationships/hyperlink" Target="https://www.epa.gov/climateleadership/ghg-emission-factors-hub" TargetMode="External"/><Relationship Id="rId49" Type="http://schemas.openxmlformats.org/officeDocument/2006/relationships/vmlDrawing" Target="../drawings/vmlDrawing4.vml"/><Relationship Id="rId10" Type="http://schemas.openxmlformats.org/officeDocument/2006/relationships/hyperlink" Target="https://afdc.energy.gov/fuels/properties?fuels=GS,DS,ELEC,BD,ETH,CNG,LNG,LPG,HY,ME" TargetMode="External"/><Relationship Id="rId19" Type="http://schemas.openxmlformats.org/officeDocument/2006/relationships/hyperlink" Target="https://portfoliomanager.energystar.gov/pdf/reference/Emissions.pdf" TargetMode="External"/><Relationship Id="rId31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44" Type="http://schemas.openxmlformats.org/officeDocument/2006/relationships/hyperlink" Target="https://www.epa.gov/climateleadership/ghg-emission-factors-hub" TargetMode="External"/><Relationship Id="rId4" Type="http://schemas.openxmlformats.org/officeDocument/2006/relationships/hyperlink" Target="https://atb.nrel.gov/electricity/2022/land-based_wind" TargetMode="External"/><Relationship Id="rId9" Type="http://schemas.openxmlformats.org/officeDocument/2006/relationships/hyperlink" Target="http://www.eia.gov/totalenergy/data/annual/pdf/sec12.pdf" TargetMode="External"/><Relationship Id="rId14" Type="http://schemas.openxmlformats.org/officeDocument/2006/relationships/hyperlink" Target="https://www.epa.gov/climateleadership/ghg-emission-factors-hub" TargetMode="External"/><Relationship Id="rId22" Type="http://schemas.openxmlformats.org/officeDocument/2006/relationships/hyperlink" Target="https://www.eia.gov/totalenergy/data/monthly/pdf/mer_b.pdf" TargetMode="External"/><Relationship Id="rId27" Type="http://schemas.openxmlformats.org/officeDocument/2006/relationships/hyperlink" Target="https://www.eia.gov/energyexplained/units-and-calculators/" TargetMode="External"/><Relationship Id="rId30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5" Type="http://schemas.openxmlformats.org/officeDocument/2006/relationships/hyperlink" Target="https://www.epa.gov/sites/default/files/2020-12/documents/mobileemissions.pdf" TargetMode="External"/><Relationship Id="rId43" Type="http://schemas.openxmlformats.org/officeDocument/2006/relationships/hyperlink" Target="https://www.epa.gov/climateleadership/ghg-emission-factors-hub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https://theclimateregistry.org/wp-content/uploads/2022/11/2022-Default-Emission-Factors-Final.pdf" TargetMode="External"/><Relationship Id="rId3" Type="http://schemas.openxmlformats.org/officeDocument/2006/relationships/hyperlink" Target="https://www.energy.gov/sites/prod/files/2021/01/f82/us-hydropower-market-report-full-2021.pdf" TargetMode="External"/><Relationship Id="rId12" Type="http://schemas.openxmlformats.org/officeDocument/2006/relationships/hyperlink" Target="https://www.eia.gov/energyexplained/units-and-calculators/british-thermal-units.php" TargetMode="External"/><Relationship Id="rId17" Type="http://schemas.openxmlformats.org/officeDocument/2006/relationships/hyperlink" Target="https://www.epa.gov/climateleadership/ghg-emission-factors-hub" TargetMode="External"/><Relationship Id="rId25" Type="http://schemas.openxmlformats.org/officeDocument/2006/relationships/hyperlink" Target="https://www.eia.gov/totalenergy/data/monthly/pdf/mer_b.pdf" TargetMode="External"/><Relationship Id="rId33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8" Type="http://schemas.openxmlformats.org/officeDocument/2006/relationships/hyperlink" Target="https://www.epa.gov/climateleadership/ghg-emission-factors-hub" TargetMode="External"/><Relationship Id="rId46" Type="http://schemas.openxmlformats.org/officeDocument/2006/relationships/hyperlink" Target="https://www.epa.gov/climateleadership/ghg-emission-factors-hub" TargetMode="External"/><Relationship Id="rId20" Type="http://schemas.openxmlformats.org/officeDocument/2006/relationships/hyperlink" Target="https://www.epa.gov/climateleadership/ghg-emission-factors-hub" TargetMode="External"/><Relationship Id="rId41" Type="http://schemas.openxmlformats.org/officeDocument/2006/relationships/hyperlink" Target="https://www.epa.gov/climateleadership/ghg-emission-factors-hub" TargetMode="External"/><Relationship Id="rId1" Type="http://schemas.openxmlformats.org/officeDocument/2006/relationships/hyperlink" Target="https://www.epa.gov/greenvehicles/tailpipe-greenhouse-gas-emissions-typical-passenger-vehicle" TargetMode="External"/><Relationship Id="rId6" Type="http://schemas.openxmlformats.org/officeDocument/2006/relationships/hyperlink" Target="http://www.eia.gov/totalenergy/data/annual/pdf/sec12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L41"/>
  <sheetViews>
    <sheetView showGridLines="0" tabSelected="1" topLeftCell="B1" workbookViewId="0">
      <selection activeCell="E4" sqref="E4"/>
    </sheetView>
  </sheetViews>
  <sheetFormatPr defaultColWidth="0" defaultRowHeight="14.5" zeroHeight="1" x14ac:dyDescent="0.35"/>
  <cols>
    <col min="1" max="2" width="9.1796875" customWidth="1"/>
    <col min="3" max="3" width="79" customWidth="1"/>
    <col min="4" max="6" width="9.1796875" customWidth="1"/>
    <col min="7" max="12" width="0" hidden="1" customWidth="1"/>
    <col min="13" max="16384" width="9.1796875" hidden="1"/>
  </cols>
  <sheetData>
    <row r="1" spans="1:6" x14ac:dyDescent="0.35"/>
    <row r="2" spans="1:6" x14ac:dyDescent="0.35"/>
    <row r="3" spans="1:6" x14ac:dyDescent="0.35"/>
    <row r="4" spans="1:6" ht="120" customHeight="1" x14ac:dyDescent="0.35">
      <c r="A4" s="49"/>
      <c r="B4" s="49"/>
      <c r="C4" s="49"/>
      <c r="D4" s="49"/>
      <c r="E4" s="49"/>
      <c r="F4" s="49"/>
    </row>
    <row r="5" spans="1:6" ht="30.65" customHeight="1" x14ac:dyDescent="0.35">
      <c r="A5" s="49"/>
      <c r="B5" s="49"/>
      <c r="C5" s="220" t="s">
        <v>312</v>
      </c>
      <c r="D5" s="293"/>
      <c r="E5" s="49"/>
      <c r="F5" s="49"/>
    </row>
    <row r="6" spans="1:6" ht="30.65" customHeight="1" x14ac:dyDescent="0.35">
      <c r="A6" s="49"/>
      <c r="B6" s="49"/>
      <c r="C6" s="220" t="s">
        <v>313</v>
      </c>
      <c r="D6" s="293"/>
      <c r="E6" s="49"/>
      <c r="F6" s="49"/>
    </row>
    <row r="7" spans="1:6" ht="14.5" customHeight="1" x14ac:dyDescent="0.35">
      <c r="A7" s="49"/>
      <c r="B7" s="49"/>
      <c r="C7" s="49"/>
      <c r="E7" s="49"/>
      <c r="F7" s="49"/>
    </row>
    <row r="8" spans="1:6" x14ac:dyDescent="0.35">
      <c r="A8" s="49"/>
      <c r="B8" s="49"/>
      <c r="C8" s="221" t="s">
        <v>0</v>
      </c>
      <c r="D8" s="294"/>
      <c r="E8" s="49"/>
      <c r="F8" s="49"/>
    </row>
    <row r="9" spans="1:6" ht="15" customHeight="1" x14ac:dyDescent="0.35">
      <c r="A9" s="49"/>
      <c r="B9" s="49"/>
      <c r="C9" s="298" t="s">
        <v>314</v>
      </c>
      <c r="D9" s="76"/>
      <c r="E9" s="49"/>
      <c r="F9" s="49"/>
    </row>
    <row r="10" spans="1:6" x14ac:dyDescent="0.35">
      <c r="A10" s="49"/>
      <c r="B10" s="49"/>
      <c r="C10" s="299" t="s">
        <v>315</v>
      </c>
      <c r="D10" s="76"/>
      <c r="E10" s="49"/>
      <c r="F10" s="49"/>
    </row>
    <row r="11" spans="1:6" ht="15" thickBot="1" x14ac:dyDescent="0.4">
      <c r="A11" s="49"/>
      <c r="B11" s="49"/>
      <c r="C11" s="49"/>
      <c r="E11" s="49"/>
      <c r="F11" s="49"/>
    </row>
    <row r="12" spans="1:6" x14ac:dyDescent="0.35">
      <c r="A12" s="49"/>
      <c r="B12" s="49"/>
      <c r="C12" s="301" t="s">
        <v>1</v>
      </c>
      <c r="D12" s="294"/>
      <c r="E12" s="49"/>
      <c r="F12" s="49"/>
    </row>
    <row r="13" spans="1:6" ht="15" customHeight="1" x14ac:dyDescent="0.35">
      <c r="A13" s="49"/>
      <c r="B13" s="49"/>
      <c r="C13" s="298" t="s">
        <v>316</v>
      </c>
      <c r="D13" s="76"/>
      <c r="E13" s="49"/>
      <c r="F13" s="49"/>
    </row>
    <row r="14" spans="1:6" x14ac:dyDescent="0.35">
      <c r="A14" s="49"/>
      <c r="B14" s="49"/>
      <c r="C14" s="302" t="s">
        <v>317</v>
      </c>
      <c r="D14" s="76"/>
      <c r="E14" s="49"/>
      <c r="F14" s="49"/>
    </row>
    <row r="15" spans="1:6" x14ac:dyDescent="0.35">
      <c r="A15" s="49"/>
      <c r="B15" s="49"/>
      <c r="C15" s="298"/>
      <c r="D15" s="295"/>
      <c r="E15" s="49"/>
      <c r="F15" s="49"/>
    </row>
    <row r="16" spans="1:6" ht="14.5" customHeight="1" x14ac:dyDescent="0.35">
      <c r="A16" s="49"/>
      <c r="B16" s="49"/>
      <c r="C16" s="298" t="s">
        <v>318</v>
      </c>
      <c r="D16" s="76"/>
      <c r="E16" s="49"/>
      <c r="F16" s="49"/>
    </row>
    <row r="17" spans="1:6" x14ac:dyDescent="0.35">
      <c r="A17" s="49"/>
      <c r="B17" s="49"/>
      <c r="C17" s="302" t="s">
        <v>319</v>
      </c>
      <c r="D17" s="76"/>
      <c r="E17" s="49"/>
      <c r="F17" s="49"/>
    </row>
    <row r="18" spans="1:6" x14ac:dyDescent="0.35">
      <c r="A18" s="49"/>
      <c r="B18" s="49"/>
      <c r="C18" s="298"/>
      <c r="D18" s="76"/>
      <c r="E18" s="49"/>
      <c r="F18" s="49"/>
    </row>
    <row r="19" spans="1:6" ht="14.5" customHeight="1" x14ac:dyDescent="0.35">
      <c r="A19" s="49"/>
      <c r="B19" s="49"/>
      <c r="C19" s="298" t="s">
        <v>320</v>
      </c>
      <c r="D19" s="76"/>
      <c r="E19" s="49"/>
      <c r="F19" s="49"/>
    </row>
    <row r="20" spans="1:6" x14ac:dyDescent="0.35">
      <c r="A20" s="49"/>
      <c r="B20" s="49"/>
      <c r="C20" s="302" t="s">
        <v>321</v>
      </c>
      <c r="D20" s="76"/>
      <c r="E20" s="49"/>
      <c r="F20" s="49"/>
    </row>
    <row r="21" spans="1:6" x14ac:dyDescent="0.35">
      <c r="A21" s="49"/>
      <c r="B21" s="49"/>
      <c r="C21" s="292"/>
      <c r="D21" s="295"/>
      <c r="E21" s="49"/>
      <c r="F21" s="49"/>
    </row>
    <row r="22" spans="1:6" ht="15" customHeight="1" x14ac:dyDescent="0.35">
      <c r="A22" s="49"/>
      <c r="B22" s="49"/>
      <c r="C22" s="303" t="s">
        <v>2</v>
      </c>
      <c r="D22" s="296"/>
      <c r="E22" s="49"/>
      <c r="F22" s="49"/>
    </row>
    <row r="23" spans="1:6" x14ac:dyDescent="0.35">
      <c r="A23" s="49"/>
      <c r="B23" s="49"/>
      <c r="C23" s="300"/>
      <c r="E23" s="49"/>
      <c r="F23" s="49"/>
    </row>
    <row r="24" spans="1:6" ht="15" customHeight="1" x14ac:dyDescent="0.35">
      <c r="A24" s="49"/>
      <c r="B24" s="49"/>
      <c r="C24" s="304" t="s">
        <v>322</v>
      </c>
      <c r="D24" s="297"/>
      <c r="E24" s="49"/>
      <c r="F24" s="49"/>
    </row>
    <row r="25" spans="1:6" x14ac:dyDescent="0.35">
      <c r="A25" s="49"/>
      <c r="B25" s="49"/>
      <c r="C25" s="305" t="s">
        <v>324</v>
      </c>
      <c r="D25" s="297"/>
      <c r="E25" s="49"/>
      <c r="F25" s="49"/>
    </row>
    <row r="26" spans="1:6" x14ac:dyDescent="0.35">
      <c r="A26" s="49"/>
      <c r="B26" s="49"/>
      <c r="C26" s="306" t="s">
        <v>323</v>
      </c>
      <c r="D26" s="297"/>
      <c r="E26" s="49"/>
      <c r="F26" s="49"/>
    </row>
    <row r="27" spans="1:6" x14ac:dyDescent="0.35">
      <c r="A27" s="49"/>
      <c r="B27" s="49"/>
      <c r="C27" s="49"/>
      <c r="D27" s="49"/>
      <c r="E27" s="49"/>
      <c r="F27" s="49"/>
    </row>
    <row r="28" spans="1:6" x14ac:dyDescent="0.35">
      <c r="A28" s="49"/>
      <c r="B28" s="49"/>
      <c r="C28" s="162"/>
      <c r="D28" s="49"/>
      <c r="E28" s="49"/>
      <c r="F28" s="49"/>
    </row>
    <row r="29" spans="1:6" ht="14.25" customHeight="1" x14ac:dyDescent="0.35">
      <c r="A29" s="49"/>
      <c r="B29" s="49"/>
      <c r="C29" s="49"/>
      <c r="D29" s="49"/>
      <c r="E29" s="49"/>
      <c r="F29" s="49"/>
    </row>
    <row r="30" spans="1:6" x14ac:dyDescent="0.35"/>
    <row r="31" spans="1:6" x14ac:dyDescent="0.35"/>
    <row r="32" spans="1:6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</sheetData>
  <hyperlinks>
    <hyperlink ref="C26" r:id="rId1" xr:uid="{5BB0AFAE-1893-44D4-B840-56F69B4A5759}"/>
  </hyperlinks>
  <printOptions horizontalCentered="1" verticalCentered="1"/>
  <pageMargins left="0.7" right="0.7" top="0.75" bottom="0.75" header="0.3" footer="0.3"/>
  <pageSetup scale="8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VK45"/>
  <sheetViews>
    <sheetView showGridLines="0" topLeftCell="A4" zoomScale="90" zoomScaleNormal="90" workbookViewId="0">
      <selection activeCell="A3" sqref="A3"/>
    </sheetView>
  </sheetViews>
  <sheetFormatPr defaultColWidth="0" defaultRowHeight="14.5" zeroHeight="1" x14ac:dyDescent="0.35"/>
  <cols>
    <col min="1" max="1" width="18.81640625" style="76" customWidth="1"/>
    <col min="2" max="2" width="22.453125" style="76" bestFit="1" customWidth="1"/>
    <col min="3" max="3" width="22.81640625" style="12" customWidth="1"/>
    <col min="4" max="4" width="22.81640625" style="68" customWidth="1"/>
    <col min="5" max="5" width="22.81640625" style="69" customWidth="1"/>
    <col min="6" max="9" width="22.81640625" customWidth="1"/>
    <col min="10" max="11" width="9.1796875" customWidth="1"/>
    <col min="12" max="254" width="9.1796875" hidden="1"/>
    <col min="255" max="255" width="31" hidden="1"/>
    <col min="256" max="256" width="13.1796875" hidden="1"/>
    <col min="257" max="257" width="36.453125" hidden="1"/>
    <col min="258" max="258" width="11.453125" hidden="1"/>
    <col min="259" max="259" width="25.7265625" hidden="1"/>
    <col min="260" max="510" width="9.1796875" hidden="1"/>
    <col min="511" max="511" width="31" hidden="1"/>
    <col min="512" max="512" width="13.1796875" hidden="1"/>
    <col min="513" max="513" width="36.453125" hidden="1"/>
    <col min="514" max="514" width="11.453125" hidden="1"/>
    <col min="515" max="515" width="25.7265625" hidden="1"/>
    <col min="516" max="766" width="9.1796875" hidden="1"/>
    <col min="767" max="767" width="31" hidden="1"/>
    <col min="768" max="768" width="13.1796875" hidden="1"/>
    <col min="769" max="769" width="36.453125" hidden="1"/>
    <col min="770" max="770" width="11.453125" hidden="1"/>
    <col min="771" max="771" width="25.7265625" hidden="1"/>
    <col min="772" max="1022" width="9.1796875" hidden="1"/>
    <col min="1023" max="1023" width="31" hidden="1"/>
    <col min="1024" max="1024" width="13.1796875" hidden="1"/>
    <col min="1025" max="1025" width="36.453125" hidden="1"/>
    <col min="1026" max="1026" width="11.453125" hidden="1"/>
    <col min="1027" max="1027" width="25.7265625" hidden="1"/>
    <col min="1028" max="1278" width="9.1796875" hidden="1"/>
    <col min="1279" max="1279" width="31" hidden="1"/>
    <col min="1280" max="1280" width="13.1796875" hidden="1"/>
    <col min="1281" max="1281" width="36.453125" hidden="1"/>
    <col min="1282" max="1282" width="11.453125" hidden="1"/>
    <col min="1283" max="1283" width="25.7265625" hidden="1"/>
    <col min="1284" max="1534" width="9.1796875" hidden="1"/>
    <col min="1535" max="1535" width="31" hidden="1"/>
    <col min="1536" max="1536" width="13.1796875" hidden="1"/>
    <col min="1537" max="1537" width="36.453125" hidden="1"/>
    <col min="1538" max="1538" width="11.453125" hidden="1"/>
    <col min="1539" max="1539" width="25.7265625" hidden="1"/>
    <col min="1540" max="1790" width="9.1796875" hidden="1"/>
    <col min="1791" max="1791" width="31" hidden="1"/>
    <col min="1792" max="1792" width="13.1796875" hidden="1"/>
    <col min="1793" max="1793" width="36.453125" hidden="1"/>
    <col min="1794" max="1794" width="11.453125" hidden="1"/>
    <col min="1795" max="1795" width="25.7265625" hidden="1"/>
    <col min="1796" max="2046" width="9.1796875" hidden="1"/>
    <col min="2047" max="2047" width="31" hidden="1"/>
    <col min="2048" max="2048" width="13.1796875" hidden="1"/>
    <col min="2049" max="2049" width="36.453125" hidden="1"/>
    <col min="2050" max="2050" width="11.453125" hidden="1"/>
    <col min="2051" max="2051" width="25.7265625" hidden="1"/>
    <col min="2052" max="2302" width="9.1796875" hidden="1"/>
    <col min="2303" max="2303" width="31" hidden="1"/>
    <col min="2304" max="2304" width="13.1796875" hidden="1"/>
    <col min="2305" max="2305" width="36.453125" hidden="1"/>
    <col min="2306" max="2306" width="11.453125" hidden="1"/>
    <col min="2307" max="2307" width="25.7265625" hidden="1"/>
    <col min="2308" max="2558" width="9.1796875" hidden="1"/>
    <col min="2559" max="2559" width="31" hidden="1"/>
    <col min="2560" max="2560" width="13.1796875" hidden="1"/>
    <col min="2561" max="2561" width="36.453125" hidden="1"/>
    <col min="2562" max="2562" width="11.453125" hidden="1"/>
    <col min="2563" max="2563" width="25.7265625" hidden="1"/>
    <col min="2564" max="2814" width="9.1796875" hidden="1"/>
    <col min="2815" max="2815" width="31" hidden="1"/>
    <col min="2816" max="2816" width="13.1796875" hidden="1"/>
    <col min="2817" max="2817" width="36.453125" hidden="1"/>
    <col min="2818" max="2818" width="11.453125" hidden="1"/>
    <col min="2819" max="2819" width="25.7265625" hidden="1"/>
    <col min="2820" max="3070" width="9.1796875" hidden="1"/>
    <col min="3071" max="3071" width="31" hidden="1"/>
    <col min="3072" max="3072" width="13.1796875" hidden="1"/>
    <col min="3073" max="3073" width="36.453125" hidden="1"/>
    <col min="3074" max="3074" width="11.453125" hidden="1"/>
    <col min="3075" max="3075" width="25.7265625" hidden="1"/>
    <col min="3076" max="3326" width="9.1796875" hidden="1"/>
    <col min="3327" max="3327" width="31" hidden="1"/>
    <col min="3328" max="3328" width="13.1796875" hidden="1"/>
    <col min="3329" max="3329" width="36.453125" hidden="1"/>
    <col min="3330" max="3330" width="11.453125" hidden="1"/>
    <col min="3331" max="3331" width="25.7265625" hidden="1"/>
    <col min="3332" max="3582" width="9.1796875" hidden="1"/>
    <col min="3583" max="3583" width="31" hidden="1"/>
    <col min="3584" max="3584" width="13.1796875" hidden="1"/>
    <col min="3585" max="3585" width="36.453125" hidden="1"/>
    <col min="3586" max="3586" width="11.453125" hidden="1"/>
    <col min="3587" max="3587" width="25.7265625" hidden="1"/>
    <col min="3588" max="3838" width="9.1796875" hidden="1"/>
    <col min="3839" max="3839" width="31" hidden="1"/>
    <col min="3840" max="3840" width="13.1796875" hidden="1"/>
    <col min="3841" max="3841" width="36.453125" hidden="1"/>
    <col min="3842" max="3842" width="11.453125" hidden="1"/>
    <col min="3843" max="3843" width="25.7265625" hidden="1"/>
    <col min="3844" max="4094" width="9.1796875" hidden="1"/>
    <col min="4095" max="4095" width="31" hidden="1"/>
    <col min="4096" max="4096" width="13.1796875" hidden="1"/>
    <col min="4097" max="4097" width="36.453125" hidden="1"/>
    <col min="4098" max="4098" width="11.453125" hidden="1"/>
    <col min="4099" max="4099" width="25.7265625" hidden="1"/>
    <col min="4100" max="4350" width="9.1796875" hidden="1"/>
    <col min="4351" max="4351" width="31" hidden="1"/>
    <col min="4352" max="4352" width="13.1796875" hidden="1"/>
    <col min="4353" max="4353" width="36.453125" hidden="1"/>
    <col min="4354" max="4354" width="11.453125" hidden="1"/>
    <col min="4355" max="4355" width="25.7265625" hidden="1"/>
    <col min="4356" max="4606" width="9.1796875" hidden="1"/>
    <col min="4607" max="4607" width="31" hidden="1"/>
    <col min="4608" max="4608" width="13.1796875" hidden="1"/>
    <col min="4609" max="4609" width="36.453125" hidden="1"/>
    <col min="4610" max="4610" width="11.453125" hidden="1"/>
    <col min="4611" max="4611" width="25.7265625" hidden="1"/>
    <col min="4612" max="4862" width="9.1796875" hidden="1"/>
    <col min="4863" max="4863" width="31" hidden="1"/>
    <col min="4864" max="4864" width="13.1796875" hidden="1"/>
    <col min="4865" max="4865" width="36.453125" hidden="1"/>
    <col min="4866" max="4866" width="11.453125" hidden="1"/>
    <col min="4867" max="4867" width="25.7265625" hidden="1"/>
    <col min="4868" max="5118" width="9.1796875" hidden="1"/>
    <col min="5119" max="5119" width="31" hidden="1"/>
    <col min="5120" max="5120" width="13.1796875" hidden="1"/>
    <col min="5121" max="5121" width="36.453125" hidden="1"/>
    <col min="5122" max="5122" width="11.453125" hidden="1"/>
    <col min="5123" max="5123" width="25.7265625" hidden="1"/>
    <col min="5124" max="5374" width="9.1796875" hidden="1"/>
    <col min="5375" max="5375" width="31" hidden="1"/>
    <col min="5376" max="5376" width="13.1796875" hidden="1"/>
    <col min="5377" max="5377" width="36.453125" hidden="1"/>
    <col min="5378" max="5378" width="11.453125" hidden="1"/>
    <col min="5379" max="5379" width="25.7265625" hidden="1"/>
    <col min="5380" max="5630" width="9.1796875" hidden="1"/>
    <col min="5631" max="5631" width="31" hidden="1"/>
    <col min="5632" max="5632" width="13.1796875" hidden="1"/>
    <col min="5633" max="5633" width="36.453125" hidden="1"/>
    <col min="5634" max="5634" width="11.453125" hidden="1"/>
    <col min="5635" max="5635" width="25.7265625" hidden="1"/>
    <col min="5636" max="5886" width="9.1796875" hidden="1"/>
    <col min="5887" max="5887" width="31" hidden="1"/>
    <col min="5888" max="5888" width="13.1796875" hidden="1"/>
    <col min="5889" max="5889" width="36.453125" hidden="1"/>
    <col min="5890" max="5890" width="11.453125" hidden="1"/>
    <col min="5891" max="5891" width="25.7265625" hidden="1"/>
    <col min="5892" max="6142" width="9.1796875" hidden="1"/>
    <col min="6143" max="6143" width="31" hidden="1"/>
    <col min="6144" max="6144" width="13.1796875" hidden="1"/>
    <col min="6145" max="6145" width="36.453125" hidden="1"/>
    <col min="6146" max="6146" width="11.453125" hidden="1"/>
    <col min="6147" max="6147" width="25.7265625" hidden="1"/>
    <col min="6148" max="6398" width="9.1796875" hidden="1"/>
    <col min="6399" max="6399" width="31" hidden="1"/>
    <col min="6400" max="6400" width="13.1796875" hidden="1"/>
    <col min="6401" max="6401" width="36.453125" hidden="1"/>
    <col min="6402" max="6402" width="11.453125" hidden="1"/>
    <col min="6403" max="6403" width="25.7265625" hidden="1"/>
    <col min="6404" max="6654" width="9.1796875" hidden="1"/>
    <col min="6655" max="6655" width="31" hidden="1"/>
    <col min="6656" max="6656" width="13.1796875" hidden="1"/>
    <col min="6657" max="6657" width="36.453125" hidden="1"/>
    <col min="6658" max="6658" width="11.453125" hidden="1"/>
    <col min="6659" max="6659" width="25.7265625" hidden="1"/>
    <col min="6660" max="6910" width="9.1796875" hidden="1"/>
    <col min="6911" max="6911" width="31" hidden="1"/>
    <col min="6912" max="6912" width="13.1796875" hidden="1"/>
    <col min="6913" max="6913" width="36.453125" hidden="1"/>
    <col min="6914" max="6914" width="11.453125" hidden="1"/>
    <col min="6915" max="6915" width="25.7265625" hidden="1"/>
    <col min="6916" max="7166" width="9.1796875" hidden="1"/>
    <col min="7167" max="7167" width="31" hidden="1"/>
    <col min="7168" max="7168" width="13.1796875" hidden="1"/>
    <col min="7169" max="7169" width="36.453125" hidden="1"/>
    <col min="7170" max="7170" width="11.453125" hidden="1"/>
    <col min="7171" max="7171" width="25.7265625" hidden="1"/>
    <col min="7172" max="7422" width="9.1796875" hidden="1"/>
    <col min="7423" max="7423" width="31" hidden="1"/>
    <col min="7424" max="7424" width="13.1796875" hidden="1"/>
    <col min="7425" max="7425" width="36.453125" hidden="1"/>
    <col min="7426" max="7426" width="11.453125" hidden="1"/>
    <col min="7427" max="7427" width="25.7265625" hidden="1"/>
    <col min="7428" max="7678" width="9.1796875" hidden="1"/>
    <col min="7679" max="7679" width="31" hidden="1"/>
    <col min="7680" max="7680" width="13.1796875" hidden="1"/>
    <col min="7681" max="7681" width="36.453125" hidden="1"/>
    <col min="7682" max="7682" width="11.453125" hidden="1"/>
    <col min="7683" max="7683" width="25.7265625" hidden="1"/>
    <col min="7684" max="7934" width="9.1796875" hidden="1"/>
    <col min="7935" max="7935" width="31" hidden="1"/>
    <col min="7936" max="7936" width="13.1796875" hidden="1"/>
    <col min="7937" max="7937" width="36.453125" hidden="1"/>
    <col min="7938" max="7938" width="11.453125" hidden="1"/>
    <col min="7939" max="7939" width="25.7265625" hidden="1"/>
    <col min="7940" max="8190" width="9.1796875" hidden="1"/>
    <col min="8191" max="8191" width="31" hidden="1"/>
    <col min="8192" max="8192" width="13.1796875" hidden="1"/>
    <col min="8193" max="8193" width="36.453125" hidden="1"/>
    <col min="8194" max="8194" width="11.453125" hidden="1"/>
    <col min="8195" max="8195" width="25.7265625" hidden="1"/>
    <col min="8196" max="8446" width="9.1796875" hidden="1"/>
    <col min="8447" max="8447" width="31" hidden="1"/>
    <col min="8448" max="8448" width="13.1796875" hidden="1"/>
    <col min="8449" max="8449" width="36.453125" hidden="1"/>
    <col min="8450" max="8450" width="11.453125" hidden="1"/>
    <col min="8451" max="8451" width="25.7265625" hidden="1"/>
    <col min="8452" max="8702" width="9.1796875" hidden="1"/>
    <col min="8703" max="8703" width="31" hidden="1"/>
    <col min="8704" max="8704" width="13.1796875" hidden="1"/>
    <col min="8705" max="8705" width="36.453125" hidden="1"/>
    <col min="8706" max="8706" width="11.453125" hidden="1"/>
    <col min="8707" max="8707" width="25.7265625" hidden="1"/>
    <col min="8708" max="8958" width="9.1796875" hidden="1"/>
    <col min="8959" max="8959" width="31" hidden="1"/>
    <col min="8960" max="8960" width="13.1796875" hidden="1"/>
    <col min="8961" max="8961" width="36.453125" hidden="1"/>
    <col min="8962" max="8962" width="11.453125" hidden="1"/>
    <col min="8963" max="8963" width="25.7265625" hidden="1"/>
    <col min="8964" max="9214" width="9.1796875" hidden="1"/>
    <col min="9215" max="9215" width="31" hidden="1"/>
    <col min="9216" max="9216" width="13.1796875" hidden="1"/>
    <col min="9217" max="9217" width="36.453125" hidden="1"/>
    <col min="9218" max="9218" width="11.453125" hidden="1"/>
    <col min="9219" max="9219" width="25.7265625" hidden="1"/>
    <col min="9220" max="9470" width="9.1796875" hidden="1"/>
    <col min="9471" max="9471" width="31" hidden="1"/>
    <col min="9472" max="9472" width="13.1796875" hidden="1"/>
    <col min="9473" max="9473" width="36.453125" hidden="1"/>
    <col min="9474" max="9474" width="11.453125" hidden="1"/>
    <col min="9475" max="9475" width="25.7265625" hidden="1"/>
    <col min="9476" max="9726" width="9.1796875" hidden="1"/>
    <col min="9727" max="9727" width="31" hidden="1"/>
    <col min="9728" max="9728" width="13.1796875" hidden="1"/>
    <col min="9729" max="9729" width="36.453125" hidden="1"/>
    <col min="9730" max="9730" width="11.453125" hidden="1"/>
    <col min="9731" max="9731" width="25.7265625" hidden="1"/>
    <col min="9732" max="9982" width="9.1796875" hidden="1"/>
    <col min="9983" max="9983" width="31" hidden="1"/>
    <col min="9984" max="9984" width="13.1796875" hidden="1"/>
    <col min="9985" max="9985" width="36.453125" hidden="1"/>
    <col min="9986" max="9986" width="11.453125" hidden="1"/>
    <col min="9987" max="9987" width="25.7265625" hidden="1"/>
    <col min="9988" max="10238" width="9.1796875" hidden="1"/>
    <col min="10239" max="10239" width="31" hidden="1"/>
    <col min="10240" max="10240" width="13.1796875" hidden="1"/>
    <col min="10241" max="10241" width="36.453125" hidden="1"/>
    <col min="10242" max="10242" width="11.453125" hidden="1"/>
    <col min="10243" max="10243" width="25.7265625" hidden="1"/>
    <col min="10244" max="10494" width="9.1796875" hidden="1"/>
    <col min="10495" max="10495" width="31" hidden="1"/>
    <col min="10496" max="10496" width="13.1796875" hidden="1"/>
    <col min="10497" max="10497" width="36.453125" hidden="1"/>
    <col min="10498" max="10498" width="11.453125" hidden="1"/>
    <col min="10499" max="10499" width="25.7265625" hidden="1"/>
    <col min="10500" max="10750" width="9.1796875" hidden="1"/>
    <col min="10751" max="10751" width="31" hidden="1"/>
    <col min="10752" max="10752" width="13.1796875" hidden="1"/>
    <col min="10753" max="10753" width="36.453125" hidden="1"/>
    <col min="10754" max="10754" width="11.453125" hidden="1"/>
    <col min="10755" max="10755" width="25.7265625" hidden="1"/>
    <col min="10756" max="11006" width="9.1796875" hidden="1"/>
    <col min="11007" max="11007" width="31" hidden="1"/>
    <col min="11008" max="11008" width="13.1796875" hidden="1"/>
    <col min="11009" max="11009" width="36.453125" hidden="1"/>
    <col min="11010" max="11010" width="11.453125" hidden="1"/>
    <col min="11011" max="11011" width="25.7265625" hidden="1"/>
    <col min="11012" max="11262" width="9.1796875" hidden="1"/>
    <col min="11263" max="11263" width="31" hidden="1"/>
    <col min="11264" max="11264" width="13.1796875" hidden="1"/>
    <col min="11265" max="11265" width="36.453125" hidden="1"/>
    <col min="11266" max="11266" width="11.453125" hidden="1"/>
    <col min="11267" max="11267" width="25.7265625" hidden="1"/>
    <col min="11268" max="11518" width="9.1796875" hidden="1"/>
    <col min="11519" max="11519" width="31" hidden="1"/>
    <col min="11520" max="11520" width="13.1796875" hidden="1"/>
    <col min="11521" max="11521" width="36.453125" hidden="1"/>
    <col min="11522" max="11522" width="11.453125" hidden="1"/>
    <col min="11523" max="11523" width="25.7265625" hidden="1"/>
    <col min="11524" max="11774" width="9.1796875" hidden="1"/>
    <col min="11775" max="11775" width="31" hidden="1"/>
    <col min="11776" max="11776" width="13.1796875" hidden="1"/>
    <col min="11777" max="11777" width="36.453125" hidden="1"/>
    <col min="11778" max="11778" width="11.453125" hidden="1"/>
    <col min="11779" max="11779" width="25.7265625" hidden="1"/>
    <col min="11780" max="12030" width="9.1796875" hidden="1"/>
    <col min="12031" max="12031" width="31" hidden="1"/>
    <col min="12032" max="12032" width="13.1796875" hidden="1"/>
    <col min="12033" max="12033" width="36.453125" hidden="1"/>
    <col min="12034" max="12034" width="11.453125" hidden="1"/>
    <col min="12035" max="12035" width="25.7265625" hidden="1"/>
    <col min="12036" max="12286" width="9.1796875" hidden="1"/>
    <col min="12287" max="12287" width="31" hidden="1"/>
    <col min="12288" max="12288" width="13.1796875" hidden="1"/>
    <col min="12289" max="12289" width="36.453125" hidden="1"/>
    <col min="12290" max="12290" width="11.453125" hidden="1"/>
    <col min="12291" max="12291" width="25.7265625" hidden="1"/>
    <col min="12292" max="12542" width="9.1796875" hidden="1"/>
    <col min="12543" max="12543" width="31" hidden="1"/>
    <col min="12544" max="12544" width="13.1796875" hidden="1"/>
    <col min="12545" max="12545" width="36.453125" hidden="1"/>
    <col min="12546" max="12546" width="11.453125" hidden="1"/>
    <col min="12547" max="12547" width="25.7265625" hidden="1"/>
    <col min="12548" max="12798" width="9.1796875" hidden="1"/>
    <col min="12799" max="12799" width="31" hidden="1"/>
    <col min="12800" max="12800" width="13.1796875" hidden="1"/>
    <col min="12801" max="12801" width="36.453125" hidden="1"/>
    <col min="12802" max="12802" width="11.453125" hidden="1"/>
    <col min="12803" max="12803" width="25.7265625" hidden="1"/>
    <col min="12804" max="13054" width="9.1796875" hidden="1"/>
    <col min="13055" max="13055" width="31" hidden="1"/>
    <col min="13056" max="13056" width="13.1796875" hidden="1"/>
    <col min="13057" max="13057" width="36.453125" hidden="1"/>
    <col min="13058" max="13058" width="11.453125" hidden="1"/>
    <col min="13059" max="13059" width="25.7265625" hidden="1"/>
    <col min="13060" max="13310" width="9.1796875" hidden="1"/>
    <col min="13311" max="13311" width="31" hidden="1"/>
    <col min="13312" max="13312" width="13.1796875" hidden="1"/>
    <col min="13313" max="13313" width="36.453125" hidden="1"/>
    <col min="13314" max="13314" width="11.453125" hidden="1"/>
    <col min="13315" max="13315" width="25.7265625" hidden="1"/>
    <col min="13316" max="13566" width="9.1796875" hidden="1"/>
    <col min="13567" max="13567" width="31" hidden="1"/>
    <col min="13568" max="13568" width="13.1796875" hidden="1"/>
    <col min="13569" max="13569" width="36.453125" hidden="1"/>
    <col min="13570" max="13570" width="11.453125" hidden="1"/>
    <col min="13571" max="13571" width="25.7265625" hidden="1"/>
    <col min="13572" max="13822" width="9.1796875" hidden="1"/>
    <col min="13823" max="13823" width="31" hidden="1"/>
    <col min="13824" max="13824" width="13.1796875" hidden="1"/>
    <col min="13825" max="13825" width="36.453125" hidden="1"/>
    <col min="13826" max="13826" width="11.453125" hidden="1"/>
    <col min="13827" max="13827" width="25.7265625" hidden="1"/>
    <col min="13828" max="14078" width="9.1796875" hidden="1"/>
    <col min="14079" max="14079" width="31" hidden="1"/>
    <col min="14080" max="14080" width="13.1796875" hidden="1"/>
    <col min="14081" max="14081" width="36.453125" hidden="1"/>
    <col min="14082" max="14082" width="11.453125" hidden="1"/>
    <col min="14083" max="14083" width="25.7265625" hidden="1"/>
    <col min="14084" max="14334" width="9.1796875" hidden="1"/>
    <col min="14335" max="14335" width="31" hidden="1"/>
    <col min="14336" max="14336" width="13.1796875" hidden="1"/>
    <col min="14337" max="14337" width="36.453125" hidden="1"/>
    <col min="14338" max="14338" width="11.453125" hidden="1"/>
    <col min="14339" max="14339" width="25.7265625" hidden="1"/>
    <col min="14340" max="14590" width="9.1796875" hidden="1"/>
    <col min="14591" max="14591" width="31" hidden="1"/>
    <col min="14592" max="14592" width="13.1796875" hidden="1"/>
    <col min="14593" max="14593" width="36.453125" hidden="1"/>
    <col min="14594" max="14594" width="11.453125" hidden="1"/>
    <col min="14595" max="14595" width="25.7265625" hidden="1"/>
    <col min="14596" max="14846" width="9.1796875" hidden="1"/>
    <col min="14847" max="14847" width="31" hidden="1"/>
    <col min="14848" max="14848" width="13.1796875" hidden="1"/>
    <col min="14849" max="14849" width="36.453125" hidden="1"/>
    <col min="14850" max="14850" width="11.453125" hidden="1"/>
    <col min="14851" max="14851" width="25.7265625" hidden="1"/>
    <col min="14852" max="15102" width="9.1796875" hidden="1"/>
    <col min="15103" max="15103" width="31" hidden="1"/>
    <col min="15104" max="15104" width="13.1796875" hidden="1"/>
    <col min="15105" max="15105" width="36.453125" hidden="1"/>
    <col min="15106" max="15106" width="11.453125" hidden="1"/>
    <col min="15107" max="15107" width="25.7265625" hidden="1"/>
    <col min="15108" max="15358" width="9.1796875" hidden="1"/>
    <col min="15359" max="15359" width="31" hidden="1"/>
    <col min="15360" max="15360" width="13.1796875" hidden="1"/>
    <col min="15361" max="15361" width="36.453125" hidden="1"/>
    <col min="15362" max="15362" width="11.453125" hidden="1"/>
    <col min="15363" max="15363" width="25.7265625" hidden="1"/>
    <col min="15364" max="15614" width="9.1796875" hidden="1"/>
    <col min="15615" max="15615" width="31" hidden="1"/>
    <col min="15616" max="15616" width="13.1796875" hidden="1"/>
    <col min="15617" max="15617" width="36.453125" hidden="1"/>
    <col min="15618" max="15618" width="11.453125" hidden="1"/>
    <col min="15619" max="15619" width="25.7265625" hidden="1"/>
    <col min="15620" max="15870" width="9.1796875" hidden="1"/>
    <col min="15871" max="15871" width="31" hidden="1"/>
    <col min="15872" max="15872" width="13.1796875" hidden="1"/>
    <col min="15873" max="15873" width="36.453125" hidden="1"/>
    <col min="15874" max="15874" width="11.453125" hidden="1"/>
    <col min="15875" max="15875" width="25.7265625" hidden="1"/>
    <col min="15876" max="16126" width="9.1796875" hidden="1"/>
    <col min="16127" max="16127" width="31" hidden="1"/>
    <col min="16128" max="16128" width="13.1796875" hidden="1"/>
    <col min="16129" max="16129" width="36.453125" hidden="1"/>
    <col min="16130" max="16130" width="11.453125" hidden="1"/>
    <col min="16131" max="16131" width="25.7265625" hidden="1"/>
    <col min="16132" max="16384" width="9.1796875" hidden="1"/>
  </cols>
  <sheetData>
    <row r="1" spans="1:9" ht="15.5" x14ac:dyDescent="0.35">
      <c r="A1" s="279" t="s">
        <v>3</v>
      </c>
      <c r="B1" s="280"/>
      <c r="C1" s="280"/>
      <c r="D1" s="280"/>
      <c r="E1" s="280"/>
      <c r="F1" s="280"/>
      <c r="G1" s="280"/>
      <c r="H1" s="280"/>
      <c r="I1" s="281"/>
    </row>
    <row r="2" spans="1:9" ht="15.75" customHeight="1" x14ac:dyDescent="0.35">
      <c r="A2" s="282" t="s">
        <v>4</v>
      </c>
      <c r="B2" s="283"/>
      <c r="C2" s="283"/>
      <c r="D2" s="283"/>
      <c r="E2" s="283"/>
      <c r="F2" s="283"/>
      <c r="G2" s="283"/>
      <c r="H2" s="283"/>
      <c r="I2" s="284"/>
    </row>
    <row r="3" spans="1:9" x14ac:dyDescent="0.35">
      <c r="A3" s="111" t="s">
        <v>5</v>
      </c>
      <c r="C3" s="76"/>
      <c r="D3" s="76"/>
      <c r="E3" s="76"/>
      <c r="F3" s="76"/>
    </row>
    <row r="4" spans="1:9" ht="43.5" x14ac:dyDescent="0.35">
      <c r="A4" s="110" t="s">
        <v>6</v>
      </c>
      <c r="B4" s="110" t="s">
        <v>7</v>
      </c>
      <c r="C4" s="174" t="s">
        <v>8</v>
      </c>
      <c r="D4" s="110" t="s">
        <v>9</v>
      </c>
      <c r="E4" s="110" t="s">
        <v>10</v>
      </c>
      <c r="F4" s="110" t="s">
        <v>11</v>
      </c>
    </row>
    <row r="5" spans="1:9" x14ac:dyDescent="0.35">
      <c r="A5" s="106" t="s">
        <v>12</v>
      </c>
      <c r="B5" s="185">
        <f>Reference!B102</f>
        <v>0.13</v>
      </c>
      <c r="C5" s="169"/>
      <c r="D5" s="73">
        <f>C5*1000*8760*Reference!B102/Reference!B83</f>
        <v>0</v>
      </c>
      <c r="E5" s="73">
        <f>C5*1000*8760*Reference!B102</f>
        <v>0</v>
      </c>
      <c r="F5" s="101">
        <f>E5*(Reference!$E$46)/Reference!$B$87</f>
        <v>0</v>
      </c>
    </row>
    <row r="6" spans="1:9" x14ac:dyDescent="0.35">
      <c r="A6" s="106" t="s">
        <v>13</v>
      </c>
      <c r="B6" s="186">
        <f>Reference!B103</f>
        <v>0.44707999999999998</v>
      </c>
      <c r="C6" s="169"/>
      <c r="D6" s="73">
        <f>C6*1000*8760*Reference!B103/Reference!B83</f>
        <v>0</v>
      </c>
      <c r="E6" s="73">
        <f>C6*1000*8760*Reference!B103</f>
        <v>0</v>
      </c>
      <c r="F6" s="101">
        <f>E6*(Reference!$E$46)/Reference!$B$87</f>
        <v>0</v>
      </c>
    </row>
    <row r="7" spans="1:9" x14ac:dyDescent="0.35">
      <c r="A7" s="106" t="s">
        <v>14</v>
      </c>
      <c r="B7" s="186">
        <f>Reference!B104</f>
        <v>0.46729999999999999</v>
      </c>
      <c r="C7" s="169"/>
      <c r="D7" s="73">
        <f>C7*1000*8760*Reference!B104/Reference!B83</f>
        <v>0</v>
      </c>
      <c r="E7" s="73">
        <f>C7*1000*8760*Reference!B104</f>
        <v>0</v>
      </c>
      <c r="F7" s="101">
        <f>E7*(Reference!$E$46)/Reference!$B$87</f>
        <v>0</v>
      </c>
    </row>
    <row r="8" spans="1:9" x14ac:dyDescent="0.35">
      <c r="A8" s="106" t="s">
        <v>15</v>
      </c>
      <c r="B8" s="186">
        <f>Reference!B105</f>
        <v>0.39400000000000002</v>
      </c>
      <c r="C8" s="169"/>
      <c r="D8" s="73">
        <f>C8*1000*8760*Reference!B105/Reference!B83</f>
        <v>0</v>
      </c>
      <c r="E8" s="73">
        <f>C8*1000*8760*B8</f>
        <v>0</v>
      </c>
      <c r="F8" s="101">
        <f>E8*(Reference!$E$46)/Reference!$B$87</f>
        <v>0</v>
      </c>
    </row>
    <row r="9" spans="1:9" x14ac:dyDescent="0.35">
      <c r="A9" s="106" t="s">
        <v>16</v>
      </c>
      <c r="B9" s="186">
        <f>Reference!B106</f>
        <v>0.27</v>
      </c>
      <c r="C9" s="169"/>
      <c r="D9" s="73">
        <f>C9*1000*8760*Reference!B106/Reference!B83</f>
        <v>0</v>
      </c>
      <c r="E9" s="73">
        <f>C9*1000*8760*B9</f>
        <v>0</v>
      </c>
      <c r="F9" s="101">
        <f>E9*(Reference!$E$46)/Reference!$B$87</f>
        <v>0</v>
      </c>
    </row>
    <row r="10" spans="1:9" x14ac:dyDescent="0.35">
      <c r="A10" s="111"/>
      <c r="B10" s="99"/>
      <c r="C10" s="99"/>
      <c r="D10" s="99"/>
      <c r="E10" s="99"/>
      <c r="F10" s="99"/>
    </row>
    <row r="11" spans="1:9" x14ac:dyDescent="0.35">
      <c r="A11" s="111" t="s">
        <v>17</v>
      </c>
      <c r="B11"/>
      <c r="C11"/>
      <c r="D11"/>
      <c r="E11"/>
      <c r="F11" s="99"/>
    </row>
    <row r="12" spans="1:9" ht="43.5" x14ac:dyDescent="0.35">
      <c r="A12" s="110" t="s">
        <v>6</v>
      </c>
      <c r="B12" s="110" t="s">
        <v>7</v>
      </c>
      <c r="C12" s="174" t="s">
        <v>8</v>
      </c>
      <c r="D12" s="110" t="s">
        <v>9</v>
      </c>
      <c r="E12" s="110" t="s">
        <v>10</v>
      </c>
      <c r="F12" s="110" t="s">
        <v>11</v>
      </c>
    </row>
    <row r="13" spans="1:9" ht="15" customHeight="1" x14ac:dyDescent="0.35">
      <c r="A13" s="106" t="s">
        <v>12</v>
      </c>
      <c r="B13" s="186">
        <f>Reference!B102</f>
        <v>0.13</v>
      </c>
      <c r="C13" s="169"/>
      <c r="D13" s="73">
        <f>C13*1000*8760*Reference!B102/Reference!B83</f>
        <v>0</v>
      </c>
      <c r="E13" s="73">
        <f>C13*1000*8760*Reference!B102</f>
        <v>0</v>
      </c>
      <c r="F13" s="101">
        <f>E13*(Reference!$E$24)/Reference!$B$87</f>
        <v>0</v>
      </c>
    </row>
    <row r="14" spans="1:9" x14ac:dyDescent="0.35">
      <c r="A14" s="106" t="s">
        <v>13</v>
      </c>
      <c r="B14" s="186">
        <f>Reference!B103</f>
        <v>0.44707999999999998</v>
      </c>
      <c r="C14" s="169"/>
      <c r="D14" s="73">
        <f>C14*1000*8760*Reference!B103/Reference!B83</f>
        <v>0</v>
      </c>
      <c r="E14" s="73">
        <f>C14*1000*8760*Reference!B103</f>
        <v>0</v>
      </c>
      <c r="F14" s="101">
        <f>E14*(Reference!$E$24)/Reference!$B$87</f>
        <v>0</v>
      </c>
    </row>
    <row r="15" spans="1:9" x14ac:dyDescent="0.35">
      <c r="A15" s="106" t="s">
        <v>14</v>
      </c>
      <c r="B15" s="186">
        <f>Reference!B104</f>
        <v>0.46729999999999999</v>
      </c>
      <c r="C15" s="169"/>
      <c r="D15" s="73">
        <f>C15*1000*8760*Reference!B104/Reference!B83</f>
        <v>0</v>
      </c>
      <c r="E15" s="73">
        <f>C15*1000*8760*Reference!B104</f>
        <v>0</v>
      </c>
      <c r="F15" s="101">
        <f>E15*(Reference!$E$24)/Reference!$B$87</f>
        <v>0</v>
      </c>
    </row>
    <row r="16" spans="1:9" x14ac:dyDescent="0.35">
      <c r="A16" s="106" t="s">
        <v>15</v>
      </c>
      <c r="B16" s="186">
        <f>Reference!B105</f>
        <v>0.39400000000000002</v>
      </c>
      <c r="C16" s="169"/>
      <c r="D16" s="73">
        <f>C16*1000*8760*Reference!B105/Reference!B83</f>
        <v>0</v>
      </c>
      <c r="E16" s="73">
        <f>C16*1000*8760*B16</f>
        <v>0</v>
      </c>
      <c r="F16" s="101">
        <f>E16*(Reference!$E$24)/Reference!$B$87</f>
        <v>0</v>
      </c>
    </row>
    <row r="17" spans="1:9" x14ac:dyDescent="0.35">
      <c r="A17" s="106" t="s">
        <v>16</v>
      </c>
      <c r="B17" s="186">
        <f>Reference!B106</f>
        <v>0.27</v>
      </c>
      <c r="C17" s="169"/>
      <c r="D17" s="73">
        <f>C17*1000*8760*Reference!B106/Reference!B83</f>
        <v>0</v>
      </c>
      <c r="E17" s="73">
        <f>C17*1000*8760*B17</f>
        <v>0</v>
      </c>
      <c r="F17" s="101">
        <f>E17*(Reference!$E$24)/Reference!$B$87</f>
        <v>0</v>
      </c>
    </row>
    <row r="18" spans="1:9" x14ac:dyDescent="0.35">
      <c r="A18" s="95"/>
      <c r="B18" s="96"/>
      <c r="C18" s="97"/>
      <c r="D18" s="12"/>
      <c r="E18" s="98"/>
      <c r="F18" s="99"/>
    </row>
    <row r="19" spans="1:9" x14ac:dyDescent="0.35"/>
    <row r="20" spans="1:9" ht="15.5" x14ac:dyDescent="0.35">
      <c r="A20" s="342" t="s">
        <v>18</v>
      </c>
      <c r="B20" s="343"/>
      <c r="C20" s="343"/>
      <c r="D20" s="343"/>
      <c r="E20" s="343"/>
      <c r="F20" s="343"/>
      <c r="G20" s="343"/>
      <c r="H20" s="343"/>
      <c r="I20" s="344"/>
    </row>
    <row r="21" spans="1:9" x14ac:dyDescent="0.35">
      <c r="A21"/>
      <c r="B21"/>
      <c r="C21"/>
      <c r="D21"/>
      <c r="E21"/>
    </row>
    <row r="22" spans="1:9" x14ac:dyDescent="0.35">
      <c r="A22" s="287" t="s">
        <v>19</v>
      </c>
      <c r="B22" s="288"/>
      <c r="C22" s="289"/>
      <c r="D22"/>
      <c r="E22"/>
    </row>
    <row r="23" spans="1:9" ht="29" x14ac:dyDescent="0.35">
      <c r="A23"/>
      <c r="B23" s="285" t="s">
        <v>20</v>
      </c>
      <c r="C23" s="286" t="s">
        <v>21</v>
      </c>
      <c r="D23"/>
      <c r="E23"/>
    </row>
    <row r="24" spans="1:9" ht="29" x14ac:dyDescent="0.35">
      <c r="A24" s="105" t="s">
        <v>22</v>
      </c>
      <c r="B24" s="170"/>
      <c r="C24" s="73">
        <f>B24/Reference!B86</f>
        <v>0</v>
      </c>
      <c r="D24"/>
      <c r="E24"/>
    </row>
    <row r="25" spans="1:9" x14ac:dyDescent="0.35">
      <c r="A25"/>
      <c r="B25"/>
      <c r="C25"/>
      <c r="D25"/>
      <c r="E25"/>
    </row>
    <row r="26" spans="1:9" x14ac:dyDescent="0.35">
      <c r="A26" s="345" t="s">
        <v>23</v>
      </c>
      <c r="B26" s="346"/>
      <c r="C26" s="346"/>
      <c r="D26" s="347"/>
      <c r="E26"/>
      <c r="F26" s="345" t="s">
        <v>24</v>
      </c>
      <c r="G26" s="346"/>
      <c r="H26" s="346"/>
      <c r="I26" s="347"/>
    </row>
    <row r="27" spans="1:9" ht="43.5" x14ac:dyDescent="0.35">
      <c r="A27"/>
      <c r="B27" s="285" t="s">
        <v>25</v>
      </c>
      <c r="C27" s="286" t="s">
        <v>9</v>
      </c>
      <c r="D27" s="286" t="s">
        <v>11</v>
      </c>
      <c r="E27"/>
      <c r="F27" s="290"/>
      <c r="G27" s="285" t="s">
        <v>26</v>
      </c>
      <c r="H27" s="286" t="s">
        <v>27</v>
      </c>
      <c r="I27" s="286" t="s">
        <v>11</v>
      </c>
    </row>
    <row r="28" spans="1:9" x14ac:dyDescent="0.35">
      <c r="A28" s="100" t="s">
        <v>28</v>
      </c>
      <c r="B28" s="171"/>
      <c r="C28" s="73">
        <f>B28/Reference!B83</f>
        <v>0</v>
      </c>
      <c r="D28" s="101">
        <f>B28*(Reference!$E$47)/Reference!$B$87</f>
        <v>0</v>
      </c>
      <c r="E28"/>
      <c r="F28" s="109" t="s">
        <v>29</v>
      </c>
      <c r="G28" s="172"/>
      <c r="H28" s="73">
        <f>G28/Reference!B84</f>
        <v>0</v>
      </c>
      <c r="I28" s="101">
        <f>(G28*Reference!E48)/Reference!$B$87</f>
        <v>0</v>
      </c>
    </row>
    <row r="29" spans="1:9" x14ac:dyDescent="0.35">
      <c r="A29" s="105" t="s">
        <v>30</v>
      </c>
      <c r="B29" s="170"/>
      <c r="C29" s="73">
        <f>(B29*1000)/Reference!B83</f>
        <v>0</v>
      </c>
      <c r="D29" s="101">
        <f>B29*(Reference!$E$46)*1000/Reference!$B$87</f>
        <v>0</v>
      </c>
      <c r="E29"/>
      <c r="F29" s="109" t="s">
        <v>31</v>
      </c>
      <c r="G29" s="170"/>
      <c r="H29" s="73">
        <f>G29/(Reference!B84*0.1)</f>
        <v>0</v>
      </c>
      <c r="I29" s="101">
        <f>((G29*1000)/Reference!I48)*Reference!E48/Reference!$B$87</f>
        <v>0</v>
      </c>
    </row>
    <row r="30" spans="1:9" x14ac:dyDescent="0.35">
      <c r="A30" s="105" t="s">
        <v>32</v>
      </c>
      <c r="B30" s="172"/>
      <c r="C30" s="73">
        <f>(B30*1000000)/Reference!B83</f>
        <v>0</v>
      </c>
      <c r="D30" s="101">
        <f>B30*(Reference!$E$46)*1000000/Reference!$B$87</f>
        <v>0</v>
      </c>
      <c r="E30"/>
      <c r="F30" s="109" t="s">
        <v>33</v>
      </c>
      <c r="G30" s="170"/>
      <c r="H30" s="73">
        <f>G30/Reference!B85</f>
        <v>0</v>
      </c>
      <c r="I30" s="101">
        <f>G30*Reference!E50/Reference!$B$87</f>
        <v>0</v>
      </c>
    </row>
    <row r="31" spans="1:9" x14ac:dyDescent="0.35">
      <c r="A31" s="105" t="s">
        <v>34</v>
      </c>
      <c r="B31" s="170"/>
      <c r="C31" s="73">
        <f>B31/(Reference!B83*0.003412)</f>
        <v>0</v>
      </c>
      <c r="D31" s="101">
        <f>B31*1000*Reference!I36*Reference!E36/Reference!$B$87</f>
        <v>0</v>
      </c>
      <c r="E31"/>
      <c r="F31" s="109" t="s">
        <v>35</v>
      </c>
      <c r="G31" s="170"/>
      <c r="H31" s="73">
        <f>G31/(Reference!B85*0.13869)</f>
        <v>0</v>
      </c>
      <c r="I31" s="101">
        <f>((G31*1000)/Reference!I51)*Reference!E51/Reference!$B$87</f>
        <v>0</v>
      </c>
    </row>
    <row r="32" spans="1:9" x14ac:dyDescent="0.35">
      <c r="A32" s="102"/>
      <c r="B32" s="103"/>
      <c r="C32" s="104"/>
      <c r="D32" s="76"/>
      <c r="E32" s="99"/>
    </row>
    <row r="33" spans="1:9" x14ac:dyDescent="0.35">
      <c r="A33" s="345" t="s">
        <v>36</v>
      </c>
      <c r="B33" s="346"/>
      <c r="C33" s="347"/>
      <c r="D33"/>
      <c r="E33"/>
    </row>
    <row r="34" spans="1:9" ht="29" x14ac:dyDescent="0.35">
      <c r="A34" s="290"/>
      <c r="B34" s="285" t="s">
        <v>37</v>
      </c>
      <c r="C34" s="286" t="s">
        <v>11</v>
      </c>
      <c r="D34" s="99"/>
      <c r="E34"/>
    </row>
    <row r="35" spans="1:9" x14ac:dyDescent="0.35">
      <c r="A35" s="108" t="s">
        <v>37</v>
      </c>
      <c r="B35" s="170"/>
      <c r="C35" s="73">
        <f>(B35*Reference!E60)/Reference!B87</f>
        <v>0</v>
      </c>
      <c r="D35"/>
      <c r="E35"/>
      <c r="F35" s="13"/>
    </row>
    <row r="36" spans="1:9" x14ac:dyDescent="0.35">
      <c r="A36"/>
      <c r="B36"/>
      <c r="C36"/>
      <c r="D36"/>
      <c r="E36"/>
      <c r="F36" s="14"/>
    </row>
    <row r="37" spans="1:9" x14ac:dyDescent="0.35"/>
    <row r="38" spans="1:9" ht="15.5" x14ac:dyDescent="0.35">
      <c r="A38" s="342" t="s">
        <v>38</v>
      </c>
      <c r="B38" s="343"/>
      <c r="C38" s="344"/>
      <c r="D38" s="291"/>
      <c r="E38" s="291"/>
      <c r="F38" s="291"/>
      <c r="G38" s="291"/>
      <c r="H38" s="291"/>
      <c r="I38" s="291"/>
    </row>
    <row r="39" spans="1:9" ht="29" x14ac:dyDescent="0.35">
      <c r="A39" s="107"/>
      <c r="B39" s="175" t="s">
        <v>39</v>
      </c>
      <c r="C39" s="205" t="s">
        <v>40</v>
      </c>
      <c r="D39"/>
      <c r="E39" s="112"/>
    </row>
    <row r="40" spans="1:9" ht="15.75" customHeight="1" x14ac:dyDescent="0.35">
      <c r="A40" s="100" t="s">
        <v>41</v>
      </c>
      <c r="B40" s="173"/>
      <c r="C40" s="101">
        <f>B40/Reference!$B$87</f>
        <v>0</v>
      </c>
      <c r="D40"/>
      <c r="F40" s="69"/>
      <c r="G40" s="113"/>
      <c r="H40" s="113"/>
    </row>
    <row r="41" spans="1:9" x14ac:dyDescent="0.35">
      <c r="A41" s="100" t="s">
        <v>42</v>
      </c>
      <c r="B41" s="173"/>
      <c r="C41" s="101">
        <f>(B41*1.1)/Reference!$B$87</f>
        <v>0</v>
      </c>
      <c r="D41"/>
      <c r="H41" s="113"/>
    </row>
    <row r="42" spans="1:9" x14ac:dyDescent="0.35">
      <c r="H42" s="14"/>
    </row>
    <row r="43" spans="1:9" x14ac:dyDescent="0.35"/>
    <row r="44" spans="1:9" x14ac:dyDescent="0.35"/>
    <row r="45" spans="1:9" x14ac:dyDescent="0.35"/>
  </sheetData>
  <pageMargins left="0.7" right="0.7" top="0.75" bottom="0.75" header="0.3" footer="0.3"/>
  <pageSetup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8"/>
  <sheetViews>
    <sheetView showGridLines="0" zoomScale="70" zoomScaleNormal="70" workbookViewId="0">
      <selection activeCell="D21" sqref="D21"/>
    </sheetView>
  </sheetViews>
  <sheetFormatPr defaultColWidth="0" defaultRowHeight="14.5" zeroHeight="1" x14ac:dyDescent="0.35"/>
  <cols>
    <col min="1" max="1" width="13.453125" style="42" bestFit="1" customWidth="1"/>
    <col min="2" max="2" width="32" style="8" customWidth="1"/>
    <col min="3" max="3" width="19.453125" style="8" customWidth="1"/>
    <col min="4" max="4" width="14.1796875" style="37" customWidth="1"/>
    <col min="5" max="5" width="14.54296875" style="8" customWidth="1"/>
    <col min="6" max="6" width="14.1796875" style="32" customWidth="1"/>
    <col min="7" max="7" width="16.54296875" style="24" customWidth="1"/>
    <col min="8" max="8" width="14.81640625" style="8" customWidth="1"/>
    <col min="9" max="9" width="15.81640625" style="8" customWidth="1"/>
    <col min="10" max="10" width="13.54296875" customWidth="1"/>
    <col min="11" max="11" width="13.453125" customWidth="1"/>
    <col min="12" max="12" width="17.453125" style="9" customWidth="1"/>
    <col min="13" max="13" width="11.453125" style="8" customWidth="1"/>
    <col min="14" max="14" width="14.7265625" style="8" customWidth="1"/>
    <col min="15" max="15" width="14.453125" style="8" customWidth="1"/>
    <col min="16" max="16" width="18.7265625" style="31" customWidth="1"/>
    <col min="17" max="17" width="11.1796875" style="33" bestFit="1" customWidth="1"/>
    <col min="18" max="18" width="106.26953125" hidden="1" customWidth="1"/>
    <col min="19" max="16384" width="9.1796875" style="8" hidden="1"/>
  </cols>
  <sheetData>
    <row r="1" spans="1:18" s="198" customFormat="1" ht="31" customHeight="1" x14ac:dyDescent="0.35">
      <c r="A1" s="330" t="s">
        <v>43</v>
      </c>
      <c r="B1" s="336"/>
      <c r="C1" s="337"/>
      <c r="D1" s="333" t="s">
        <v>44</v>
      </c>
      <c r="E1" s="334"/>
      <c r="F1" s="334"/>
      <c r="G1" s="334"/>
      <c r="H1" s="338" t="s">
        <v>45</v>
      </c>
      <c r="I1" s="339"/>
      <c r="J1" s="339"/>
      <c r="K1" s="339"/>
      <c r="L1" s="339"/>
      <c r="M1" s="327" t="s">
        <v>46</v>
      </c>
      <c r="N1" s="328"/>
      <c r="O1" s="328"/>
      <c r="P1" s="329"/>
    </row>
    <row r="2" spans="1:18" s="7" customFormat="1" ht="58" x14ac:dyDescent="0.35">
      <c r="A2" s="176" t="s">
        <v>47</v>
      </c>
      <c r="B2" s="16" t="s">
        <v>48</v>
      </c>
      <c r="C2" s="176" t="s">
        <v>49</v>
      </c>
      <c r="D2" s="2" t="s">
        <v>50</v>
      </c>
      <c r="E2" s="2" t="s">
        <v>51</v>
      </c>
      <c r="F2" s="2" t="s">
        <v>52</v>
      </c>
      <c r="G2" s="2" t="s">
        <v>53</v>
      </c>
      <c r="H2" s="3" t="s">
        <v>54</v>
      </c>
      <c r="I2" s="19" t="s">
        <v>55</v>
      </c>
      <c r="J2" s="19" t="s">
        <v>56</v>
      </c>
      <c r="K2" s="3" t="s">
        <v>57</v>
      </c>
      <c r="L2" s="3" t="s">
        <v>58</v>
      </c>
      <c r="M2" s="266" t="s">
        <v>59</v>
      </c>
      <c r="N2" s="267" t="s">
        <v>60</v>
      </c>
      <c r="O2" s="266" t="s">
        <v>61</v>
      </c>
      <c r="P2" s="266" t="s">
        <v>62</v>
      </c>
    </row>
    <row r="3" spans="1:18" ht="15.5" x14ac:dyDescent="0.35">
      <c r="A3" s="78" t="s">
        <v>305</v>
      </c>
      <c r="B3" s="5" t="s">
        <v>64</v>
      </c>
      <c r="C3" s="177"/>
      <c r="D3" s="187">
        <f>VLOOKUP(A3,source!$A$2:$D$43,3,FALSE)</f>
        <v>0.53249999999999997</v>
      </c>
      <c r="E3" s="188">
        <f>VLOOKUP(A3,source!$A$2:$D$43,4,FALSE)</f>
        <v>2.4149659863945578E-4</v>
      </c>
      <c r="F3" s="57">
        <f>(C3*D3)</f>
        <v>0</v>
      </c>
      <c r="G3" s="57">
        <f t="shared" ref="G3:G12" si="0">C3*E3</f>
        <v>0</v>
      </c>
      <c r="H3" s="59">
        <f>C3/Reference!$B$83</f>
        <v>0</v>
      </c>
      <c r="I3" s="17"/>
      <c r="J3" s="17"/>
      <c r="K3" s="60">
        <f>N3/Reference!$B$86</f>
        <v>0</v>
      </c>
      <c r="L3" s="1">
        <f>G3/Reference!$B$87</f>
        <v>0</v>
      </c>
      <c r="M3" s="196">
        <v>3.4119999999999999</v>
      </c>
      <c r="N3" s="70">
        <f t="shared" ref="N3:N17" si="1">C3*M3/1000</f>
        <v>0</v>
      </c>
      <c r="O3" s="70">
        <f t="shared" ref="O3:O14" si="2">C3*M3</f>
        <v>0</v>
      </c>
      <c r="P3" s="340">
        <f>O3*1000</f>
        <v>0</v>
      </c>
      <c r="Q3" s="8"/>
      <c r="R3" s="8"/>
    </row>
    <row r="4" spans="1:18" x14ac:dyDescent="0.35">
      <c r="A4" s="203" t="s">
        <v>65</v>
      </c>
      <c r="B4" s="5" t="s">
        <v>66</v>
      </c>
      <c r="C4" s="178"/>
      <c r="D4" s="187">
        <f>Reference!D48</f>
        <v>11.728609767</v>
      </c>
      <c r="E4" s="188">
        <f>Reference!E48</f>
        <v>5.3190974000000002E-3</v>
      </c>
      <c r="F4" s="57">
        <f t="shared" ref="F4:F17" si="3">(C4*D4)</f>
        <v>0</v>
      </c>
      <c r="G4" s="57">
        <f t="shared" si="0"/>
        <v>0</v>
      </c>
      <c r="H4" s="17"/>
      <c r="I4" s="59">
        <f>C4/Reference!$B$84</f>
        <v>0</v>
      </c>
      <c r="J4" s="15"/>
      <c r="K4" s="60">
        <f>N4/Reference!$B$86</f>
        <v>0</v>
      </c>
      <c r="L4" s="1">
        <f>G4/Reference!$B$87</f>
        <v>0</v>
      </c>
      <c r="M4" s="196">
        <f>Reference!I48</f>
        <v>100</v>
      </c>
      <c r="N4" s="70">
        <f t="shared" si="1"/>
        <v>0</v>
      </c>
      <c r="O4" s="70">
        <f t="shared" si="2"/>
        <v>0</v>
      </c>
      <c r="P4" s="340">
        <f t="shared" ref="P4:P17" si="4">O4*1000</f>
        <v>0</v>
      </c>
      <c r="Q4" s="8"/>
      <c r="R4" s="8"/>
    </row>
    <row r="5" spans="1:18" x14ac:dyDescent="0.35">
      <c r="A5" s="203" t="s">
        <v>65</v>
      </c>
      <c r="B5" s="5" t="s">
        <v>67</v>
      </c>
      <c r="C5" s="178"/>
      <c r="D5" s="187">
        <f>Reference!D49</f>
        <v>11.998357799999999</v>
      </c>
      <c r="E5" s="188">
        <f>Reference!E49</f>
        <v>5.441432108843537E-3</v>
      </c>
      <c r="F5" s="57">
        <f t="shared" si="3"/>
        <v>0</v>
      </c>
      <c r="G5" s="57">
        <f t="shared" si="0"/>
        <v>0</v>
      </c>
      <c r="H5" s="15"/>
      <c r="I5" s="59">
        <f>(C5*1.023)/Reference!$B$84</f>
        <v>0</v>
      </c>
      <c r="J5" s="15"/>
      <c r="K5" s="60">
        <f>N5/Reference!$B$86</f>
        <v>0</v>
      </c>
      <c r="L5" s="1">
        <f>G5/Reference!$B$87</f>
        <v>0</v>
      </c>
      <c r="M5" s="196">
        <f>Reference!I49</f>
        <v>103.6</v>
      </c>
      <c r="N5" s="70">
        <f t="shared" si="1"/>
        <v>0</v>
      </c>
      <c r="O5" s="70">
        <f t="shared" si="2"/>
        <v>0</v>
      </c>
      <c r="P5" s="340">
        <f t="shared" si="4"/>
        <v>0</v>
      </c>
      <c r="Q5" s="8"/>
      <c r="R5" s="8"/>
    </row>
    <row r="6" spans="1:18" x14ac:dyDescent="0.35">
      <c r="A6" s="203" t="s">
        <v>65</v>
      </c>
      <c r="B6" s="5" t="s">
        <v>68</v>
      </c>
      <c r="C6" s="178"/>
      <c r="D6" s="187">
        <f>Reference!D50</f>
        <v>22.4940157785</v>
      </c>
      <c r="E6" s="188">
        <f>Reference!E50</f>
        <v>1.02013677E-2</v>
      </c>
      <c r="F6" s="57">
        <f t="shared" si="3"/>
        <v>0</v>
      </c>
      <c r="G6" s="57">
        <f t="shared" si="0"/>
        <v>0</v>
      </c>
      <c r="H6" s="15"/>
      <c r="I6" s="15"/>
      <c r="J6" s="60">
        <f>C6/Reference!$B$85</f>
        <v>0</v>
      </c>
      <c r="K6" s="60">
        <f>N6/Reference!$B$86</f>
        <v>0</v>
      </c>
      <c r="L6" s="1">
        <f>G6/Reference!$B$87</f>
        <v>0</v>
      </c>
      <c r="M6" s="196">
        <f>Reference!I50</f>
        <v>138.69047619047601</v>
      </c>
      <c r="N6" s="70">
        <f t="shared" si="1"/>
        <v>0</v>
      </c>
      <c r="O6" s="70">
        <f t="shared" si="2"/>
        <v>0</v>
      </c>
      <c r="P6" s="340">
        <f t="shared" si="4"/>
        <v>0</v>
      </c>
      <c r="Q6" s="8"/>
      <c r="R6" s="8"/>
    </row>
    <row r="7" spans="1:18" x14ac:dyDescent="0.35">
      <c r="A7" s="203" t="s">
        <v>65</v>
      </c>
      <c r="B7" s="5" t="s">
        <v>69</v>
      </c>
      <c r="C7" s="178"/>
      <c r="D7" s="187">
        <f>Reference!D51</f>
        <v>22.4940157785</v>
      </c>
      <c r="E7" s="188">
        <f>Reference!E51</f>
        <v>1.02013677E-2</v>
      </c>
      <c r="F7" s="57">
        <f t="shared" si="3"/>
        <v>0</v>
      </c>
      <c r="G7" s="57">
        <f t="shared" si="0"/>
        <v>0</v>
      </c>
      <c r="H7" s="15"/>
      <c r="I7" s="15"/>
      <c r="J7" s="60">
        <f>C7/Reference!$B$85</f>
        <v>0</v>
      </c>
      <c r="K7" s="60">
        <f>N7/Reference!$B$86</f>
        <v>0</v>
      </c>
      <c r="L7" s="1">
        <f>G7/Reference!$B$87</f>
        <v>0</v>
      </c>
      <c r="M7" s="196">
        <f>Reference!I51</f>
        <v>138.69047619047601</v>
      </c>
      <c r="N7" s="70">
        <f t="shared" si="1"/>
        <v>0</v>
      </c>
      <c r="O7" s="70">
        <f t="shared" si="2"/>
        <v>0</v>
      </c>
      <c r="P7" s="340">
        <f t="shared" si="4"/>
        <v>0</v>
      </c>
      <c r="Q7" s="8"/>
      <c r="R7" s="8"/>
    </row>
    <row r="8" spans="1:18" x14ac:dyDescent="0.35">
      <c r="A8" s="203" t="s">
        <v>65</v>
      </c>
      <c r="B8" s="5" t="s">
        <v>70</v>
      </c>
      <c r="C8" s="179"/>
      <c r="D8" s="187">
        <f>Reference!D52</f>
        <v>26.141554340999999</v>
      </c>
      <c r="E8" s="188">
        <f>Reference!E52</f>
        <v>1.18555802E-2</v>
      </c>
      <c r="F8" s="57">
        <f t="shared" si="3"/>
        <v>0</v>
      </c>
      <c r="G8" s="57">
        <f t="shared" si="0"/>
        <v>0</v>
      </c>
      <c r="H8" s="18"/>
      <c r="I8" s="15"/>
      <c r="J8" s="60">
        <f>C8/Reference!$B$85</f>
        <v>0</v>
      </c>
      <c r="K8" s="60">
        <f>N8/Reference!$B$86</f>
        <v>0</v>
      </c>
      <c r="L8" s="1">
        <f>G8/Reference!$B$87</f>
        <v>0</v>
      </c>
      <c r="M8" s="196">
        <f>Reference!I52</f>
        <v>149.69047619047601</v>
      </c>
      <c r="N8" s="70">
        <f t="shared" si="1"/>
        <v>0</v>
      </c>
      <c r="O8" s="70">
        <f t="shared" si="2"/>
        <v>0</v>
      </c>
      <c r="P8" s="340">
        <f t="shared" si="4"/>
        <v>0</v>
      </c>
      <c r="Q8" s="8"/>
      <c r="R8" s="8"/>
    </row>
    <row r="9" spans="1:18" x14ac:dyDescent="0.35">
      <c r="A9" s="203" t="s">
        <v>65</v>
      </c>
      <c r="B9" s="5" t="s">
        <v>71</v>
      </c>
      <c r="C9" s="178"/>
      <c r="D9" s="165">
        <f>Reference!D53</f>
        <v>0</v>
      </c>
      <c r="E9" s="166">
        <f>Reference!E53</f>
        <v>0</v>
      </c>
      <c r="F9" s="167">
        <f t="shared" si="3"/>
        <v>0</v>
      </c>
      <c r="G9" s="167">
        <f t="shared" si="0"/>
        <v>0</v>
      </c>
      <c r="H9" s="59">
        <f>C9/Reference!$B$83</f>
        <v>0</v>
      </c>
      <c r="I9" s="15"/>
      <c r="J9" s="15"/>
      <c r="K9" s="15"/>
      <c r="L9" s="1">
        <f>G9/Reference!$B$87</f>
        <v>0</v>
      </c>
      <c r="M9" s="196">
        <f>Reference!I53</f>
        <v>3.4119999999999999</v>
      </c>
      <c r="N9" s="70">
        <f t="shared" si="1"/>
        <v>0</v>
      </c>
      <c r="O9" s="70">
        <f t="shared" si="2"/>
        <v>0</v>
      </c>
      <c r="P9" s="340">
        <f t="shared" si="4"/>
        <v>0</v>
      </c>
      <c r="Q9" s="8"/>
      <c r="R9" s="8"/>
    </row>
    <row r="10" spans="1:18" x14ac:dyDescent="0.35">
      <c r="A10" s="203" t="s">
        <v>65</v>
      </c>
      <c r="B10" s="5" t="s">
        <v>72</v>
      </c>
      <c r="C10" s="178"/>
      <c r="D10" s="165">
        <f>Reference!D54</f>
        <v>0</v>
      </c>
      <c r="E10" s="166">
        <f>Reference!E54</f>
        <v>0</v>
      </c>
      <c r="F10" s="167">
        <f t="shared" si="3"/>
        <v>0</v>
      </c>
      <c r="G10" s="167">
        <f t="shared" si="0"/>
        <v>0</v>
      </c>
      <c r="H10" s="59">
        <f>C10/Reference!$B$83</f>
        <v>0</v>
      </c>
      <c r="I10" s="15"/>
      <c r="J10" s="15"/>
      <c r="K10" s="15"/>
      <c r="L10" s="1">
        <f>G10/Reference!$B$87</f>
        <v>0</v>
      </c>
      <c r="M10" s="196">
        <f>Reference!I54</f>
        <v>3.4119999999999999</v>
      </c>
      <c r="N10" s="70">
        <f t="shared" si="1"/>
        <v>0</v>
      </c>
      <c r="O10" s="70">
        <f t="shared" si="2"/>
        <v>0</v>
      </c>
      <c r="P10" s="340">
        <f t="shared" si="4"/>
        <v>0</v>
      </c>
      <c r="Q10" s="8"/>
      <c r="R10" s="8"/>
    </row>
    <row r="11" spans="1:18" x14ac:dyDescent="0.35">
      <c r="A11" s="203" t="s">
        <v>65</v>
      </c>
      <c r="B11" s="5" t="s">
        <v>73</v>
      </c>
      <c r="C11" s="178"/>
      <c r="D11" s="165">
        <f>Reference!D55</f>
        <v>0</v>
      </c>
      <c r="E11" s="166">
        <f>Reference!E55</f>
        <v>0</v>
      </c>
      <c r="F11" s="167">
        <f t="shared" si="3"/>
        <v>0</v>
      </c>
      <c r="G11" s="167">
        <f t="shared" si="0"/>
        <v>0</v>
      </c>
      <c r="H11" s="59">
        <f>C11/Reference!$B$83</f>
        <v>0</v>
      </c>
      <c r="I11" s="15"/>
      <c r="J11" s="15"/>
      <c r="K11" s="15"/>
      <c r="L11" s="1">
        <f>G11/Reference!$B$87</f>
        <v>0</v>
      </c>
      <c r="M11" s="196">
        <f>Reference!I55</f>
        <v>3.4119999999999999</v>
      </c>
      <c r="N11" s="70">
        <f t="shared" si="1"/>
        <v>0</v>
      </c>
      <c r="O11" s="70">
        <f t="shared" si="2"/>
        <v>0</v>
      </c>
      <c r="P11" s="340">
        <f t="shared" si="4"/>
        <v>0</v>
      </c>
      <c r="Q11" s="8"/>
      <c r="R11" s="8"/>
    </row>
    <row r="12" spans="1:18" x14ac:dyDescent="0.35">
      <c r="A12" s="203" t="s">
        <v>65</v>
      </c>
      <c r="B12" s="5" t="s">
        <v>74</v>
      </c>
      <c r="C12" s="180"/>
      <c r="D12" s="165">
        <f>Reference!D56</f>
        <v>0</v>
      </c>
      <c r="E12" s="166">
        <f>Reference!E56</f>
        <v>0</v>
      </c>
      <c r="F12" s="167">
        <f t="shared" si="3"/>
        <v>0</v>
      </c>
      <c r="G12" s="167">
        <f t="shared" si="0"/>
        <v>0</v>
      </c>
      <c r="H12" s="59">
        <f>C12/Reference!$B$83</f>
        <v>0</v>
      </c>
      <c r="I12" s="15"/>
      <c r="J12" s="15"/>
      <c r="K12" s="15"/>
      <c r="L12" s="1">
        <f>G12/Reference!$B$87</f>
        <v>0</v>
      </c>
      <c r="M12" s="196">
        <f>Reference!I56</f>
        <v>3.4119999999999999</v>
      </c>
      <c r="N12" s="70">
        <f t="shared" si="1"/>
        <v>0</v>
      </c>
      <c r="O12" s="70">
        <f t="shared" si="2"/>
        <v>0</v>
      </c>
      <c r="P12" s="340">
        <f t="shared" si="4"/>
        <v>0</v>
      </c>
      <c r="Q12" s="8"/>
      <c r="R12" s="8"/>
    </row>
    <row r="13" spans="1:18" x14ac:dyDescent="0.35">
      <c r="A13" s="203" t="s">
        <v>65</v>
      </c>
      <c r="B13" s="5" t="s">
        <v>75</v>
      </c>
      <c r="C13" s="178"/>
      <c r="D13" s="187">
        <f>Reference!D61</f>
        <v>12.782889945000001</v>
      </c>
      <c r="E13" s="188">
        <f>Reference!E61</f>
        <v>5.7972290000000001E-3</v>
      </c>
      <c r="F13" s="57">
        <f t="shared" si="3"/>
        <v>0</v>
      </c>
      <c r="G13" s="57">
        <f t="shared" ref="G13:G17" si="5">C13*E13</f>
        <v>0</v>
      </c>
      <c r="H13" s="15"/>
      <c r="I13" s="15"/>
      <c r="J13" s="15"/>
      <c r="K13" s="15"/>
      <c r="L13" s="1">
        <f>G13/Reference!$B$87</f>
        <v>0</v>
      </c>
      <c r="M13" s="196">
        <f>Reference!I61</f>
        <v>91.333333333333343</v>
      </c>
      <c r="N13" s="70">
        <f t="shared" si="1"/>
        <v>0</v>
      </c>
      <c r="O13" s="70">
        <f t="shared" si="2"/>
        <v>0</v>
      </c>
      <c r="P13" s="340">
        <f t="shared" si="4"/>
        <v>0</v>
      </c>
      <c r="Q13" s="8"/>
      <c r="R13" s="8"/>
    </row>
    <row r="14" spans="1:18" x14ac:dyDescent="0.35">
      <c r="A14" s="203" t="s">
        <v>65</v>
      </c>
      <c r="B14" s="5" t="s">
        <v>76</v>
      </c>
      <c r="C14" s="178"/>
      <c r="D14" s="187">
        <f>Reference!D71</f>
        <v>207.82178691749999</v>
      </c>
      <c r="E14" s="188">
        <f>Reference!E71</f>
        <v>9.4250243499999997E-2</v>
      </c>
      <c r="F14" s="57">
        <f t="shared" si="3"/>
        <v>0</v>
      </c>
      <c r="G14" s="57">
        <f t="shared" si="5"/>
        <v>0</v>
      </c>
      <c r="H14" s="15"/>
      <c r="I14" s="15"/>
      <c r="J14" s="15"/>
      <c r="K14" s="15"/>
      <c r="L14" s="1">
        <f>G14/Reference!$B$87</f>
        <v>0</v>
      </c>
      <c r="M14" s="196">
        <f>Reference!I71</f>
        <v>1194</v>
      </c>
      <c r="N14" s="70">
        <f t="shared" si="1"/>
        <v>0</v>
      </c>
      <c r="O14" s="70">
        <f t="shared" si="2"/>
        <v>0</v>
      </c>
      <c r="P14" s="340">
        <f t="shared" si="4"/>
        <v>0</v>
      </c>
      <c r="Q14" s="8"/>
      <c r="R14" s="8"/>
    </row>
    <row r="15" spans="1:18" x14ac:dyDescent="0.35">
      <c r="A15" s="203" t="s">
        <v>65</v>
      </c>
      <c r="B15" s="5" t="s">
        <v>77</v>
      </c>
      <c r="C15" s="178"/>
      <c r="D15" s="187">
        <f>Reference!D72</f>
        <v>5155.1984000000002</v>
      </c>
      <c r="E15" s="188">
        <f>Reference!E72</f>
        <v>2.3379584580498869</v>
      </c>
      <c r="F15" s="57">
        <f t="shared" si="3"/>
        <v>0</v>
      </c>
      <c r="G15" s="57">
        <f t="shared" si="5"/>
        <v>0</v>
      </c>
      <c r="H15" s="15"/>
      <c r="I15" s="15"/>
      <c r="J15" s="15"/>
      <c r="K15" s="15"/>
      <c r="L15" s="1">
        <f>G15/Reference!$B$87</f>
        <v>0</v>
      </c>
      <c r="M15" s="196">
        <f>Reference!I72</f>
        <v>24930</v>
      </c>
      <c r="N15" s="70">
        <f t="shared" si="1"/>
        <v>0</v>
      </c>
      <c r="O15" s="70">
        <f>C15*M15</f>
        <v>0</v>
      </c>
      <c r="P15" s="340">
        <f t="shared" si="4"/>
        <v>0</v>
      </c>
      <c r="Q15" s="8"/>
      <c r="R15" s="8"/>
    </row>
    <row r="16" spans="1:18" x14ac:dyDescent="0.35">
      <c r="A16" s="163" t="s">
        <v>65</v>
      </c>
      <c r="B16" s="164" t="s">
        <v>78</v>
      </c>
      <c r="C16" s="181"/>
      <c r="D16" s="117">
        <f>Reference!D73</f>
        <v>0</v>
      </c>
      <c r="E16" s="118">
        <f>Reference!E73</f>
        <v>0</v>
      </c>
      <c r="F16" s="119">
        <f t="shared" si="3"/>
        <v>0</v>
      </c>
      <c r="G16" s="119">
        <f t="shared" si="5"/>
        <v>0</v>
      </c>
      <c r="H16" s="120"/>
      <c r="I16" s="120"/>
      <c r="J16" s="120"/>
      <c r="K16" s="120"/>
      <c r="L16" s="116">
        <f t="shared" ref="L16" si="6">G16/4.8</f>
        <v>0</v>
      </c>
      <c r="M16" s="197">
        <f>Reference!I73</f>
        <v>16500</v>
      </c>
      <c r="N16" s="159">
        <f t="shared" si="1"/>
        <v>0</v>
      </c>
      <c r="O16" s="159">
        <f>C16*M16</f>
        <v>0</v>
      </c>
      <c r="P16" s="160">
        <f t="shared" si="4"/>
        <v>0</v>
      </c>
      <c r="Q16" s="8"/>
      <c r="R16" s="8"/>
    </row>
    <row r="17" spans="1:18" x14ac:dyDescent="0.35">
      <c r="A17" s="163" t="s">
        <v>65</v>
      </c>
      <c r="B17" s="164" t="s">
        <v>79</v>
      </c>
      <c r="C17" s="182"/>
      <c r="D17" s="117">
        <f>Reference!D74</f>
        <v>0</v>
      </c>
      <c r="E17" s="118">
        <f>Reference!E74</f>
        <v>0</v>
      </c>
      <c r="F17" s="119">
        <f t="shared" si="3"/>
        <v>0</v>
      </c>
      <c r="G17" s="119">
        <f t="shared" si="5"/>
        <v>0</v>
      </c>
      <c r="H17" s="121"/>
      <c r="I17" s="121"/>
      <c r="J17" s="121"/>
      <c r="K17" s="121"/>
      <c r="L17" s="116">
        <f t="shared" ref="L17" si="7">G17/4.8</f>
        <v>0</v>
      </c>
      <c r="M17" s="197">
        <f>Reference!I74</f>
        <v>20000</v>
      </c>
      <c r="N17" s="159">
        <f t="shared" si="1"/>
        <v>0</v>
      </c>
      <c r="O17" s="159">
        <f>C17*M17</f>
        <v>0</v>
      </c>
      <c r="P17" s="160">
        <f t="shared" si="4"/>
        <v>0</v>
      </c>
      <c r="Q17" s="8"/>
      <c r="R17" s="8"/>
    </row>
    <row r="18" spans="1:18" s="23" customFormat="1" ht="18.5" x14ac:dyDescent="0.45">
      <c r="A18" s="43"/>
      <c r="B18" s="20" t="s">
        <v>80</v>
      </c>
      <c r="C18" s="48"/>
      <c r="D18" s="34"/>
      <c r="E18" s="21"/>
      <c r="F18" s="63">
        <f>SUM(F3:F15)</f>
        <v>0</v>
      </c>
      <c r="G18" s="63">
        <f>SUM(G3:G15)</f>
        <v>0</v>
      </c>
      <c r="H18" s="93">
        <f>SUM(H3:H3)+SUM(H9:H12)</f>
        <v>0</v>
      </c>
      <c r="I18" s="72">
        <f>SUM(I4:I5)</f>
        <v>0</v>
      </c>
      <c r="J18" s="72">
        <f>SUM(J6:J8)</f>
        <v>0</v>
      </c>
      <c r="K18" s="94">
        <f>SUM(K3:K8)</f>
        <v>0</v>
      </c>
      <c r="L18" s="93">
        <f>SUM(L3:L15)</f>
        <v>0</v>
      </c>
      <c r="M18" s="64"/>
      <c r="N18" s="71">
        <f>SUM(N3:N17)</f>
        <v>0</v>
      </c>
      <c r="O18" s="71">
        <f t="shared" ref="O18:P18" si="8">SUM(O3:O17)</f>
        <v>0</v>
      </c>
      <c r="P18" s="341">
        <f t="shared" si="8"/>
        <v>0</v>
      </c>
    </row>
    <row r="19" spans="1:18" x14ac:dyDescent="0.35">
      <c r="C19"/>
      <c r="D19" s="35"/>
      <c r="J19" s="8"/>
      <c r="K19" s="8"/>
      <c r="P19" s="29"/>
      <c r="R19" s="8"/>
    </row>
    <row r="20" spans="1:18" x14ac:dyDescent="0.35">
      <c r="B20"/>
      <c r="D20" s="36"/>
      <c r="H20" s="10"/>
      <c r="I20" s="10"/>
      <c r="O20" s="10"/>
      <c r="P20" s="30"/>
    </row>
    <row r="21" spans="1:18" ht="26" customHeight="1" x14ac:dyDescent="0.35">
      <c r="A21" s="269" t="s">
        <v>81</v>
      </c>
      <c r="B21" s="269"/>
      <c r="C21" s="269"/>
      <c r="D21" s="269"/>
      <c r="E21" s="269"/>
      <c r="F21" s="269"/>
      <c r="G21" s="278"/>
      <c r="P21" s="30"/>
    </row>
    <row r="22" spans="1:18" x14ac:dyDescent="0.35">
      <c r="P22" s="30"/>
    </row>
    <row r="23" spans="1:18" hidden="1" x14ac:dyDescent="0.35">
      <c r="H23" s="11"/>
      <c r="I23" s="11"/>
      <c r="O23" s="11"/>
      <c r="P23" s="30"/>
    </row>
    <row r="24" spans="1:18" hidden="1" x14ac:dyDescent="0.35">
      <c r="P24" s="30"/>
    </row>
    <row r="25" spans="1:18" hidden="1" x14ac:dyDescent="0.35">
      <c r="C25" s="37"/>
      <c r="P25" s="30"/>
    </row>
    <row r="26" spans="1:18" hidden="1" x14ac:dyDescent="0.35">
      <c r="P26" s="30"/>
    </row>
    <row r="27" spans="1:18" hidden="1" x14ac:dyDescent="0.35">
      <c r="H27" s="11"/>
      <c r="I27" s="11"/>
      <c r="O27" s="11"/>
      <c r="P27" s="30"/>
    </row>
    <row r="28" spans="1:18" x14ac:dyDescent="0.35"/>
  </sheetData>
  <conditionalFormatting sqref="L2:L15">
    <cfRule type="containsErrors" dxfId="3" priority="6">
      <formula>ISERROR(L2)</formula>
    </cfRule>
  </conditionalFormatting>
  <pageMargins left="0.7" right="0.7" top="0.75" bottom="0.75" header="0.3" footer="0.3"/>
  <pageSetup scale="32" fitToHeight="0" orientation="landscape" r:id="rId1"/>
  <ignoredErrors>
    <ignoredError sqref="G3" evalError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source!$A$2:$A$54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1"/>
  <sheetViews>
    <sheetView showGridLines="0" topLeftCell="A15" zoomScale="80" zoomScaleNormal="80" workbookViewId="0">
      <selection activeCell="B19" sqref="B19"/>
    </sheetView>
  </sheetViews>
  <sheetFormatPr defaultColWidth="0" defaultRowHeight="14.5" zeroHeight="1" x14ac:dyDescent="0.35"/>
  <cols>
    <col min="1" max="1" width="38.1796875" style="8" bestFit="1" customWidth="1"/>
    <col min="2" max="2" width="14.7265625" style="8" customWidth="1"/>
    <col min="3" max="3" width="18" style="8" bestFit="1" customWidth="1"/>
    <col min="4" max="4" width="20.453125" style="32" bestFit="1" customWidth="1"/>
    <col min="5" max="5" width="22.26953125" style="24" bestFit="1" customWidth="1"/>
    <col min="6" max="6" width="11" bestFit="1" customWidth="1"/>
    <col min="7" max="7" width="22.1796875" style="9" bestFit="1" customWidth="1"/>
    <col min="8" max="8" width="27.26953125" style="8" bestFit="1" customWidth="1"/>
    <col min="9" max="9" width="32.453125" style="8" bestFit="1" customWidth="1"/>
    <col min="10" max="10" width="21.7265625" style="8" bestFit="1" customWidth="1"/>
    <col min="11" max="11" width="22.81640625" style="31" hidden="1" customWidth="1"/>
    <col min="12" max="12" width="11.1796875" style="33" hidden="1" customWidth="1"/>
    <col min="13" max="13" width="106.26953125" hidden="1" customWidth="1"/>
    <col min="14" max="16384" width="9.1796875" style="8" hidden="1"/>
  </cols>
  <sheetData>
    <row r="1" spans="1:13" s="198" customFormat="1" ht="36" customHeight="1" thickBot="1" x14ac:dyDescent="0.4">
      <c r="A1" s="322" t="s">
        <v>82</v>
      </c>
      <c r="B1" s="323"/>
      <c r="C1" s="324"/>
      <c r="D1" s="325" t="s">
        <v>45</v>
      </c>
      <c r="E1" s="326"/>
      <c r="F1" s="327" t="s">
        <v>46</v>
      </c>
      <c r="G1" s="328"/>
      <c r="H1" s="328"/>
      <c r="I1" s="329"/>
    </row>
    <row r="2" spans="1:13" ht="26" x14ac:dyDescent="0.6">
      <c r="A2" s="225" t="s">
        <v>83</v>
      </c>
      <c r="B2" s="226"/>
      <c r="C2" s="226"/>
      <c r="D2" s="226"/>
      <c r="E2" s="226"/>
      <c r="F2" s="270"/>
      <c r="G2" s="270"/>
      <c r="H2" s="270"/>
      <c r="I2" s="271"/>
      <c r="K2" s="30"/>
    </row>
    <row r="3" spans="1:13" s="7" customFormat="1" ht="43.5" x14ac:dyDescent="0.35">
      <c r="A3" s="80" t="s">
        <v>84</v>
      </c>
      <c r="B3" s="176" t="s">
        <v>85</v>
      </c>
      <c r="C3" s="16" t="s">
        <v>86</v>
      </c>
      <c r="D3" s="3" t="s">
        <v>54</v>
      </c>
      <c r="E3" s="3" t="s">
        <v>57</v>
      </c>
      <c r="F3" s="25" t="s">
        <v>59</v>
      </c>
      <c r="G3" s="28" t="s">
        <v>60</v>
      </c>
      <c r="H3" s="25" t="s">
        <v>61</v>
      </c>
      <c r="I3" s="81" t="s">
        <v>62</v>
      </c>
    </row>
    <row r="4" spans="1:13" x14ac:dyDescent="0.35">
      <c r="A4" s="82" t="s">
        <v>87</v>
      </c>
      <c r="B4" s="183"/>
      <c r="C4" s="73">
        <f>B4*1000*8760*Reference!B102</f>
        <v>0</v>
      </c>
      <c r="D4" s="59">
        <f>C4/Reference!$B$83</f>
        <v>0</v>
      </c>
      <c r="E4" s="60">
        <f>G4/Reference!$B$86</f>
        <v>0</v>
      </c>
      <c r="F4" s="189">
        <v>3.4119999999999999</v>
      </c>
      <c r="G4" s="70">
        <f>C4*F4/1000</f>
        <v>0</v>
      </c>
      <c r="H4" s="70">
        <f>C4*F4</f>
        <v>0</v>
      </c>
      <c r="I4" s="83">
        <f>H4*1000</f>
        <v>0</v>
      </c>
      <c r="K4" s="8"/>
      <c r="L4" s="8"/>
      <c r="M4" s="8"/>
    </row>
    <row r="5" spans="1:13" x14ac:dyDescent="0.35">
      <c r="A5" s="82" t="s">
        <v>88</v>
      </c>
      <c r="B5" s="183"/>
      <c r="C5" s="73">
        <f>B5*1000*8760*Reference!B103</f>
        <v>0</v>
      </c>
      <c r="D5" s="59">
        <f>C5/Reference!$B$83</f>
        <v>0</v>
      </c>
      <c r="E5" s="60">
        <f>G5/Reference!$B$86</f>
        <v>0</v>
      </c>
      <c r="F5" s="189">
        <v>3.4119999999999999</v>
      </c>
      <c r="G5" s="70">
        <f>C5*F5/1000</f>
        <v>0</v>
      </c>
      <c r="H5" s="70">
        <f>C5*F5</f>
        <v>0</v>
      </c>
      <c r="I5" s="83">
        <f>H5*1000</f>
        <v>0</v>
      </c>
      <c r="K5" s="8"/>
      <c r="L5" s="8"/>
      <c r="M5" s="8"/>
    </row>
    <row r="6" spans="1:13" x14ac:dyDescent="0.35">
      <c r="A6" s="82" t="s">
        <v>89</v>
      </c>
      <c r="B6" s="183"/>
      <c r="C6" s="73">
        <f>B6*1000*8760*Reference!B104</f>
        <v>0</v>
      </c>
      <c r="D6" s="59">
        <f>C6/Reference!$B$83</f>
        <v>0</v>
      </c>
      <c r="E6" s="60">
        <f>G6/Reference!$B$86</f>
        <v>0</v>
      </c>
      <c r="F6" s="189">
        <v>3.4119999999999999</v>
      </c>
      <c r="G6" s="70">
        <f>C6*F6/1000</f>
        <v>0</v>
      </c>
      <c r="H6" s="70">
        <f>C6*F6</f>
        <v>0</v>
      </c>
      <c r="I6" s="83">
        <f>H6*1000</f>
        <v>0</v>
      </c>
      <c r="K6" s="8"/>
      <c r="L6" s="8"/>
      <c r="M6" s="8"/>
    </row>
    <row r="7" spans="1:13" ht="18.5" x14ac:dyDescent="0.45">
      <c r="A7" s="84" t="s">
        <v>80</v>
      </c>
      <c r="B7" s="168">
        <f>SUM(B4:B6)</f>
        <v>0</v>
      </c>
      <c r="C7" s="168">
        <f>SUM(C4:C6)</f>
        <v>0</v>
      </c>
      <c r="D7" s="74">
        <f>SUM(D4:D6)</f>
        <v>0</v>
      </c>
      <c r="E7" s="74">
        <f>SUM(E4:E6)</f>
        <v>0</v>
      </c>
      <c r="F7" s="75"/>
      <c r="G7" s="74">
        <f>SUM(G4:G6)</f>
        <v>0</v>
      </c>
      <c r="H7" s="74">
        <f>SUM(H4:H6)</f>
        <v>0</v>
      </c>
      <c r="I7" s="85">
        <f>SUM(I4:I6)</f>
        <v>0</v>
      </c>
      <c r="K7" s="30"/>
    </row>
    <row r="8" spans="1:13" ht="18.5" x14ac:dyDescent="0.45">
      <c r="A8" s="86"/>
      <c r="B8" s="79"/>
      <c r="C8" s="79"/>
      <c r="D8" s="79"/>
      <c r="E8" s="79"/>
      <c r="F8" s="79"/>
      <c r="G8" s="79"/>
      <c r="H8" s="79"/>
      <c r="I8" s="87"/>
      <c r="K8" s="30"/>
    </row>
    <row r="9" spans="1:13" ht="43.5" x14ac:dyDescent="0.35">
      <c r="A9" s="80" t="s">
        <v>84</v>
      </c>
      <c r="B9" s="176" t="s">
        <v>90</v>
      </c>
      <c r="C9" s="16" t="s">
        <v>86</v>
      </c>
      <c r="D9" s="3" t="s">
        <v>54</v>
      </c>
      <c r="E9" s="3" t="s">
        <v>57</v>
      </c>
      <c r="F9" s="25" t="s">
        <v>59</v>
      </c>
      <c r="G9" s="28" t="s">
        <v>60</v>
      </c>
      <c r="H9" s="25" t="s">
        <v>61</v>
      </c>
      <c r="I9" s="81" t="s">
        <v>62</v>
      </c>
      <c r="K9" s="30"/>
    </row>
    <row r="10" spans="1:13" x14ac:dyDescent="0.35">
      <c r="A10" s="82" t="s">
        <v>91</v>
      </c>
      <c r="B10" s="183"/>
      <c r="C10" s="73">
        <f>B10*8760*Reference!B102</f>
        <v>0</v>
      </c>
      <c r="D10" s="59">
        <f>C10/Reference!$B$83</f>
        <v>0</v>
      </c>
      <c r="E10" s="60">
        <f>G10/Reference!$B$86</f>
        <v>0</v>
      </c>
      <c r="F10" s="189">
        <v>3.4119999999999999</v>
      </c>
      <c r="G10" s="70">
        <f>C10*F10/1000</f>
        <v>0</v>
      </c>
      <c r="H10" s="70">
        <f>C10*F10</f>
        <v>0</v>
      </c>
      <c r="I10" s="83">
        <f>H10*1000</f>
        <v>0</v>
      </c>
      <c r="K10" s="30"/>
    </row>
    <row r="11" spans="1:13" x14ac:dyDescent="0.35">
      <c r="A11" s="82" t="s">
        <v>92</v>
      </c>
      <c r="B11" s="183"/>
      <c r="C11" s="73">
        <f>B11*8760*Reference!B103</f>
        <v>0</v>
      </c>
      <c r="D11" s="59">
        <f>C11/Reference!$B$83</f>
        <v>0</v>
      </c>
      <c r="E11" s="60">
        <f>G11/Reference!$B$86</f>
        <v>0</v>
      </c>
      <c r="F11" s="189">
        <v>3.4119999999999999</v>
      </c>
      <c r="G11" s="70">
        <f>C11*F11/1000</f>
        <v>0</v>
      </c>
      <c r="H11" s="70">
        <f>C11*F11</f>
        <v>0</v>
      </c>
      <c r="I11" s="83">
        <f>H11*1000</f>
        <v>0</v>
      </c>
      <c r="K11" s="30"/>
    </row>
    <row r="12" spans="1:13" x14ac:dyDescent="0.35">
      <c r="A12" s="82" t="s">
        <v>93</v>
      </c>
      <c r="B12" s="183"/>
      <c r="C12" s="73">
        <f>B12*8760*Reference!B104</f>
        <v>0</v>
      </c>
      <c r="D12" s="59">
        <f>C12/Reference!$B$83</f>
        <v>0</v>
      </c>
      <c r="E12" s="60">
        <f>G12/Reference!$B$86</f>
        <v>0</v>
      </c>
      <c r="F12" s="189">
        <v>3.4119999999999999</v>
      </c>
      <c r="G12" s="70">
        <f>C12*F12/1000</f>
        <v>0</v>
      </c>
      <c r="H12" s="70">
        <f>C12*F12</f>
        <v>0</v>
      </c>
      <c r="I12" s="83">
        <f>H12*1000</f>
        <v>0</v>
      </c>
      <c r="K12" s="30"/>
    </row>
    <row r="13" spans="1:13" ht="18.5" x14ac:dyDescent="0.45">
      <c r="A13" s="84" t="s">
        <v>80</v>
      </c>
      <c r="B13" s="168">
        <f>SUM(B10:B12)</f>
        <v>0</v>
      </c>
      <c r="C13" s="168">
        <f>SUM(C10:C12)</f>
        <v>0</v>
      </c>
      <c r="D13" s="74">
        <f>SUM(D10:D12)</f>
        <v>0</v>
      </c>
      <c r="E13" s="74">
        <f>SUM(E10:E12)</f>
        <v>0</v>
      </c>
      <c r="F13" s="75"/>
      <c r="G13" s="74">
        <f>SUM(G10:G12)</f>
        <v>0</v>
      </c>
      <c r="H13" s="74">
        <f>SUM(H10:H12)</f>
        <v>0</v>
      </c>
      <c r="I13" s="85">
        <f>SUM(I10:I12)</f>
        <v>0</v>
      </c>
      <c r="K13" s="30"/>
    </row>
    <row r="14" spans="1:13" ht="9" customHeight="1" thickBot="1" x14ac:dyDescent="0.5">
      <c r="A14" s="222"/>
      <c r="B14" s="223"/>
      <c r="C14" s="223"/>
      <c r="D14" s="223"/>
      <c r="E14" s="223"/>
      <c r="F14" s="223"/>
      <c r="G14" s="223"/>
      <c r="H14" s="223"/>
      <c r="I14" s="224"/>
      <c r="K14" s="30"/>
    </row>
    <row r="15" spans="1:13" ht="11.25" customHeight="1" x14ac:dyDescent="0.35">
      <c r="K15" s="30"/>
    </row>
    <row r="16" spans="1:13" ht="26" x14ac:dyDescent="0.6">
      <c r="A16" s="275" t="s">
        <v>94</v>
      </c>
      <c r="B16" s="276"/>
      <c r="C16" s="276"/>
      <c r="D16" s="276"/>
      <c r="E16" s="276"/>
      <c r="F16" s="276"/>
      <c r="G16" s="276"/>
      <c r="H16" s="276"/>
      <c r="I16" s="277"/>
      <c r="K16" s="30"/>
    </row>
    <row r="17" spans="1:13" s="7" customFormat="1" ht="58" x14ac:dyDescent="0.35">
      <c r="A17" s="272" t="s">
        <v>84</v>
      </c>
      <c r="B17" s="263" t="s">
        <v>95</v>
      </c>
      <c r="C17" s="264" t="s">
        <v>96</v>
      </c>
      <c r="D17" s="273" t="s">
        <v>54</v>
      </c>
      <c r="E17" s="273" t="s">
        <v>57</v>
      </c>
      <c r="F17" s="266" t="s">
        <v>59</v>
      </c>
      <c r="G17" s="267" t="s">
        <v>60</v>
      </c>
      <c r="H17" s="266" t="s">
        <v>61</v>
      </c>
      <c r="I17" s="274" t="s">
        <v>62</v>
      </c>
    </row>
    <row r="18" spans="1:13" x14ac:dyDescent="0.35">
      <c r="A18" s="82" t="s">
        <v>97</v>
      </c>
      <c r="B18" s="171"/>
      <c r="C18" s="73">
        <f>B18/(1000*8760*Reference!B102)</f>
        <v>0</v>
      </c>
      <c r="D18" s="59">
        <f>B18/Reference!$B$83</f>
        <v>0</v>
      </c>
      <c r="E18" s="60">
        <f>G18/Reference!$B$86</f>
        <v>0</v>
      </c>
      <c r="F18" s="189">
        <v>3.4119999999999999</v>
      </c>
      <c r="G18" s="70">
        <f>B18*F18/1000</f>
        <v>0</v>
      </c>
      <c r="H18" s="70">
        <f>B18*F18</f>
        <v>0</v>
      </c>
      <c r="I18" s="83">
        <f>H18*1000</f>
        <v>0</v>
      </c>
      <c r="K18" s="8"/>
      <c r="L18" s="8"/>
      <c r="M18" s="8"/>
    </row>
    <row r="19" spans="1:13" x14ac:dyDescent="0.35">
      <c r="A19" s="82" t="s">
        <v>98</v>
      </c>
      <c r="B19" s="183"/>
      <c r="C19" s="73">
        <f>B19/(1000*8760*Reference!B103)</f>
        <v>0</v>
      </c>
      <c r="D19" s="59">
        <f>B19/Reference!$B$83</f>
        <v>0</v>
      </c>
      <c r="E19" s="60">
        <f>G19/Reference!$B$86</f>
        <v>0</v>
      </c>
      <c r="F19" s="189">
        <v>3.4119999999999999</v>
      </c>
      <c r="G19" s="70">
        <f>B19*F19/1000</f>
        <v>0</v>
      </c>
      <c r="H19" s="70">
        <f>B19*F19</f>
        <v>0</v>
      </c>
      <c r="I19" s="83">
        <f>H19*1000</f>
        <v>0</v>
      </c>
      <c r="K19" s="8"/>
      <c r="L19" s="8"/>
      <c r="M19" s="8"/>
    </row>
    <row r="20" spans="1:13" x14ac:dyDescent="0.35">
      <c r="A20" s="82" t="s">
        <v>99</v>
      </c>
      <c r="B20" s="183"/>
      <c r="C20" s="73">
        <f>B20/(1000*8760*Reference!B104)</f>
        <v>0</v>
      </c>
      <c r="D20" s="59">
        <f>B20/Reference!$B$83</f>
        <v>0</v>
      </c>
      <c r="E20" s="60">
        <f>G20/Reference!$B$86</f>
        <v>0</v>
      </c>
      <c r="F20" s="189">
        <v>3.4119999999999999</v>
      </c>
      <c r="G20" s="70">
        <f>B20*F20/1000</f>
        <v>0</v>
      </c>
      <c r="H20" s="70">
        <f>B20*F20</f>
        <v>0</v>
      </c>
      <c r="I20" s="83">
        <f>H20*1000</f>
        <v>0</v>
      </c>
      <c r="K20" s="8"/>
      <c r="L20" s="8"/>
      <c r="M20" s="8"/>
    </row>
    <row r="21" spans="1:13" s="23" customFormat="1" ht="18.5" x14ac:dyDescent="0.45">
      <c r="A21" s="84" t="s">
        <v>80</v>
      </c>
      <c r="B21" s="168">
        <f>SUM(B18:B20)</f>
        <v>0</v>
      </c>
      <c r="C21" s="168">
        <f>SUM(C18:C20)</f>
        <v>0</v>
      </c>
      <c r="D21" s="74">
        <f>SUM(D18:D20)</f>
        <v>0</v>
      </c>
      <c r="E21" s="74">
        <f>SUM(E18:E20)</f>
        <v>0</v>
      </c>
      <c r="F21" s="75"/>
      <c r="G21" s="74">
        <f>SUM(G18:G20)</f>
        <v>0</v>
      </c>
      <c r="H21" s="74">
        <f>SUM(H18:H20)</f>
        <v>0</v>
      </c>
      <c r="I21" s="85">
        <f>SUM(I18:I20)</f>
        <v>0</v>
      </c>
    </row>
    <row r="22" spans="1:13" x14ac:dyDescent="0.35">
      <c r="A22" s="88"/>
      <c r="D22" s="89"/>
      <c r="E22" s="90"/>
      <c r="F22" s="8"/>
      <c r="I22" s="91"/>
      <c r="K22" s="29"/>
      <c r="M22" s="8"/>
    </row>
    <row r="23" spans="1:13" x14ac:dyDescent="0.35">
      <c r="A23" s="92"/>
      <c r="B23"/>
      <c r="C23"/>
      <c r="D23" s="89"/>
      <c r="E23" s="90"/>
      <c r="I23" s="91"/>
      <c r="J23" s="10"/>
      <c r="K23" s="30"/>
    </row>
    <row r="24" spans="1:13" ht="58" x14ac:dyDescent="0.35">
      <c r="A24" s="80" t="s">
        <v>310</v>
      </c>
      <c r="B24" s="176" t="s">
        <v>95</v>
      </c>
      <c r="C24" s="16" t="s">
        <v>100</v>
      </c>
      <c r="D24" s="3" t="s">
        <v>54</v>
      </c>
      <c r="E24" s="3" t="s">
        <v>57</v>
      </c>
      <c r="F24" s="25" t="s">
        <v>59</v>
      </c>
      <c r="G24" s="28" t="s">
        <v>60</v>
      </c>
      <c r="H24" s="25" t="s">
        <v>61</v>
      </c>
      <c r="I24" s="81" t="s">
        <v>62</v>
      </c>
      <c r="K24" s="30"/>
    </row>
    <row r="25" spans="1:13" x14ac:dyDescent="0.35">
      <c r="A25" s="82" t="s">
        <v>97</v>
      </c>
      <c r="B25" s="183"/>
      <c r="C25" s="73">
        <f>B25/(8760*Reference!B102)</f>
        <v>0</v>
      </c>
      <c r="D25" s="59">
        <f>B25/Reference!$B$83</f>
        <v>0</v>
      </c>
      <c r="E25" s="60">
        <f>G25/Reference!$B$86</f>
        <v>0</v>
      </c>
      <c r="F25" s="189">
        <v>3.4119999999999999</v>
      </c>
      <c r="G25" s="70">
        <f>B25*F25/1000</f>
        <v>0</v>
      </c>
      <c r="H25" s="70">
        <f>B25*F25</f>
        <v>0</v>
      </c>
      <c r="I25" s="83">
        <f>H25*1000</f>
        <v>0</v>
      </c>
      <c r="K25" s="30"/>
    </row>
    <row r="26" spans="1:13" x14ac:dyDescent="0.35">
      <c r="A26" s="82" t="s">
        <v>98</v>
      </c>
      <c r="B26" s="183"/>
      <c r="C26" s="73">
        <f>B26/(8760*Reference!B103)</f>
        <v>0</v>
      </c>
      <c r="D26" s="59">
        <f>B26/Reference!$B$83</f>
        <v>0</v>
      </c>
      <c r="E26" s="60">
        <f>G26/Reference!$B$86</f>
        <v>0</v>
      </c>
      <c r="F26" s="189">
        <v>3.4119999999999999</v>
      </c>
      <c r="G26" s="70">
        <f>B26*F26/1000</f>
        <v>0</v>
      </c>
      <c r="H26" s="70">
        <f>B26*F26</f>
        <v>0</v>
      </c>
      <c r="I26" s="83">
        <f>H26*1000</f>
        <v>0</v>
      </c>
      <c r="K26" s="30"/>
    </row>
    <row r="27" spans="1:13" x14ac:dyDescent="0.35">
      <c r="A27" s="82" t="s">
        <v>99</v>
      </c>
      <c r="B27" s="183"/>
      <c r="C27" s="73">
        <f>B27/(8760*Reference!B104)</f>
        <v>0</v>
      </c>
      <c r="D27" s="59">
        <f>B27/Reference!$B$83</f>
        <v>0</v>
      </c>
      <c r="E27" s="60">
        <f>G27/Reference!$B$86</f>
        <v>0</v>
      </c>
      <c r="F27" s="189">
        <v>3.4119999999999999</v>
      </c>
      <c r="G27" s="70">
        <f>B27*F27/1000</f>
        <v>0</v>
      </c>
      <c r="H27" s="70">
        <f>B27*F27</f>
        <v>0</v>
      </c>
      <c r="I27" s="83">
        <f>H27*1000</f>
        <v>0</v>
      </c>
      <c r="J27" s="11"/>
      <c r="K27" s="30"/>
    </row>
    <row r="28" spans="1:13" ht="18.5" x14ac:dyDescent="0.45">
      <c r="A28" s="84" t="s">
        <v>80</v>
      </c>
      <c r="B28" s="168">
        <f>SUM(B25:B27)</f>
        <v>0</v>
      </c>
      <c r="C28" s="168">
        <f>SUM(C25:C27)</f>
        <v>0</v>
      </c>
      <c r="D28" s="74">
        <f>SUM(D25:D27)</f>
        <v>0</v>
      </c>
      <c r="E28" s="74">
        <f>SUM(E25:E27)</f>
        <v>0</v>
      </c>
      <c r="F28" s="75"/>
      <c r="G28" s="74">
        <f>SUM(G25:G27)</f>
        <v>0</v>
      </c>
      <c r="H28" s="74">
        <f>SUM(H25:H27)</f>
        <v>0</v>
      </c>
      <c r="I28" s="85">
        <f>SUM(I25:I27)</f>
        <v>0</v>
      </c>
    </row>
    <row r="29" spans="1:13" ht="10.5" customHeight="1" thickBot="1" x14ac:dyDescent="0.5">
      <c r="A29" s="222"/>
      <c r="B29" s="223"/>
      <c r="C29" s="223"/>
      <c r="D29" s="223"/>
      <c r="E29" s="223"/>
      <c r="F29" s="223"/>
      <c r="G29" s="223"/>
      <c r="H29" s="223"/>
      <c r="I29" s="224"/>
    </row>
    <row r="30" spans="1:13" x14ac:dyDescent="0.35"/>
    <row r="31" spans="1:13" x14ac:dyDescent="0.35"/>
  </sheetData>
  <pageMargins left="0.7" right="0.7" top="0.75" bottom="0.75" header="0.3" footer="0.3"/>
  <pageSetup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zoomScale="90" zoomScaleNormal="90" workbookViewId="0">
      <selection activeCell="I1" sqref="I1"/>
    </sheetView>
  </sheetViews>
  <sheetFormatPr defaultColWidth="0" defaultRowHeight="14.5" zeroHeight="1" x14ac:dyDescent="0.35"/>
  <cols>
    <col min="1" max="1" width="13.453125" style="8" bestFit="1" customWidth="1"/>
    <col min="2" max="2" width="23.81640625" style="8" bestFit="1" customWidth="1"/>
    <col min="3" max="3" width="14.1796875" style="8" customWidth="1"/>
    <col min="4" max="4" width="16.81640625" style="8" customWidth="1"/>
    <col min="5" max="5" width="14.453125" style="8" bestFit="1" customWidth="1"/>
    <col min="6" max="6" width="15.453125" style="8" bestFit="1" customWidth="1"/>
    <col min="7" max="7" width="17.26953125" style="32" customWidth="1"/>
    <col min="8" max="8" width="17.54296875" style="24" customWidth="1"/>
    <col min="9" max="9" width="28.453125" style="32" customWidth="1"/>
    <col min="10" max="10" width="11" style="8" customWidth="1"/>
    <col min="11" max="11" width="18" style="31" customWidth="1"/>
    <col min="12" max="12" width="17.54296875" style="9" customWidth="1"/>
    <col min="13" max="13" width="23.7265625" style="33" customWidth="1"/>
    <col min="14" max="14" width="9.1796875" style="8" customWidth="1"/>
    <col min="15" max="16384" width="9.1796875" style="8" hidden="1"/>
  </cols>
  <sheetData>
    <row r="1" spans="1:13" s="198" customFormat="1" ht="31" customHeight="1" x14ac:dyDescent="0.35">
      <c r="A1" s="330" t="s">
        <v>101</v>
      </c>
      <c r="B1" s="331"/>
      <c r="C1" s="331"/>
      <c r="D1" s="332"/>
      <c r="E1" s="333" t="s">
        <v>44</v>
      </c>
      <c r="F1" s="334"/>
      <c r="G1" s="334"/>
      <c r="H1" s="335"/>
      <c r="I1" s="265" t="s">
        <v>45</v>
      </c>
      <c r="J1" s="327" t="s">
        <v>46</v>
      </c>
      <c r="K1" s="328"/>
      <c r="L1" s="328"/>
      <c r="M1" s="329"/>
    </row>
    <row r="2" spans="1:13" s="7" customFormat="1" ht="87" x14ac:dyDescent="0.35">
      <c r="A2" s="263" t="s">
        <v>47</v>
      </c>
      <c r="B2" s="264" t="s">
        <v>48</v>
      </c>
      <c r="C2" s="263" t="s">
        <v>49</v>
      </c>
      <c r="D2" s="264" t="s">
        <v>102</v>
      </c>
      <c r="E2" s="2" t="s">
        <v>50</v>
      </c>
      <c r="F2" s="2" t="s">
        <v>51</v>
      </c>
      <c r="G2" s="2" t="s">
        <v>52</v>
      </c>
      <c r="H2" s="2" t="s">
        <v>53</v>
      </c>
      <c r="I2" s="61" t="s">
        <v>58</v>
      </c>
      <c r="J2" s="266" t="s">
        <v>59</v>
      </c>
      <c r="K2" s="267" t="s">
        <v>60</v>
      </c>
      <c r="L2" s="266" t="s">
        <v>61</v>
      </c>
      <c r="M2" s="268" t="s">
        <v>62</v>
      </c>
    </row>
    <row r="3" spans="1:13" x14ac:dyDescent="0.35">
      <c r="A3" s="77" t="s">
        <v>330</v>
      </c>
      <c r="B3" s="5" t="s">
        <v>103</v>
      </c>
      <c r="C3" s="184"/>
      <c r="D3" s="190">
        <f>VLOOKUP($A3,source!$A$2:$B$43,2,FALSE)</f>
        <v>1.26E-2</v>
      </c>
      <c r="E3" s="191">
        <f>Reference!D58</f>
        <v>22.804258354823325</v>
      </c>
      <c r="F3" s="188">
        <f>Reference!E58</f>
        <v>1.0342067281099014E-2</v>
      </c>
      <c r="G3" s="44">
        <f>((C3*F3)*2205)*(1+D3)</f>
        <v>0</v>
      </c>
      <c r="H3" s="57">
        <f>(C3*F3)*(1+D3)</f>
        <v>0</v>
      </c>
      <c r="I3" s="1">
        <f>H3/Reference!$B$87</f>
        <v>0</v>
      </c>
      <c r="J3" s="193">
        <f>Reference!I58</f>
        <v>138.69047619047601</v>
      </c>
      <c r="K3" s="70">
        <f t="shared" ref="K3:K14" si="0">C3*J3/1000</f>
        <v>0</v>
      </c>
      <c r="L3" s="70">
        <f t="shared" ref="L3:L14" si="1">C3*J3</f>
        <v>0</v>
      </c>
      <c r="M3" s="46">
        <f>L3*1000</f>
        <v>0</v>
      </c>
    </row>
    <row r="4" spans="1:13" x14ac:dyDescent="0.35">
      <c r="A4" s="77" t="s">
        <v>330</v>
      </c>
      <c r="B4" s="5" t="s">
        <v>104</v>
      </c>
      <c r="C4" s="179"/>
      <c r="D4" s="190">
        <f>VLOOKUP($A4,source!$A$2:$B$43,2,FALSE)</f>
        <v>1.26E-2</v>
      </c>
      <c r="E4" s="191">
        <f>Reference!D59</f>
        <v>3.0106116480462619</v>
      </c>
      <c r="F4" s="188">
        <f>Reference!E59</f>
        <v>1.3653567564835655E-3</v>
      </c>
      <c r="G4" s="44">
        <f>((C4*F4)*2205)*(1+D4)</f>
        <v>0</v>
      </c>
      <c r="H4" s="57">
        <f>(C4*F4)*(1+D4)</f>
        <v>0</v>
      </c>
      <c r="I4" s="1">
        <f>H4/Reference!$B$87</f>
        <v>0</v>
      </c>
      <c r="J4" s="193">
        <f>Reference!I59</f>
        <v>84.833333333333343</v>
      </c>
      <c r="K4" s="70">
        <f t="shared" si="0"/>
        <v>0</v>
      </c>
      <c r="L4" s="70">
        <f t="shared" si="1"/>
        <v>0</v>
      </c>
      <c r="M4" s="46">
        <f t="shared" ref="M4:M12" si="2">L4*1000</f>
        <v>0</v>
      </c>
    </row>
    <row r="5" spans="1:13" x14ac:dyDescent="0.35">
      <c r="A5" s="77" t="s">
        <v>330</v>
      </c>
      <c r="B5" s="5" t="s">
        <v>37</v>
      </c>
      <c r="C5" s="178"/>
      <c r="D5" s="190">
        <f>VLOOKUP($A5,source!$A$2:$B$43,2,FALSE)</f>
        <v>1.26E-2</v>
      </c>
      <c r="E5" s="191">
        <f>Reference!D60</f>
        <v>20.018320388837456</v>
      </c>
      <c r="F5" s="188">
        <f>Reference!E60</f>
        <v>9.0786033509466912E-3</v>
      </c>
      <c r="G5" s="44">
        <f>((C5*F5)*2205)*(1+D5)</f>
        <v>0</v>
      </c>
      <c r="H5" s="57">
        <f>(C5*F5)*(1+D5)</f>
        <v>0</v>
      </c>
      <c r="I5" s="1">
        <f>H5/Reference!$B$87</f>
        <v>0</v>
      </c>
      <c r="J5" s="193">
        <f>Reference!I60</f>
        <v>125.07142857142858</v>
      </c>
      <c r="K5" s="70">
        <f t="shared" si="0"/>
        <v>0</v>
      </c>
      <c r="L5" s="70">
        <f t="shared" si="1"/>
        <v>0</v>
      </c>
      <c r="M5" s="46">
        <f t="shared" si="2"/>
        <v>0</v>
      </c>
    </row>
    <row r="6" spans="1:13" x14ac:dyDescent="0.35">
      <c r="A6" s="77" t="s">
        <v>330</v>
      </c>
      <c r="B6" s="5" t="s">
        <v>105</v>
      </c>
      <c r="C6" s="178"/>
      <c r="D6" s="190">
        <f>VLOOKUP($A6,source!$A$2:$B$43,2,FALSE)</f>
        <v>1.26E-2</v>
      </c>
      <c r="E6" s="191">
        <f>Reference!D63</f>
        <v>21.501157711158754</v>
      </c>
      <c r="F6" s="192">
        <f>Reference!E63</f>
        <v>9.7510919324983007E-3</v>
      </c>
      <c r="G6" s="44">
        <f>((C6*F6)*2205)*(1+D6)</f>
        <v>0</v>
      </c>
      <c r="H6" s="58">
        <f>(C6*F6)*(1+D6)</f>
        <v>0</v>
      </c>
      <c r="I6" s="1">
        <f>H6/Reference!$B$87</f>
        <v>0</v>
      </c>
      <c r="J6" s="194">
        <f>Reference!I63</f>
        <v>127.5</v>
      </c>
      <c r="K6" s="70">
        <f t="shared" si="0"/>
        <v>0</v>
      </c>
      <c r="L6" s="70">
        <f t="shared" si="1"/>
        <v>0</v>
      </c>
      <c r="M6" s="46">
        <f t="shared" si="2"/>
        <v>0</v>
      </c>
    </row>
    <row r="7" spans="1:13" x14ac:dyDescent="0.35">
      <c r="A7" s="77" t="s">
        <v>330</v>
      </c>
      <c r="B7" s="5" t="s">
        <v>106</v>
      </c>
      <c r="C7" s="178"/>
      <c r="D7" s="190">
        <f>VLOOKUP($A7,source!$A$2:$B$43,2,FALSE)</f>
        <v>1.26E-2</v>
      </c>
      <c r="E7" s="191">
        <f>Reference!D64</f>
        <v>0</v>
      </c>
      <c r="F7" s="192">
        <f>Reference!E64</f>
        <v>0</v>
      </c>
      <c r="G7" s="44">
        <f>(C7*F7)*2205</f>
        <v>0</v>
      </c>
      <c r="H7" s="58">
        <f>C7*F7</f>
        <v>0</v>
      </c>
      <c r="I7" s="1">
        <f>H7/Reference!$B$87</f>
        <v>0</v>
      </c>
      <c r="J7" s="194">
        <f>Reference!I64</f>
        <v>120</v>
      </c>
      <c r="K7" s="70">
        <f t="shared" si="0"/>
        <v>0</v>
      </c>
      <c r="L7" s="70">
        <f t="shared" si="1"/>
        <v>0</v>
      </c>
      <c r="M7" s="46">
        <f t="shared" si="2"/>
        <v>0</v>
      </c>
    </row>
    <row r="8" spans="1:13" x14ac:dyDescent="0.35">
      <c r="A8" s="77" t="s">
        <v>330</v>
      </c>
      <c r="B8" s="5" t="s">
        <v>107</v>
      </c>
      <c r="C8" s="178"/>
      <c r="D8" s="190">
        <f>VLOOKUP($A8,source!$A$2:$B$43,2,FALSE)</f>
        <v>1.26E-2</v>
      </c>
      <c r="E8" s="191" t="str">
        <f>Reference!D65</f>
        <v>see note</v>
      </c>
      <c r="F8" s="192" t="str">
        <f>Reference!E65</f>
        <v>see note</v>
      </c>
      <c r="G8" s="44" t="e">
        <f>(C8*F8)*2205</f>
        <v>#VALUE!</v>
      </c>
      <c r="H8" s="58" t="e">
        <f>C8*F8</f>
        <v>#VALUE!</v>
      </c>
      <c r="I8" s="1" t="e">
        <f>H8/Reference!$B$87</f>
        <v>#VALUE!</v>
      </c>
      <c r="J8" s="194">
        <f>Reference!I65</f>
        <v>127.5952380952381</v>
      </c>
      <c r="K8" s="70">
        <f t="shared" si="0"/>
        <v>0</v>
      </c>
      <c r="L8" s="70">
        <f t="shared" si="1"/>
        <v>0</v>
      </c>
      <c r="M8" s="46">
        <f t="shared" si="2"/>
        <v>0</v>
      </c>
    </row>
    <row r="9" spans="1:13" x14ac:dyDescent="0.35">
      <c r="A9" s="77" t="s">
        <v>330</v>
      </c>
      <c r="B9" s="5" t="s">
        <v>108</v>
      </c>
      <c r="C9" s="178"/>
      <c r="D9" s="190">
        <f>VLOOKUP($A9,source!$A$2:$B$43,2,FALSE)</f>
        <v>1.26E-2</v>
      </c>
      <c r="E9" s="191" t="str">
        <f>Reference!D66</f>
        <v>see note</v>
      </c>
      <c r="F9" s="192" t="str">
        <f>Reference!E66</f>
        <v>see note</v>
      </c>
      <c r="G9" s="44" t="e">
        <f t="shared" ref="G9:G14" si="3">((C9*F9)*2205)*(1+D9)</f>
        <v>#VALUE!</v>
      </c>
      <c r="H9" s="58" t="e">
        <f t="shared" ref="H9:H14" si="4">(C9*F9)*(1+D9)</f>
        <v>#VALUE!</v>
      </c>
      <c r="I9" s="1" t="e">
        <f>H9/Reference!$B$87</f>
        <v>#VALUE!</v>
      </c>
      <c r="J9" s="194">
        <f>Reference!I66</f>
        <v>136</v>
      </c>
      <c r="K9" s="70">
        <f t="shared" si="0"/>
        <v>0</v>
      </c>
      <c r="L9" s="70">
        <f t="shared" si="1"/>
        <v>0</v>
      </c>
      <c r="M9" s="46">
        <f t="shared" si="2"/>
        <v>0</v>
      </c>
    </row>
    <row r="10" spans="1:13" x14ac:dyDescent="0.35">
      <c r="A10" s="77" t="s">
        <v>330</v>
      </c>
      <c r="B10" s="5" t="s">
        <v>109</v>
      </c>
      <c r="C10" s="178"/>
      <c r="D10" s="190">
        <f>VLOOKUP($A10,source!$A$2:$B$43,2,FALSE)</f>
        <v>1.26E-2</v>
      </c>
      <c r="E10" s="191" t="str">
        <f>Reference!D67</f>
        <v>see note</v>
      </c>
      <c r="F10" s="192" t="str">
        <f>Reference!E67</f>
        <v>see note</v>
      </c>
      <c r="G10" s="44" t="e">
        <f t="shared" si="3"/>
        <v>#VALUE!</v>
      </c>
      <c r="H10" s="58" t="e">
        <f t="shared" si="4"/>
        <v>#VALUE!</v>
      </c>
      <c r="I10" s="1" t="e">
        <f>H10/Reference!$B$87</f>
        <v>#VALUE!</v>
      </c>
      <c r="J10" s="194">
        <f>Reference!I67</f>
        <v>138</v>
      </c>
      <c r="K10" s="70">
        <f t="shared" si="0"/>
        <v>0</v>
      </c>
      <c r="L10" s="70">
        <f t="shared" si="1"/>
        <v>0</v>
      </c>
      <c r="M10" s="46">
        <f t="shared" si="2"/>
        <v>0</v>
      </c>
    </row>
    <row r="11" spans="1:13" x14ac:dyDescent="0.35">
      <c r="A11" s="77" t="s">
        <v>330</v>
      </c>
      <c r="B11" s="5" t="s">
        <v>110</v>
      </c>
      <c r="C11" s="178"/>
      <c r="D11" s="190">
        <f>VLOOKUP($A11,source!$A$2:$B$43,2,FALSE)</f>
        <v>1.26E-2</v>
      </c>
      <c r="E11" s="191">
        <f>Reference!D68</f>
        <v>15.219657754105011</v>
      </c>
      <c r="F11" s="192">
        <f>Reference!E68</f>
        <v>6.9023391175079413E-3</v>
      </c>
      <c r="G11" s="44">
        <f t="shared" si="3"/>
        <v>0</v>
      </c>
      <c r="H11" s="58">
        <f t="shared" si="4"/>
        <v>0</v>
      </c>
      <c r="I11" s="1">
        <f>H11/Reference!$B$87</f>
        <v>0</v>
      </c>
      <c r="J11" s="194">
        <f>Reference!I68</f>
        <v>143.02561</v>
      </c>
      <c r="K11" s="70">
        <f t="shared" si="0"/>
        <v>0</v>
      </c>
      <c r="L11" s="70">
        <f t="shared" si="1"/>
        <v>0</v>
      </c>
      <c r="M11" s="46">
        <f t="shared" si="2"/>
        <v>0</v>
      </c>
    </row>
    <row r="12" spans="1:13" x14ac:dyDescent="0.35">
      <c r="A12" s="77" t="s">
        <v>330</v>
      </c>
      <c r="B12" s="5" t="s">
        <v>111</v>
      </c>
      <c r="C12" s="178"/>
      <c r="D12" s="190">
        <f>VLOOKUP($A12,source!$A$2:$B$43,2,FALSE)</f>
        <v>1.26E-2</v>
      </c>
      <c r="E12" s="191">
        <f>Reference!D69</f>
        <v>9.8326249140196484</v>
      </c>
      <c r="F12" s="192">
        <f>Reference!E69</f>
        <v>4.4592403238184345E-3</v>
      </c>
      <c r="G12" s="44">
        <f t="shared" si="3"/>
        <v>0</v>
      </c>
      <c r="H12" s="58">
        <f t="shared" si="4"/>
        <v>0</v>
      </c>
      <c r="I12" s="1">
        <f>H12/Reference!$B$87</f>
        <v>0</v>
      </c>
      <c r="J12" s="194">
        <f>Reference!I69</f>
        <v>84.82</v>
      </c>
      <c r="K12" s="70">
        <f t="shared" si="0"/>
        <v>0</v>
      </c>
      <c r="L12" s="70">
        <f t="shared" si="1"/>
        <v>0</v>
      </c>
      <c r="M12" s="46">
        <f t="shared" si="2"/>
        <v>0</v>
      </c>
    </row>
    <row r="13" spans="1:13" x14ac:dyDescent="0.35">
      <c r="A13" s="77" t="s">
        <v>330</v>
      </c>
      <c r="B13" s="5" t="s">
        <v>75</v>
      </c>
      <c r="C13" s="178"/>
      <c r="D13" s="190">
        <f>VLOOKUP($A13,source!$A$2:$B$43,2,FALSE)</f>
        <v>1.26E-2</v>
      </c>
      <c r="E13" s="191">
        <f>Reference!D62</f>
        <v>12.896201146854882</v>
      </c>
      <c r="F13" s="192">
        <f>Reference!E62</f>
        <v>5.8486173001609442E-3</v>
      </c>
      <c r="G13" s="44">
        <f t="shared" si="3"/>
        <v>0</v>
      </c>
      <c r="H13" s="58">
        <f t="shared" si="4"/>
        <v>0</v>
      </c>
      <c r="I13" s="1">
        <f>H13/Reference!$B$87</f>
        <v>0</v>
      </c>
      <c r="J13" s="195">
        <f>Reference!I62</f>
        <v>91.333333333333343</v>
      </c>
      <c r="K13" s="70">
        <f t="shared" si="0"/>
        <v>0</v>
      </c>
      <c r="L13" s="70">
        <f t="shared" si="1"/>
        <v>0</v>
      </c>
      <c r="M13" s="46">
        <f t="shared" ref="M13" si="5">L13*1000</f>
        <v>0</v>
      </c>
    </row>
    <row r="14" spans="1:13" x14ac:dyDescent="0.35">
      <c r="A14" s="77" t="s">
        <v>330</v>
      </c>
      <c r="B14" s="5" t="s">
        <v>112</v>
      </c>
      <c r="C14" s="178"/>
      <c r="D14" s="190">
        <v>0</v>
      </c>
      <c r="E14" s="191">
        <f>VLOOKUP($A14,source!$A$2:$D$55,3,FALSE)</f>
        <v>0.53249999999999997</v>
      </c>
      <c r="F14" s="192">
        <f>VLOOKUP($A14,source!$A$2:$D$55,4,FALSE)</f>
        <v>2.4149659863945578E-4</v>
      </c>
      <c r="G14" s="44">
        <f t="shared" si="3"/>
        <v>0</v>
      </c>
      <c r="H14" s="58">
        <f t="shared" si="4"/>
        <v>0</v>
      </c>
      <c r="I14" s="1">
        <f>H14/Reference!$B$87</f>
        <v>0</v>
      </c>
      <c r="J14" s="195">
        <v>3.4119999999999999</v>
      </c>
      <c r="K14" s="70">
        <f t="shared" si="0"/>
        <v>0</v>
      </c>
      <c r="L14" s="70">
        <f t="shared" si="1"/>
        <v>0</v>
      </c>
      <c r="M14" s="46">
        <f t="shared" ref="M14" si="6">L14*1000</f>
        <v>0</v>
      </c>
    </row>
    <row r="15" spans="1:13" s="23" customFormat="1" ht="18.5" x14ac:dyDescent="0.45">
      <c r="A15" s="8"/>
      <c r="B15" s="50" t="s">
        <v>80</v>
      </c>
      <c r="C15" s="51"/>
      <c r="D15" s="51"/>
      <c r="E15" s="51"/>
      <c r="F15" s="51"/>
      <c r="G15" s="22" t="e">
        <f>SUM(G3:G14)</f>
        <v>#VALUE!</v>
      </c>
      <c r="H15" s="38" t="e">
        <f>SUM(H3:H14)</f>
        <v>#VALUE!</v>
      </c>
      <c r="I15" s="22" t="e">
        <f>SUM(I3:I14)</f>
        <v>#VALUE!</v>
      </c>
      <c r="J15" s="62"/>
      <c r="K15" s="72">
        <f>SUM(K3:K14)</f>
        <v>0</v>
      </c>
      <c r="L15" s="72">
        <f>SUM(L3:L14)</f>
        <v>0</v>
      </c>
      <c r="M15" s="72">
        <f>SUM(M3:M14)</f>
        <v>0</v>
      </c>
    </row>
    <row r="16" spans="1:13" x14ac:dyDescent="0.35">
      <c r="C16"/>
      <c r="E16" s="47"/>
      <c r="K16" s="29"/>
    </row>
    <row r="17" spans="1:13" x14ac:dyDescent="0.35">
      <c r="B17"/>
      <c r="D17"/>
      <c r="E17" s="10"/>
      <c r="J17" s="10"/>
      <c r="K17" s="30"/>
    </row>
    <row r="18" spans="1:13" ht="23.5" customHeight="1" x14ac:dyDescent="0.35">
      <c r="A18" s="269" t="s">
        <v>81</v>
      </c>
      <c r="B18" s="269"/>
      <c r="C18" s="269"/>
      <c r="D18" s="269"/>
      <c r="E18" s="269"/>
      <c r="F18" s="269"/>
      <c r="G18" s="269"/>
      <c r="K18" s="30"/>
    </row>
    <row r="19" spans="1:13" s="9" customFormat="1" x14ac:dyDescent="0.35">
      <c r="B19" s="8"/>
      <c r="C19" s="8"/>
      <c r="D19" s="8"/>
      <c r="E19" s="8"/>
      <c r="F19" s="8"/>
      <c r="G19" s="32"/>
      <c r="H19" s="24"/>
      <c r="I19" s="32"/>
      <c r="J19" s="8"/>
      <c r="K19" s="30"/>
      <c r="M19" s="33"/>
    </row>
    <row r="20" spans="1:13" s="9" customFormat="1" x14ac:dyDescent="0.35">
      <c r="B20" s="8"/>
      <c r="C20" s="8"/>
      <c r="D20" s="8"/>
      <c r="E20" s="8"/>
      <c r="F20" s="8"/>
      <c r="G20" s="32"/>
      <c r="H20" s="24"/>
      <c r="I20" s="32"/>
      <c r="J20" s="11"/>
      <c r="K20" s="30"/>
      <c r="M20" s="33"/>
    </row>
    <row r="21" spans="1:13" s="9" customFormat="1" hidden="1" x14ac:dyDescent="0.35">
      <c r="B21" s="8"/>
      <c r="C21" s="8"/>
      <c r="D21" s="8"/>
      <c r="E21" s="8"/>
      <c r="F21" s="8"/>
      <c r="G21" s="32"/>
      <c r="H21" s="24"/>
      <c r="I21" s="32"/>
      <c r="J21" s="8"/>
      <c r="K21" s="30"/>
      <c r="M21" s="33"/>
    </row>
    <row r="22" spans="1:13" s="9" customFormat="1" hidden="1" x14ac:dyDescent="0.35">
      <c r="B22" s="8"/>
      <c r="C22" s="8"/>
      <c r="D22" s="8"/>
      <c r="E22" s="8"/>
      <c r="F22" s="8"/>
      <c r="G22" s="32"/>
      <c r="H22" s="24"/>
      <c r="I22" s="32"/>
      <c r="J22" s="8"/>
      <c r="K22" s="30"/>
      <c r="M22" s="33"/>
    </row>
    <row r="23" spans="1:13" s="9" customFormat="1" hidden="1" x14ac:dyDescent="0.35">
      <c r="B23" s="8"/>
      <c r="C23" s="8"/>
      <c r="D23" s="8"/>
      <c r="E23" s="8"/>
      <c r="F23" s="8"/>
      <c r="G23" s="32"/>
      <c r="H23" s="24"/>
      <c r="I23" s="32"/>
      <c r="J23" s="8"/>
      <c r="K23" s="30"/>
      <c r="M23" s="33"/>
    </row>
    <row r="24" spans="1:13" s="9" customFormat="1" hidden="1" x14ac:dyDescent="0.35">
      <c r="B24" s="8"/>
      <c r="C24" s="8"/>
      <c r="D24" s="8"/>
      <c r="E24" s="8"/>
      <c r="F24" s="8"/>
      <c r="G24" s="32"/>
      <c r="H24" s="24"/>
      <c r="I24" s="32"/>
      <c r="J24" s="11"/>
      <c r="K24" s="30"/>
      <c r="M24" s="33"/>
    </row>
    <row r="25" spans="1:13" x14ac:dyDescent="0.35"/>
  </sheetData>
  <phoneticPr fontId="22" type="noConversion"/>
  <conditionalFormatting sqref="D3:D14">
    <cfRule type="containsErrors" dxfId="2" priority="11">
      <formula>ISERROR(D3)</formula>
    </cfRule>
  </conditionalFormatting>
  <conditionalFormatting sqref="E14:H14">
    <cfRule type="containsErrors" dxfId="1" priority="1">
      <formula>ISERROR(E14)</formula>
    </cfRule>
  </conditionalFormatting>
  <conditionalFormatting sqref="G3:H15 I1:I1048576">
    <cfRule type="containsErrors" dxfId="0" priority="12">
      <formula>ISERROR(G1)</formula>
    </cfRule>
  </conditionalFormatting>
  <pageMargins left="0.7" right="0.7" top="0.75" bottom="0.75" header="0.3" footer="0.3"/>
  <pageSetup scale="32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683875-E951-A241-A6ED-DD8880BE2BAA}">
          <x14:formula1>
            <xm:f>source!$A$2:$A$54</xm:f>
          </x14:formula1>
          <xm:sqref>A3:A14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32"/>
  <sheetViews>
    <sheetView showGridLines="0" zoomScale="70" zoomScaleNormal="70" workbookViewId="0">
      <selection activeCell="E3" sqref="E3:E25"/>
    </sheetView>
  </sheetViews>
  <sheetFormatPr defaultColWidth="0" defaultRowHeight="14.5" x14ac:dyDescent="0.35"/>
  <cols>
    <col min="1" max="1" width="54.7265625" style="8" customWidth="1"/>
    <col min="2" max="2" width="32.81640625" style="8" customWidth="1"/>
    <col min="3" max="3" width="32.453125" style="8" customWidth="1"/>
    <col min="4" max="4" width="34.26953125" style="8" customWidth="1"/>
    <col min="5" max="5" width="32.453125" style="24" bestFit="1" customWidth="1"/>
    <col min="6" max="6" width="32.453125" style="24" customWidth="1"/>
    <col min="7" max="7" width="57.7265625" style="8" customWidth="1"/>
    <col min="8" max="8" width="72.453125" style="8" customWidth="1"/>
    <col min="9" max="9" width="22.1796875" style="8" bestFit="1" customWidth="1"/>
    <col min="10" max="10" width="106.26953125" style="9" bestFit="1" customWidth="1"/>
    <col min="11" max="14" width="22.81640625" style="8" customWidth="1"/>
    <col min="15" max="16384" width="22.81640625" style="8" hidden="1"/>
  </cols>
  <sheetData>
    <row r="1" spans="1:10" ht="36" customHeight="1" x14ac:dyDescent="0.35">
      <c r="A1" s="260" t="s">
        <v>113</v>
      </c>
      <c r="B1" s="261"/>
      <c r="C1" s="261"/>
      <c r="D1" s="261"/>
      <c r="E1" s="261"/>
      <c r="F1" s="261"/>
      <c r="G1" s="261"/>
      <c r="H1" s="262"/>
      <c r="I1" s="258" t="s">
        <v>46</v>
      </c>
      <c r="J1" s="259"/>
    </row>
    <row r="2" spans="1:10" s="7" customFormat="1" ht="29" x14ac:dyDescent="0.35">
      <c r="A2" s="6" t="str">
        <f>Building!B2</f>
        <v>Fuel</v>
      </c>
      <c r="B2" s="6" t="s">
        <v>298</v>
      </c>
      <c r="C2" s="6" t="s">
        <v>299</v>
      </c>
      <c r="D2" s="2" t="s">
        <v>300</v>
      </c>
      <c r="E2" s="2" t="s">
        <v>301</v>
      </c>
      <c r="F2" s="2" t="s">
        <v>302</v>
      </c>
      <c r="G2" s="2" t="s">
        <v>114</v>
      </c>
      <c r="H2" s="2" t="s">
        <v>115</v>
      </c>
      <c r="I2" s="26" t="str">
        <f>Building!M2</f>
        <v>kBtu Conversion Factor</v>
      </c>
      <c r="J2" s="27" t="s">
        <v>116</v>
      </c>
    </row>
    <row r="3" spans="1:10" x14ac:dyDescent="0.35">
      <c r="A3" s="5" t="s">
        <v>117</v>
      </c>
      <c r="B3" s="53" t="s">
        <v>118</v>
      </c>
      <c r="C3" s="53" t="s">
        <v>118</v>
      </c>
      <c r="D3" s="122">
        <v>1.189247311827957</v>
      </c>
      <c r="E3" s="123">
        <v>5.3943414821055644E-4</v>
      </c>
      <c r="F3" s="123">
        <f>(E3/I3)</f>
        <v>1.580991055716754E-4</v>
      </c>
      <c r="G3" s="202" t="s">
        <v>119</v>
      </c>
      <c r="H3" s="54"/>
      <c r="I3" s="52">
        <v>3.4119999999999999</v>
      </c>
      <c r="J3" s="208" t="s">
        <v>120</v>
      </c>
    </row>
    <row r="4" spans="1:10" x14ac:dyDescent="0.35">
      <c r="A4" s="5" t="s">
        <v>121</v>
      </c>
      <c r="B4" s="53" t="s">
        <v>118</v>
      </c>
      <c r="C4" s="53" t="s">
        <v>118</v>
      </c>
      <c r="D4" s="122">
        <v>1.1989247311827957</v>
      </c>
      <c r="E4" s="123">
        <v>5.4382375701154657E-4</v>
      </c>
      <c r="F4" s="123">
        <f t="shared" ref="F4:F63" si="0">(E4/I4)</f>
        <v>1.5938562632225868E-4</v>
      </c>
      <c r="G4" s="202" t="s">
        <v>119</v>
      </c>
      <c r="H4" s="54"/>
      <c r="I4" s="52">
        <v>3.4119999999999999</v>
      </c>
      <c r="J4" s="208" t="s">
        <v>120</v>
      </c>
    </row>
    <row r="5" spans="1:10" x14ac:dyDescent="0.35">
      <c r="A5" s="5" t="s">
        <v>122</v>
      </c>
      <c r="B5" s="53" t="s">
        <v>118</v>
      </c>
      <c r="C5" s="53" t="s">
        <v>118</v>
      </c>
      <c r="D5" s="122">
        <v>1.2505376344086023</v>
      </c>
      <c r="E5" s="123">
        <v>5.6723500395016032E-4</v>
      </c>
      <c r="F5" s="123">
        <f t="shared" si="0"/>
        <v>1.6624707032536937E-4</v>
      </c>
      <c r="G5" s="202" t="s">
        <v>119</v>
      </c>
      <c r="H5" s="54"/>
      <c r="I5" s="52">
        <v>3.4119999999999999</v>
      </c>
      <c r="J5" s="208" t="s">
        <v>120</v>
      </c>
    </row>
    <row r="6" spans="1:10" x14ac:dyDescent="0.35">
      <c r="A6" s="5" t="s">
        <v>123</v>
      </c>
      <c r="B6" s="53" t="s">
        <v>118</v>
      </c>
      <c r="C6" s="53" t="s">
        <v>118</v>
      </c>
      <c r="D6" s="122">
        <v>1.2182795698924731</v>
      </c>
      <c r="E6" s="123">
        <v>5.5260297461352662E-4</v>
      </c>
      <c r="F6" s="123">
        <f t="shared" si="0"/>
        <v>1.6195866782342516E-4</v>
      </c>
      <c r="G6" s="202" t="s">
        <v>119</v>
      </c>
      <c r="H6" s="54"/>
      <c r="I6" s="52">
        <v>3.4119999999999999</v>
      </c>
      <c r="J6" s="208" t="s">
        <v>120</v>
      </c>
    </row>
    <row r="7" spans="1:10" x14ac:dyDescent="0.35">
      <c r="A7" s="5" t="s">
        <v>124</v>
      </c>
      <c r="B7" s="53" t="s">
        <v>118</v>
      </c>
      <c r="C7" s="53" t="s">
        <v>118</v>
      </c>
      <c r="D7" s="122">
        <v>1.2193429611670017</v>
      </c>
      <c r="E7" s="123">
        <v>5.5308532135560861E-4</v>
      </c>
      <c r="F7" s="123">
        <f t="shared" si="0"/>
        <v>1.6210003556729443E-4</v>
      </c>
      <c r="G7" s="202" t="s">
        <v>119</v>
      </c>
      <c r="H7" s="54"/>
      <c r="I7" s="52">
        <v>3.4119999999999999</v>
      </c>
      <c r="J7" s="208" t="s">
        <v>120</v>
      </c>
    </row>
    <row r="8" spans="1:10" x14ac:dyDescent="0.35">
      <c r="A8" s="5" t="s">
        <v>125</v>
      </c>
      <c r="B8" s="53" t="s">
        <v>118</v>
      </c>
      <c r="C8" s="53" t="s">
        <v>118</v>
      </c>
      <c r="D8" s="122">
        <v>1.0848087291281086</v>
      </c>
      <c r="E8" s="123">
        <v>4.9206154762639759E-4</v>
      </c>
      <c r="F8" s="123">
        <f t="shared" si="0"/>
        <v>1.4421499051183985E-4</v>
      </c>
      <c r="G8" s="202" t="s">
        <v>119</v>
      </c>
      <c r="H8" s="54"/>
      <c r="I8" s="52">
        <v>3.4119999999999999</v>
      </c>
      <c r="J8" s="208" t="s">
        <v>120</v>
      </c>
    </row>
    <row r="9" spans="1:10" x14ac:dyDescent="0.35">
      <c r="A9" s="5" t="s">
        <v>126</v>
      </c>
      <c r="B9" s="53" t="s">
        <v>118</v>
      </c>
      <c r="C9" s="53" t="s">
        <v>118</v>
      </c>
      <c r="D9" s="122">
        <v>1.1080456135852068</v>
      </c>
      <c r="E9" s="123">
        <v>5.0260163365351256E-4</v>
      </c>
      <c r="F9" s="123">
        <f t="shared" si="0"/>
        <v>1.4730411302857929E-4</v>
      </c>
      <c r="G9" s="202" t="s">
        <v>119</v>
      </c>
      <c r="H9" s="54"/>
      <c r="I9" s="52">
        <v>3.4119999999999999</v>
      </c>
      <c r="J9" s="208" t="s">
        <v>120</v>
      </c>
    </row>
    <row r="10" spans="1:10" x14ac:dyDescent="0.35">
      <c r="A10" s="5" t="s">
        <v>127</v>
      </c>
      <c r="B10" s="53" t="s">
        <v>118</v>
      </c>
      <c r="C10" s="53" t="s">
        <v>118</v>
      </c>
      <c r="D10" s="122">
        <v>1.0224199666277467</v>
      </c>
      <c r="E10" s="123">
        <v>4.6376244732776928E-4</v>
      </c>
      <c r="F10" s="123">
        <f t="shared" si="0"/>
        <v>1.3592099863064751E-4</v>
      </c>
      <c r="G10" s="202" t="s">
        <v>119</v>
      </c>
      <c r="H10" s="54"/>
      <c r="I10" s="52">
        <v>3.4119999999999999</v>
      </c>
      <c r="J10" s="208" t="s">
        <v>120</v>
      </c>
    </row>
    <row r="11" spans="1:10" x14ac:dyDescent="0.35">
      <c r="A11" s="5" t="s">
        <v>128</v>
      </c>
      <c r="B11" s="53" t="s">
        <v>118</v>
      </c>
      <c r="C11" s="53" t="s">
        <v>118</v>
      </c>
      <c r="D11" s="122">
        <v>0.9572022719914004</v>
      </c>
      <c r="E11" s="123">
        <v>4.3418016347098387E-4</v>
      </c>
      <c r="F11" s="123">
        <f t="shared" si="0"/>
        <v>1.272509271603118E-4</v>
      </c>
      <c r="G11" s="202" t="s">
        <v>119</v>
      </c>
      <c r="H11" s="54"/>
      <c r="I11" s="52">
        <v>3.4119999999999999</v>
      </c>
      <c r="J11" s="208" t="s">
        <v>120</v>
      </c>
    </row>
    <row r="12" spans="1:10" x14ac:dyDescent="0.35">
      <c r="A12" s="5" t="s">
        <v>129</v>
      </c>
      <c r="B12" s="53" t="s">
        <v>118</v>
      </c>
      <c r="C12" s="53" t="s">
        <v>118</v>
      </c>
      <c r="D12" s="122">
        <v>0.96344086021505382</v>
      </c>
      <c r="E12" s="123">
        <v>4.3700994285412174E-4</v>
      </c>
      <c r="F12" s="123">
        <f t="shared" si="0"/>
        <v>1.2808028805806618E-4</v>
      </c>
      <c r="G12" s="202" t="s">
        <v>119</v>
      </c>
      <c r="H12" s="54"/>
      <c r="I12" s="52">
        <v>3.4119999999999999</v>
      </c>
      <c r="J12" s="208" t="s">
        <v>120</v>
      </c>
    </row>
    <row r="13" spans="1:10" x14ac:dyDescent="0.35">
      <c r="A13" s="5" t="s">
        <v>130</v>
      </c>
      <c r="B13" s="53" t="s">
        <v>118</v>
      </c>
      <c r="C13" s="53" t="s">
        <v>118</v>
      </c>
      <c r="D13" s="122">
        <v>0.83370336476633722</v>
      </c>
      <c r="E13" s="123">
        <v>3.7816193483064531E-4</v>
      </c>
      <c r="F13" s="123">
        <f t="shared" si="0"/>
        <v>1.1083292345564049E-4</v>
      </c>
      <c r="G13" s="202" t="s">
        <v>119</v>
      </c>
      <c r="H13" s="54"/>
      <c r="I13" s="52">
        <v>3.4119999999999999</v>
      </c>
      <c r="J13" s="208" t="s">
        <v>120</v>
      </c>
    </row>
    <row r="14" spans="1:10" x14ac:dyDescent="0.35">
      <c r="A14" s="5" t="s">
        <v>131</v>
      </c>
      <c r="B14" s="53" t="s">
        <v>118</v>
      </c>
      <c r="C14" s="53" t="s">
        <v>118</v>
      </c>
      <c r="D14" s="122">
        <v>0.73276776246023334</v>
      </c>
      <c r="E14" s="123">
        <f>D14/2204.62</f>
        <v>3.3237826131498097E-4</v>
      </c>
      <c r="F14" s="123">
        <f t="shared" si="0"/>
        <v>9.7414496282233583E-5</v>
      </c>
      <c r="G14" s="202" t="s">
        <v>119</v>
      </c>
      <c r="H14" s="54"/>
      <c r="I14" s="52">
        <v>3.4119999999999999</v>
      </c>
      <c r="J14" s="208" t="s">
        <v>120</v>
      </c>
    </row>
    <row r="15" spans="1:10" x14ac:dyDescent="0.35">
      <c r="A15" s="5" t="s">
        <v>132</v>
      </c>
      <c r="B15" s="53" t="s">
        <v>118</v>
      </c>
      <c r="C15" s="53" t="s">
        <v>118</v>
      </c>
      <c r="D15" s="122">
        <v>0.75079533404029697</v>
      </c>
      <c r="E15" s="123">
        <v>3.4055543995804128E-4</v>
      </c>
      <c r="F15" s="123">
        <f t="shared" si="0"/>
        <v>9.9811090257339184E-5</v>
      </c>
      <c r="G15" s="202" t="s">
        <v>119</v>
      </c>
      <c r="H15" s="54"/>
      <c r="I15" s="52">
        <v>3.4119999999999999</v>
      </c>
      <c r="J15" s="208" t="s">
        <v>120</v>
      </c>
    </row>
    <row r="16" spans="1:10" x14ac:dyDescent="0.35">
      <c r="A16" s="5" t="s">
        <v>133</v>
      </c>
      <c r="B16" s="53" t="s">
        <v>118</v>
      </c>
      <c r="C16" s="53" t="s">
        <v>118</v>
      </c>
      <c r="D16" s="122">
        <v>0.72428419936373278</v>
      </c>
      <c r="E16" s="123">
        <v>3.2853017724765845E-4</v>
      </c>
      <c r="F16" s="123">
        <f t="shared" si="0"/>
        <v>9.6286687352772118E-5</v>
      </c>
      <c r="G16" s="202" t="s">
        <v>119</v>
      </c>
      <c r="H16" s="54"/>
      <c r="I16" s="52">
        <v>3.4119999999999999</v>
      </c>
      <c r="J16" s="208" t="s">
        <v>120</v>
      </c>
    </row>
    <row r="17" spans="1:10" x14ac:dyDescent="0.35">
      <c r="A17" s="5" t="s">
        <v>134</v>
      </c>
      <c r="B17" s="53" t="s">
        <v>118</v>
      </c>
      <c r="C17" s="53" t="s">
        <v>118</v>
      </c>
      <c r="D17" s="122">
        <v>0.74655355249204669</v>
      </c>
      <c r="E17" s="123">
        <v>3.3863139792438002E-4</v>
      </c>
      <c r="F17" s="123">
        <f t="shared" si="0"/>
        <v>9.9247185792608451E-5</v>
      </c>
      <c r="G17" s="202" t="s">
        <v>119</v>
      </c>
      <c r="H17" s="54"/>
      <c r="I17" s="52">
        <v>3.4119999999999999</v>
      </c>
      <c r="J17" s="208" t="s">
        <v>120</v>
      </c>
    </row>
    <row r="18" spans="1:10" x14ac:dyDescent="0.35">
      <c r="A18" s="5" t="s">
        <v>135</v>
      </c>
      <c r="B18" s="53" t="s">
        <v>118</v>
      </c>
      <c r="C18" s="53" t="s">
        <v>118</v>
      </c>
      <c r="D18" s="122">
        <v>0.71898197242841999</v>
      </c>
      <c r="E18" s="123">
        <v>3.2612512470558193E-4</v>
      </c>
      <c r="F18" s="123">
        <f t="shared" si="0"/>
        <v>9.5581806771858716E-5</v>
      </c>
      <c r="G18" s="202" t="s">
        <v>119</v>
      </c>
      <c r="H18" s="54"/>
      <c r="I18" s="52">
        <v>3.4119999999999999</v>
      </c>
      <c r="J18" s="208" t="s">
        <v>120</v>
      </c>
    </row>
    <row r="19" spans="1:10" x14ac:dyDescent="0.35">
      <c r="A19" s="5" t="s">
        <v>136</v>
      </c>
      <c r="B19" s="53" t="s">
        <v>118</v>
      </c>
      <c r="C19" s="53" t="s">
        <v>118</v>
      </c>
      <c r="D19" s="122">
        <v>0.67444326617179218</v>
      </c>
      <c r="E19" s="123">
        <v>3.0592268335213879E-4</v>
      </c>
      <c r="F19" s="123">
        <f t="shared" si="0"/>
        <v>8.9660809892186049E-5</v>
      </c>
      <c r="G19" s="202" t="s">
        <v>119</v>
      </c>
      <c r="H19" s="54"/>
      <c r="I19" s="52">
        <v>3.4119999999999999</v>
      </c>
      <c r="J19" s="208" t="s">
        <v>120</v>
      </c>
    </row>
    <row r="20" spans="1:10" x14ac:dyDescent="0.35">
      <c r="A20" s="5" t="s">
        <v>137</v>
      </c>
      <c r="B20" s="53" t="s">
        <v>118</v>
      </c>
      <c r="C20" s="53" t="s">
        <v>118</v>
      </c>
      <c r="D20" s="122">
        <v>0.55000000000000004</v>
      </c>
      <c r="E20" s="123">
        <v>2.4947610018960189E-4</v>
      </c>
      <c r="F20" s="123">
        <f t="shared" si="0"/>
        <v>7.3117262658148267E-5</v>
      </c>
      <c r="G20" s="202" t="s">
        <v>119</v>
      </c>
      <c r="H20" s="54"/>
      <c r="I20" s="52">
        <v>3.4119999999999999</v>
      </c>
      <c r="J20" s="208" t="s">
        <v>120</v>
      </c>
    </row>
    <row r="21" spans="1:10" x14ac:dyDescent="0.35">
      <c r="A21" s="137" t="s">
        <v>138</v>
      </c>
      <c r="B21" s="138" t="s">
        <v>118</v>
      </c>
      <c r="C21" s="138" t="s">
        <v>118</v>
      </c>
      <c r="D21" s="139">
        <v>0.50851063829787235</v>
      </c>
      <c r="E21" s="123">
        <v>2.3065681990450617E-4</v>
      </c>
      <c r="F21" s="123">
        <f t="shared" si="0"/>
        <v>6.7601647099796645E-5</v>
      </c>
      <c r="G21" s="141" t="s">
        <v>119</v>
      </c>
      <c r="H21" s="142"/>
      <c r="I21" s="143">
        <v>3.4119999999999999</v>
      </c>
      <c r="J21" s="208" t="s">
        <v>120</v>
      </c>
    </row>
    <row r="22" spans="1:10" x14ac:dyDescent="0.35">
      <c r="A22" s="5" t="s">
        <v>139</v>
      </c>
      <c r="B22" s="53" t="s">
        <v>118</v>
      </c>
      <c r="C22" s="53" t="s">
        <v>118</v>
      </c>
      <c r="D22" s="122">
        <v>0.61382978723404258</v>
      </c>
      <c r="E22" s="123">
        <v>2.7842883908974907E-4</v>
      </c>
      <c r="F22" s="123">
        <f t="shared" si="0"/>
        <v>8.1602825055612273E-5</v>
      </c>
      <c r="G22" s="202" t="s">
        <v>119</v>
      </c>
      <c r="H22" s="54"/>
      <c r="I22" s="52">
        <v>3.4119999999999999</v>
      </c>
      <c r="J22" s="208" t="s">
        <v>120</v>
      </c>
    </row>
    <row r="23" spans="1:10" x14ac:dyDescent="0.35">
      <c r="A23" s="125" t="s">
        <v>140</v>
      </c>
      <c r="B23" s="126" t="s">
        <v>118</v>
      </c>
      <c r="C23" s="126" t="s">
        <v>118</v>
      </c>
      <c r="D23" s="144">
        <v>0.57127659574468093</v>
      </c>
      <c r="E23" s="145">
        <v>2.5912701315631762E-4</v>
      </c>
      <c r="F23" s="123">
        <f t="shared" si="0"/>
        <v>7.5945783457302931E-5</v>
      </c>
      <c r="G23" s="128" t="s">
        <v>119</v>
      </c>
      <c r="H23" s="135"/>
      <c r="I23" s="129">
        <v>3.4119999999999999</v>
      </c>
      <c r="J23" s="208" t="s">
        <v>120</v>
      </c>
    </row>
    <row r="24" spans="1:10" x14ac:dyDescent="0.35">
      <c r="A24" s="5" t="s">
        <v>141</v>
      </c>
      <c r="B24" s="53" t="s">
        <v>118</v>
      </c>
      <c r="C24" s="53" t="s">
        <v>118</v>
      </c>
      <c r="D24" s="122">
        <v>0.54100000000000004</v>
      </c>
      <c r="E24" s="123">
        <f>D24/2205</f>
        <v>2.4535147392290248E-4</v>
      </c>
      <c r="F24" s="123">
        <f t="shared" si="0"/>
        <v>7.1908403846102721E-5</v>
      </c>
      <c r="G24" s="202" t="s">
        <v>119</v>
      </c>
      <c r="H24" s="54"/>
      <c r="I24" s="52">
        <v>3.4119999999999999</v>
      </c>
      <c r="J24" s="208" t="s">
        <v>120</v>
      </c>
    </row>
    <row r="25" spans="1:10" ht="15" thickBot="1" x14ac:dyDescent="0.4">
      <c r="A25" s="130" t="s">
        <v>307</v>
      </c>
      <c r="B25" s="131" t="s">
        <v>118</v>
      </c>
      <c r="C25" s="131" t="s">
        <v>118</v>
      </c>
      <c r="D25" s="155">
        <v>0.52400000000000002</v>
      </c>
      <c r="E25" s="136">
        <v>2.3764172335600907E-4</v>
      </c>
      <c r="F25" s="136">
        <f t="shared" si="0"/>
        <v>6.964880520398859E-5</v>
      </c>
      <c r="G25" s="132" t="s">
        <v>119</v>
      </c>
      <c r="H25" s="133"/>
      <c r="I25" s="134">
        <v>3.4119999999999999</v>
      </c>
      <c r="J25" s="213" t="s">
        <v>120</v>
      </c>
    </row>
    <row r="26" spans="1:10" x14ac:dyDescent="0.35">
      <c r="A26" s="125" t="s">
        <v>142</v>
      </c>
      <c r="B26" s="126" t="s">
        <v>118</v>
      </c>
      <c r="C26" s="126" t="s">
        <v>118</v>
      </c>
      <c r="D26" s="152">
        <v>1.1940860215053763</v>
      </c>
      <c r="E26" s="156">
        <v>5.4162895261105151E-4</v>
      </c>
      <c r="F26" s="145">
        <f t="shared" si="0"/>
        <v>1.5874236594696703E-4</v>
      </c>
      <c r="G26" s="128" t="s">
        <v>119</v>
      </c>
      <c r="H26" s="135"/>
      <c r="I26" s="129">
        <v>3.4119999999999999</v>
      </c>
      <c r="J26" s="210" t="s">
        <v>120</v>
      </c>
    </row>
    <row r="27" spans="1:10" x14ac:dyDescent="0.35">
      <c r="A27" s="5" t="s">
        <v>143</v>
      </c>
      <c r="B27" s="53" t="s">
        <v>118</v>
      </c>
      <c r="C27" s="53" t="s">
        <v>118</v>
      </c>
      <c r="D27" s="153">
        <v>1.2247311827956993</v>
      </c>
      <c r="E27" s="157">
        <v>5.5552938048085356E-4</v>
      </c>
      <c r="F27" s="123">
        <f t="shared" si="0"/>
        <v>1.6281634832381405E-4</v>
      </c>
      <c r="G27" s="202" t="s">
        <v>119</v>
      </c>
      <c r="H27" s="54"/>
      <c r="I27" s="52">
        <v>3.4119999999999999</v>
      </c>
      <c r="J27" s="208" t="s">
        <v>120</v>
      </c>
    </row>
    <row r="28" spans="1:10" x14ac:dyDescent="0.35">
      <c r="A28" s="5" t="s">
        <v>144</v>
      </c>
      <c r="B28" s="53" t="s">
        <v>118</v>
      </c>
      <c r="C28" s="53" t="s">
        <v>118</v>
      </c>
      <c r="D28" s="153">
        <v>1.2344086021505378</v>
      </c>
      <c r="E28" s="157">
        <v>5.5991898928184358E-4</v>
      </c>
      <c r="F28" s="123">
        <f t="shared" si="0"/>
        <v>1.6410286907439731E-4</v>
      </c>
      <c r="G28" s="202" t="s">
        <v>119</v>
      </c>
      <c r="H28" s="54"/>
      <c r="I28" s="52">
        <v>3.4119999999999999</v>
      </c>
      <c r="J28" s="208" t="s">
        <v>120</v>
      </c>
    </row>
    <row r="29" spans="1:10" x14ac:dyDescent="0.35">
      <c r="A29" s="5" t="s">
        <v>145</v>
      </c>
      <c r="B29" s="53" t="s">
        <v>118</v>
      </c>
      <c r="C29" s="53" t="s">
        <v>118</v>
      </c>
      <c r="D29" s="153">
        <v>1.2188112655297372</v>
      </c>
      <c r="E29" s="157">
        <v>5.5284414798456756E-4</v>
      </c>
      <c r="F29" s="123">
        <f t="shared" si="0"/>
        <v>1.6202935169535977E-4</v>
      </c>
      <c r="G29" s="202" t="s">
        <v>119</v>
      </c>
      <c r="H29" s="54"/>
      <c r="I29" s="52">
        <v>3.4119999999999999</v>
      </c>
      <c r="J29" s="208" t="s">
        <v>120</v>
      </c>
    </row>
    <row r="30" spans="1:10" x14ac:dyDescent="0.35">
      <c r="A30" s="5" t="s">
        <v>146</v>
      </c>
      <c r="B30" s="53" t="s">
        <v>118</v>
      </c>
      <c r="C30" s="53" t="s">
        <v>118</v>
      </c>
      <c r="D30" s="153">
        <v>1.1520758451475552</v>
      </c>
      <c r="E30" s="157">
        <v>5.225734344910031E-4</v>
      </c>
      <c r="F30" s="123">
        <f t="shared" si="0"/>
        <v>1.5315751303956714E-4</v>
      </c>
      <c r="G30" s="202" t="s">
        <v>119</v>
      </c>
      <c r="H30" s="54"/>
      <c r="I30" s="52">
        <v>3.4119999999999999</v>
      </c>
      <c r="J30" s="208" t="s">
        <v>120</v>
      </c>
    </row>
    <row r="31" spans="1:10" x14ac:dyDescent="0.35">
      <c r="A31" s="5" t="s">
        <v>147</v>
      </c>
      <c r="B31" s="53" t="s">
        <v>118</v>
      </c>
      <c r="C31" s="53" t="s">
        <v>118</v>
      </c>
      <c r="D31" s="153">
        <v>1.0964271713566578</v>
      </c>
      <c r="E31" s="157">
        <v>4.9733159063995508E-4</v>
      </c>
      <c r="F31" s="123">
        <f t="shared" si="0"/>
        <v>1.4575955177020957E-4</v>
      </c>
      <c r="G31" s="202" t="s">
        <v>119</v>
      </c>
      <c r="H31" s="54"/>
      <c r="I31" s="52">
        <v>3.4119999999999999</v>
      </c>
      <c r="J31" s="208" t="s">
        <v>120</v>
      </c>
    </row>
    <row r="32" spans="1:10" x14ac:dyDescent="0.35">
      <c r="A32" s="5" t="s">
        <v>148</v>
      </c>
      <c r="B32" s="53" t="s">
        <v>118</v>
      </c>
      <c r="C32" s="53" t="s">
        <v>118</v>
      </c>
      <c r="D32" s="153">
        <v>1.0652327901064769</v>
      </c>
      <c r="E32" s="157">
        <v>4.8318204049064097E-4</v>
      </c>
      <c r="F32" s="123">
        <f t="shared" si="0"/>
        <v>1.4161255582961343E-4</v>
      </c>
      <c r="G32" s="202" t="s">
        <v>119</v>
      </c>
      <c r="H32" s="54"/>
      <c r="I32" s="52">
        <v>3.4119999999999999</v>
      </c>
      <c r="J32" s="208" t="s">
        <v>120</v>
      </c>
    </row>
    <row r="33" spans="1:10" x14ac:dyDescent="0.35">
      <c r="A33" s="5" t="s">
        <v>149</v>
      </c>
      <c r="B33" s="53" t="s">
        <v>118</v>
      </c>
      <c r="C33" s="53" t="s">
        <v>118</v>
      </c>
      <c r="D33" s="153">
        <v>0.98981111930957355</v>
      </c>
      <c r="E33" s="157">
        <v>4.4897130539937657E-4</v>
      </c>
      <c r="F33" s="123">
        <f t="shared" si="0"/>
        <v>1.3158596289547967E-4</v>
      </c>
      <c r="G33" s="202" t="s">
        <v>119</v>
      </c>
      <c r="H33" s="54"/>
      <c r="I33" s="52">
        <v>3.4119999999999999</v>
      </c>
      <c r="J33" s="208" t="s">
        <v>120</v>
      </c>
    </row>
    <row r="34" spans="1:10" x14ac:dyDescent="0.35">
      <c r="A34" s="5" t="s">
        <v>150</v>
      </c>
      <c r="B34" s="53" t="s">
        <v>118</v>
      </c>
      <c r="C34" s="53" t="s">
        <v>118</v>
      </c>
      <c r="D34" s="153">
        <v>0.96032156610322705</v>
      </c>
      <c r="E34" s="157">
        <v>4.3559505316255275E-4</v>
      </c>
      <c r="F34" s="123">
        <f t="shared" si="0"/>
        <v>1.2766560760918896E-4</v>
      </c>
      <c r="G34" s="202" t="s">
        <v>119</v>
      </c>
      <c r="H34" s="54"/>
      <c r="I34" s="52">
        <v>3.4119999999999999</v>
      </c>
      <c r="J34" s="208" t="s">
        <v>120</v>
      </c>
    </row>
    <row r="35" spans="1:10" x14ac:dyDescent="0.35">
      <c r="A35" s="5" t="s">
        <v>151</v>
      </c>
      <c r="B35" s="53" t="s">
        <v>118</v>
      </c>
      <c r="C35" s="53" t="s">
        <v>118</v>
      </c>
      <c r="D35" s="153">
        <v>0.89857211249069557</v>
      </c>
      <c r="E35" s="157">
        <v>4.0758593884238352E-4</v>
      </c>
      <c r="F35" s="123">
        <f t="shared" si="0"/>
        <v>1.1945660575685332E-4</v>
      </c>
      <c r="G35" s="202" t="s">
        <v>119</v>
      </c>
      <c r="H35" s="54"/>
      <c r="I35" s="52">
        <v>3.4119999999999999</v>
      </c>
      <c r="J35" s="208" t="s">
        <v>120</v>
      </c>
    </row>
    <row r="36" spans="1:10" x14ac:dyDescent="0.35">
      <c r="A36" s="5" t="s">
        <v>152</v>
      </c>
      <c r="B36" s="53" t="s">
        <v>118</v>
      </c>
      <c r="C36" s="53" t="s">
        <v>118</v>
      </c>
      <c r="D36" s="153">
        <v>0.78323556361328528</v>
      </c>
      <c r="E36" s="157">
        <v>3.5527009807281314E-4</v>
      </c>
      <c r="F36" s="123">
        <f t="shared" si="0"/>
        <v>1.0412370986893703E-4</v>
      </c>
      <c r="G36" s="202" t="s">
        <v>119</v>
      </c>
      <c r="H36" s="54"/>
      <c r="I36" s="52">
        <v>3.4119999999999999</v>
      </c>
      <c r="J36" s="208" t="s">
        <v>120</v>
      </c>
    </row>
    <row r="37" spans="1:10" x14ac:dyDescent="0.35">
      <c r="A37" s="5" t="s">
        <v>153</v>
      </c>
      <c r="B37" s="53" t="s">
        <v>118</v>
      </c>
      <c r="C37" s="53" t="s">
        <v>118</v>
      </c>
      <c r="D37" s="153">
        <v>0.7417815482502651</v>
      </c>
      <c r="E37" s="157">
        <v>3.364668506365111E-4</v>
      </c>
      <c r="F37" s="123">
        <f t="shared" si="0"/>
        <v>9.8612793269786377E-5</v>
      </c>
      <c r="G37" s="202" t="s">
        <v>119</v>
      </c>
      <c r="H37" s="54"/>
      <c r="I37" s="52">
        <v>3.4119999999999999</v>
      </c>
      <c r="J37" s="208" t="s">
        <v>120</v>
      </c>
    </row>
    <row r="38" spans="1:10" x14ac:dyDescent="0.35">
      <c r="A38" s="5" t="s">
        <v>154</v>
      </c>
      <c r="B38" s="53" t="s">
        <v>118</v>
      </c>
      <c r="C38" s="53" t="s">
        <v>118</v>
      </c>
      <c r="D38" s="153">
        <v>0.73753976670201493</v>
      </c>
      <c r="E38" s="157">
        <v>3.3454280860284989E-4</v>
      </c>
      <c r="F38" s="123">
        <f t="shared" si="0"/>
        <v>9.8048888805055658E-5</v>
      </c>
      <c r="G38" s="202" t="s">
        <v>119</v>
      </c>
      <c r="H38" s="54"/>
      <c r="I38" s="52">
        <v>3.4119999999999999</v>
      </c>
      <c r="J38" s="208" t="s">
        <v>120</v>
      </c>
    </row>
    <row r="39" spans="1:10" x14ac:dyDescent="0.35">
      <c r="A39" s="5" t="s">
        <v>155</v>
      </c>
      <c r="B39" s="53" t="s">
        <v>118</v>
      </c>
      <c r="C39" s="53" t="s">
        <v>118</v>
      </c>
      <c r="D39" s="153">
        <v>0.73541887592788979</v>
      </c>
      <c r="E39" s="157">
        <v>3.3358078758601928E-4</v>
      </c>
      <c r="F39" s="123">
        <f t="shared" si="0"/>
        <v>9.7766936572690291E-5</v>
      </c>
      <c r="G39" s="202" t="s">
        <v>119</v>
      </c>
      <c r="H39" s="54"/>
      <c r="I39" s="52">
        <v>3.4119999999999999</v>
      </c>
      <c r="J39" s="208" t="s">
        <v>120</v>
      </c>
    </row>
    <row r="40" spans="1:10" x14ac:dyDescent="0.35">
      <c r="A40" s="5" t="s">
        <v>156</v>
      </c>
      <c r="B40" s="53" t="s">
        <v>118</v>
      </c>
      <c r="C40" s="53" t="s">
        <v>118</v>
      </c>
      <c r="D40" s="153">
        <v>0.73276776246023334</v>
      </c>
      <c r="E40" s="157">
        <v>3.3237826131498097E-4</v>
      </c>
      <c r="F40" s="123">
        <f t="shared" si="0"/>
        <v>9.7414496282233583E-5</v>
      </c>
      <c r="G40" s="202" t="s">
        <v>119</v>
      </c>
      <c r="H40" s="54"/>
      <c r="I40" s="52">
        <v>3.4119999999999999</v>
      </c>
      <c r="J40" s="208" t="s">
        <v>120</v>
      </c>
    </row>
    <row r="41" spans="1:10" x14ac:dyDescent="0.35">
      <c r="A41" s="5" t="s">
        <v>157</v>
      </c>
      <c r="B41" s="53" t="s">
        <v>118</v>
      </c>
      <c r="C41" s="53" t="s">
        <v>118</v>
      </c>
      <c r="D41" s="153">
        <v>0.69671261930010597</v>
      </c>
      <c r="E41" s="157">
        <v>3.1602390402886031E-4</v>
      </c>
      <c r="F41" s="123">
        <f t="shared" si="0"/>
        <v>9.2621308332022369E-5</v>
      </c>
      <c r="G41" s="202" t="s">
        <v>119</v>
      </c>
      <c r="H41" s="54"/>
      <c r="I41" s="52">
        <v>3.4119999999999999</v>
      </c>
      <c r="J41" s="208" t="s">
        <v>120</v>
      </c>
    </row>
    <row r="42" spans="1:10" ht="13" customHeight="1" x14ac:dyDescent="0.35">
      <c r="A42" s="5" t="s">
        <v>158</v>
      </c>
      <c r="B42" s="53" t="s">
        <v>118</v>
      </c>
      <c r="C42" s="53" t="s">
        <v>118</v>
      </c>
      <c r="D42" s="153">
        <v>0.61222163308589594</v>
      </c>
      <c r="E42" s="157">
        <v>2.7769939177087026E-4</v>
      </c>
      <c r="F42" s="123">
        <f t="shared" si="0"/>
        <v>8.1389036275167131E-5</v>
      </c>
      <c r="G42" s="202" t="s">
        <v>119</v>
      </c>
      <c r="H42" s="54"/>
      <c r="I42" s="52">
        <v>3.4119999999999999</v>
      </c>
      <c r="J42" s="208" t="s">
        <v>120</v>
      </c>
    </row>
    <row r="43" spans="1:10" x14ac:dyDescent="0.35">
      <c r="A43" s="5" t="s">
        <v>159</v>
      </c>
      <c r="B43" s="53" t="s">
        <v>118</v>
      </c>
      <c r="C43" s="53" t="s">
        <v>118</v>
      </c>
      <c r="D43" s="153">
        <v>0.5292553191489362</v>
      </c>
      <c r="E43" s="157">
        <v>2.4006646004705402E-4</v>
      </c>
      <c r="F43" s="123">
        <f t="shared" si="0"/>
        <v>7.0359454878972456E-5</v>
      </c>
      <c r="G43" s="202" t="s">
        <v>119</v>
      </c>
      <c r="H43" s="54"/>
      <c r="I43" s="52">
        <v>3.4119999999999999</v>
      </c>
      <c r="J43" s="208" t="s">
        <v>120</v>
      </c>
    </row>
    <row r="44" spans="1:10" x14ac:dyDescent="0.35">
      <c r="A44" s="137" t="s">
        <v>160</v>
      </c>
      <c r="B44" s="138" t="s">
        <v>118</v>
      </c>
      <c r="C44" s="138" t="s">
        <v>118</v>
      </c>
      <c r="D44" s="154">
        <v>0.56117021276595747</v>
      </c>
      <c r="E44" s="158">
        <v>2.5454282949712763E-4</v>
      </c>
      <c r="F44" s="140">
        <f t="shared" si="0"/>
        <v>7.4602236077704465E-5</v>
      </c>
      <c r="G44" s="141" t="s">
        <v>119</v>
      </c>
      <c r="H44" s="142"/>
      <c r="I44" s="143">
        <v>3.4119999999999999</v>
      </c>
      <c r="J44" s="214" t="s">
        <v>120</v>
      </c>
    </row>
    <row r="45" spans="1:10" x14ac:dyDescent="0.35">
      <c r="A45" s="5" t="s">
        <v>161</v>
      </c>
      <c r="B45" s="53" t="s">
        <v>118</v>
      </c>
      <c r="C45" s="53" t="s">
        <v>118</v>
      </c>
      <c r="D45" s="153">
        <v>0.59255319148936181</v>
      </c>
      <c r="E45" s="157">
        <v>2.6877792612303334E-4</v>
      </c>
      <c r="F45" s="123">
        <f t="shared" si="0"/>
        <v>7.8774304256457609E-5</v>
      </c>
      <c r="G45" s="202" t="s">
        <v>119</v>
      </c>
      <c r="H45" s="54"/>
      <c r="I45" s="52">
        <v>3.4119999999999999</v>
      </c>
      <c r="J45" s="208" t="s">
        <v>120</v>
      </c>
    </row>
    <row r="46" spans="1:10" x14ac:dyDescent="0.35">
      <c r="A46" s="5" t="s">
        <v>162</v>
      </c>
      <c r="B46" s="53" t="s">
        <v>118</v>
      </c>
      <c r="C46" s="53" t="s">
        <v>118</v>
      </c>
      <c r="D46" s="153">
        <v>0.55613829787234048</v>
      </c>
      <c r="E46" s="157">
        <v>2.5223924353961005E-4</v>
      </c>
      <c r="F46" s="123">
        <f>(E46/I46)</f>
        <v>7.3927093651702833E-5</v>
      </c>
      <c r="G46" s="202" t="s">
        <v>119</v>
      </c>
      <c r="H46" s="54"/>
      <c r="I46" s="52">
        <v>3.4119999999999999</v>
      </c>
      <c r="J46" s="208" t="s">
        <v>120</v>
      </c>
    </row>
    <row r="47" spans="1:10" ht="15" thickBot="1" x14ac:dyDescent="0.4">
      <c r="A47" s="130" t="s">
        <v>306</v>
      </c>
      <c r="B47" s="131" t="s">
        <v>118</v>
      </c>
      <c r="C47" s="131" t="s">
        <v>118</v>
      </c>
      <c r="D47" s="216">
        <v>0.53249999999999997</v>
      </c>
      <c r="E47" s="217">
        <v>2.4149659863945578E-4</v>
      </c>
      <c r="F47" s="136">
        <f>(E47/I47)</f>
        <v>7.0778604525045656E-5</v>
      </c>
      <c r="G47" s="132" t="s">
        <v>119</v>
      </c>
      <c r="H47" s="133"/>
      <c r="I47" s="134">
        <v>3.4119999999999999</v>
      </c>
      <c r="J47" s="213" t="s">
        <v>120</v>
      </c>
    </row>
    <row r="48" spans="1:10" x14ac:dyDescent="0.35">
      <c r="A48" s="125" t="s">
        <v>66</v>
      </c>
      <c r="B48" s="126">
        <f>53.06/(0.453592*10)</f>
        <v>11.697737173495124</v>
      </c>
      <c r="C48" s="126">
        <f>B48/2205</f>
        <v>5.3050962238073126E-3</v>
      </c>
      <c r="D48" s="126">
        <v>11.728609767</v>
      </c>
      <c r="E48" s="127">
        <f t="shared" ref="E48" si="1">D48/$B$126</f>
        <v>5.3190974000000002E-3</v>
      </c>
      <c r="F48" s="145">
        <f t="shared" si="0"/>
        <v>5.3190974000000002E-5</v>
      </c>
      <c r="G48" s="210" t="s">
        <v>309</v>
      </c>
      <c r="H48" s="210" t="s">
        <v>285</v>
      </c>
      <c r="I48" s="129">
        <v>100</v>
      </c>
      <c r="J48" s="210" t="s">
        <v>288</v>
      </c>
    </row>
    <row r="49" spans="1:10" x14ac:dyDescent="0.35">
      <c r="A49" s="5" t="s">
        <v>67</v>
      </c>
      <c r="B49" s="53">
        <f>B48*1.023</f>
        <v>11.96678512848551</v>
      </c>
      <c r="C49" s="53">
        <f>B49/2205</f>
        <v>5.4271134369548802E-3</v>
      </c>
      <c r="D49" s="53">
        <v>11.998357799999999</v>
      </c>
      <c r="E49" s="67">
        <f t="shared" ref="E49:E56" si="2">D49/$B$126</f>
        <v>5.441432108843537E-3</v>
      </c>
      <c r="F49" s="123">
        <f t="shared" si="0"/>
        <v>5.2523475954088199E-5</v>
      </c>
      <c r="G49" s="202" t="s">
        <v>308</v>
      </c>
      <c r="H49" s="202" t="s">
        <v>308</v>
      </c>
      <c r="I49" s="52">
        <v>103.6</v>
      </c>
      <c r="J49" s="208" t="s">
        <v>163</v>
      </c>
    </row>
    <row r="50" spans="1:10" x14ac:dyDescent="0.35">
      <c r="A50" s="5" t="s">
        <v>68</v>
      </c>
      <c r="B50" s="53">
        <f>10.15/0.453592</f>
        <v>22.376937864865344</v>
      </c>
      <c r="C50" s="53">
        <f>B50/2205</f>
        <v>1.0148271140528501E-2</v>
      </c>
      <c r="D50" s="53">
        <v>22.4940157785</v>
      </c>
      <c r="E50" s="67">
        <f>D50/$B$126</f>
        <v>1.02013677E-2</v>
      </c>
      <c r="F50" s="123">
        <f t="shared" si="0"/>
        <v>7.3554925905579496E-5</v>
      </c>
      <c r="G50" s="208" t="s">
        <v>309</v>
      </c>
      <c r="H50" s="208" t="s">
        <v>284</v>
      </c>
      <c r="I50" s="52">
        <v>138.69047619047601</v>
      </c>
      <c r="J50" s="208" t="s">
        <v>120</v>
      </c>
    </row>
    <row r="51" spans="1:10" x14ac:dyDescent="0.35">
      <c r="A51" s="5" t="s">
        <v>69</v>
      </c>
      <c r="B51" s="53">
        <f>10.15/0.453592</f>
        <v>22.376937864865344</v>
      </c>
      <c r="C51" s="53">
        <f>B51/2205</f>
        <v>1.0148271140528501E-2</v>
      </c>
      <c r="D51" s="53">
        <v>22.4940157785</v>
      </c>
      <c r="E51" s="67">
        <f t="shared" si="2"/>
        <v>1.02013677E-2</v>
      </c>
      <c r="F51" s="123">
        <f t="shared" si="0"/>
        <v>7.3554925905579496E-5</v>
      </c>
      <c r="G51" s="208" t="s">
        <v>309</v>
      </c>
      <c r="H51" s="208" t="s">
        <v>284</v>
      </c>
      <c r="I51" s="52">
        <v>138.69047619047601</v>
      </c>
      <c r="J51" s="208" t="s">
        <v>287</v>
      </c>
    </row>
    <row r="52" spans="1:10" x14ac:dyDescent="0.35">
      <c r="A52" s="5" t="s">
        <v>70</v>
      </c>
      <c r="B52" s="53">
        <f>11.8/0.453592</f>
        <v>26.014568158168576</v>
      </c>
      <c r="C52" s="53">
        <f>B52/2205</f>
        <v>1.1797990094407518E-2</v>
      </c>
      <c r="D52" s="53">
        <v>26.141554340999999</v>
      </c>
      <c r="E52" s="67">
        <f t="shared" si="2"/>
        <v>1.18555802E-2</v>
      </c>
      <c r="F52" s="123">
        <f t="shared" si="0"/>
        <v>7.920063120725316E-5</v>
      </c>
      <c r="G52" s="208" t="s">
        <v>309</v>
      </c>
      <c r="H52" s="208" t="s">
        <v>284</v>
      </c>
      <c r="I52" s="52">
        <v>149.69047619047601</v>
      </c>
      <c r="J52" s="208" t="s">
        <v>287</v>
      </c>
    </row>
    <row r="53" spans="1:10" x14ac:dyDescent="0.35">
      <c r="A53" s="5" t="s">
        <v>164</v>
      </c>
      <c r="B53" s="53">
        <v>0</v>
      </c>
      <c r="C53" s="53">
        <v>0</v>
      </c>
      <c r="D53" s="53">
        <v>0</v>
      </c>
      <c r="E53" s="67">
        <f t="shared" si="2"/>
        <v>0</v>
      </c>
      <c r="F53" s="212" t="s">
        <v>303</v>
      </c>
      <c r="G53" s="230">
        <v>0</v>
      </c>
      <c r="H53" s="230">
        <v>0</v>
      </c>
      <c r="I53" s="52">
        <v>3.4119999999999999</v>
      </c>
      <c r="J53" s="208" t="s">
        <v>287</v>
      </c>
    </row>
    <row r="54" spans="1:10" x14ac:dyDescent="0.35">
      <c r="A54" s="5" t="s">
        <v>72</v>
      </c>
      <c r="B54" s="53">
        <v>0</v>
      </c>
      <c r="C54" s="53">
        <v>0</v>
      </c>
      <c r="D54" s="53">
        <v>0</v>
      </c>
      <c r="E54" s="67">
        <f t="shared" si="2"/>
        <v>0</v>
      </c>
      <c r="F54" s="212" t="s">
        <v>303</v>
      </c>
      <c r="G54" s="230">
        <v>0</v>
      </c>
      <c r="H54" s="230">
        <v>0</v>
      </c>
      <c r="I54" s="52">
        <v>3.4119999999999999</v>
      </c>
      <c r="J54" s="208" t="s">
        <v>287</v>
      </c>
    </row>
    <row r="55" spans="1:10" x14ac:dyDescent="0.35">
      <c r="A55" s="5" t="s">
        <v>73</v>
      </c>
      <c r="B55" s="53">
        <v>0</v>
      </c>
      <c r="C55" s="53">
        <v>0</v>
      </c>
      <c r="D55" s="53">
        <v>0</v>
      </c>
      <c r="E55" s="67">
        <f t="shared" si="2"/>
        <v>0</v>
      </c>
      <c r="F55" s="212" t="s">
        <v>303</v>
      </c>
      <c r="G55" s="230">
        <v>0</v>
      </c>
      <c r="H55" s="230">
        <v>0</v>
      </c>
      <c r="I55" s="52">
        <v>3.4119999999999999</v>
      </c>
      <c r="J55" s="208" t="s">
        <v>287</v>
      </c>
    </row>
    <row r="56" spans="1:10" x14ac:dyDescent="0.35">
      <c r="A56" s="5" t="s">
        <v>74</v>
      </c>
      <c r="B56" s="53">
        <v>0</v>
      </c>
      <c r="C56" s="53">
        <v>0</v>
      </c>
      <c r="D56" s="53">
        <v>0</v>
      </c>
      <c r="E56" s="67">
        <f t="shared" si="2"/>
        <v>0</v>
      </c>
      <c r="F56" s="212" t="s">
        <v>303</v>
      </c>
      <c r="G56" s="230">
        <v>0</v>
      </c>
      <c r="H56" s="230">
        <v>0</v>
      </c>
      <c r="I56" s="52">
        <v>3.4119999999999999</v>
      </c>
      <c r="J56" s="208" t="s">
        <v>287</v>
      </c>
    </row>
    <row r="57" spans="1:10" x14ac:dyDescent="0.35">
      <c r="A57" s="5" t="s">
        <v>165</v>
      </c>
      <c r="B57" s="53" t="s">
        <v>118</v>
      </c>
      <c r="C57" s="53" t="s">
        <v>118</v>
      </c>
      <c r="D57" s="149">
        <f>E57*2205</f>
        <v>0.57890693904116641</v>
      </c>
      <c r="E57" s="53">
        <v>2.6254282949712761E-4</v>
      </c>
      <c r="F57" s="123"/>
      <c r="G57" s="202" t="s">
        <v>119</v>
      </c>
      <c r="H57" s="230">
        <v>0</v>
      </c>
      <c r="I57" s="231">
        <v>0</v>
      </c>
      <c r="J57" s="230">
        <v>0</v>
      </c>
    </row>
    <row r="58" spans="1:10" x14ac:dyDescent="0.35">
      <c r="A58" s="5" t="s">
        <v>103</v>
      </c>
      <c r="B58" s="53">
        <f>10.15/0.453592</f>
        <v>22.376937864865344</v>
      </c>
      <c r="C58" s="53">
        <f t="shared" ref="C58:C63" si="3">B58/2205</f>
        <v>1.0148271140528501E-2</v>
      </c>
      <c r="D58" s="149">
        <f t="shared" ref="D58:D60" si="4">E58*2205</f>
        <v>22.804258354823325</v>
      </c>
      <c r="E58" s="207">
        <v>1.0342067281099014E-2</v>
      </c>
      <c r="F58" s="123">
        <f t="shared" si="0"/>
        <v>7.4569412155563798E-5</v>
      </c>
      <c r="G58" s="202" t="s">
        <v>166</v>
      </c>
      <c r="H58" s="208" t="s">
        <v>309</v>
      </c>
      <c r="I58" s="55">
        <v>138.69047619047601</v>
      </c>
      <c r="J58" s="208" t="s">
        <v>287</v>
      </c>
    </row>
    <row r="59" spans="1:10" x14ac:dyDescent="0.35">
      <c r="A59" s="5" t="s">
        <v>104</v>
      </c>
      <c r="B59" s="53">
        <f>1.34/0.453592</f>
        <v>2.954196723046262</v>
      </c>
      <c r="C59" s="53">
        <f>B59/2205</f>
        <v>1.3397717564835655E-3</v>
      </c>
      <c r="D59" s="149">
        <f t="shared" si="4"/>
        <v>3.0106116480462619</v>
      </c>
      <c r="E59" s="207">
        <v>1.3653567564835655E-3</v>
      </c>
      <c r="F59" s="123">
        <f t="shared" si="0"/>
        <v>1.6094578661888787E-5</v>
      </c>
      <c r="G59" s="202" t="s">
        <v>166</v>
      </c>
      <c r="H59" s="208" t="s">
        <v>309</v>
      </c>
      <c r="I59" s="55">
        <v>84.833333333333343</v>
      </c>
      <c r="J59" s="208" t="s">
        <v>287</v>
      </c>
    </row>
    <row r="60" spans="1:10" x14ac:dyDescent="0.35">
      <c r="A60" s="5" t="s">
        <v>37</v>
      </c>
      <c r="B60" s="53">
        <f>8.91/0.453592</f>
        <v>19.643203583837458</v>
      </c>
      <c r="C60" s="53">
        <f t="shared" si="3"/>
        <v>8.9084823509466924E-3</v>
      </c>
      <c r="D60" s="149">
        <f t="shared" si="4"/>
        <v>20.018320388837456</v>
      </c>
      <c r="E60" s="207">
        <v>9.0786033509466912E-3</v>
      </c>
      <c r="F60" s="123">
        <f t="shared" si="0"/>
        <v>7.2587348322817626E-5</v>
      </c>
      <c r="G60" s="202" t="s">
        <v>166</v>
      </c>
      <c r="H60" s="208" t="s">
        <v>309</v>
      </c>
      <c r="I60" s="55">
        <v>125.07142857142858</v>
      </c>
      <c r="J60" s="208" t="s">
        <v>287</v>
      </c>
    </row>
    <row r="61" spans="1:10" x14ac:dyDescent="0.35">
      <c r="A61" s="5" t="s">
        <v>75</v>
      </c>
      <c r="B61" s="53">
        <f>5.74/0.453592</f>
        <v>12.654544171854884</v>
      </c>
      <c r="C61" s="53">
        <f t="shared" si="3"/>
        <v>5.7390223001609446E-3</v>
      </c>
      <c r="D61" s="53">
        <v>12.782889945000001</v>
      </c>
      <c r="E61" s="67">
        <f>D61/$B$126</f>
        <v>5.7972290000000001E-3</v>
      </c>
      <c r="F61" s="123">
        <f t="shared" si="0"/>
        <v>6.3473310218978103E-5</v>
      </c>
      <c r="G61" s="208" t="s">
        <v>309</v>
      </c>
      <c r="H61" s="208" t="s">
        <v>309</v>
      </c>
      <c r="I61" s="52">
        <v>91.333333333333343</v>
      </c>
      <c r="J61" s="208" t="s">
        <v>287</v>
      </c>
    </row>
    <row r="62" spans="1:10" x14ac:dyDescent="0.35">
      <c r="A62" s="5" t="s">
        <v>167</v>
      </c>
      <c r="B62" s="53">
        <f>5.74/0.453592</f>
        <v>12.654544171854884</v>
      </c>
      <c r="C62" s="53">
        <f t="shared" si="3"/>
        <v>5.7390223001609446E-3</v>
      </c>
      <c r="D62" s="53">
        <f>E62*2205</f>
        <v>12.896201146854882</v>
      </c>
      <c r="E62" s="207">
        <v>5.8486173001609442E-3</v>
      </c>
      <c r="F62" s="123">
        <f t="shared" si="0"/>
        <v>6.4035955841178213E-5</v>
      </c>
      <c r="G62" s="208" t="s">
        <v>309</v>
      </c>
      <c r="H62" s="208" t="s">
        <v>309</v>
      </c>
      <c r="I62" s="52">
        <v>91.333333333333343</v>
      </c>
      <c r="J62" s="208" t="s">
        <v>287</v>
      </c>
    </row>
    <row r="63" spans="1:10" x14ac:dyDescent="0.35">
      <c r="A63" s="5" t="s">
        <v>105</v>
      </c>
      <c r="B63" s="53">
        <f>9.57/0.453592</f>
        <v>21.098255701158752</v>
      </c>
      <c r="C63" s="53">
        <f t="shared" si="3"/>
        <v>9.568369932498301E-3</v>
      </c>
      <c r="D63" s="53">
        <f>E63*2205</f>
        <v>21.501157711158754</v>
      </c>
      <c r="E63" s="207">
        <v>9.7510919324983007E-3</v>
      </c>
      <c r="F63" s="123">
        <f t="shared" si="0"/>
        <v>7.6479152411751376E-5</v>
      </c>
      <c r="G63" s="202" t="s">
        <v>166</v>
      </c>
      <c r="H63" s="208" t="s">
        <v>309</v>
      </c>
      <c r="I63" s="55">
        <v>127.5</v>
      </c>
      <c r="J63" s="208" t="s">
        <v>287</v>
      </c>
    </row>
    <row r="64" spans="1:10" x14ac:dyDescent="0.35">
      <c r="A64" s="5" t="s">
        <v>106</v>
      </c>
      <c r="B64" s="53">
        <v>0</v>
      </c>
      <c r="C64" s="53">
        <v>0</v>
      </c>
      <c r="D64" s="53">
        <v>0</v>
      </c>
      <c r="E64" s="67">
        <f t="shared" ref="E64:E75" si="5">D64/$B$126</f>
        <v>0</v>
      </c>
      <c r="F64" s="212" t="s">
        <v>303</v>
      </c>
      <c r="G64" s="54"/>
      <c r="H64" s="54"/>
      <c r="I64" s="55">
        <v>120</v>
      </c>
      <c r="J64" s="209" t="s">
        <v>286</v>
      </c>
    </row>
    <row r="65" spans="1:11" x14ac:dyDescent="0.35">
      <c r="A65" s="5" t="s">
        <v>107</v>
      </c>
      <c r="B65" s="53" t="s">
        <v>295</v>
      </c>
      <c r="C65" s="53" t="s">
        <v>295</v>
      </c>
      <c r="D65" s="53" t="s">
        <v>295</v>
      </c>
      <c r="E65" s="53" t="s">
        <v>295</v>
      </c>
      <c r="F65" s="212" t="s">
        <v>303</v>
      </c>
      <c r="G65" s="208" t="s">
        <v>296</v>
      </c>
      <c r="H65" s="208" t="s">
        <v>296</v>
      </c>
      <c r="I65" s="55">
        <v>127.5952380952381</v>
      </c>
      <c r="J65" s="208" t="s">
        <v>287</v>
      </c>
    </row>
    <row r="66" spans="1:11" x14ac:dyDescent="0.35">
      <c r="A66" s="5" t="s">
        <v>108</v>
      </c>
      <c r="B66" s="53" t="s">
        <v>295</v>
      </c>
      <c r="C66" s="53" t="s">
        <v>295</v>
      </c>
      <c r="D66" s="53" t="s">
        <v>295</v>
      </c>
      <c r="E66" s="53" t="s">
        <v>295</v>
      </c>
      <c r="F66" s="212" t="s">
        <v>303</v>
      </c>
      <c r="G66" s="208" t="s">
        <v>296</v>
      </c>
      <c r="H66" s="208" t="s">
        <v>296</v>
      </c>
      <c r="I66" s="55">
        <v>136</v>
      </c>
      <c r="J66" s="55" t="s">
        <v>168</v>
      </c>
    </row>
    <row r="67" spans="1:11" x14ac:dyDescent="0.35">
      <c r="A67" s="5" t="s">
        <v>109</v>
      </c>
      <c r="B67" s="53" t="s">
        <v>295</v>
      </c>
      <c r="C67" s="53" t="s">
        <v>295</v>
      </c>
      <c r="D67" s="53" t="s">
        <v>295</v>
      </c>
      <c r="E67" s="53" t="s">
        <v>295</v>
      </c>
      <c r="F67" s="212" t="s">
        <v>303</v>
      </c>
      <c r="G67" s="208" t="s">
        <v>296</v>
      </c>
      <c r="H67" s="208" t="s">
        <v>296</v>
      </c>
      <c r="I67" s="55">
        <v>138</v>
      </c>
      <c r="J67" s="55" t="s">
        <v>168</v>
      </c>
    </row>
    <row r="68" spans="1:11" x14ac:dyDescent="0.35">
      <c r="A68" s="5" t="s">
        <v>110</v>
      </c>
      <c r="B68" s="53">
        <f>(0.0545*126.67)/0.453592</f>
        <v>15.219657754105011</v>
      </c>
      <c r="C68" s="53">
        <f>B68/2205</f>
        <v>6.9023391175079413E-3</v>
      </c>
      <c r="D68" s="53">
        <v>15.219657754105011</v>
      </c>
      <c r="E68" s="67">
        <f t="shared" si="5"/>
        <v>6.9023391175079413E-3</v>
      </c>
      <c r="F68" s="123">
        <f>(E68/I68)</f>
        <v>4.8259462885758301E-5</v>
      </c>
      <c r="G68" s="202" t="s">
        <v>289</v>
      </c>
      <c r="H68" s="208" t="s">
        <v>309</v>
      </c>
      <c r="I68" s="55">
        <v>143.02561</v>
      </c>
      <c r="J68" s="209" t="s">
        <v>290</v>
      </c>
    </row>
    <row r="69" spans="1:11" x14ac:dyDescent="0.35">
      <c r="A69" s="5" t="s">
        <v>111</v>
      </c>
      <c r="B69" s="53">
        <f>4.46/0.453592</f>
        <v>9.8326249140196484</v>
      </c>
      <c r="C69" s="53">
        <f>B69/2205</f>
        <v>4.4592403238184345E-3</v>
      </c>
      <c r="D69" s="53">
        <v>9.8326249140196484</v>
      </c>
      <c r="E69" s="67">
        <f t="shared" si="5"/>
        <v>4.4592403238184345E-3</v>
      </c>
      <c r="F69" s="123">
        <f>(E69/I69)</f>
        <v>5.2572981888922834E-5</v>
      </c>
      <c r="G69" s="202" t="s">
        <v>289</v>
      </c>
      <c r="H69" s="208" t="s">
        <v>294</v>
      </c>
      <c r="I69" s="55">
        <v>84.82</v>
      </c>
      <c r="J69" s="209" t="s">
        <v>294</v>
      </c>
    </row>
    <row r="70" spans="1:11" x14ac:dyDescent="0.35">
      <c r="A70" s="5" t="s">
        <v>169</v>
      </c>
      <c r="B70" s="53">
        <v>12.764749799999999</v>
      </c>
      <c r="C70" s="53">
        <v>5.7890021768707478E-3</v>
      </c>
      <c r="D70" s="53">
        <v>12.764749799999999</v>
      </c>
      <c r="E70" s="67">
        <f t="shared" si="5"/>
        <v>5.7890021768707478E-3</v>
      </c>
      <c r="F70" s="123">
        <f t="shared" ref="F70:F75" si="6">(E70/I70)</f>
        <v>6.3323147854635168E-5</v>
      </c>
      <c r="G70" s="202" t="s">
        <v>289</v>
      </c>
      <c r="H70" s="208" t="s">
        <v>309</v>
      </c>
      <c r="I70" s="55">
        <v>91.42</v>
      </c>
      <c r="J70" s="209" t="s">
        <v>290</v>
      </c>
    </row>
    <row r="71" spans="1:11" x14ac:dyDescent="0.35">
      <c r="A71" s="5" t="s">
        <v>76</v>
      </c>
      <c r="B71" s="206" t="s">
        <v>170</v>
      </c>
      <c r="C71" s="206" t="s">
        <v>170</v>
      </c>
      <c r="D71" s="53">
        <v>207.82178691749999</v>
      </c>
      <c r="E71" s="67">
        <f t="shared" si="5"/>
        <v>9.4250243499999997E-2</v>
      </c>
      <c r="F71" s="123">
        <f t="shared" si="6"/>
        <v>7.8936552345058625E-5</v>
      </c>
      <c r="G71" s="202"/>
      <c r="H71" s="202" t="s">
        <v>171</v>
      </c>
      <c r="I71" s="52">
        <v>1194</v>
      </c>
      <c r="J71" s="208" t="s">
        <v>172</v>
      </c>
    </row>
    <row r="72" spans="1:11" x14ac:dyDescent="0.35">
      <c r="A72" s="5" t="s">
        <v>77</v>
      </c>
      <c r="B72" s="219">
        <v>5115</v>
      </c>
      <c r="C72" s="53">
        <f>B72/$B$126</f>
        <v>2.3197278911564627</v>
      </c>
      <c r="D72" s="218">
        <v>5155.1984000000002</v>
      </c>
      <c r="E72" s="67">
        <f t="shared" si="5"/>
        <v>2.3379584580498869</v>
      </c>
      <c r="F72" s="123">
        <f t="shared" si="6"/>
        <v>9.3780924911748373E-5</v>
      </c>
      <c r="G72" s="208" t="s">
        <v>309</v>
      </c>
      <c r="H72" s="208" t="s">
        <v>309</v>
      </c>
      <c r="I72" s="52">
        <v>24930</v>
      </c>
      <c r="J72" s="208" t="s">
        <v>309</v>
      </c>
    </row>
    <row r="73" spans="1:11" x14ac:dyDescent="0.35">
      <c r="A73" s="5" t="s">
        <v>78</v>
      </c>
      <c r="B73" s="53">
        <v>0</v>
      </c>
      <c r="C73" s="53">
        <v>0</v>
      </c>
      <c r="D73" s="53">
        <v>0</v>
      </c>
      <c r="E73" s="67">
        <f t="shared" si="5"/>
        <v>0</v>
      </c>
      <c r="F73" s="212" t="s">
        <v>303</v>
      </c>
      <c r="G73" s="202" t="s">
        <v>173</v>
      </c>
      <c r="H73" s="202" t="s">
        <v>173</v>
      </c>
      <c r="I73" s="52">
        <v>16500</v>
      </c>
      <c r="J73" s="208" t="s">
        <v>297</v>
      </c>
    </row>
    <row r="74" spans="1:11" x14ac:dyDescent="0.35">
      <c r="A74" s="5" t="s">
        <v>79</v>
      </c>
      <c r="B74" s="53">
        <v>0</v>
      </c>
      <c r="C74" s="53">
        <v>0</v>
      </c>
      <c r="D74" s="53">
        <v>0</v>
      </c>
      <c r="E74" s="67">
        <f t="shared" si="5"/>
        <v>0</v>
      </c>
      <c r="F74" s="212" t="s">
        <v>303</v>
      </c>
      <c r="G74" s="202" t="s">
        <v>173</v>
      </c>
      <c r="H74" s="202" t="s">
        <v>173</v>
      </c>
      <c r="I74" s="52">
        <v>20000</v>
      </c>
      <c r="J74" s="208" t="s">
        <v>291</v>
      </c>
    </row>
    <row r="75" spans="1:11" x14ac:dyDescent="0.35">
      <c r="A75" s="5" t="s">
        <v>174</v>
      </c>
      <c r="B75" s="114">
        <f>9.76/0.453592</f>
        <v>21.517134340993668</v>
      </c>
      <c r="C75" s="53">
        <f t="shared" ref="C75" si="7">B75/2205</f>
        <v>9.7583375696116414E-3</v>
      </c>
      <c r="D75" s="53">
        <v>21.735366875121951</v>
      </c>
      <c r="E75" s="67">
        <f t="shared" si="5"/>
        <v>9.8573092404181176E-3</v>
      </c>
      <c r="F75" s="123">
        <f t="shared" si="6"/>
        <v>7.3017105484578655E-5</v>
      </c>
      <c r="G75" s="208" t="s">
        <v>309</v>
      </c>
      <c r="H75" s="208" t="s">
        <v>285</v>
      </c>
      <c r="I75" s="55">
        <f>(5.67*1000)/B120</f>
        <v>135</v>
      </c>
      <c r="J75" s="208" t="s">
        <v>287</v>
      </c>
    </row>
    <row r="76" spans="1:11" x14ac:dyDescent="0.35">
      <c r="A76" s="47"/>
      <c r="I76" s="148"/>
      <c r="J76" s="8"/>
    </row>
    <row r="77" spans="1:11" x14ac:dyDescent="0.35">
      <c r="A77" s="47"/>
      <c r="B77" s="148"/>
      <c r="J77" s="8"/>
    </row>
    <row r="78" spans="1:11" x14ac:dyDescent="0.35">
      <c r="C78" s="148"/>
      <c r="J78" s="8"/>
    </row>
    <row r="79" spans="1:11" x14ac:dyDescent="0.35">
      <c r="B79" s="215"/>
      <c r="J79" s="8"/>
    </row>
    <row r="80" spans="1:11" x14ac:dyDescent="0.35">
      <c r="B80" s="148"/>
      <c r="E80" s="148"/>
      <c r="F80" s="8"/>
      <c r="J80" s="348" t="s">
        <v>175</v>
      </c>
      <c r="K80" s="348"/>
    </row>
    <row r="81" spans="1:11" ht="31" x14ac:dyDescent="0.7">
      <c r="A81" s="234" t="s">
        <v>176</v>
      </c>
      <c r="B81" s="237"/>
      <c r="C81" s="237"/>
      <c r="D81" s="235"/>
      <c r="E81" s="8"/>
      <c r="F81" s="8"/>
      <c r="J81" s="348"/>
      <c r="K81" s="348"/>
    </row>
    <row r="82" spans="1:11" x14ac:dyDescent="0.35">
      <c r="A82" s="233" t="s">
        <v>48</v>
      </c>
      <c r="B82" s="236" t="s">
        <v>177</v>
      </c>
      <c r="C82" s="349" t="s">
        <v>311</v>
      </c>
      <c r="D82" s="350"/>
      <c r="E82" s="8"/>
      <c r="F82" s="8"/>
      <c r="J82" s="348"/>
      <c r="K82" s="348"/>
    </row>
    <row r="83" spans="1:11" ht="14.5" customHeight="1" x14ac:dyDescent="0.35">
      <c r="A83" s="56" t="s">
        <v>178</v>
      </c>
      <c r="B83" s="199">
        <v>6750</v>
      </c>
      <c r="C83" s="227" t="s">
        <v>179</v>
      </c>
      <c r="D83" s="227" t="s">
        <v>180</v>
      </c>
      <c r="E83" s="8"/>
      <c r="F83" s="8"/>
      <c r="J83" s="348"/>
      <c r="K83" s="348"/>
    </row>
    <row r="84" spans="1:11" x14ac:dyDescent="0.35">
      <c r="A84" s="56" t="s">
        <v>181</v>
      </c>
      <c r="B84" s="199">
        <v>757</v>
      </c>
      <c r="C84" s="227" t="s">
        <v>179</v>
      </c>
      <c r="D84" s="227" t="s">
        <v>180</v>
      </c>
      <c r="E84" s="8"/>
      <c r="F84" s="8"/>
      <c r="J84" s="348"/>
      <c r="K84" s="348"/>
    </row>
    <row r="85" spans="1:11" x14ac:dyDescent="0.35">
      <c r="A85" s="56" t="s">
        <v>182</v>
      </c>
      <c r="B85" s="199">
        <v>637</v>
      </c>
      <c r="C85" s="227" t="s">
        <v>179</v>
      </c>
      <c r="D85" s="227" t="s">
        <v>180</v>
      </c>
      <c r="E85" s="8"/>
      <c r="F85" s="8"/>
    </row>
    <row r="86" spans="1:11" x14ac:dyDescent="0.35">
      <c r="A86" s="56" t="s">
        <v>183</v>
      </c>
      <c r="B86" s="200">
        <v>89.9</v>
      </c>
      <c r="C86" s="229" t="s">
        <v>184</v>
      </c>
      <c r="D86" s="307"/>
      <c r="J86" s="8"/>
    </row>
    <row r="87" spans="1:11" x14ac:dyDescent="0.35">
      <c r="A87" s="56" t="s">
        <v>185</v>
      </c>
      <c r="B87" s="232">
        <v>4.5999999999999996</v>
      </c>
      <c r="C87" s="229" t="s">
        <v>186</v>
      </c>
      <c r="D87" s="308"/>
      <c r="E87" s="8"/>
      <c r="F87" s="8"/>
      <c r="J87" s="8"/>
    </row>
    <row r="88" spans="1:11" x14ac:dyDescent="0.35">
      <c r="A88" s="12"/>
      <c r="B88" s="12"/>
      <c r="C88" s="12"/>
      <c r="D88" s="12"/>
      <c r="J88" s="8"/>
    </row>
    <row r="89" spans="1:11" x14ac:dyDescent="0.35">
      <c r="J89" s="8"/>
    </row>
    <row r="90" spans="1:11" ht="31" x14ac:dyDescent="0.7">
      <c r="A90" s="234" t="s">
        <v>187</v>
      </c>
      <c r="B90" s="235"/>
      <c r="E90" s="150"/>
      <c r="F90" s="150"/>
      <c r="J90" s="8"/>
    </row>
    <row r="91" spans="1:11" x14ac:dyDescent="0.35">
      <c r="A91" s="233" t="s">
        <v>188</v>
      </c>
      <c r="B91" s="233" t="s">
        <v>189</v>
      </c>
      <c r="E91" s="151"/>
      <c r="F91" s="151"/>
      <c r="G91" s="9"/>
      <c r="J91" s="8"/>
    </row>
    <row r="92" spans="1:11" x14ac:dyDescent="0.35">
      <c r="A92" s="56" t="s">
        <v>190</v>
      </c>
      <c r="B92" s="56" t="s">
        <v>191</v>
      </c>
      <c r="E92" s="148"/>
      <c r="F92" s="148"/>
      <c r="G92" s="9"/>
      <c r="J92" s="8"/>
    </row>
    <row r="93" spans="1:11" x14ac:dyDescent="0.35">
      <c r="A93" s="56" t="s">
        <v>192</v>
      </c>
      <c r="B93" s="56" t="s">
        <v>193</v>
      </c>
      <c r="E93" s="8"/>
      <c r="F93" s="8"/>
      <c r="G93" s="9"/>
    </row>
    <row r="94" spans="1:11" x14ac:dyDescent="0.35">
      <c r="A94" s="56" t="s">
        <v>194</v>
      </c>
      <c r="B94" s="56" t="s">
        <v>195</v>
      </c>
      <c r="E94" s="8"/>
      <c r="F94" s="8"/>
      <c r="G94" s="9"/>
    </row>
    <row r="95" spans="1:11" x14ac:dyDescent="0.35">
      <c r="A95" s="56" t="s">
        <v>196</v>
      </c>
      <c r="B95" s="56" t="s">
        <v>197</v>
      </c>
      <c r="E95" s="8"/>
      <c r="F95" s="8"/>
    </row>
    <row r="96" spans="1:11" x14ac:dyDescent="0.35">
      <c r="A96" s="56" t="s">
        <v>198</v>
      </c>
      <c r="B96" s="56"/>
      <c r="E96" s="8"/>
      <c r="F96" s="8"/>
      <c r="J96" s="8"/>
    </row>
    <row r="97" spans="1:10" x14ac:dyDescent="0.35">
      <c r="A97" s="56" t="s">
        <v>199</v>
      </c>
      <c r="B97" s="56"/>
      <c r="E97" s="8"/>
      <c r="F97" s="8"/>
      <c r="J97" s="8"/>
    </row>
    <row r="98" spans="1:10" x14ac:dyDescent="0.35">
      <c r="E98" s="8"/>
      <c r="F98" s="8"/>
      <c r="J98" s="8"/>
    </row>
    <row r="99" spans="1:10" x14ac:dyDescent="0.35">
      <c r="E99" s="8"/>
      <c r="F99" s="8"/>
      <c r="J99" s="8"/>
    </row>
    <row r="100" spans="1:10" x14ac:dyDescent="0.35">
      <c r="A100" s="238" t="s">
        <v>200</v>
      </c>
      <c r="B100" s="239"/>
      <c r="C100" s="248"/>
      <c r="D100" s="249"/>
      <c r="E100" s="8"/>
      <c r="F100" s="8"/>
      <c r="J100" s="8"/>
    </row>
    <row r="101" spans="1:10" x14ac:dyDescent="0.35">
      <c r="A101" s="161" t="s">
        <v>201</v>
      </c>
      <c r="B101" s="247" t="s">
        <v>202</v>
      </c>
      <c r="C101" s="238" t="s">
        <v>203</v>
      </c>
      <c r="D101" s="240"/>
      <c r="E101" s="8"/>
      <c r="F101" s="8"/>
      <c r="J101" s="8"/>
    </row>
    <row r="102" spans="1:10" x14ac:dyDescent="0.35">
      <c r="A102" s="56" t="s">
        <v>204</v>
      </c>
      <c r="B102" s="201">
        <v>0.13</v>
      </c>
      <c r="C102" s="107" t="s">
        <v>205</v>
      </c>
      <c r="D102" s="107"/>
      <c r="E102" s="8"/>
      <c r="F102" s="8"/>
      <c r="G102" s="9"/>
      <c r="J102" s="8"/>
    </row>
    <row r="103" spans="1:10" x14ac:dyDescent="0.35">
      <c r="A103" s="56" t="s">
        <v>206</v>
      </c>
      <c r="B103" s="201">
        <v>0.44707999999999998</v>
      </c>
      <c r="C103" s="246" t="s">
        <v>207</v>
      </c>
      <c r="D103" s="246"/>
      <c r="E103" s="8"/>
      <c r="F103" s="8"/>
      <c r="G103" s="9"/>
    </row>
    <row r="104" spans="1:10" x14ac:dyDescent="0.35">
      <c r="A104" s="56" t="s">
        <v>208</v>
      </c>
      <c r="B104" s="201">
        <v>0.46729999999999999</v>
      </c>
      <c r="C104" s="246" t="s">
        <v>207</v>
      </c>
      <c r="D104" s="246"/>
      <c r="E104" s="8"/>
      <c r="F104" s="8"/>
      <c r="G104" s="9"/>
    </row>
    <row r="105" spans="1:10" x14ac:dyDescent="0.35">
      <c r="A105" s="56" t="s">
        <v>15</v>
      </c>
      <c r="B105" s="201">
        <v>0.39400000000000002</v>
      </c>
      <c r="C105" s="246" t="s">
        <v>209</v>
      </c>
      <c r="D105" s="246"/>
      <c r="E105" s="8"/>
      <c r="F105" s="8"/>
      <c r="G105" s="9"/>
    </row>
    <row r="106" spans="1:10" x14ac:dyDescent="0.35">
      <c r="A106" s="56" t="s">
        <v>16</v>
      </c>
      <c r="B106" s="201">
        <v>0.27</v>
      </c>
      <c r="C106" s="56" t="s">
        <v>210</v>
      </c>
      <c r="D106" s="56"/>
      <c r="E106" s="8"/>
      <c r="F106" s="8"/>
      <c r="G106" s="9"/>
      <c r="J106" s="8"/>
    </row>
    <row r="107" spans="1:10" x14ac:dyDescent="0.35">
      <c r="A107"/>
      <c r="E107" s="8"/>
      <c r="F107" s="8"/>
      <c r="J107" s="8"/>
    </row>
    <row r="108" spans="1:10" ht="31" x14ac:dyDescent="0.7">
      <c r="A108" s="242" t="s">
        <v>176</v>
      </c>
      <c r="B108" s="243"/>
      <c r="C108" s="243"/>
      <c r="D108" s="244"/>
      <c r="E108" s="8"/>
      <c r="F108" s="8"/>
      <c r="J108" s="8"/>
    </row>
    <row r="109" spans="1:10" x14ac:dyDescent="0.35">
      <c r="A109" s="241" t="s">
        <v>211</v>
      </c>
      <c r="B109" s="253" t="s">
        <v>212</v>
      </c>
      <c r="C109" s="256" t="s">
        <v>213</v>
      </c>
      <c r="D109" s="257"/>
      <c r="E109" s="8"/>
      <c r="F109" s="8"/>
      <c r="G109" s="9"/>
      <c r="J109" s="8"/>
    </row>
    <row r="110" spans="1:10" x14ac:dyDescent="0.35">
      <c r="A110" s="56" t="s">
        <v>214</v>
      </c>
      <c r="B110" s="250">
        <v>1.1023099999999999</v>
      </c>
      <c r="C110" s="254" t="s">
        <v>215</v>
      </c>
      <c r="D110" s="255"/>
      <c r="E110" s="8"/>
      <c r="F110" s="8"/>
      <c r="G110" s="9"/>
      <c r="J110" s="8"/>
    </row>
    <row r="111" spans="1:10" x14ac:dyDescent="0.35">
      <c r="A111" s="56" t="s">
        <v>216</v>
      </c>
      <c r="B111" s="250">
        <v>1000</v>
      </c>
      <c r="C111" s="251" t="s">
        <v>217</v>
      </c>
      <c r="D111" s="252"/>
      <c r="E111" s="8"/>
      <c r="F111" s="8"/>
      <c r="G111" s="9"/>
      <c r="J111" s="8"/>
    </row>
    <row r="112" spans="1:10" x14ac:dyDescent="0.35">
      <c r="A112" s="124" t="s">
        <v>217</v>
      </c>
      <c r="B112" s="250">
        <v>8760</v>
      </c>
      <c r="C112" s="251" t="s">
        <v>218</v>
      </c>
      <c r="D112" s="252"/>
      <c r="E112" s="8"/>
      <c r="F112" s="8"/>
      <c r="G112" s="9"/>
    </row>
    <row r="113" spans="1:10" x14ac:dyDescent="0.35">
      <c r="A113" s="56" t="s">
        <v>219</v>
      </c>
      <c r="B113" s="250">
        <v>1000000</v>
      </c>
      <c r="C113" s="251" t="s">
        <v>217</v>
      </c>
      <c r="D113" s="252"/>
      <c r="E113" s="8"/>
      <c r="F113" s="8"/>
      <c r="G113" s="9"/>
    </row>
    <row r="114" spans="1:10" x14ac:dyDescent="0.35">
      <c r="A114" s="56" t="s">
        <v>220</v>
      </c>
      <c r="B114" s="250">
        <v>100</v>
      </c>
      <c r="C114" s="251" t="s">
        <v>221</v>
      </c>
      <c r="D114" s="252"/>
      <c r="E114" s="8"/>
      <c r="F114" s="8"/>
      <c r="G114" s="9"/>
      <c r="J114" s="8"/>
    </row>
    <row r="115" spans="1:10" x14ac:dyDescent="0.35">
      <c r="A115" s="56" t="s">
        <v>221</v>
      </c>
      <c r="B115" s="250">
        <v>1000</v>
      </c>
      <c r="C115" s="251" t="s">
        <v>222</v>
      </c>
      <c r="D115" s="252"/>
      <c r="E115" s="8"/>
      <c r="F115" s="8"/>
      <c r="G115" s="9"/>
      <c r="J115" s="8"/>
    </row>
    <row r="116" spans="1:10" x14ac:dyDescent="0.35">
      <c r="A116" s="56" t="s">
        <v>223</v>
      </c>
      <c r="B116" s="250">
        <v>1000000</v>
      </c>
      <c r="C116" s="251" t="s">
        <v>222</v>
      </c>
      <c r="D116" s="252"/>
      <c r="E116" s="8"/>
      <c r="F116" s="8"/>
      <c r="G116" s="9"/>
      <c r="J116" s="8"/>
    </row>
    <row r="117" spans="1:10" x14ac:dyDescent="0.35">
      <c r="A117" s="56" t="s">
        <v>223</v>
      </c>
      <c r="B117" s="250">
        <v>10</v>
      </c>
      <c r="C117" s="251" t="s">
        <v>220</v>
      </c>
      <c r="D117" s="252"/>
      <c r="E117" s="8"/>
      <c r="F117" s="8"/>
      <c r="G117" s="9"/>
      <c r="J117" s="8"/>
    </row>
    <row r="118" spans="1:10" x14ac:dyDescent="0.35">
      <c r="B118" s="24"/>
      <c r="E118" s="8"/>
      <c r="F118" s="8"/>
      <c r="G118" s="9"/>
      <c r="J118" s="8"/>
    </row>
    <row r="119" spans="1:10" x14ac:dyDescent="0.35">
      <c r="A119" s="204" t="s">
        <v>48</v>
      </c>
      <c r="B119" s="204" t="s">
        <v>202</v>
      </c>
      <c r="C119" s="204" t="s">
        <v>211</v>
      </c>
      <c r="D119" s="228" t="s">
        <v>203</v>
      </c>
      <c r="E119" s="257"/>
      <c r="F119" s="245"/>
      <c r="G119" s="9"/>
      <c r="J119" s="8"/>
    </row>
    <row r="120" spans="1:10" x14ac:dyDescent="0.35">
      <c r="A120" s="56" t="s">
        <v>224</v>
      </c>
      <c r="B120" s="56">
        <v>42</v>
      </c>
      <c r="C120" s="56" t="s">
        <v>225</v>
      </c>
      <c r="D120" s="246" t="s">
        <v>292</v>
      </c>
      <c r="E120" s="56"/>
      <c r="F120" s="211"/>
      <c r="G120" s="9"/>
      <c r="J120" s="8"/>
    </row>
    <row r="121" spans="1:10" x14ac:dyDescent="0.35">
      <c r="A121" s="56" t="s">
        <v>226</v>
      </c>
      <c r="B121" s="56">
        <v>2000</v>
      </c>
      <c r="C121" s="56" t="s">
        <v>227</v>
      </c>
      <c r="D121" s="246" t="s">
        <v>292</v>
      </c>
      <c r="E121" s="56"/>
      <c r="F121" s="211"/>
      <c r="G121" s="9"/>
      <c r="J121" s="8"/>
    </row>
    <row r="122" spans="1:10" x14ac:dyDescent="0.35">
      <c r="A122" s="56" t="s">
        <v>228</v>
      </c>
      <c r="B122" s="56">
        <v>2240</v>
      </c>
      <c r="C122" s="56" t="s">
        <v>227</v>
      </c>
      <c r="D122" s="246" t="s">
        <v>292</v>
      </c>
      <c r="E122" s="56"/>
      <c r="F122" s="211"/>
      <c r="G122" s="9"/>
      <c r="J122" s="8"/>
    </row>
    <row r="123" spans="1:10" x14ac:dyDescent="0.35">
      <c r="A123" s="56" t="s">
        <v>229</v>
      </c>
      <c r="B123" s="56">
        <v>1000</v>
      </c>
      <c r="C123" s="56" t="s">
        <v>230</v>
      </c>
      <c r="D123" s="246" t="s">
        <v>292</v>
      </c>
      <c r="E123" s="56"/>
      <c r="F123" s="211"/>
      <c r="G123" s="9"/>
      <c r="J123" s="8"/>
    </row>
    <row r="124" spans="1:10" x14ac:dyDescent="0.35">
      <c r="A124" s="56" t="s">
        <v>231</v>
      </c>
      <c r="B124" s="56">
        <v>1.25</v>
      </c>
      <c r="C124" s="56" t="s">
        <v>232</v>
      </c>
      <c r="D124" s="246" t="s">
        <v>292</v>
      </c>
      <c r="E124" s="56"/>
      <c r="F124" s="211"/>
      <c r="G124" s="9"/>
      <c r="J124" s="8"/>
    </row>
    <row r="125" spans="1:10" x14ac:dyDescent="0.35">
      <c r="A125" s="56" t="s">
        <v>231</v>
      </c>
      <c r="B125" s="56">
        <v>128</v>
      </c>
      <c r="C125" s="56" t="s">
        <v>233</v>
      </c>
      <c r="D125" s="246" t="s">
        <v>292</v>
      </c>
      <c r="E125" s="56"/>
      <c r="F125" s="211"/>
      <c r="G125" s="9"/>
      <c r="J125" s="8"/>
    </row>
    <row r="126" spans="1:10" x14ac:dyDescent="0.35">
      <c r="A126" s="56" t="s">
        <v>234</v>
      </c>
      <c r="B126" s="56">
        <v>2205</v>
      </c>
      <c r="C126" s="56" t="s">
        <v>227</v>
      </c>
      <c r="D126" s="246" t="s">
        <v>293</v>
      </c>
      <c r="E126" s="56"/>
      <c r="F126" s="211"/>
      <c r="G126" s="9"/>
      <c r="J126" s="8"/>
    </row>
    <row r="127" spans="1:10" x14ac:dyDescent="0.35">
      <c r="B127" s="24"/>
      <c r="E127" s="8"/>
      <c r="F127" s="8"/>
      <c r="G127" s="9"/>
      <c r="J127" s="8"/>
    </row>
    <row r="128" spans="1:10" x14ac:dyDescent="0.35">
      <c r="J128" s="8"/>
    </row>
    <row r="129" spans="10:10" x14ac:dyDescent="0.35">
      <c r="J129" s="8"/>
    </row>
    <row r="130" spans="10:10" x14ac:dyDescent="0.35">
      <c r="J130" s="8"/>
    </row>
    <row r="131" spans="10:10" x14ac:dyDescent="0.35">
      <c r="J131" s="8"/>
    </row>
    <row r="132" spans="10:10" x14ac:dyDescent="0.35">
      <c r="J132" s="8"/>
    </row>
  </sheetData>
  <autoFilter ref="A2:J75" xr:uid="{00000000-0001-0000-0500-000000000000}"/>
  <mergeCells count="2">
    <mergeCell ref="J80:K84"/>
    <mergeCell ref="C82:D82"/>
  </mergeCells>
  <phoneticPr fontId="22" type="noConversion"/>
  <hyperlinks>
    <hyperlink ref="C87" r:id="rId1" location=":~:text=Green%20Vehicle%20Guide-,Tailpipe%20Greenhouse%20Gas%20Emissions%20from%20a%20Typical%20Passenger%20Vehicle,of%20miles%20driven%20per%20year." xr:uid="{00000000-0004-0000-0500-000000000000}"/>
    <hyperlink ref="J49" r:id="rId2" xr:uid="{DE0C2D98-8976-4166-A908-A253D31720CD}"/>
    <hyperlink ref="C105" r:id="rId3" xr:uid="{152CFB56-D2DA-4679-AB14-4899E741719E}"/>
    <hyperlink ref="C103" r:id="rId4" xr:uid="{13DBAF11-28F6-4D2A-A0FA-16B771C60165}"/>
    <hyperlink ref="C86:D86" r:id="rId5" display="EIA 2020 RECS Survey Data" xr:uid="{13B1B88F-99D0-4C1A-A345-B60A80BC107A}"/>
    <hyperlink ref="J3" r:id="rId6" xr:uid="{C4001CF7-0232-402C-895F-8BD3705E5D8C}"/>
    <hyperlink ref="H48" r:id="rId7" xr:uid="{809C17D5-E7E8-4C1B-B3FE-5D79CFC8E71A}"/>
    <hyperlink ref="J64" r:id="rId8" xr:uid="{8D97C7CA-B7FD-43E6-8AE4-558E1B0EAAA4}"/>
    <hyperlink ref="J50" r:id="rId9" xr:uid="{2C0E0784-724D-4D42-86A2-89F9A10C7734}"/>
    <hyperlink ref="J68" r:id="rId10" xr:uid="{862C4076-E169-4AB6-98E3-D1C1C37CCCD3}"/>
    <hyperlink ref="J71" r:id="rId11" xr:uid="{799F9038-41B3-4477-83B9-B998265408A0}"/>
    <hyperlink ref="J74" r:id="rId12" xr:uid="{35ED2457-53EF-44C9-8357-15AB2F377009}"/>
    <hyperlink ref="G51" r:id="rId13" xr:uid="{FAD56CDF-7297-498C-B3F6-C9775B074672}"/>
    <hyperlink ref="G61" r:id="rId14" xr:uid="{04B5C141-B66B-4905-B1EF-2E4C386B115F}"/>
    <hyperlink ref="G62" r:id="rId15" xr:uid="{65AB2493-146D-4A6D-90C9-5E3F311E3F1A}"/>
    <hyperlink ref="H69" r:id="rId16" xr:uid="{3C2693A0-529F-401F-AA49-8F08009BBE7B}"/>
    <hyperlink ref="G72" r:id="rId17" xr:uid="{107F7D35-3322-4294-BC9B-C395AF82A17B}"/>
    <hyperlink ref="G52" r:id="rId18" xr:uid="{E7076052-88D3-43BF-967F-1A8631BD5924}"/>
    <hyperlink ref="H75" r:id="rId19" xr:uid="{07CA884C-4C0A-4C9A-9ECB-1CA337CE3602}"/>
    <hyperlink ref="G75" r:id="rId20" xr:uid="{4BFA533E-5FD9-40AC-861F-8BF06FB0241A}"/>
    <hyperlink ref="D124" r:id="rId21" xr:uid="{51EBD2EB-EB19-488A-8AA2-129AF3936DCE}"/>
    <hyperlink ref="D125" r:id="rId22" xr:uid="{5F0F0101-FD22-4E80-9AA1-1DE2D3940BC5}"/>
    <hyperlink ref="D120" r:id="rId23" xr:uid="{10BA70B7-77C9-49BA-9413-3414D451AED5}"/>
    <hyperlink ref="D121" r:id="rId24" xr:uid="{6DA996DA-69D3-4FFC-AE59-FDB02624F8A9}"/>
    <hyperlink ref="D122" r:id="rId25" xr:uid="{348D6D22-8D6D-45A6-B8DA-5B1B9A0CCF1C}"/>
    <hyperlink ref="D123" r:id="rId26" xr:uid="{F1E5002F-B62A-48C8-845B-618F38BB7A5C}"/>
    <hyperlink ref="D126" r:id="rId27" xr:uid="{7D78380F-CA00-4030-B69E-347E308CF5E5}"/>
    <hyperlink ref="G66" r:id="rId28" location="executive-order-guideline-documents-" xr:uid="{AA0E6EDC-3BF0-4865-8639-8BB5A5B6DADB}"/>
    <hyperlink ref="G67" r:id="rId29" location="executive-order-guideline-documents-" xr:uid="{4D759384-7503-4264-AFE8-52B583EA2F9A}"/>
    <hyperlink ref="H66" r:id="rId30" location="executive-order-guideline-documents-" xr:uid="{B844909D-D391-48B3-A993-7E060D4D1F4F}"/>
    <hyperlink ref="H67" r:id="rId31" location="executive-order-guideline-documents-" xr:uid="{C68E4362-8614-454C-A297-FB028B32B3F6}"/>
    <hyperlink ref="G65" r:id="rId32" location="executive-order-guideline-documents-" xr:uid="{7D02765F-C435-46CA-8C70-F43CA3458BD6}"/>
    <hyperlink ref="H65" r:id="rId33" location="executive-order-guideline-documents-" xr:uid="{88F9A914-7045-4D66-AFDE-EF972FDDC7C6}"/>
    <hyperlink ref="J70" r:id="rId34" xr:uid="{8FA35A4A-3421-44CE-AC30-6503AE0E7D04}"/>
    <hyperlink ref="J69" r:id="rId35" xr:uid="{4524B76D-98F9-4266-8E99-F94B1E2CBAAC}"/>
    <hyperlink ref="G48" r:id="rId36" xr:uid="{D35BE211-ED66-46FF-99AC-49EE2F2B435D}"/>
    <hyperlink ref="G50" r:id="rId37" xr:uid="{0D482A3E-C335-4BB0-AA27-611A97DAED38}"/>
    <hyperlink ref="H72" r:id="rId38" xr:uid="{8C6249DA-5C82-491B-9F6D-B6B04C2B7EF1}"/>
    <hyperlink ref="J72" r:id="rId39" xr:uid="{42D3F93F-CF41-4397-B3AC-1018B9FAC6C4}"/>
    <hyperlink ref="H70" r:id="rId40" xr:uid="{99F5207D-6BFA-4DDE-B7D2-D795F4A70947}"/>
    <hyperlink ref="H68" r:id="rId41" xr:uid="{57254429-E2B7-438C-B4BF-B5C92996DC75}"/>
    <hyperlink ref="H58" r:id="rId42" xr:uid="{5106D759-49FE-47EE-8FFC-23864BD0AEE1}"/>
    <hyperlink ref="H59" r:id="rId43" xr:uid="{71455A35-41B1-4CA5-8120-3D1A597B9FE3}"/>
    <hyperlink ref="H60" r:id="rId44" xr:uid="{387ACA6B-1D9E-47DD-9320-A83B4EB72ED1}"/>
    <hyperlink ref="H61" r:id="rId45" xr:uid="{D7D16393-5CD3-466D-8813-8CF7814A5D32}"/>
    <hyperlink ref="H62" r:id="rId46" xr:uid="{96AB0678-4A68-47EA-9C46-AB1A88C513A2}"/>
    <hyperlink ref="H63" r:id="rId47" xr:uid="{3434C265-C728-42C6-9474-612A02D1864A}"/>
  </hyperlinks>
  <pageMargins left="0.25" right="0.25" top="0.25" bottom="0.25" header="0.25" footer="0.25"/>
  <pageSetup scale="30" fitToHeight="5" orientation="landscape" r:id="rId48"/>
  <headerFooter>
    <oddFooter>&amp;R&amp;"-,Italic"&amp;8Edits made by A. Urrutia 02-11-2013</oddFooter>
  </headerFooter>
  <legacyDrawing r:id="rId4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topLeftCell="A37" workbookViewId="0">
      <selection activeCell="C49" sqref="C49"/>
    </sheetView>
  </sheetViews>
  <sheetFormatPr defaultColWidth="8.81640625" defaultRowHeight="14.5" x14ac:dyDescent="0.35"/>
  <cols>
    <col min="1" max="1" width="11.81640625" bestFit="1" customWidth="1"/>
    <col min="2" max="2" width="18.7265625" bestFit="1" customWidth="1"/>
    <col min="3" max="3" width="42.453125" bestFit="1" customWidth="1"/>
    <col min="4" max="4" width="31.1796875" bestFit="1" customWidth="1"/>
  </cols>
  <sheetData>
    <row r="1" spans="1:4" x14ac:dyDescent="0.35">
      <c r="A1" s="39" t="s">
        <v>235</v>
      </c>
      <c r="B1" s="39" t="s">
        <v>236</v>
      </c>
      <c r="C1" s="39" t="s">
        <v>237</v>
      </c>
      <c r="D1" s="2" t="s">
        <v>238</v>
      </c>
    </row>
    <row r="2" spans="1:4" s="45" customFormat="1" x14ac:dyDescent="0.35">
      <c r="A2" s="5" t="s">
        <v>239</v>
      </c>
      <c r="B2" s="44">
        <v>0</v>
      </c>
      <c r="C2" s="4">
        <f>D2*2205</f>
        <v>0</v>
      </c>
      <c r="D2" s="66">
        <v>0</v>
      </c>
    </row>
    <row r="3" spans="1:4" x14ac:dyDescent="0.35">
      <c r="A3" s="5" t="s">
        <v>240</v>
      </c>
      <c r="B3" s="40">
        <v>3.9699999999999999E-2</v>
      </c>
      <c r="C3" s="152">
        <v>1.1940860215053763</v>
      </c>
      <c r="D3" s="156">
        <v>5.4162895261105151E-4</v>
      </c>
    </row>
    <row r="4" spans="1:4" x14ac:dyDescent="0.35">
      <c r="A4" s="5" t="s">
        <v>241</v>
      </c>
      <c r="B4" s="40">
        <v>3.5999999999999997E-2</v>
      </c>
      <c r="C4" s="153">
        <v>1.2247311827956993</v>
      </c>
      <c r="D4" s="157">
        <v>5.5552938048085356E-4</v>
      </c>
    </row>
    <row r="5" spans="1:4" x14ac:dyDescent="0.35">
      <c r="A5" s="5" t="s">
        <v>242</v>
      </c>
      <c r="B5" s="40">
        <v>3.2300000000000002E-2</v>
      </c>
      <c r="C5" s="153">
        <v>1.2344086021505378</v>
      </c>
      <c r="D5" s="157">
        <v>5.5991898928184358E-4</v>
      </c>
    </row>
    <row r="6" spans="1:4" x14ac:dyDescent="0.35">
      <c r="A6" s="5" t="s">
        <v>243</v>
      </c>
      <c r="B6" s="40">
        <v>2.9399999999999999E-2</v>
      </c>
      <c r="C6" s="153">
        <v>1.2188112655297372</v>
      </c>
      <c r="D6" s="157">
        <v>5.5284414798456756E-4</v>
      </c>
    </row>
    <row r="7" spans="1:4" x14ac:dyDescent="0.35">
      <c r="A7" s="5" t="s">
        <v>244</v>
      </c>
      <c r="B7" s="40">
        <v>2.63E-2</v>
      </c>
      <c r="C7" s="153">
        <v>1.1520758451475552</v>
      </c>
      <c r="D7" s="157">
        <v>5.225734344910031E-4</v>
      </c>
    </row>
    <row r="8" spans="1:4" x14ac:dyDescent="0.35">
      <c r="A8" s="5" t="s">
        <v>245</v>
      </c>
      <c r="B8" s="40">
        <v>2.3300000000000001E-2</v>
      </c>
      <c r="C8" s="153">
        <v>1.0964271713566578</v>
      </c>
      <c r="D8" s="157">
        <v>4.9733159063995508E-4</v>
      </c>
    </row>
    <row r="9" spans="1:4" x14ac:dyDescent="0.35">
      <c r="A9" s="5" t="s">
        <v>246</v>
      </c>
      <c r="B9" s="40">
        <v>2.1100000000000001E-2</v>
      </c>
      <c r="C9" s="153">
        <v>1.0652327901064769</v>
      </c>
      <c r="D9" s="157">
        <v>4.8318204049064097E-4</v>
      </c>
    </row>
    <row r="10" spans="1:4" x14ac:dyDescent="0.35">
      <c r="A10" s="5" t="s">
        <v>247</v>
      </c>
      <c r="B10" s="40">
        <v>1.9E-2</v>
      </c>
      <c r="C10" s="153">
        <v>0.98981111930957355</v>
      </c>
      <c r="D10" s="157">
        <v>4.4897130539937657E-4</v>
      </c>
    </row>
    <row r="11" spans="1:4" x14ac:dyDescent="0.35">
      <c r="A11" s="5" t="s">
        <v>248</v>
      </c>
      <c r="B11" s="41">
        <v>1.7000000000000001E-2</v>
      </c>
      <c r="C11" s="153">
        <v>0.96032156610322705</v>
      </c>
      <c r="D11" s="157">
        <v>4.3559505316255275E-4</v>
      </c>
    </row>
    <row r="12" spans="1:4" x14ac:dyDescent="0.35">
      <c r="A12" s="5" t="s">
        <v>249</v>
      </c>
      <c r="B12" s="115">
        <v>1.55E-2</v>
      </c>
      <c r="C12" s="153">
        <v>0.89857211249069557</v>
      </c>
      <c r="D12" s="157">
        <v>4.0758593884238352E-4</v>
      </c>
    </row>
    <row r="13" spans="1:4" x14ac:dyDescent="0.35">
      <c r="A13" s="5" t="s">
        <v>250</v>
      </c>
      <c r="B13" s="115">
        <v>1.38E-2</v>
      </c>
      <c r="C13" s="153">
        <v>0.78323556361328528</v>
      </c>
      <c r="D13" s="157">
        <v>3.5527009807281314E-4</v>
      </c>
    </row>
    <row r="14" spans="1:4" x14ac:dyDescent="0.35">
      <c r="A14" s="5" t="s">
        <v>251</v>
      </c>
      <c r="B14" s="115">
        <v>1.26E-2</v>
      </c>
      <c r="C14" s="153">
        <v>0.7417815482502651</v>
      </c>
      <c r="D14" s="157">
        <v>3.364668506365111E-4</v>
      </c>
    </row>
    <row r="15" spans="1:4" x14ac:dyDescent="0.35">
      <c r="A15" s="5" t="s">
        <v>252</v>
      </c>
      <c r="B15" s="65">
        <v>1.26E-2</v>
      </c>
      <c r="C15" s="153">
        <v>0.73753976670201493</v>
      </c>
      <c r="D15" s="157">
        <v>3.3454280860284989E-4</v>
      </c>
    </row>
    <row r="16" spans="1:4" x14ac:dyDescent="0.35">
      <c r="A16" s="5" t="s">
        <v>253</v>
      </c>
      <c r="B16" s="65">
        <v>1.26E-2</v>
      </c>
      <c r="C16" s="153">
        <v>0.73541887592788979</v>
      </c>
      <c r="D16" s="157">
        <v>3.3358078758601928E-4</v>
      </c>
    </row>
    <row r="17" spans="1:4" x14ac:dyDescent="0.35">
      <c r="A17" s="5" t="s">
        <v>254</v>
      </c>
      <c r="B17" s="65">
        <v>1.26E-2</v>
      </c>
      <c r="C17" s="153">
        <v>0.73276776246023334</v>
      </c>
      <c r="D17" s="157">
        <v>3.3237826131498097E-4</v>
      </c>
    </row>
    <row r="18" spans="1:4" x14ac:dyDescent="0.35">
      <c r="A18" s="5" t="s">
        <v>255</v>
      </c>
      <c r="B18" s="65">
        <v>1.26E-2</v>
      </c>
      <c r="C18" s="153">
        <v>0.69671261930010597</v>
      </c>
      <c r="D18" s="157">
        <v>3.1602390402886031E-4</v>
      </c>
    </row>
    <row r="19" spans="1:4" x14ac:dyDescent="0.35">
      <c r="A19" s="5" t="s">
        <v>256</v>
      </c>
      <c r="B19" s="65">
        <v>1.26E-2</v>
      </c>
      <c r="C19" s="153">
        <v>0.61222163308589594</v>
      </c>
      <c r="D19" s="157">
        <v>2.7769939177087026E-4</v>
      </c>
    </row>
    <row r="20" spans="1:4" x14ac:dyDescent="0.35">
      <c r="A20" s="5" t="s">
        <v>257</v>
      </c>
      <c r="B20" s="65">
        <v>1.26E-2</v>
      </c>
      <c r="C20" s="153">
        <v>0.5292553191489362</v>
      </c>
      <c r="D20" s="157">
        <v>2.4006646004705402E-4</v>
      </c>
    </row>
    <row r="21" spans="1:4" x14ac:dyDescent="0.35">
      <c r="A21" s="5" t="s">
        <v>258</v>
      </c>
      <c r="B21" s="65">
        <v>1.26E-2</v>
      </c>
      <c r="C21" s="154">
        <v>0.56117021276595747</v>
      </c>
      <c r="D21" s="158">
        <v>2.5454282949712763E-4</v>
      </c>
    </row>
    <row r="22" spans="1:4" x14ac:dyDescent="0.35">
      <c r="A22" s="5" t="s">
        <v>259</v>
      </c>
      <c r="B22" s="65">
        <v>1.26E-2</v>
      </c>
      <c r="C22" s="153">
        <v>0.59255319148936181</v>
      </c>
      <c r="D22" s="157">
        <v>2.6877792612303334E-4</v>
      </c>
    </row>
    <row r="23" spans="1:4" x14ac:dyDescent="0.35">
      <c r="A23" s="5" t="s">
        <v>63</v>
      </c>
      <c r="B23" s="65">
        <v>1.26E-2</v>
      </c>
      <c r="C23" s="153">
        <v>0.55613829787234048</v>
      </c>
      <c r="D23" s="157">
        <v>2.5223924353961005E-4</v>
      </c>
    </row>
    <row r="24" spans="1:4" x14ac:dyDescent="0.35">
      <c r="A24" s="5" t="s">
        <v>305</v>
      </c>
      <c r="B24" s="65">
        <v>1.26E-2</v>
      </c>
      <c r="C24" s="314">
        <v>0.53249999999999997</v>
      </c>
      <c r="D24" s="315">
        <v>2.4149659863945578E-4</v>
      </c>
    </row>
    <row r="25" spans="1:4" x14ac:dyDescent="0.35">
      <c r="A25" s="5" t="s">
        <v>328</v>
      </c>
      <c r="B25" s="65">
        <v>1.26E-2</v>
      </c>
      <c r="C25" s="318">
        <v>0.53249999999999997</v>
      </c>
      <c r="D25" s="319">
        <v>2.4149659863945578E-4</v>
      </c>
    </row>
    <row r="26" spans="1:4" x14ac:dyDescent="0.35">
      <c r="A26" s="5" t="s">
        <v>329</v>
      </c>
      <c r="B26" s="65">
        <v>1.26E-2</v>
      </c>
      <c r="C26" s="318">
        <v>0.53249999999999997</v>
      </c>
      <c r="D26" s="319">
        <v>2.4149659863945578E-4</v>
      </c>
    </row>
    <row r="27" spans="1:4" ht="15" thickBot="1" x14ac:dyDescent="0.4">
      <c r="A27" s="130" t="s">
        <v>330</v>
      </c>
      <c r="B27" s="147">
        <v>1.26E-2</v>
      </c>
      <c r="C27" s="320">
        <v>0.53249999999999997</v>
      </c>
      <c r="D27" s="321">
        <v>2.4149659863945578E-4</v>
      </c>
    </row>
    <row r="28" spans="1:4" x14ac:dyDescent="0.35">
      <c r="A28" s="125" t="s">
        <v>239</v>
      </c>
      <c r="B28" s="146">
        <v>0</v>
      </c>
      <c r="C28" s="312">
        <f>D28*2205</f>
        <v>0</v>
      </c>
      <c r="D28" s="313">
        <v>0</v>
      </c>
    </row>
    <row r="29" spans="1:4" x14ac:dyDescent="0.35">
      <c r="A29" s="5" t="s">
        <v>260</v>
      </c>
      <c r="B29" s="40">
        <v>4.58E-2</v>
      </c>
      <c r="C29" s="122">
        <v>1.189247311827957</v>
      </c>
      <c r="D29" s="123">
        <v>5.3943414821055644E-4</v>
      </c>
    </row>
    <row r="30" spans="1:4" x14ac:dyDescent="0.35">
      <c r="A30" s="5" t="s">
        <v>261</v>
      </c>
      <c r="B30" s="40">
        <v>4.1099999999999998E-2</v>
      </c>
      <c r="C30" s="122">
        <v>1.1989247311827957</v>
      </c>
      <c r="D30" s="123">
        <v>5.4382375701154657E-4</v>
      </c>
    </row>
    <row r="31" spans="1:4" x14ac:dyDescent="0.35">
      <c r="A31" s="5" t="s">
        <v>262</v>
      </c>
      <c r="B31" s="40">
        <v>3.8199999999999998E-2</v>
      </c>
      <c r="C31" s="122">
        <v>1.2505376344086023</v>
      </c>
      <c r="D31" s="123">
        <v>5.6723500395016032E-4</v>
      </c>
    </row>
    <row r="32" spans="1:4" x14ac:dyDescent="0.35">
      <c r="A32" s="5" t="s">
        <v>263</v>
      </c>
      <c r="B32" s="40">
        <v>3.3799999999999997E-2</v>
      </c>
      <c r="C32" s="122">
        <v>1.2182795698924731</v>
      </c>
      <c r="D32" s="123">
        <v>5.5260297461352662E-4</v>
      </c>
    </row>
    <row r="33" spans="1:4" x14ac:dyDescent="0.35">
      <c r="A33" s="5" t="s">
        <v>264</v>
      </c>
      <c r="B33" s="40">
        <v>3.0800000000000001E-2</v>
      </c>
      <c r="C33" s="122">
        <v>1.2193429611670017</v>
      </c>
      <c r="D33" s="123">
        <v>5.5308532135560861E-4</v>
      </c>
    </row>
    <row r="34" spans="1:4" x14ac:dyDescent="0.35">
      <c r="A34" s="5" t="s">
        <v>265</v>
      </c>
      <c r="B34" s="40">
        <v>2.8000000000000001E-2</v>
      </c>
      <c r="C34" s="122">
        <v>1.0848087291281086</v>
      </c>
      <c r="D34" s="123">
        <v>4.9206154762639759E-4</v>
      </c>
    </row>
    <row r="35" spans="1:4" x14ac:dyDescent="0.35">
      <c r="A35" s="5" t="s">
        <v>266</v>
      </c>
      <c r="B35" s="40">
        <v>2.4500000000000001E-2</v>
      </c>
      <c r="C35" s="122">
        <v>1.1080456135852068</v>
      </c>
      <c r="D35" s="123">
        <v>5.0260163365351256E-4</v>
      </c>
    </row>
    <row r="36" spans="1:4" x14ac:dyDescent="0.35">
      <c r="A36" s="5" t="s">
        <v>267</v>
      </c>
      <c r="B36" s="40">
        <v>2.1999999999999999E-2</v>
      </c>
      <c r="C36" s="122">
        <v>1.0224199666277467</v>
      </c>
      <c r="D36" s="123">
        <v>4.6376244732776928E-4</v>
      </c>
    </row>
    <row r="37" spans="1:4" x14ac:dyDescent="0.35">
      <c r="A37" s="5" t="s">
        <v>268</v>
      </c>
      <c r="B37" s="41">
        <v>2.01E-2</v>
      </c>
      <c r="C37" s="122">
        <v>0.9572022719914004</v>
      </c>
      <c r="D37" s="123">
        <v>4.3418016347098387E-4</v>
      </c>
    </row>
    <row r="38" spans="1:4" x14ac:dyDescent="0.35">
      <c r="A38" s="5" t="s">
        <v>269</v>
      </c>
      <c r="B38" s="115">
        <v>1.7899999999999999E-2</v>
      </c>
      <c r="C38" s="122">
        <v>0.96344086021505382</v>
      </c>
      <c r="D38" s="123">
        <v>4.3700994285412174E-4</v>
      </c>
    </row>
    <row r="39" spans="1:4" x14ac:dyDescent="0.35">
      <c r="A39" s="5" t="s">
        <v>270</v>
      </c>
      <c r="B39" s="115">
        <v>1.61E-2</v>
      </c>
      <c r="C39" s="122">
        <v>0.83370336476633722</v>
      </c>
      <c r="D39" s="123">
        <v>3.7816193483064531E-4</v>
      </c>
    </row>
    <row r="40" spans="1:4" x14ac:dyDescent="0.35">
      <c r="A40" s="5" t="s">
        <v>271</v>
      </c>
      <c r="B40" s="115">
        <v>1.4800000000000001E-2</v>
      </c>
      <c r="C40" s="122">
        <v>0.73276776246023334</v>
      </c>
      <c r="D40" s="123">
        <f>C40/2204.62</f>
        <v>3.3237826131498097E-4</v>
      </c>
    </row>
    <row r="41" spans="1:4" x14ac:dyDescent="0.35">
      <c r="A41" s="5" t="s">
        <v>272</v>
      </c>
      <c r="B41" s="115">
        <v>1.2800000000000001E-2</v>
      </c>
      <c r="C41" s="122">
        <v>0.75079533404029697</v>
      </c>
      <c r="D41" s="123">
        <v>3.4055543995804128E-4</v>
      </c>
    </row>
    <row r="42" spans="1:4" x14ac:dyDescent="0.35">
      <c r="A42" s="5" t="s">
        <v>273</v>
      </c>
      <c r="B42" s="65">
        <v>1.24E-2</v>
      </c>
      <c r="C42" s="122">
        <v>0.72428419936373278</v>
      </c>
      <c r="D42" s="123">
        <v>3.2853017724765845E-4</v>
      </c>
    </row>
    <row r="43" spans="1:4" x14ac:dyDescent="0.35">
      <c r="A43" s="5" t="s">
        <v>274</v>
      </c>
      <c r="B43" s="65">
        <v>1.24E-2</v>
      </c>
      <c r="C43" s="122">
        <v>0.74655355249204669</v>
      </c>
      <c r="D43" s="123">
        <v>3.3863139792438002E-4</v>
      </c>
    </row>
    <row r="44" spans="1:4" x14ac:dyDescent="0.35">
      <c r="A44" s="5" t="s">
        <v>275</v>
      </c>
      <c r="B44" s="65">
        <v>1.24E-2</v>
      </c>
      <c r="C44" s="122">
        <v>0.71898197242841999</v>
      </c>
      <c r="D44" s="123">
        <v>3.2612512470558193E-4</v>
      </c>
    </row>
    <row r="45" spans="1:4" x14ac:dyDescent="0.35">
      <c r="A45" s="5" t="s">
        <v>276</v>
      </c>
      <c r="B45" s="65">
        <v>1.24E-2</v>
      </c>
      <c r="C45" s="122">
        <v>0.67444326617179218</v>
      </c>
      <c r="D45" s="123">
        <v>3.0592268335213879E-4</v>
      </c>
    </row>
    <row r="46" spans="1:4" x14ac:dyDescent="0.35">
      <c r="A46" s="5" t="s">
        <v>277</v>
      </c>
      <c r="B46" s="65">
        <v>1.24E-2</v>
      </c>
      <c r="C46" s="122">
        <v>0.55000000000000004</v>
      </c>
      <c r="D46" s="123">
        <v>2.4947610018960189E-4</v>
      </c>
    </row>
    <row r="47" spans="1:4" x14ac:dyDescent="0.35">
      <c r="A47" s="5" t="s">
        <v>278</v>
      </c>
      <c r="B47" s="65">
        <v>1.24E-2</v>
      </c>
      <c r="C47" s="139">
        <v>0.50851063829787235</v>
      </c>
      <c r="D47" s="123">
        <v>2.3065681990450617E-4</v>
      </c>
    </row>
    <row r="48" spans="1:4" x14ac:dyDescent="0.35">
      <c r="A48" s="5" t="s">
        <v>279</v>
      </c>
      <c r="B48" s="65">
        <v>1.24E-2</v>
      </c>
      <c r="C48" s="122">
        <v>0.61382978723404258</v>
      </c>
      <c r="D48" s="123">
        <v>2.7842883908974907E-4</v>
      </c>
    </row>
    <row r="49" spans="1:4" x14ac:dyDescent="0.35">
      <c r="A49" s="5" t="s">
        <v>280</v>
      </c>
      <c r="B49" s="65">
        <v>1.24E-2</v>
      </c>
      <c r="C49" s="144">
        <v>0.57127659574468093</v>
      </c>
      <c r="D49" s="145">
        <v>2.5912701315631762E-4</v>
      </c>
    </row>
    <row r="50" spans="1:4" x14ac:dyDescent="0.35">
      <c r="A50" s="5" t="s">
        <v>281</v>
      </c>
      <c r="B50" s="65">
        <v>1.24E-2</v>
      </c>
      <c r="C50" s="122">
        <v>0.54100000000000004</v>
      </c>
      <c r="D50" s="123">
        <f>C50/2205</f>
        <v>2.4535147392290248E-4</v>
      </c>
    </row>
    <row r="51" spans="1:4" x14ac:dyDescent="0.35">
      <c r="A51" s="137" t="s">
        <v>304</v>
      </c>
      <c r="B51" s="309">
        <v>1.24E-2</v>
      </c>
      <c r="C51" s="154">
        <v>0.52400000000000002</v>
      </c>
      <c r="D51" s="140">
        <v>2.3764172335600907E-4</v>
      </c>
    </row>
    <row r="52" spans="1:4" x14ac:dyDescent="0.35">
      <c r="A52" s="5" t="s">
        <v>325</v>
      </c>
      <c r="B52" s="65">
        <v>1.24E-2</v>
      </c>
      <c r="C52" s="316">
        <v>0.52400000000000002</v>
      </c>
      <c r="D52" s="317">
        <v>2.3764172335600907E-4</v>
      </c>
    </row>
    <row r="53" spans="1:4" x14ac:dyDescent="0.35">
      <c r="A53" s="5" t="s">
        <v>326</v>
      </c>
      <c r="B53" s="65">
        <v>1.24E-2</v>
      </c>
      <c r="C53" s="316">
        <v>0.52400000000000002</v>
      </c>
      <c r="D53" s="317">
        <v>2.3764172335600907E-4</v>
      </c>
    </row>
    <row r="54" spans="1:4" ht="15" thickBot="1" x14ac:dyDescent="0.4">
      <c r="A54" s="130" t="s">
        <v>327</v>
      </c>
      <c r="B54" s="147">
        <v>1.24E-2</v>
      </c>
      <c r="C54" s="310">
        <v>0.52400000000000002</v>
      </c>
      <c r="D54" s="311">
        <v>2.3764172335600907E-4</v>
      </c>
    </row>
  </sheetData>
  <phoneticPr fontId="22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2E66A-A50A-49F3-BB5A-CAADD02E2CF9}">
  <dimension ref="A1:B1"/>
  <sheetViews>
    <sheetView workbookViewId="0">
      <selection activeCell="C6" sqref="B6:C7"/>
    </sheetView>
  </sheetViews>
  <sheetFormatPr defaultRowHeight="14.5" x14ac:dyDescent="0.35"/>
  <sheetData>
    <row r="1" spans="1:2" x14ac:dyDescent="0.35">
      <c r="A1" t="s">
        <v>282</v>
      </c>
      <c r="B1" t="s">
        <v>283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499340-b9cf-4458-9368-33036c1b4dc9">
      <Terms xmlns="http://schemas.microsoft.com/office/infopath/2007/PartnerControls"/>
    </lcf76f155ced4ddcb4097134ff3c332f>
    <TaxCatchAll xmlns="a2187807-d16b-4f26-8c23-1ecdc31f3e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5B1B55FDC6F46992CBD8D384DCF63" ma:contentTypeVersion="17" ma:contentTypeDescription="Create a new document." ma:contentTypeScope="" ma:versionID="b95d9d892339695b0067449f0ad9c324">
  <xsd:schema xmlns:xsd="http://www.w3.org/2001/XMLSchema" xmlns:xs="http://www.w3.org/2001/XMLSchema" xmlns:p="http://schemas.microsoft.com/office/2006/metadata/properties" xmlns:ns2="79499340-b9cf-4458-9368-33036c1b4dc9" xmlns:ns3="a2187807-d16b-4f26-8c23-1ecdc31f3e2b" targetNamespace="http://schemas.microsoft.com/office/2006/metadata/properties" ma:root="true" ma:fieldsID="773abde41dede69335bfc4bc960a174d" ns2:_="" ns3:_="">
    <xsd:import namespace="79499340-b9cf-4458-9368-33036c1b4dc9"/>
    <xsd:import namespace="a2187807-d16b-4f26-8c23-1ecdc31f3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99340-b9cf-4458-9368-33036c1b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87807-d16b-4f26-8c23-1ecdc31f3e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36eada-7542-4a47-9b16-089fadf71390}" ma:internalName="TaxCatchAll" ma:showField="CatchAllData" ma:web="a2187807-d16b-4f26-8c23-1ecdc31f3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2C51C-71AA-446F-A144-A3D56638E15C}">
  <ds:schemaRefs>
    <ds:schemaRef ds:uri="79499340-b9cf-4458-9368-33036c1b4dc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a2187807-d16b-4f26-8c23-1ecdc31f3e2b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5104150-3D20-48A1-815F-1DB799030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99340-b9cf-4458-9368-33036c1b4dc9"/>
    <ds:schemaRef ds:uri="a2187807-d16b-4f26-8c23-1ecdc31f3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0D3505-B789-4FF6-8242-4231FDCC26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31</vt:i4>
      </vt:variant>
    </vt:vector>
  </HeadingPairs>
  <TitlesOfParts>
    <vt:vector size="39" baseType="lpstr">
      <vt:lpstr>INTRO</vt:lpstr>
      <vt:lpstr>Quick Calculations</vt:lpstr>
      <vt:lpstr>Building</vt:lpstr>
      <vt:lpstr>Renewable Energy</vt:lpstr>
      <vt:lpstr>Vehicles</vt:lpstr>
      <vt:lpstr>Reference</vt:lpstr>
      <vt:lpstr>source</vt:lpstr>
      <vt:lpstr>Notes</vt:lpstr>
      <vt:lpstr>blank</vt:lpstr>
      <vt:lpstr>CY_2001</vt:lpstr>
      <vt:lpstr>CY_2002</vt:lpstr>
      <vt:lpstr>CY_2003</vt:lpstr>
      <vt:lpstr>CY_2004</vt:lpstr>
      <vt:lpstr>CY_2005</vt:lpstr>
      <vt:lpstr>CY_2006</vt:lpstr>
      <vt:lpstr>CY_2007</vt:lpstr>
      <vt:lpstr>CY_2008</vt:lpstr>
      <vt:lpstr>CY_2009</vt:lpstr>
      <vt:lpstr>CY_2010</vt:lpstr>
      <vt:lpstr>CY_2011</vt:lpstr>
      <vt:lpstr>CY_2012</vt:lpstr>
      <vt:lpstr>CY_2013</vt:lpstr>
      <vt:lpstr>CY_2014</vt:lpstr>
      <vt:lpstr>FY_2002</vt:lpstr>
      <vt:lpstr>FY_2003</vt:lpstr>
      <vt:lpstr>FY_2004</vt:lpstr>
      <vt:lpstr>FY_2005</vt:lpstr>
      <vt:lpstr>FY_2006</vt:lpstr>
      <vt:lpstr>FY_2007</vt:lpstr>
      <vt:lpstr>FY_2008</vt:lpstr>
      <vt:lpstr>FY_2009</vt:lpstr>
      <vt:lpstr>FY_2010</vt:lpstr>
      <vt:lpstr>FY_2011</vt:lpstr>
      <vt:lpstr>FY_2012</vt:lpstr>
      <vt:lpstr>FY_2013</vt:lpstr>
      <vt:lpstr>FY_2014</vt:lpstr>
      <vt:lpstr>INTRO!Print_Area</vt:lpstr>
      <vt:lpstr>SELECT_YEAR</vt:lpstr>
      <vt:lpstr>year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murrutia</dc:creator>
  <cp:keywords/>
  <dc:description/>
  <cp:lastModifiedBy>Vitello, Sophia (ENE)</cp:lastModifiedBy>
  <cp:revision/>
  <cp:lastPrinted>2023-07-11T13:31:11Z</cp:lastPrinted>
  <dcterms:created xsi:type="dcterms:W3CDTF">2013-01-17T20:24:41Z</dcterms:created>
  <dcterms:modified xsi:type="dcterms:W3CDTF">2026-03-13T19:06:34Z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0x010100CCE5B1B55FDC6F46992CBD8D384DCF63</vt:lpwstr>
  </property>
  <property fmtid="{D5CDD505-2E9C-101B-9397-08002B2CF9AE}" pid="3" name="MediaServiceImageTags">
    <vt:lpwstr/>
  </property>
</Properties>
</file>