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120" windowWidth="18645" windowHeight="11160"/>
  </bookViews>
  <sheets>
    <sheet name="INTRO" sheetId="14" r:id="rId1"/>
    <sheet name="Quick Calculations" sheetId="6" r:id="rId2"/>
    <sheet name="RE" sheetId="15" r:id="rId3"/>
    <sheet name="Building" sheetId="1" r:id="rId4"/>
    <sheet name="Vehicles" sheetId="11" r:id="rId5"/>
    <sheet name="Reference" sheetId="5" r:id="rId6"/>
    <sheet name="source" sheetId="13" state="hidden" r:id="rId7"/>
  </sheets>
  <definedNames>
    <definedName name="_xlnm._FilterDatabase" localSheetId="3" hidden="1">Building!$B$2:$I$2</definedName>
    <definedName name="_xlnm._FilterDatabase" localSheetId="2" hidden="1">RE!$A$3:$D$3</definedName>
    <definedName name="_xlnm._FilterDatabase" localSheetId="5" hidden="1">Reference!$A$2:$J$2</definedName>
    <definedName name="_xlnm._FilterDatabase" localSheetId="4" hidden="1">Vehicles!$B$2:$H$2</definedName>
    <definedName name="blank">source!$A$3:$A$28</definedName>
    <definedName name="CY_2000" localSheetId="2">source!#REF!</definedName>
    <definedName name="CY_2000">source!#REF!</definedName>
    <definedName name="CY_2001">source!$B$17</definedName>
    <definedName name="CY_2002">source!$B$18</definedName>
    <definedName name="CY_2003">source!$B$19</definedName>
    <definedName name="CY_2004">source!$B$20</definedName>
    <definedName name="CY_2005">source!$B$21</definedName>
    <definedName name="CY_2006">source!$B$22</definedName>
    <definedName name="CY_2007">source!$B$23</definedName>
    <definedName name="CY_2008">source!$B$24</definedName>
    <definedName name="CY_2009">source!$B$25</definedName>
    <definedName name="CY_2010">source!$B$26</definedName>
    <definedName name="CY_2011">source!$B$27</definedName>
    <definedName name="CY_2012">source!$B$28</definedName>
    <definedName name="CY_2013">source!$B$29</definedName>
    <definedName name="CY_2014">source!$B$31</definedName>
    <definedName name="FY_2000" localSheetId="2">source!#REF!</definedName>
    <definedName name="FY_2000">source!#REF!</definedName>
    <definedName name="FY_2001" localSheetId="2">source!#REF!</definedName>
    <definedName name="FY_2001">source!#REF!</definedName>
    <definedName name="FY_2002">source!$B$3</definedName>
    <definedName name="FY_2003">source!$B$4</definedName>
    <definedName name="FY_2004">source!$B$5</definedName>
    <definedName name="FY_2005">source!$B$6</definedName>
    <definedName name="FY_2006">source!$B$7</definedName>
    <definedName name="FY_2007">source!$B$8</definedName>
    <definedName name="FY_2008">source!$B$9</definedName>
    <definedName name="FY_2009">source!$B$10</definedName>
    <definedName name="FY_2010">source!$B$11</definedName>
    <definedName name="FY_2011">source!$B$12</definedName>
    <definedName name="FY_2012">source!$B$13</definedName>
    <definedName name="FY_2013">source!$B$14</definedName>
    <definedName name="FY_2014">source!$B$15</definedName>
    <definedName name="_xlnm.Print_Area" localSheetId="0">INTRO!$A$1:$L$29</definedName>
    <definedName name="year">source!$A$2:$A$31</definedName>
  </definedNames>
  <calcPr calcId="145621"/>
</workbook>
</file>

<file path=xl/calcChain.xml><?xml version="1.0" encoding="utf-8"?>
<calcChain xmlns="http://schemas.openxmlformats.org/spreadsheetml/2006/main">
  <c r="C30" i="6" l="1"/>
  <c r="H31" i="6"/>
  <c r="H30" i="6"/>
  <c r="H29" i="6"/>
  <c r="H28" i="6"/>
  <c r="B15" i="6"/>
  <c r="B14" i="6"/>
  <c r="B13" i="6"/>
  <c r="B5" i="6"/>
  <c r="E17" i="6"/>
  <c r="E16" i="6"/>
  <c r="E8" i="6"/>
  <c r="E15" i="6"/>
  <c r="E14" i="6"/>
  <c r="E13" i="6"/>
  <c r="E5" i="6"/>
  <c r="D17" i="6"/>
  <c r="D16" i="6"/>
  <c r="D8" i="6"/>
  <c r="D15" i="6"/>
  <c r="D14" i="6"/>
  <c r="D13" i="6"/>
  <c r="D5" i="6"/>
  <c r="B6" i="6" l="1"/>
  <c r="B7" i="6"/>
  <c r="E9" i="6"/>
  <c r="D9" i="6" l="1"/>
  <c r="E33" i="5" l="1"/>
  <c r="E18" i="5"/>
  <c r="E56" i="5"/>
  <c r="C27" i="15"/>
  <c r="C26" i="15"/>
  <c r="C25" i="15"/>
  <c r="H27" i="15"/>
  <c r="I27" i="15" s="1"/>
  <c r="G27" i="15"/>
  <c r="E27" i="15" s="1"/>
  <c r="D27" i="15"/>
  <c r="H26" i="15"/>
  <c r="I26" i="15" s="1"/>
  <c r="G26" i="15"/>
  <c r="D26" i="15"/>
  <c r="H25" i="15"/>
  <c r="I25" i="15" s="1"/>
  <c r="G25" i="15"/>
  <c r="E25" i="15" s="1"/>
  <c r="D25" i="15"/>
  <c r="C12" i="15"/>
  <c r="C11" i="15"/>
  <c r="H11" i="15" s="1"/>
  <c r="I11" i="15" s="1"/>
  <c r="C10" i="15"/>
  <c r="D10" i="15" s="1"/>
  <c r="D12" i="15"/>
  <c r="G12" i="15"/>
  <c r="E12" i="15" s="1"/>
  <c r="G11" i="15"/>
  <c r="E11" i="15" s="1"/>
  <c r="G10" i="15"/>
  <c r="C31" i="13"/>
  <c r="C30" i="13"/>
  <c r="C16" i="13"/>
  <c r="E32" i="5"/>
  <c r="D16" i="13" s="1"/>
  <c r="E17" i="5"/>
  <c r="E7" i="6"/>
  <c r="D7" i="6"/>
  <c r="I28" i="15" l="1"/>
  <c r="G28" i="15"/>
  <c r="H28" i="15"/>
  <c r="D11" i="15"/>
  <c r="D13" i="15" s="1"/>
  <c r="D28" i="15"/>
  <c r="E26" i="15"/>
  <c r="E28" i="15" s="1"/>
  <c r="E10" i="15"/>
  <c r="E13" i="15" s="1"/>
  <c r="G13" i="15"/>
  <c r="H10" i="15"/>
  <c r="H12" i="15"/>
  <c r="I12" i="15" s="1"/>
  <c r="C42" i="6"/>
  <c r="C41" i="6"/>
  <c r="D6" i="6"/>
  <c r="E6" i="6"/>
  <c r="H13" i="15" l="1"/>
  <c r="I10" i="15"/>
  <c r="I13" i="15" s="1"/>
  <c r="E60" i="5"/>
  <c r="E59" i="5"/>
  <c r="E58" i="5"/>
  <c r="E57" i="5"/>
  <c r="E55" i="5"/>
  <c r="E54" i="5"/>
  <c r="E53" i="5"/>
  <c r="E52" i="5"/>
  <c r="E51" i="5"/>
  <c r="E50" i="5"/>
  <c r="E49" i="5"/>
  <c r="E48" i="5"/>
  <c r="E47" i="5"/>
  <c r="E46" i="5"/>
  <c r="C35" i="6" s="1"/>
  <c r="E45" i="5"/>
  <c r="E44" i="5"/>
  <c r="E42" i="5"/>
  <c r="E41" i="5"/>
  <c r="E40" i="5"/>
  <c r="E39" i="5"/>
  <c r="E38" i="5"/>
  <c r="E37" i="5"/>
  <c r="I31" i="6" s="1"/>
  <c r="E36" i="5"/>
  <c r="I30" i="6" s="1"/>
  <c r="E35" i="5"/>
  <c r="E34" i="5"/>
  <c r="E31" i="5"/>
  <c r="D15" i="13" s="1"/>
  <c r="E30" i="5"/>
  <c r="E29" i="5"/>
  <c r="E28" i="5"/>
  <c r="E27" i="5"/>
  <c r="E26" i="5"/>
  <c r="E25" i="5"/>
  <c r="E24" i="5"/>
  <c r="E23" i="5"/>
  <c r="E22" i="5"/>
  <c r="E21" i="5"/>
  <c r="E20" i="5"/>
  <c r="E19" i="5"/>
  <c r="E16" i="5"/>
  <c r="E15" i="5"/>
  <c r="E14" i="5"/>
  <c r="F14" i="6" s="1"/>
  <c r="E13" i="5"/>
  <c r="E12" i="5"/>
  <c r="E11" i="5"/>
  <c r="E10" i="5"/>
  <c r="E9" i="5"/>
  <c r="E8" i="5"/>
  <c r="E7" i="5"/>
  <c r="E6" i="5"/>
  <c r="E5" i="5"/>
  <c r="E4" i="5"/>
  <c r="E3" i="5"/>
  <c r="D13" i="11"/>
  <c r="D12" i="11"/>
  <c r="D11" i="11"/>
  <c r="D10" i="11"/>
  <c r="D9" i="11"/>
  <c r="D8" i="11"/>
  <c r="D7" i="11"/>
  <c r="D6" i="11"/>
  <c r="D5" i="11"/>
  <c r="D4" i="11"/>
  <c r="D3" i="11"/>
  <c r="C29" i="13"/>
  <c r="C15" i="13"/>
  <c r="D14" i="13"/>
  <c r="E3" i="1" s="1"/>
  <c r="C14" i="13"/>
  <c r="I28" i="6" l="1"/>
  <c r="I29" i="6"/>
  <c r="F6" i="6"/>
  <c r="F5" i="6"/>
  <c r="F9" i="6"/>
  <c r="F8" i="6"/>
  <c r="F13" i="6"/>
  <c r="F16" i="6"/>
  <c r="F17" i="6"/>
  <c r="F15" i="6"/>
  <c r="D29" i="13"/>
  <c r="D30" i="13"/>
  <c r="D31" i="13"/>
  <c r="F7" i="6"/>
  <c r="D31" i="6"/>
  <c r="D28" i="6"/>
  <c r="D29" i="6"/>
  <c r="D30" i="6"/>
  <c r="C18" i="15"/>
  <c r="C4" i="15"/>
  <c r="C28" i="6" l="1"/>
  <c r="C31" i="6"/>
  <c r="C24" i="6"/>
  <c r="C20" i="15" l="1"/>
  <c r="C6" i="15"/>
  <c r="G6" i="15" s="1"/>
  <c r="E6" i="15" s="1"/>
  <c r="H20" i="15"/>
  <c r="H19" i="15"/>
  <c r="I19" i="15" s="1"/>
  <c r="H18" i="15"/>
  <c r="I18" i="15" s="1"/>
  <c r="G20" i="15"/>
  <c r="E20" i="15" s="1"/>
  <c r="G19" i="15"/>
  <c r="E19" i="15" s="1"/>
  <c r="G18" i="15"/>
  <c r="E18" i="15" s="1"/>
  <c r="D20" i="15"/>
  <c r="D19" i="15"/>
  <c r="D18" i="15"/>
  <c r="C19" i="15"/>
  <c r="C5" i="15"/>
  <c r="D4" i="15"/>
  <c r="I20" i="15"/>
  <c r="C18" i="13"/>
  <c r="C19" i="13"/>
  <c r="C20" i="13"/>
  <c r="C21" i="13"/>
  <c r="C22" i="13"/>
  <c r="C23" i="13"/>
  <c r="C24" i="13"/>
  <c r="C25" i="13"/>
  <c r="C26" i="13"/>
  <c r="C27" i="13"/>
  <c r="C28" i="13"/>
  <c r="C17" i="13"/>
  <c r="C4" i="13"/>
  <c r="C5" i="13"/>
  <c r="C6" i="13"/>
  <c r="C7" i="13"/>
  <c r="C8" i="13"/>
  <c r="C9" i="13"/>
  <c r="C10" i="13"/>
  <c r="C11" i="13"/>
  <c r="C12" i="13"/>
  <c r="C13" i="13"/>
  <c r="C3" i="13"/>
  <c r="D18" i="13"/>
  <c r="D19" i="13"/>
  <c r="D20" i="13"/>
  <c r="D21" i="13"/>
  <c r="D22" i="13"/>
  <c r="D23" i="13"/>
  <c r="D24" i="13"/>
  <c r="D25" i="13"/>
  <c r="D26" i="13"/>
  <c r="D27" i="13"/>
  <c r="D28" i="13"/>
  <c r="D4" i="13"/>
  <c r="D5" i="13"/>
  <c r="D6" i="13"/>
  <c r="D7" i="13"/>
  <c r="D8" i="13"/>
  <c r="D9" i="13"/>
  <c r="D10" i="13"/>
  <c r="D11" i="13"/>
  <c r="D12" i="13"/>
  <c r="D13" i="13"/>
  <c r="D17" i="13"/>
  <c r="D3" i="13"/>
  <c r="I21" i="15" l="1"/>
  <c r="E21" i="15"/>
  <c r="D21" i="15"/>
  <c r="H4" i="15"/>
  <c r="I4" i="15" s="1"/>
  <c r="H21" i="15"/>
  <c r="G21" i="15"/>
  <c r="H6" i="15"/>
  <c r="I6" i="15" s="1"/>
  <c r="G4" i="15"/>
  <c r="H5" i="15"/>
  <c r="I5" i="15" s="1"/>
  <c r="G5" i="15"/>
  <c r="E5" i="15" s="1"/>
  <c r="D6" i="15"/>
  <c r="D5" i="15"/>
  <c r="J8" i="1"/>
  <c r="J7" i="1"/>
  <c r="J6" i="1"/>
  <c r="I5" i="1"/>
  <c r="I4" i="1"/>
  <c r="H12" i="1"/>
  <c r="H11" i="1"/>
  <c r="H10" i="1"/>
  <c r="H9" i="1"/>
  <c r="H3" i="1"/>
  <c r="E14" i="11"/>
  <c r="C2" i="13"/>
  <c r="D3" i="1" s="1"/>
  <c r="B58" i="5"/>
  <c r="B55" i="5"/>
  <c r="B54" i="5"/>
  <c r="D7" i="15" l="1"/>
  <c r="I7" i="15"/>
  <c r="H7" i="15"/>
  <c r="E4" i="15"/>
  <c r="E7" i="15" s="1"/>
  <c r="G7" i="15"/>
  <c r="B44" i="5"/>
  <c r="C44" i="5" s="1"/>
  <c r="C54" i="5"/>
  <c r="B53" i="5"/>
  <c r="B52" i="5"/>
  <c r="C52" i="5" s="1"/>
  <c r="B49" i="5"/>
  <c r="C49" i="5" s="1"/>
  <c r="B48" i="5"/>
  <c r="C48" i="5" s="1"/>
  <c r="B47" i="5"/>
  <c r="C47" i="5" s="1"/>
  <c r="B46" i="5"/>
  <c r="C46" i="5" s="1"/>
  <c r="C58" i="5"/>
  <c r="C55" i="5"/>
  <c r="C53" i="5"/>
  <c r="B45" i="5"/>
  <c r="C45" i="5" s="1"/>
  <c r="B38" i="5"/>
  <c r="C38" i="5" s="1"/>
  <c r="B37" i="5"/>
  <c r="C37" i="5" s="1"/>
  <c r="B36" i="5"/>
  <c r="C36" i="5" s="1"/>
  <c r="B34" i="5"/>
  <c r="C34" i="5" s="1"/>
  <c r="D17" i="1"/>
  <c r="F17" i="1" s="1"/>
  <c r="D16" i="1"/>
  <c r="F16" i="1" s="1"/>
  <c r="D15" i="1"/>
  <c r="F15" i="1" s="1"/>
  <c r="D14" i="1"/>
  <c r="F14" i="1" s="1"/>
  <c r="E12" i="11"/>
  <c r="E11" i="11"/>
  <c r="E10" i="11"/>
  <c r="E9" i="11"/>
  <c r="E8" i="11"/>
  <c r="E7" i="11"/>
  <c r="E6" i="11"/>
  <c r="E13" i="11"/>
  <c r="D13" i="1"/>
  <c r="F13" i="1" s="1"/>
  <c r="E5" i="11"/>
  <c r="E4" i="11"/>
  <c r="E3" i="1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J13" i="11"/>
  <c r="K13" i="11" s="1"/>
  <c r="F13" i="11"/>
  <c r="L14" i="11"/>
  <c r="M14" i="11" s="1"/>
  <c r="K14" i="11"/>
  <c r="F14" i="11"/>
  <c r="H14" i="11" s="1"/>
  <c r="I14" i="11" s="1"/>
  <c r="G13" i="11" l="1"/>
  <c r="B35" i="5"/>
  <c r="C35" i="5" s="1"/>
  <c r="H13" i="11"/>
  <c r="I13" i="11" s="1"/>
  <c r="L13" i="11"/>
  <c r="M13" i="11" s="1"/>
  <c r="G14" i="11"/>
  <c r="N3" i="1"/>
  <c r="K3" i="1" s="1"/>
  <c r="O3" i="1"/>
  <c r="P3" i="1" s="1"/>
  <c r="J12" i="11"/>
  <c r="J11" i="11"/>
  <c r="J10" i="11"/>
  <c r="J9" i="11"/>
  <c r="J8" i="11"/>
  <c r="J7" i="11"/>
  <c r="J6" i="11"/>
  <c r="K6" i="11" s="1"/>
  <c r="F12" i="11"/>
  <c r="F11" i="11"/>
  <c r="F10" i="11"/>
  <c r="F9" i="11"/>
  <c r="F8" i="11"/>
  <c r="F7" i="11"/>
  <c r="G7" i="11" s="1"/>
  <c r="F6" i="11"/>
  <c r="J5" i="11"/>
  <c r="J4" i="11"/>
  <c r="F5" i="11"/>
  <c r="F4" i="11"/>
  <c r="F3" i="11"/>
  <c r="J3" i="11"/>
  <c r="M17" i="1"/>
  <c r="M16" i="1"/>
  <c r="M15" i="1"/>
  <c r="M14" i="1"/>
  <c r="O14" i="1" s="1"/>
  <c r="P14" i="1" s="1"/>
  <c r="M13" i="1"/>
  <c r="M12" i="1"/>
  <c r="M11" i="1"/>
  <c r="M10" i="1"/>
  <c r="M9" i="1"/>
  <c r="M8" i="1"/>
  <c r="M7" i="1"/>
  <c r="M6" i="1"/>
  <c r="M5" i="1"/>
  <c r="M4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F3" i="1"/>
  <c r="F18" i="1" s="1"/>
  <c r="G9" i="11" l="1"/>
  <c r="H3" i="11"/>
  <c r="I3" i="11" s="1"/>
  <c r="H10" i="11"/>
  <c r="I10" i="11" s="1"/>
  <c r="H4" i="11"/>
  <c r="I4" i="11" s="1"/>
  <c r="H9" i="11"/>
  <c r="I9" i="11" s="1"/>
  <c r="G12" i="11"/>
  <c r="H7" i="11"/>
  <c r="I7" i="11" s="1"/>
  <c r="G6" i="11"/>
  <c r="G11" i="11"/>
  <c r="H5" i="11"/>
  <c r="I5" i="11" s="1"/>
  <c r="G10" i="11"/>
  <c r="G5" i="11"/>
  <c r="H12" i="11"/>
  <c r="I12" i="11" s="1"/>
  <c r="H11" i="11"/>
  <c r="I11" i="11" s="1"/>
  <c r="G3" i="11"/>
  <c r="G4" i="11"/>
  <c r="H6" i="11"/>
  <c r="I6" i="11" s="1"/>
  <c r="L12" i="11"/>
  <c r="M12" i="11" s="1"/>
  <c r="K12" i="11"/>
  <c r="L11" i="11"/>
  <c r="M11" i="11" s="1"/>
  <c r="K11" i="11"/>
  <c r="L10" i="11"/>
  <c r="M10" i="11" s="1"/>
  <c r="K10" i="11"/>
  <c r="L9" i="11"/>
  <c r="M9" i="11" s="1"/>
  <c r="K9" i="11"/>
  <c r="L8" i="11"/>
  <c r="M8" i="11" s="1"/>
  <c r="K8" i="11"/>
  <c r="H8" i="11"/>
  <c r="I8" i="11" s="1"/>
  <c r="G8" i="11"/>
  <c r="L7" i="11"/>
  <c r="M7" i="11" s="1"/>
  <c r="K7" i="11"/>
  <c r="L6" i="11"/>
  <c r="M6" i="11" s="1"/>
  <c r="L5" i="11"/>
  <c r="M5" i="11" s="1"/>
  <c r="K5" i="11"/>
  <c r="L4" i="11"/>
  <c r="M4" i="11" s="1"/>
  <c r="K4" i="11"/>
  <c r="L3" i="11"/>
  <c r="M3" i="11" s="1"/>
  <c r="K3" i="11"/>
  <c r="H15" i="11" l="1"/>
  <c r="L15" i="11"/>
  <c r="G15" i="11"/>
  <c r="M15" i="11"/>
  <c r="K15" i="11"/>
  <c r="I15" i="11"/>
  <c r="H2" i="5" l="1"/>
  <c r="A2" i="5"/>
  <c r="G14" i="1"/>
  <c r="O17" i="1"/>
  <c r="P17" i="1" s="1"/>
  <c r="N17" i="1"/>
  <c r="G17" i="1"/>
  <c r="L17" i="1" s="1"/>
  <c r="N14" i="1" l="1"/>
  <c r="N13" i="1"/>
  <c r="L14" i="1"/>
  <c r="C29" i="6"/>
  <c r="G16" i="1"/>
  <c r="L16" i="1" s="1"/>
  <c r="O16" i="1"/>
  <c r="P16" i="1" s="1"/>
  <c r="N16" i="1"/>
  <c r="O12" i="1"/>
  <c r="P12" i="1" s="1"/>
  <c r="N12" i="1"/>
  <c r="O11" i="1"/>
  <c r="P11" i="1" s="1"/>
  <c r="N11" i="1"/>
  <c r="O10" i="1"/>
  <c r="P10" i="1" s="1"/>
  <c r="N10" i="1"/>
  <c r="O9" i="1"/>
  <c r="P9" i="1" s="1"/>
  <c r="N9" i="1"/>
  <c r="O13" i="1"/>
  <c r="P13" i="1" s="1"/>
  <c r="O8" i="1"/>
  <c r="P8" i="1" s="1"/>
  <c r="N8" i="1"/>
  <c r="K8" i="1" s="1"/>
  <c r="O7" i="1"/>
  <c r="P7" i="1" s="1"/>
  <c r="N7" i="1"/>
  <c r="K7" i="1" s="1"/>
  <c r="O6" i="1"/>
  <c r="P6" i="1" s="1"/>
  <c r="N6" i="1"/>
  <c r="K6" i="1" s="1"/>
  <c r="O5" i="1"/>
  <c r="P5" i="1" s="1"/>
  <c r="N5" i="1"/>
  <c r="K5" i="1" s="1"/>
  <c r="O4" i="1"/>
  <c r="P4" i="1" s="1"/>
  <c r="N4" i="1"/>
  <c r="K4" i="1" s="1"/>
  <c r="O15" i="1"/>
  <c r="P15" i="1" s="1"/>
  <c r="N15" i="1"/>
  <c r="P18" i="1" l="1"/>
  <c r="I18" i="1"/>
  <c r="J18" i="1"/>
  <c r="H18" i="1"/>
  <c r="K18" i="1"/>
  <c r="O18" i="1"/>
  <c r="N18" i="1"/>
  <c r="G5" i="1"/>
  <c r="L5" i="1" s="1"/>
  <c r="G15" i="1" l="1"/>
  <c r="L15" i="1" s="1"/>
  <c r="G13" i="1" l="1"/>
  <c r="L13" i="1" s="1"/>
  <c r="G12" i="1"/>
  <c r="L12" i="1" s="1"/>
  <c r="G11" i="1"/>
  <c r="L11" i="1" s="1"/>
  <c r="G10" i="1"/>
  <c r="L10" i="1" s="1"/>
  <c r="G9" i="1"/>
  <c r="L9" i="1" s="1"/>
  <c r="G8" i="1"/>
  <c r="L8" i="1" s="1"/>
  <c r="G7" i="1"/>
  <c r="L7" i="1" s="1"/>
  <c r="G6" i="1"/>
  <c r="L6" i="1" s="1"/>
  <c r="G4" i="1"/>
  <c r="L4" i="1" s="1"/>
  <c r="G3" i="1"/>
  <c r="L3" i="1" l="1"/>
  <c r="L18" i="1" s="1"/>
  <c r="G18" i="1"/>
</calcChain>
</file>

<file path=xl/comments1.xml><?xml version="1.0" encoding="utf-8"?>
<comments xmlns="http://schemas.openxmlformats.org/spreadsheetml/2006/main">
  <authors>
    <author>murrutia</author>
  </authors>
  <commentList>
    <comment ref="A28" authorId="0">
      <text>
        <r>
          <rPr>
            <sz val="9"/>
            <color indexed="81"/>
            <rFont val="Tahoma"/>
            <family val="2"/>
          </rPr>
          <t>Based on FY12 grid electricity emissions factors</t>
        </r>
      </text>
    </comment>
    <comment ref="A29" authorId="0">
      <text>
        <r>
          <rPr>
            <sz val="9"/>
            <color indexed="81"/>
            <rFont val="Tahoma"/>
            <family val="2"/>
          </rPr>
          <t>Based on FY12 grid electricity emissions factors</t>
        </r>
      </text>
    </comment>
    <comment ref="A30" authorId="0">
      <text>
        <r>
          <rPr>
            <sz val="9"/>
            <color indexed="81"/>
            <rFont val="Tahoma"/>
            <family val="2"/>
          </rPr>
          <t>Based on FY12 grid electricity emissions factors</t>
        </r>
      </text>
    </comment>
  </commentList>
</comments>
</file>

<file path=xl/comments2.xml><?xml version="1.0" encoding="utf-8"?>
<comments xmlns="http://schemas.openxmlformats.org/spreadsheetml/2006/main">
  <authors>
    <author>murrutia</author>
  </authors>
  <commentList>
    <comment ref="C2" authorId="0">
      <text>
        <r>
          <rPr>
            <sz val="9"/>
            <color indexed="81"/>
            <rFont val="Tahoma"/>
            <family val="2"/>
          </rPr>
          <t>Insert number here</t>
        </r>
      </text>
    </comment>
  </commentList>
</comments>
</file>

<file path=xl/comments3.xml><?xml version="1.0" encoding="utf-8"?>
<comments xmlns="http://schemas.openxmlformats.org/spreadsheetml/2006/main">
  <authors>
    <author>murrutia</author>
  </authors>
  <commentList>
    <comment ref="C2" authorId="0">
      <text>
        <r>
          <rPr>
            <sz val="9"/>
            <color indexed="81"/>
            <rFont val="Tahoma"/>
            <family val="2"/>
          </rPr>
          <t>Insert number here</t>
        </r>
      </text>
    </comment>
  </commentList>
</comments>
</file>

<file path=xl/sharedStrings.xml><?xml version="1.0" encoding="utf-8"?>
<sst xmlns="http://schemas.openxmlformats.org/spreadsheetml/2006/main" count="604" uniqueCount="276">
  <si>
    <t>kBtu</t>
  </si>
  <si>
    <t>Reference</t>
  </si>
  <si>
    <t>CNG (gallons)</t>
  </si>
  <si>
    <t>Propane (gallons)</t>
  </si>
  <si>
    <t>http://www.eia.gov/oiaf/1605/coefficients.html</t>
  </si>
  <si>
    <t>MMBtu</t>
  </si>
  <si>
    <t>Gasoline (gallons)</t>
  </si>
  <si>
    <t>Natural Gas (therms)</t>
  </si>
  <si>
    <t>U.S. gallons (gal)</t>
  </si>
  <si>
    <t>pounds (lb)</t>
  </si>
  <si>
    <t>kilograms (kg)</t>
  </si>
  <si>
    <t>short tons</t>
  </si>
  <si>
    <t>cubic feet (ft3)</t>
  </si>
  <si>
    <t>http://www.eia.gov/totalenergy/data/annual/pdf/sec12.pdf</t>
  </si>
  <si>
    <t>short ton</t>
  </si>
  <si>
    <t>metric ton</t>
  </si>
  <si>
    <t>kilowatts (kW)</t>
  </si>
  <si>
    <t>Megawatt (MW)</t>
  </si>
  <si>
    <t>kilowatt hours (kWh)</t>
  </si>
  <si>
    <t>Gigawatt (GW)</t>
  </si>
  <si>
    <t>therm</t>
  </si>
  <si>
    <t>Btu</t>
  </si>
  <si>
    <t>MA Capacity Factors</t>
  </si>
  <si>
    <t>Class I Regulations</t>
  </si>
  <si>
    <t>http://www.epa.gov/cleanenergy/energy-resources/refs.html#vehicles</t>
  </si>
  <si>
    <t>Fuel</t>
  </si>
  <si>
    <t>Jet Fuel (gallons)</t>
  </si>
  <si>
    <t>Oil #4 (gallons)</t>
  </si>
  <si>
    <t>Oil #6 (gallons)</t>
  </si>
  <si>
    <t>Factor</t>
  </si>
  <si>
    <t>http://www.eia.gov/tools/faqs/faq.cfm?id=45&amp;t=8</t>
  </si>
  <si>
    <t>www.eia.gov/neic/experts/heatcalc.xls</t>
  </si>
  <si>
    <t>kBtu Conversions</t>
  </si>
  <si>
    <t>Petroleum (barrel (bbl))</t>
  </si>
  <si>
    <t>Coal (1 short ton)</t>
  </si>
  <si>
    <t>Coal (1 long ton)</t>
  </si>
  <si>
    <t>Coal (1 metric ton)</t>
  </si>
  <si>
    <t>wood (1 cord (cd))</t>
  </si>
  <si>
    <t>CO2 (1 metric ton)</t>
  </si>
  <si>
    <t>Unit</t>
  </si>
  <si>
    <t>Renewable</t>
  </si>
  <si>
    <t>Solar Capacity</t>
  </si>
  <si>
    <t>Wind Capacity, land-based</t>
  </si>
  <si>
    <t>Wind Capacity, offshore</t>
  </si>
  <si>
    <t>Energy Efficiency Equivalencies</t>
  </si>
  <si>
    <t>Formula allows for MA specific number in the future if interested</t>
  </si>
  <si>
    <t>Comments</t>
  </si>
  <si>
    <t>GHG Emissions Conversions</t>
  </si>
  <si>
    <t>Terms of Art</t>
  </si>
  <si>
    <t>Instead of:</t>
  </si>
  <si>
    <t>Use:</t>
  </si>
  <si>
    <t>Clean Energy</t>
  </si>
  <si>
    <t>Green</t>
  </si>
  <si>
    <t>Co-generation</t>
  </si>
  <si>
    <t>Windmills</t>
  </si>
  <si>
    <t>Geothermal</t>
  </si>
  <si>
    <t>Massachusetts Homes for electricity and gas equivalences</t>
  </si>
  <si>
    <t xml:space="preserve">National car equivalencies </t>
  </si>
  <si>
    <t>Combined Heat and Power (CHP)</t>
  </si>
  <si>
    <t>Wind Turbines</t>
  </si>
  <si>
    <t>Ground Source Heat Pumps (GSHP)</t>
  </si>
  <si>
    <t>same as Grid Electricity</t>
  </si>
  <si>
    <t>Electric Vehicles (kWh)</t>
  </si>
  <si>
    <t>Biodiesel (B20) (gallons)</t>
  </si>
  <si>
    <t>Biodiesel (B5) (gallons)</t>
  </si>
  <si>
    <t>Biodiesel (B100) (gallons)</t>
  </si>
  <si>
    <t>E-85, Ethanol-85 (gallons)</t>
  </si>
  <si>
    <t>Natural Gas (CCF)</t>
  </si>
  <si>
    <t>calculated based off of 1 CCF=1.023 therms</t>
  </si>
  <si>
    <t>http://www.afdc.energy.gov/pdfs/afv_info.pdf</t>
  </si>
  <si>
    <t>On-Site Wind Electricity (kWh)</t>
  </si>
  <si>
    <t>On-Site Solar PV Electricity (kWh)</t>
  </si>
  <si>
    <t>On-Site Co-Gen Electricity (kWh)</t>
  </si>
  <si>
    <t>LNG (gallons)</t>
  </si>
  <si>
    <t>Calculated based on B100+diesel, did not round to give Bio credit</t>
  </si>
  <si>
    <t>based upon guidance from Dwayne Breger &amp; Rob Rizzo</t>
  </si>
  <si>
    <t>https://www.energystar.gov/ia/business/tools_resources/target_finder/help/Energy_Units_Conversion_Table.htm</t>
  </si>
  <si>
    <t>MA Homes total energy use</t>
  </si>
  <si>
    <t>MA Homes powered by Electricity (kWh)</t>
  </si>
  <si>
    <t>MA Homes heated by Natural Gas (therms)</t>
  </si>
  <si>
    <t>MA Homes heated by Oil (gallons)</t>
  </si>
  <si>
    <t>Totals:</t>
  </si>
  <si>
    <t>RENEWABLE ENERGY CONVERSIONS</t>
  </si>
  <si>
    <t>Solar installed (MW)</t>
  </si>
  <si>
    <t>Equivalent cars off the road</t>
  </si>
  <si>
    <t>Land-based Wind installed (MW)</t>
  </si>
  <si>
    <t>Off-shore Wind installed (MW)</t>
  </si>
  <si>
    <t>ENERGY EFFICIENCY CONVERSIONS</t>
  </si>
  <si>
    <t>Kilowatt hours</t>
  </si>
  <si>
    <t>Megawatt hours</t>
  </si>
  <si>
    <t>Gigawatt hours</t>
  </si>
  <si>
    <t>Number of MA homes this could power by electricity</t>
  </si>
  <si>
    <t>U.S. Vehicle GHG emissions per year</t>
  </si>
  <si>
    <t>Reference to calculate equivalents</t>
  </si>
  <si>
    <t>Equivalency Factor (divide by factor)</t>
  </si>
  <si>
    <t>Factor (Multiply by factor)</t>
  </si>
  <si>
    <t>Resulting Unit</t>
  </si>
  <si>
    <r>
      <rPr>
        <b/>
        <sz val="11"/>
        <color theme="1"/>
        <rFont val="Calibri"/>
        <family val="2"/>
        <scheme val="minor"/>
      </rPr>
      <t>How to calculate Energy Use Intensity (EUI) for a building/s:</t>
    </r>
    <r>
      <rPr>
        <sz val="11"/>
        <color theme="1"/>
        <rFont val="Calibri"/>
        <family val="2"/>
        <scheme val="minor"/>
      </rPr>
      <t xml:space="preserve"> add up all kBtu totals for all building/s energy consumption and divide by the building or site square footage.</t>
    </r>
  </si>
  <si>
    <t>Equivalent Cars off the road</t>
  </si>
  <si>
    <r>
      <t>GHG Emission Factor into GHG</t>
    </r>
    <r>
      <rPr>
        <b/>
        <sz val="8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(lbs)</t>
    </r>
  </si>
  <si>
    <t>Conversion into GHG Metric Tons</t>
  </si>
  <si>
    <t>kBtu Conversion Factor</t>
  </si>
  <si>
    <t>based on ave of Boston &amp; Cambridge calculated data T:\LBE\Agency-Campus Energy-GHG Tracking &amp; Reporting\LBE Database\Account Updates from Agency\Steam</t>
  </si>
  <si>
    <t>MA Homes powered by Electricity per year (kWh) CY2012</t>
  </si>
  <si>
    <t>MA Homes heated by Natural Gas per year (therms) CY2012</t>
  </si>
  <si>
    <t>MA Homes heated by Oil per year (gallons) CY2012</t>
  </si>
  <si>
    <t>MA Homes total energy use (MMBtu) CY2012</t>
  </si>
  <si>
    <t>MA Homes powered by Electricity per year (kWh) CY2011</t>
  </si>
  <si>
    <t>MA Homes heated by Natural Gas per year (therms) CY2011</t>
  </si>
  <si>
    <t>MA Homes heated by Oil per year (gallons) CY2011</t>
  </si>
  <si>
    <t>MA Homes total energy use (MMBtu) CY2011</t>
  </si>
  <si>
    <t>If colored green, please edit upon release of updated numbers</t>
  </si>
  <si>
    <t>Used Vegetable Oil</t>
  </si>
  <si>
    <t>http://www.theclimateregistry.org/downloads/2012/01/2012-Climate-Registry-Default-Emissions-Factors.pdf</t>
  </si>
  <si>
    <t>Total Energy (MMBtu)</t>
  </si>
  <si>
    <t>Number of MA homes powered AND heated</t>
  </si>
  <si>
    <t>Cord Wood (chord)</t>
  </si>
  <si>
    <t>US EIA 2011 data for Mass., with corroboration from MassDOER on kWh and therms; DOER data for heating oil</t>
  </si>
  <si>
    <t>US EIA 2010 data for Mass., with corroboration from MassDOER on kWh and therms; DOER data for heating oil</t>
  </si>
  <si>
    <t>Purchased Steam (mlbs)</t>
  </si>
  <si>
    <t>Diesel Vehicles (gallons)</t>
  </si>
  <si>
    <t>Oil #2/ Diesel for Buildings (gallons)</t>
  </si>
  <si>
    <t>Coal (tons)</t>
  </si>
  <si>
    <t>http://www.energystar.gov/ia/business/evaluate_performance/Emissions_Supporting_Doc.pdf</t>
  </si>
  <si>
    <t>based on CO2 number, followed guidance from Sharon Webber (DEP) on non-CO2 emissions based on mobile sector of MA GHG emissions total</t>
  </si>
  <si>
    <t>Year</t>
  </si>
  <si>
    <t>% Mobile Emissions</t>
  </si>
  <si>
    <t>FY_2002</t>
  </si>
  <si>
    <t>FY_2003</t>
  </si>
  <si>
    <t>FY_2004</t>
  </si>
  <si>
    <t>FY_2005</t>
  </si>
  <si>
    <t>FY_2006</t>
  </si>
  <si>
    <t>FY_2007</t>
  </si>
  <si>
    <t>FY_2008</t>
  </si>
  <si>
    <t>FY_2009</t>
  </si>
  <si>
    <t>FY_2010</t>
  </si>
  <si>
    <t>FY_2011</t>
  </si>
  <si>
    <t>FY_2012</t>
  </si>
  <si>
    <t>CY_2001</t>
  </si>
  <si>
    <t>CY_2002</t>
  </si>
  <si>
    <t>CY_2003</t>
  </si>
  <si>
    <t>CY_2004</t>
  </si>
  <si>
    <t>CY_2005</t>
  </si>
  <si>
    <t>CY_2006</t>
  </si>
  <si>
    <t>CY_2007</t>
  </si>
  <si>
    <t>CY_2008</t>
  </si>
  <si>
    <t>CY_2009</t>
  </si>
  <si>
    <t>CY_2010</t>
  </si>
  <si>
    <t>CY_2011</t>
  </si>
  <si>
    <t>CY_2012</t>
  </si>
  <si>
    <t>Vehicle Fuel Calculations</t>
  </si>
  <si>
    <t>all</t>
  </si>
  <si>
    <t>Grid Electricity CY2001</t>
  </si>
  <si>
    <t>Grid Electricity CY2002</t>
  </si>
  <si>
    <t>Grid Electricity CY2003</t>
  </si>
  <si>
    <t>Grid Electricity CY2004</t>
  </si>
  <si>
    <t>Grid Electricity CY2005</t>
  </si>
  <si>
    <t>Grid Electricity CY2006</t>
  </si>
  <si>
    <t>Grid Electricity CY2007</t>
  </si>
  <si>
    <t>Grid Electricity CY2008</t>
  </si>
  <si>
    <t>Grid Electricity CY2009</t>
  </si>
  <si>
    <t>Grid Electricity CY2010</t>
  </si>
  <si>
    <t>Grid Electricity CY2011</t>
  </si>
  <si>
    <t>Grid Electricity CY2012</t>
  </si>
  <si>
    <t>Grid Electricity FY2002</t>
  </si>
  <si>
    <t>Grid Electricity FY2003</t>
  </si>
  <si>
    <t>Grid Electricity FY2004</t>
  </si>
  <si>
    <t>Grid Electricity FY2005</t>
  </si>
  <si>
    <t>Grid Electricity FY2006</t>
  </si>
  <si>
    <t>Grid Electricity FY2007</t>
  </si>
  <si>
    <t>Grid Electricity FY2008</t>
  </si>
  <si>
    <t>Grid Electricity FY2009</t>
  </si>
  <si>
    <t>Grid Electricity FY2010</t>
  </si>
  <si>
    <t>Grid Electricity FY2011</t>
  </si>
  <si>
    <t>Grid Electricity FY2012</t>
  </si>
  <si>
    <t>For Quick Calculations</t>
  </si>
  <si>
    <t>For simple calculations regarding social math, renewables and energy efficiency calculations, please use "Quick Calculations" tab.</t>
  </si>
  <si>
    <t>For detailed calculations:</t>
  </si>
  <si>
    <t>If you are doing calculations for buildings and building fuels regarding GHG emissions, kBtu usage, or energy efficiency, use the "Buildings" tab.</t>
  </si>
  <si>
    <t>If you are doing calculations for vehicles and mobile fuels regarding GHG emissions, kBtu usage, or energy efficiency, use the "Vehicles" tab.</t>
  </si>
  <si>
    <t>For information regarding reference sources and factors, please use the "Reference" tab.</t>
  </si>
  <si>
    <t>Grid Electricity (kWh)</t>
  </si>
  <si>
    <t>Equivalencies</t>
  </si>
  <si>
    <t>Passenger Vehicles equivalent to GHG Emissions</t>
  </si>
  <si>
    <t>Building Fuel Calculations</t>
  </si>
  <si>
    <t>Electric Vehicle (kWh)</t>
  </si>
  <si>
    <t>Propane (gallons) Vehicles</t>
  </si>
  <si>
    <t>Select Year (CY or FY)</t>
  </si>
  <si>
    <t>MassDEP factor calculated CO2e</t>
  </si>
  <si>
    <t>EPA only calculated CO2e for district steam</t>
  </si>
  <si>
    <t>MA-based combo from MassDEP based on GHG inventory</t>
  </si>
  <si>
    <t>On-Site Hydro (kWh)</t>
  </si>
  <si>
    <t>Enter Fuel Amount (Native units)</t>
  </si>
  <si>
    <t>Reference for GHG emissions</t>
  </si>
  <si>
    <t>Reference for CO2 emissions</t>
  </si>
  <si>
    <t>Reference for kBtu conversion</t>
  </si>
  <si>
    <t>GHG Emissions Factor (lbs CO2e/unit)</t>
  </si>
  <si>
    <t>GHG Emissions Factor (Metric Tons CO2e/unit)</t>
  </si>
  <si>
    <t>CO2 Emissions Factor (lbs CO2/unit)</t>
  </si>
  <si>
    <t>CO2 Emissions Factor (metric tonnes CO2/unit)</t>
  </si>
  <si>
    <t>Total MMBtu:</t>
  </si>
  <si>
    <t>Total kBtu:</t>
  </si>
  <si>
    <t>Total Btu:</t>
  </si>
  <si>
    <t>Total GHG Emissions (lbs)</t>
  </si>
  <si>
    <t>Total GHG Emissions (metric tonnes)</t>
  </si>
  <si>
    <t>GHG Emissions*</t>
  </si>
  <si>
    <t>* GHG Emissions refer to CO2 equivalents (CO2e).  CO2e emissions include emissions from CO2 and other greenhouse gases.</t>
  </si>
  <si>
    <t>Wood Pellets (tons)</t>
  </si>
  <si>
    <t>On-Site CHP Electricity (kWh)</t>
  </si>
  <si>
    <t>GHG Emissions Factor (metric tonnes CO2e/unit)</t>
  </si>
  <si>
    <t>Estimated generation (kWh)</t>
  </si>
  <si>
    <t>GHG</t>
  </si>
  <si>
    <t>% added to CO2 emissions to account for total GHG emissions from other greenhouse gases</t>
  </si>
  <si>
    <t>Renewable Energy Calculations</t>
  </si>
  <si>
    <t>RE Source</t>
  </si>
  <si>
    <t>Enter corresponding: Capacity (MW)</t>
  </si>
  <si>
    <t>Enter corresponding: Generation (kWh)</t>
  </si>
  <si>
    <t>Predicted Capacity (MW)</t>
  </si>
  <si>
    <t>Predicted Generation (kWh)</t>
  </si>
  <si>
    <t>Solar installed (kWh)</t>
  </si>
  <si>
    <t>Land-based Wind installed (kWh)</t>
  </si>
  <si>
    <t>Off-shore Wind installed (kWh)</t>
  </si>
  <si>
    <t>Renewable Generation</t>
  </si>
  <si>
    <t>Renewable Capacity</t>
  </si>
  <si>
    <t>If you are doing calculations for renewable energy regarding kBtu usage or energy efficiency, use the "RE" tab.</t>
  </si>
  <si>
    <t>Greenhouse Gas (CO2e)</t>
  </si>
  <si>
    <t>Grid Electricity CY2013</t>
  </si>
  <si>
    <t>Grid Electricity CY2014</t>
  </si>
  <si>
    <t>Grid Electricity FY2013</t>
  </si>
  <si>
    <t>Grid Electricity FY2014</t>
  </si>
  <si>
    <t>FY_2013</t>
  </si>
  <si>
    <t>FY_2014</t>
  </si>
  <si>
    <t>CY_2013</t>
  </si>
  <si>
    <t>CY_2014</t>
  </si>
  <si>
    <t>Grid Electricity CY2015</t>
  </si>
  <si>
    <t>Grid Electricity FY2015</t>
  </si>
  <si>
    <t>FY_2015</t>
  </si>
  <si>
    <t>CY_2015</t>
  </si>
  <si>
    <t>Solar installed (kW)</t>
  </si>
  <si>
    <t>Land-based Wind installed (kW)</t>
  </si>
  <si>
    <t>Off-shore Wind installed (kW)</t>
  </si>
  <si>
    <t>Enter corresponding: Capacity (kW)</t>
  </si>
  <si>
    <t>Predicted Capacity (kW)</t>
  </si>
  <si>
    <t>SELECT YEAR</t>
  </si>
  <si>
    <t>LPG (gallons)</t>
  </si>
  <si>
    <t>http://www.theclimateregistry.org/downloads/2014/02/2014-Climate-Registry-Default-Emissions-Factors.pdf</t>
  </si>
  <si>
    <t>Grid Electricity CY2016</t>
  </si>
  <si>
    <t>Grid Electricity FY2016</t>
  </si>
  <si>
    <t>Hydro</t>
  </si>
  <si>
    <t>Anaerobic Digestion</t>
  </si>
  <si>
    <t>Installed (MW)</t>
  </si>
  <si>
    <t>Solar</t>
  </si>
  <si>
    <t xml:space="preserve">Land-based Wind </t>
  </si>
  <si>
    <t xml:space="preserve">Off-shore Wind </t>
  </si>
  <si>
    <t>Energy Units</t>
  </si>
  <si>
    <t>Electricity Energy Units</t>
  </si>
  <si>
    <t>Metric Tons</t>
  </si>
  <si>
    <t>Short Tons</t>
  </si>
  <si>
    <t>Powering Homes</t>
  </si>
  <si>
    <t>Heating Homes</t>
  </si>
  <si>
    <t>Natural Gas (Therms)</t>
  </si>
  <si>
    <t>Natural Gas (MMBTU)</t>
  </si>
  <si>
    <t>Electricity (MMBTU)</t>
  </si>
  <si>
    <t>Heating Fuels (Gallons)</t>
  </si>
  <si>
    <t>Heating Fuels (MMBTU)</t>
  </si>
  <si>
    <t>Number of MA homes this could heat by fuel</t>
  </si>
  <si>
    <t>Powering &amp; Homes</t>
  </si>
  <si>
    <t>Cars off the Road</t>
  </si>
  <si>
    <t>Technology</t>
  </si>
  <si>
    <t>Total Fuel Usage (MMBTU)</t>
  </si>
  <si>
    <t>Capacity Factor</t>
  </si>
  <si>
    <t>CALENDAR YEAR</t>
  </si>
  <si>
    <t>FISCAL YEAR</t>
  </si>
  <si>
    <t>Note:  Calculations may vary slightly between fiscal years and calendar years.  Please select calculations for the correct timeframe.</t>
  </si>
  <si>
    <t>edits to spreadsheet as of 1/15/2016</t>
  </si>
  <si>
    <t xml:space="preserve">If you have further questions, please contact: 
Eric Friedman, Director, Leading By Example, (617) 626-1034, Eric.Friedman@state.ma.us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</si>
</sst>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#,##0.000000"/>
    <numFmt numFmtId="165" formatCode="_(* #,##0.000_);_(* \(#,##0.000\);_(* &quot;-&quot;??_);_(@_)"/>
    <numFmt numFmtId="166" formatCode="_(* #,##0.0_);_(* \(#,##0.0\);_(* &quot;-&quot;??_);_(@_)"/>
    <numFmt numFmtId="167" formatCode="_(* #,##0.00000000_);_(* \(#,##0.00000000\);_(* &quot;-&quot;??_);_(@_)"/>
    <numFmt numFmtId="168" formatCode="_(* #,##0.000000_);_(* \(#,##0.000000\);_(* &quot;-&quot;??_);_(@_)"/>
    <numFmt numFmtId="169" formatCode="_(* #,##0_);_(* \(#,##0\);_(* &quot;-&quot;??_);_(@_)"/>
    <numFmt numFmtId="170" formatCode="_(* #,##0.00000_);_(* \(#,##0.00000\);_(* &quot;-&quot;??_);_(@_)"/>
    <numFmt numFmtId="171" formatCode="_(* #,##0.000000000_);_(* \(#,##0.000000000\);_(* &quot;-&quot;??_);_(@_)"/>
    <numFmt numFmtId="172" formatCode="_(* #,##0_);_(* \(#,##0\);_(* &quot;-&quot;?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rgb="FF000000"/>
      <name val="Verdana"/>
      <family val="2"/>
    </font>
    <font>
      <b/>
      <sz val="8"/>
      <color indexed="8"/>
      <name val="Calibri"/>
      <family val="2"/>
      <scheme val="minor"/>
    </font>
    <font>
      <b/>
      <sz val="28"/>
      <color indexed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24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</font>
    <font>
      <sz val="11"/>
      <color rgb="FF1F497D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66">
    <xf numFmtId="0" fontId="0" fillId="0" borderId="0" xfId="0"/>
    <xf numFmtId="43" fontId="1" fillId="0" borderId="1" xfId="1" applyFont="1" applyBorder="1" applyAlignment="1" applyProtection="1"/>
    <xf numFmtId="0" fontId="6" fillId="2" borderId="1" xfId="2" applyFont="1" applyFill="1" applyBorder="1" applyAlignment="1" applyProtection="1">
      <alignment horizontal="center" vertical="center" wrapText="1"/>
    </xf>
    <xf numFmtId="0" fontId="6" fillId="6" borderId="1" xfId="2" applyFont="1" applyFill="1" applyBorder="1" applyAlignment="1" applyProtection="1">
      <alignment horizontal="center" vertical="center" wrapText="1"/>
    </xf>
    <xf numFmtId="164" fontId="7" fillId="0" borderId="1" xfId="2" applyNumberFormat="1" applyFont="1" applyFill="1" applyBorder="1" applyAlignment="1" applyProtection="1">
      <alignment horizontal="right"/>
    </xf>
    <xf numFmtId="0" fontId="7" fillId="0" borderId="1" xfId="2" applyFont="1" applyFill="1" applyBorder="1" applyAlignment="1" applyProtection="1"/>
    <xf numFmtId="0" fontId="3" fillId="0" borderId="1" xfId="3" applyFont="1" applyFill="1" applyBorder="1" applyAlignment="1" applyProtection="1">
      <alignment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43" fontId="0" fillId="0" borderId="1" xfId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0" fillId="0" borderId="0" xfId="0" applyProtection="1"/>
    <xf numFmtId="0" fontId="0" fillId="0" borderId="0" xfId="0" applyFill="1" applyBorder="1" applyAlignment="1" applyProtection="1"/>
    <xf numFmtId="3" fontId="1" fillId="0" borderId="0" xfId="0" applyNumberFormat="1" applyFont="1" applyAlignment="1" applyProtection="1"/>
    <xf numFmtId="165" fontId="1" fillId="0" borderId="0" xfId="0" applyNumberFormat="1" applyFont="1" applyAlignment="1" applyProtection="1"/>
    <xf numFmtId="0" fontId="0" fillId="0" borderId="0" xfId="0" applyFont="1" applyAlignment="1" applyProtection="1">
      <alignment horizontal="center"/>
    </xf>
    <xf numFmtId="167" fontId="0" fillId="0" borderId="0" xfId="0" applyNumberFormat="1" applyProtection="1"/>
    <xf numFmtId="43" fontId="0" fillId="0" borderId="0" xfId="0" applyNumberFormat="1" applyProtection="1"/>
    <xf numFmtId="43" fontId="1" fillId="8" borderId="0" xfId="1" applyFont="1" applyFill="1" applyBorder="1" applyAlignment="1" applyProtection="1"/>
    <xf numFmtId="0" fontId="16" fillId="8" borderId="1" xfId="0" applyFont="1" applyFill="1" applyBorder="1" applyAlignment="1" applyProtection="1">
      <alignment horizontal="left"/>
    </xf>
    <xf numFmtId="0" fontId="6" fillId="3" borderId="1" xfId="2" applyFont="1" applyFill="1" applyBorder="1" applyAlignment="1" applyProtection="1">
      <alignment horizontal="center" vertical="center" wrapText="1"/>
    </xf>
    <xf numFmtId="43" fontId="1" fillId="8" borderId="13" xfId="1" applyFont="1" applyFill="1" applyBorder="1" applyAlignment="1" applyProtection="1"/>
    <xf numFmtId="43" fontId="1" fillId="8" borderId="14" xfId="1" applyFont="1" applyFill="1" applyBorder="1" applyAlignment="1" applyProtection="1"/>
    <xf numFmtId="0" fontId="6" fillId="6" borderId="7" xfId="2" applyFont="1" applyFill="1" applyBorder="1" applyAlignment="1" applyProtection="1">
      <alignment horizontal="center" vertical="center" wrapText="1"/>
    </xf>
    <xf numFmtId="0" fontId="19" fillId="0" borderId="2" xfId="2" applyFont="1" applyFill="1" applyBorder="1" applyAlignment="1" applyProtection="1">
      <alignment horizontal="right"/>
    </xf>
    <xf numFmtId="0" fontId="20" fillId="8" borderId="4" xfId="0" applyFont="1" applyFill="1" applyBorder="1" applyAlignment="1" applyProtection="1"/>
    <xf numFmtId="43" fontId="20" fillId="0" borderId="5" xfId="1" applyFont="1" applyBorder="1" applyAlignment="1" applyProtection="1"/>
    <xf numFmtId="0" fontId="20" fillId="0" borderId="0" xfId="0" applyFont="1" applyAlignment="1" applyProtection="1"/>
    <xf numFmtId="165" fontId="1" fillId="0" borderId="0" xfId="1" applyNumberFormat="1" applyFont="1" applyAlignment="1" applyProtection="1"/>
    <xf numFmtId="0" fontId="6" fillId="10" borderId="1" xfId="2" applyFont="1" applyFill="1" applyBorder="1" applyAlignment="1" applyProtection="1">
      <alignment horizontal="center" vertical="center" wrapText="1"/>
    </xf>
    <xf numFmtId="165" fontId="6" fillId="10" borderId="1" xfId="1" applyNumberFormat="1" applyFont="1" applyFill="1" applyBorder="1" applyAlignment="1" applyProtection="1">
      <alignment horizontal="center" vertical="center" wrapText="1"/>
    </xf>
    <xf numFmtId="0" fontId="6" fillId="10" borderId="2" xfId="2" applyFont="1" applyFill="1" applyBorder="1" applyAlignment="1" applyProtection="1">
      <alignment vertical="center" wrapText="1"/>
    </xf>
    <xf numFmtId="164" fontId="7" fillId="9" borderId="1" xfId="2" applyNumberFormat="1" applyFont="1" applyFill="1" applyBorder="1" applyAlignment="1" applyProtection="1">
      <alignment horizontal="right"/>
    </xf>
    <xf numFmtId="168" fontId="6" fillId="10" borderId="1" xfId="1" applyNumberFormat="1" applyFont="1" applyFill="1" applyBorder="1" applyAlignment="1" applyProtection="1">
      <alignment horizontal="center" vertical="center" wrapText="1"/>
    </xf>
    <xf numFmtId="168" fontId="1" fillId="0" borderId="0" xfId="1" applyNumberFormat="1" applyFont="1" applyFill="1" applyBorder="1" applyAlignment="1" applyProtection="1"/>
    <xf numFmtId="168" fontId="0" fillId="0" borderId="0" xfId="1" applyNumberFormat="1" applyFont="1" applyAlignment="1" applyProtection="1"/>
    <xf numFmtId="168" fontId="1" fillId="0" borderId="0" xfId="1" applyNumberFormat="1" applyFont="1" applyAlignment="1" applyProtection="1"/>
    <xf numFmtId="43" fontId="1" fillId="0" borderId="0" xfId="1" applyNumberFormat="1" applyFont="1" applyAlignment="1" applyProtection="1"/>
    <xf numFmtId="169" fontId="6" fillId="10" borderId="1" xfId="1" applyNumberFormat="1" applyFont="1" applyFill="1" applyBorder="1" applyAlignment="1" applyProtection="1">
      <alignment horizontal="center" vertical="center" wrapText="1"/>
    </xf>
    <xf numFmtId="169" fontId="1" fillId="0" borderId="0" xfId="1" applyNumberFormat="1" applyFont="1" applyAlignment="1" applyProtection="1">
      <alignment horizontal="left"/>
    </xf>
    <xf numFmtId="0" fontId="20" fillId="8" borderId="4" xfId="0" applyFont="1" applyFill="1" applyBorder="1" applyAlignment="1" applyProtection="1">
      <alignment wrapText="1"/>
    </xf>
    <xf numFmtId="0" fontId="12" fillId="0" borderId="0" xfId="0" applyFont="1" applyAlignment="1" applyProtection="1">
      <alignment wrapText="1"/>
    </xf>
    <xf numFmtId="3" fontId="1" fillId="0" borderId="0" xfId="0" applyNumberFormat="1" applyFont="1" applyAlignment="1" applyProtection="1">
      <alignment wrapText="1"/>
    </xf>
    <xf numFmtId="0" fontId="1" fillId="0" borderId="0" xfId="0" applyFont="1" applyAlignment="1" applyProtection="1">
      <alignment wrapText="1"/>
    </xf>
    <xf numFmtId="165" fontId="7" fillId="0" borderId="1" xfId="1" applyNumberFormat="1" applyFont="1" applyFill="1" applyBorder="1" applyAlignment="1" applyProtection="1">
      <alignment wrapText="1"/>
    </xf>
    <xf numFmtId="43" fontId="20" fillId="0" borderId="6" xfId="1" applyFont="1" applyBorder="1" applyAlignment="1" applyProtection="1"/>
    <xf numFmtId="165" fontId="3" fillId="0" borderId="3" xfId="1" applyNumberFormat="1" applyFont="1" applyFill="1" applyBorder="1" applyAlignment="1" applyProtection="1">
      <alignment horizontal="right" wrapText="1"/>
    </xf>
    <xf numFmtId="0" fontId="6" fillId="2" borderId="1" xfId="2" applyFont="1" applyFill="1" applyBorder="1" applyAlignment="1" applyProtection="1">
      <alignment horizontal="center" vertical="center"/>
    </xf>
    <xf numFmtId="0" fontId="0" fillId="0" borderId="0" xfId="0" applyAlignment="1"/>
    <xf numFmtId="10" fontId="0" fillId="0" borderId="1" xfId="5" applyNumberFormat="1" applyFont="1" applyBorder="1" applyAlignment="1"/>
    <xf numFmtId="10" fontId="21" fillId="0" borderId="1" xfId="5" applyNumberFormat="1" applyFont="1" applyBorder="1" applyAlignment="1"/>
    <xf numFmtId="0" fontId="1" fillId="0" borderId="0" xfId="0" applyFont="1" applyAlignment="1" applyProtection="1">
      <alignment horizontal="center"/>
    </xf>
    <xf numFmtId="43" fontId="0" fillId="0" borderId="1" xfId="1" applyFont="1" applyBorder="1" applyAlignment="1" applyProtection="1"/>
    <xf numFmtId="0" fontId="20" fillId="0" borderId="0" xfId="0" applyFont="1" applyAlignment="1" applyProtection="1">
      <alignment horizontal="center"/>
    </xf>
    <xf numFmtId="43" fontId="7" fillId="0" borderId="1" xfId="1" applyFont="1" applyFill="1" applyBorder="1" applyAlignment="1" applyProtection="1"/>
    <xf numFmtId="43" fontId="0" fillId="0" borderId="0" xfId="1" applyFont="1"/>
    <xf numFmtId="165" fontId="3" fillId="0" borderId="12" xfId="1" applyNumberFormat="1" applyFont="1" applyFill="1" applyBorder="1" applyAlignment="1" applyProtection="1">
      <alignment horizontal="right"/>
    </xf>
    <xf numFmtId="169" fontId="0" fillId="0" borderId="5" xfId="1" applyNumberFormat="1" applyFont="1" applyBorder="1" applyAlignment="1" applyProtection="1"/>
    <xf numFmtId="165" fontId="3" fillId="0" borderId="3" xfId="1" applyNumberFormat="1" applyFont="1" applyFill="1" applyBorder="1" applyAlignment="1" applyProtection="1">
      <alignment horizontal="right"/>
    </xf>
    <xf numFmtId="0" fontId="12" fillId="0" borderId="0" xfId="0" applyFont="1" applyAlignment="1" applyProtection="1"/>
    <xf numFmtId="0" fontId="20" fillId="8" borderId="1" xfId="0" applyFont="1" applyFill="1" applyBorder="1" applyAlignment="1" applyProtection="1"/>
    <xf numFmtId="0" fontId="0" fillId="11" borderId="0" xfId="0" applyFill="1"/>
    <xf numFmtId="0" fontId="0" fillId="11" borderId="18" xfId="0" applyFill="1" applyBorder="1"/>
    <xf numFmtId="0" fontId="0" fillId="11" borderId="0" xfId="0" applyFill="1" applyBorder="1"/>
    <xf numFmtId="0" fontId="0" fillId="11" borderId="19" xfId="0" applyFill="1" applyBorder="1"/>
    <xf numFmtId="0" fontId="0" fillId="11" borderId="18" xfId="0" applyFill="1" applyBorder="1" applyAlignment="1">
      <alignment wrapText="1"/>
    </xf>
    <xf numFmtId="0" fontId="0" fillId="11" borderId="0" xfId="0" applyFill="1" applyBorder="1" applyAlignment="1">
      <alignment wrapText="1"/>
    </xf>
    <xf numFmtId="0" fontId="22" fillId="11" borderId="0" xfId="0" applyFont="1" applyFill="1"/>
    <xf numFmtId="0" fontId="0" fillId="11" borderId="0" xfId="0" applyFill="1" applyBorder="1" applyAlignment="1">
      <alignment horizontal="center" wrapText="1"/>
    </xf>
    <xf numFmtId="43" fontId="1" fillId="0" borderId="1" xfId="1" applyFont="1" applyBorder="1" applyAlignment="1" applyProtection="1">
      <protection locked="0"/>
    </xf>
    <xf numFmtId="0" fontId="19" fillId="0" borderId="6" xfId="2" applyFont="1" applyFill="1" applyBorder="1" applyAlignment="1" applyProtection="1">
      <alignment horizontal="right"/>
    </xf>
    <xf numFmtId="0" fontId="20" fillId="8" borderId="14" xfId="0" applyFont="1" applyFill="1" applyBorder="1" applyAlignment="1" applyProtection="1"/>
    <xf numFmtId="165" fontId="3" fillId="0" borderId="1" xfId="1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 vertical="center" wrapText="1"/>
    </xf>
    <xf numFmtId="10" fontId="7" fillId="0" borderId="1" xfId="5" applyNumberFormat="1" applyFont="1" applyFill="1" applyBorder="1" applyAlignment="1" applyProtection="1"/>
    <xf numFmtId="43" fontId="0" fillId="0" borderId="0" xfId="1" applyFont="1" applyProtection="1">
      <protection locked="0"/>
    </xf>
    <xf numFmtId="43" fontId="1" fillId="0" borderId="7" xfId="1" applyFont="1" applyBorder="1" applyAlignment="1" applyProtection="1">
      <protection locked="0"/>
    </xf>
    <xf numFmtId="168" fontId="7" fillId="0" borderId="1" xfId="1" applyNumberFormat="1" applyFont="1" applyFill="1" applyBorder="1" applyAlignment="1" applyProtection="1"/>
    <xf numFmtId="0" fontId="0" fillId="8" borderId="1" xfId="0" applyFill="1" applyBorder="1" applyAlignment="1" applyProtection="1">
      <alignment horizontal="left"/>
    </xf>
    <xf numFmtId="165" fontId="17" fillId="8" borderId="1" xfId="1" applyNumberFormat="1" applyFont="1" applyFill="1" applyBorder="1" applyAlignment="1" applyProtection="1">
      <alignment horizontal="right"/>
    </xf>
    <xf numFmtId="43" fontId="0" fillId="0" borderId="1" xfId="0" applyNumberFormat="1" applyBorder="1" applyAlignment="1" applyProtection="1">
      <alignment horizontal="left"/>
    </xf>
    <xf numFmtId="0" fontId="2" fillId="5" borderId="1" xfId="0" applyFont="1" applyFill="1" applyBorder="1" applyAlignment="1" applyProtection="1">
      <alignment horizontal="center" vertical="center"/>
    </xf>
    <xf numFmtId="165" fontId="2" fillId="5" borderId="1" xfId="1" applyNumberFormat="1" applyFont="1" applyFill="1" applyBorder="1" applyAlignment="1" applyProtection="1">
      <alignment horizontal="center" vertical="center"/>
    </xf>
    <xf numFmtId="0" fontId="0" fillId="9" borderId="1" xfId="0" applyFill="1" applyBorder="1" applyAlignment="1" applyProtection="1"/>
    <xf numFmtId="166" fontId="0" fillId="9" borderId="1" xfId="1" applyNumberFormat="1" applyFont="1" applyFill="1" applyBorder="1" applyAlignment="1" applyProtection="1"/>
    <xf numFmtId="0" fontId="0" fillId="0" borderId="1" xfId="0" applyBorder="1" applyAlignment="1" applyProtection="1"/>
    <xf numFmtId="166" fontId="0" fillId="0" borderId="1" xfId="1" applyNumberFormat="1" applyFont="1" applyBorder="1" applyAlignment="1" applyProtection="1"/>
    <xf numFmtId="0" fontId="0" fillId="0" borderId="1" xfId="0" applyFill="1" applyBorder="1" applyAlignment="1" applyProtection="1"/>
    <xf numFmtId="165" fontId="2" fillId="4" borderId="1" xfId="1" applyNumberFormat="1" applyFont="1" applyFill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/>
    <xf numFmtId="0" fontId="8" fillId="0" borderId="1" xfId="0" applyFont="1" applyFill="1" applyBorder="1" applyAlignment="1" applyProtection="1"/>
    <xf numFmtId="0" fontId="5" fillId="0" borderId="1" xfId="4" applyBorder="1" applyAlignment="1" applyProtection="1">
      <alignment horizontal="center" vertical="center" wrapText="1"/>
    </xf>
    <xf numFmtId="43" fontId="7" fillId="0" borderId="1" xfId="1" applyNumberFormat="1" applyFont="1" applyFill="1" applyBorder="1" applyAlignment="1" applyProtection="1"/>
    <xf numFmtId="165" fontId="7" fillId="0" borderId="1" xfId="1" applyNumberFormat="1" applyFont="1" applyFill="1" applyBorder="1" applyAlignment="1" applyProtection="1"/>
    <xf numFmtId="170" fontId="7" fillId="0" borderId="1" xfId="1" applyNumberFormat="1" applyFont="1" applyFill="1" applyBorder="1" applyAlignment="1" applyProtection="1">
      <alignment horizontal="right"/>
    </xf>
    <xf numFmtId="170" fontId="7" fillId="0" borderId="1" xfId="1" applyNumberFormat="1" applyFont="1" applyFill="1" applyBorder="1" applyAlignment="1" applyProtection="1"/>
    <xf numFmtId="168" fontId="7" fillId="0" borderId="1" xfId="1" applyNumberFormat="1" applyFont="1" applyFill="1" applyBorder="1" applyAlignment="1" applyProtection="1">
      <alignment horizontal="right"/>
    </xf>
    <xf numFmtId="43" fontId="1" fillId="0" borderId="1" xfId="1" applyFont="1" applyFill="1" applyBorder="1" applyAlignment="1" applyProtection="1"/>
    <xf numFmtId="43" fontId="1" fillId="0" borderId="2" xfId="1" applyFont="1" applyFill="1" applyBorder="1" applyAlignment="1" applyProtection="1"/>
    <xf numFmtId="43" fontId="11" fillId="5" borderId="1" xfId="1" applyFont="1" applyFill="1" applyBorder="1" applyAlignment="1" applyProtection="1">
      <alignment horizontal="center" vertical="center" wrapText="1"/>
    </xf>
    <xf numFmtId="43" fontId="6" fillId="6" borderId="1" xfId="1" applyFont="1" applyFill="1" applyBorder="1" applyAlignment="1" applyProtection="1">
      <alignment horizontal="center" vertical="center" wrapText="1"/>
    </xf>
    <xf numFmtId="43" fontId="1" fillId="0" borderId="0" xfId="1" applyFont="1" applyAlignment="1" applyProtection="1"/>
    <xf numFmtId="43" fontId="20" fillId="8" borderId="12" xfId="1" applyFont="1" applyFill="1" applyBorder="1" applyAlignment="1" applyProtection="1">
      <alignment horizontal="left"/>
    </xf>
    <xf numFmtId="43" fontId="20" fillId="0" borderId="2" xfId="1" applyFont="1" applyFill="1" applyBorder="1" applyAlignment="1" applyProtection="1"/>
    <xf numFmtId="43" fontId="20" fillId="8" borderId="3" xfId="1" applyFont="1" applyFill="1" applyBorder="1" applyAlignment="1" applyProtection="1">
      <alignment horizontal="left"/>
    </xf>
    <xf numFmtId="10" fontId="21" fillId="9" borderId="1" xfId="5" applyNumberFormat="1" applyFont="1" applyFill="1" applyBorder="1" applyAlignment="1"/>
    <xf numFmtId="171" fontId="7" fillId="0" borderId="1" xfId="1" applyNumberFormat="1" applyFont="1" applyFill="1" applyBorder="1" applyAlignment="1" applyProtection="1"/>
    <xf numFmtId="171" fontId="0" fillId="0" borderId="1" xfId="1" applyNumberFormat="1" applyFont="1" applyBorder="1" applyAlignment="1"/>
    <xf numFmtId="171" fontId="0" fillId="9" borderId="1" xfId="1" applyNumberFormat="1" applyFont="1" applyFill="1" applyBorder="1" applyAlignment="1"/>
    <xf numFmtId="168" fontId="7" fillId="9" borderId="1" xfId="1" applyNumberFormat="1" applyFont="1" applyFill="1" applyBorder="1" applyAlignment="1" applyProtection="1">
      <alignment horizontal="right"/>
    </xf>
    <xf numFmtId="168" fontId="0" fillId="0" borderId="1" xfId="1" applyNumberFormat="1" applyFont="1" applyBorder="1"/>
    <xf numFmtId="168" fontId="0" fillId="9" borderId="1" xfId="1" applyNumberFormat="1" applyFont="1" applyFill="1" applyBorder="1"/>
    <xf numFmtId="169" fontId="0" fillId="0" borderId="0" xfId="1" applyNumberFormat="1" applyFont="1" applyAlignment="1" applyProtection="1">
      <alignment horizontal="center"/>
    </xf>
    <xf numFmtId="169" fontId="0" fillId="9" borderId="1" xfId="1" applyNumberFormat="1" applyFont="1" applyFill="1" applyBorder="1" applyAlignment="1" applyProtection="1">
      <alignment horizontal="center"/>
    </xf>
    <xf numFmtId="169" fontId="0" fillId="0" borderId="0" xfId="1" applyNumberFormat="1" applyFont="1" applyProtection="1"/>
    <xf numFmtId="169" fontId="0" fillId="0" borderId="1" xfId="1" applyNumberFormat="1" applyFont="1" applyBorder="1" applyAlignment="1" applyProtection="1"/>
    <xf numFmtId="169" fontId="23" fillId="0" borderId="1" xfId="1" applyNumberFormat="1" applyFont="1" applyBorder="1" applyAlignment="1" applyProtection="1"/>
    <xf numFmtId="169" fontId="23" fillId="0" borderId="5" xfId="1" applyNumberFormat="1" applyFont="1" applyBorder="1" applyAlignment="1" applyProtection="1"/>
    <xf numFmtId="0" fontId="2" fillId="7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169" fontId="20" fillId="0" borderId="5" xfId="1" applyNumberFormat="1" applyFont="1" applyBorder="1" applyAlignment="1" applyProtection="1"/>
    <xf numFmtId="169" fontId="0" fillId="0" borderId="1" xfId="1" applyNumberFormat="1" applyFont="1" applyFill="1" applyBorder="1" applyAlignment="1" applyProtection="1">
      <alignment horizontal="center"/>
    </xf>
    <xf numFmtId="0" fontId="19" fillId="8" borderId="1" xfId="2" applyFont="1" applyFill="1" applyBorder="1" applyAlignment="1" applyProtection="1">
      <alignment horizontal="right"/>
    </xf>
    <xf numFmtId="169" fontId="19" fillId="0" borderId="1" xfId="1" applyNumberFormat="1" applyFont="1" applyFill="1" applyBorder="1" applyAlignment="1" applyProtection="1">
      <alignment horizontal="right"/>
    </xf>
    <xf numFmtId="169" fontId="19" fillId="8" borderId="1" xfId="1" applyNumberFormat="1" applyFont="1" applyFill="1" applyBorder="1" applyAlignment="1" applyProtection="1">
      <alignment horizontal="right"/>
    </xf>
    <xf numFmtId="165" fontId="3" fillId="0" borderId="1" xfId="1" applyNumberFormat="1" applyFont="1" applyFill="1" applyBorder="1" applyAlignment="1" applyProtection="1">
      <alignment horizontal="right" wrapText="1"/>
    </xf>
    <xf numFmtId="0" fontId="0" fillId="11" borderId="18" xfId="0" applyFill="1" applyBorder="1" applyAlignment="1">
      <alignment horizontal="center" wrapText="1"/>
    </xf>
    <xf numFmtId="0" fontId="0" fillId="11" borderId="19" xfId="0" applyFill="1" applyBorder="1" applyAlignment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Fill="1" applyBorder="1" applyAlignment="1" applyProtection="1">
      <alignment wrapText="1"/>
    </xf>
    <xf numFmtId="43" fontId="0" fillId="0" borderId="1" xfId="1" applyFont="1" applyBorder="1" applyAlignment="1" applyProtection="1">
      <protection locked="0"/>
    </xf>
    <xf numFmtId="0" fontId="0" fillId="0" borderId="1" xfId="0" applyBorder="1" applyAlignment="1" applyProtection="1">
      <alignment horizontal="left"/>
    </xf>
    <xf numFmtId="171" fontId="0" fillId="0" borderId="1" xfId="1" applyNumberFormat="1" applyFont="1" applyFill="1" applyBorder="1" applyAlignment="1"/>
    <xf numFmtId="0" fontId="0" fillId="0" borderId="31" xfId="0" applyFill="1" applyBorder="1" applyAlignment="1" applyProtection="1"/>
    <xf numFmtId="0" fontId="0" fillId="0" borderId="1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43" fontId="1" fillId="13" borderId="1" xfId="1" applyFont="1" applyFill="1" applyBorder="1" applyAlignment="1" applyProtection="1">
      <protection locked="0"/>
    </xf>
    <xf numFmtId="43" fontId="1" fillId="13" borderId="1" xfId="1" applyFont="1" applyFill="1" applyBorder="1" applyAlignment="1" applyProtection="1">
      <alignment horizontal="center"/>
      <protection locked="0"/>
    </xf>
    <xf numFmtId="0" fontId="19" fillId="0" borderId="0" xfId="2" applyFont="1" applyFill="1" applyBorder="1" applyAlignment="1" applyProtection="1">
      <alignment horizontal="right"/>
    </xf>
    <xf numFmtId="0" fontId="6" fillId="3" borderId="20" xfId="2" applyFont="1" applyFill="1" applyBorder="1" applyAlignment="1" applyProtection="1">
      <alignment horizontal="center" vertical="center" wrapText="1"/>
    </xf>
    <xf numFmtId="169" fontId="6" fillId="10" borderId="21" xfId="1" applyNumberFormat="1" applyFont="1" applyFill="1" applyBorder="1" applyAlignment="1" applyProtection="1">
      <alignment horizontal="center" vertical="center" wrapText="1"/>
    </xf>
    <xf numFmtId="0" fontId="15" fillId="0" borderId="20" xfId="0" applyFont="1" applyBorder="1" applyProtection="1"/>
    <xf numFmtId="169" fontId="0" fillId="0" borderId="32" xfId="1" applyNumberFormat="1" applyFont="1" applyBorder="1" applyAlignment="1" applyProtection="1"/>
    <xf numFmtId="0" fontId="19" fillId="0" borderId="20" xfId="2" applyFont="1" applyFill="1" applyBorder="1" applyAlignment="1" applyProtection="1">
      <alignment horizontal="right"/>
    </xf>
    <xf numFmtId="169" fontId="19" fillId="0" borderId="21" xfId="1" applyNumberFormat="1" applyFont="1" applyFill="1" applyBorder="1" applyAlignment="1" applyProtection="1">
      <alignment horizontal="right"/>
    </xf>
    <xf numFmtId="0" fontId="19" fillId="0" borderId="18" xfId="2" applyFont="1" applyFill="1" applyBorder="1" applyAlignment="1" applyProtection="1">
      <alignment horizontal="right"/>
    </xf>
    <xf numFmtId="0" fontId="19" fillId="0" borderId="19" xfId="2" applyFont="1" applyFill="1" applyBorder="1" applyAlignment="1" applyProtection="1">
      <alignment horizontal="right"/>
    </xf>
    <xf numFmtId="0" fontId="1" fillId="0" borderId="18" xfId="0" applyFont="1" applyBorder="1" applyAlignment="1" applyProtection="1"/>
    <xf numFmtId="0" fontId="1" fillId="0" borderId="0" xfId="0" applyFont="1" applyBorder="1" applyAlignment="1" applyProtection="1"/>
    <xf numFmtId="43" fontId="1" fillId="0" borderId="0" xfId="1" applyNumberFormat="1" applyFont="1" applyBorder="1" applyAlignment="1" applyProtection="1"/>
    <xf numFmtId="165" fontId="1" fillId="0" borderId="0" xfId="1" applyNumberFormat="1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1" fillId="0" borderId="19" xfId="0" applyFont="1" applyBorder="1" applyAlignment="1" applyProtection="1"/>
    <xf numFmtId="0" fontId="0" fillId="0" borderId="18" xfId="0" applyFill="1" applyBorder="1" applyAlignment="1" applyProtection="1"/>
    <xf numFmtId="0" fontId="0" fillId="0" borderId="0" xfId="0" applyBorder="1" applyProtection="1"/>
    <xf numFmtId="169" fontId="7" fillId="0" borderId="1" xfId="1" applyNumberFormat="1" applyFont="1" applyFill="1" applyBorder="1" applyAlignment="1" applyProtection="1">
      <protection locked="0"/>
    </xf>
    <xf numFmtId="169" fontId="20" fillId="0" borderId="1" xfId="1" applyNumberFormat="1" applyFont="1" applyBorder="1" applyAlignment="1" applyProtection="1"/>
    <xf numFmtId="169" fontId="20" fillId="0" borderId="6" xfId="1" applyNumberFormat="1" applyFont="1" applyBorder="1" applyAlignment="1" applyProtection="1"/>
    <xf numFmtId="43" fontId="1" fillId="0" borderId="5" xfId="1" applyFont="1" applyBorder="1" applyAlignment="1" applyProtection="1">
      <protection locked="0"/>
    </xf>
    <xf numFmtId="0" fontId="0" fillId="0" borderId="1" xfId="0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center" vertical="center"/>
    </xf>
    <xf numFmtId="164" fontId="7" fillId="13" borderId="1" xfId="2" applyNumberFormat="1" applyFont="1" applyFill="1" applyBorder="1" applyAlignment="1" applyProtection="1">
      <alignment horizontal="right"/>
    </xf>
    <xf numFmtId="171" fontId="0" fillId="13" borderId="1" xfId="1" applyNumberFormat="1" applyFont="1" applyFill="1" applyBorder="1" applyAlignment="1"/>
    <xf numFmtId="0" fontId="2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wrapText="1"/>
    </xf>
    <xf numFmtId="3" fontId="3" fillId="0" borderId="0" xfId="0" applyNumberFormat="1" applyFont="1" applyBorder="1" applyAlignment="1" applyProtection="1">
      <alignment horizontal="center"/>
      <protection locked="0"/>
    </xf>
    <xf numFmtId="169" fontId="0" fillId="0" borderId="0" xfId="1" applyNumberFormat="1" applyFont="1" applyFill="1" applyBorder="1" applyAlignment="1" applyProtection="1">
      <alignment horizontal="center"/>
    </xf>
    <xf numFmtId="169" fontId="7" fillId="0" borderId="0" xfId="1" applyNumberFormat="1" applyFont="1" applyFill="1" applyBorder="1" applyAlignment="1" applyProtection="1">
      <alignment horizontal="right"/>
    </xf>
    <xf numFmtId="0" fontId="15" fillId="0" borderId="1" xfId="0" applyFont="1" applyBorder="1" applyAlignment="1" applyProtection="1">
      <alignment wrapText="1"/>
    </xf>
    <xf numFmtId="169" fontId="7" fillId="0" borderId="1" xfId="1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</xf>
    <xf numFmtId="0" fontId="2" fillId="0" borderId="1" xfId="0" applyFont="1" applyBorder="1" applyAlignment="1" applyProtection="1">
      <alignment wrapText="1"/>
    </xf>
    <xf numFmtId="0" fontId="15" fillId="0" borderId="1" xfId="0" applyFont="1" applyBorder="1" applyAlignment="1" applyProtection="1"/>
    <xf numFmtId="0" fontId="0" fillId="0" borderId="5" xfId="0" applyBorder="1" applyProtection="1"/>
    <xf numFmtId="43" fontId="2" fillId="0" borderId="1" xfId="1" applyFont="1" applyBorder="1" applyAlignment="1" applyProtection="1">
      <alignment horizontal="center"/>
    </xf>
    <xf numFmtId="0" fontId="2" fillId="0" borderId="1" xfId="0" applyFont="1" applyBorder="1" applyAlignment="1" applyProtection="1"/>
    <xf numFmtId="43" fontId="3" fillId="0" borderId="1" xfId="1" applyFont="1" applyBorder="1" applyAlignment="1" applyProtection="1">
      <alignment horizontal="center"/>
      <protection locked="0"/>
    </xf>
    <xf numFmtId="9" fontId="0" fillId="0" borderId="1" xfId="5" applyFont="1" applyBorder="1" applyAlignment="1" applyProtection="1">
      <alignment horizontal="center" vertical="center" wrapText="1"/>
    </xf>
    <xf numFmtId="0" fontId="2" fillId="15" borderId="1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/>
    <xf numFmtId="0" fontId="15" fillId="0" borderId="0" xfId="0" applyFont="1" applyFill="1" applyBorder="1" applyAlignment="1" applyProtection="1"/>
    <xf numFmtId="10" fontId="0" fillId="0" borderId="1" xfId="5" applyNumberFormat="1" applyFont="1" applyBorder="1" applyAlignment="1" applyProtection="1">
      <alignment horizontal="center" vertical="center" wrapText="1"/>
    </xf>
    <xf numFmtId="169" fontId="0" fillId="0" borderId="0" xfId="0" applyNumberFormat="1" applyProtection="1"/>
    <xf numFmtId="172" fontId="0" fillId="0" borderId="0" xfId="0" applyNumberFormat="1" applyProtection="1"/>
    <xf numFmtId="43" fontId="27" fillId="0" borderId="0" xfId="1" applyFont="1"/>
    <xf numFmtId="43" fontId="0" fillId="0" borderId="1" xfId="1" applyFont="1" applyBorder="1" applyProtection="1">
      <protection locked="0"/>
    </xf>
    <xf numFmtId="9" fontId="0" fillId="16" borderId="1" xfId="5" applyFont="1" applyFill="1" applyBorder="1" applyAlignment="1" applyProtection="1">
      <alignment horizontal="center" vertical="center" wrapText="1"/>
      <protection locked="0"/>
    </xf>
    <xf numFmtId="0" fontId="0" fillId="11" borderId="20" xfId="0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0" fillId="11" borderId="21" xfId="0" applyFill="1" applyBorder="1" applyAlignment="1">
      <alignment horizontal="center" wrapText="1"/>
    </xf>
    <xf numFmtId="0" fontId="0" fillId="11" borderId="25" xfId="0" applyFill="1" applyBorder="1" applyAlignment="1">
      <alignment horizontal="center" vertical="center" wrapText="1"/>
    </xf>
    <xf numFmtId="0" fontId="0" fillId="11" borderId="26" xfId="0" applyFill="1" applyBorder="1" applyAlignment="1">
      <alignment horizontal="center" vertical="center" wrapText="1"/>
    </xf>
    <xf numFmtId="0" fontId="0" fillId="11" borderId="27" xfId="0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0" fillId="11" borderId="0" xfId="0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11" borderId="28" xfId="0" applyFill="1" applyBorder="1" applyAlignment="1">
      <alignment horizontal="center" vertical="center" wrapText="1"/>
    </xf>
    <xf numFmtId="0" fontId="0" fillId="11" borderId="29" xfId="0" applyFill="1" applyBorder="1" applyAlignment="1">
      <alignment horizontal="center" vertical="center" wrapText="1"/>
    </xf>
    <xf numFmtId="0" fontId="0" fillId="11" borderId="30" xfId="0" applyFill="1" applyBorder="1" applyAlignment="1">
      <alignment horizontal="center" vertical="center" wrapText="1"/>
    </xf>
    <xf numFmtId="0" fontId="2" fillId="15" borderId="15" xfId="0" applyFont="1" applyFill="1" applyBorder="1" applyAlignment="1">
      <alignment horizontal="center"/>
    </xf>
    <xf numFmtId="0" fontId="2" fillId="15" borderId="16" xfId="0" applyFont="1" applyFill="1" applyBorder="1" applyAlignment="1">
      <alignment horizontal="center"/>
    </xf>
    <xf numFmtId="0" fontId="2" fillId="15" borderId="17" xfId="0" applyFont="1" applyFill="1" applyBorder="1" applyAlignment="1">
      <alignment horizontal="center"/>
    </xf>
    <xf numFmtId="0" fontId="0" fillId="11" borderId="22" xfId="0" applyFill="1" applyBorder="1" applyAlignment="1">
      <alignment horizontal="center" wrapText="1"/>
    </xf>
    <xf numFmtId="0" fontId="0" fillId="11" borderId="23" xfId="0" applyFill="1" applyBorder="1" applyAlignment="1">
      <alignment horizontal="center" wrapText="1"/>
    </xf>
    <xf numFmtId="0" fontId="0" fillId="11" borderId="24" xfId="0" applyFill="1" applyBorder="1" applyAlignment="1">
      <alignment horizontal="center" wrapText="1"/>
    </xf>
    <xf numFmtId="0" fontId="25" fillId="14" borderId="1" xfId="0" applyFont="1" applyFill="1" applyBorder="1" applyAlignment="1" applyProtection="1">
      <alignment horizontal="center"/>
    </xf>
    <xf numFmtId="0" fontId="2" fillId="15" borderId="1" xfId="0" applyFont="1" applyFill="1" applyBorder="1" applyAlignment="1" applyProtection="1">
      <alignment horizontal="center"/>
    </xf>
    <xf numFmtId="0" fontId="2" fillId="15" borderId="1" xfId="0" applyFont="1" applyFill="1" applyBorder="1" applyAlignment="1" applyProtection="1">
      <alignment horizontal="center" wrapText="1"/>
    </xf>
    <xf numFmtId="0" fontId="26" fillId="17" borderId="2" xfId="0" applyFont="1" applyFill="1" applyBorder="1" applyAlignment="1" applyProtection="1">
      <alignment horizontal="left"/>
    </xf>
    <xf numFmtId="0" fontId="26" fillId="17" borderId="4" xfId="0" applyFont="1" applyFill="1" applyBorder="1" applyAlignment="1" applyProtection="1">
      <alignment horizontal="left"/>
    </xf>
    <xf numFmtId="0" fontId="26" fillId="17" borderId="3" xfId="0" applyFont="1" applyFill="1" applyBorder="1" applyAlignment="1" applyProtection="1">
      <alignment horizontal="left"/>
    </xf>
    <xf numFmtId="0" fontId="19" fillId="8" borderId="33" xfId="2" applyFont="1" applyFill="1" applyBorder="1" applyAlignment="1" applyProtection="1">
      <alignment horizontal="center"/>
    </xf>
    <xf numFmtId="0" fontId="19" fillId="8" borderId="34" xfId="2" applyFont="1" applyFill="1" applyBorder="1" applyAlignment="1" applyProtection="1">
      <alignment horizontal="center"/>
    </xf>
    <xf numFmtId="0" fontId="19" fillId="8" borderId="35" xfId="2" applyFont="1" applyFill="1" applyBorder="1" applyAlignment="1" applyProtection="1">
      <alignment horizontal="center"/>
    </xf>
    <xf numFmtId="0" fontId="11" fillId="5" borderId="8" xfId="0" applyFont="1" applyFill="1" applyBorder="1" applyAlignment="1" applyProtection="1">
      <alignment horizontal="center" vertical="center" wrapText="1"/>
    </xf>
    <xf numFmtId="0" fontId="11" fillId="5" borderId="13" xfId="0" applyFont="1" applyFill="1" applyBorder="1" applyAlignment="1" applyProtection="1">
      <alignment horizontal="center" vertical="center" wrapText="1"/>
    </xf>
    <xf numFmtId="0" fontId="14" fillId="10" borderId="7" xfId="2" applyFont="1" applyFill="1" applyBorder="1" applyAlignment="1" applyProtection="1">
      <alignment horizontal="center" vertical="center" wrapText="1"/>
    </xf>
    <xf numFmtId="0" fontId="10" fillId="3" borderId="8" xfId="2" applyFont="1" applyFill="1" applyBorder="1" applyAlignment="1" applyProtection="1">
      <alignment horizontal="center" vertical="center" wrapText="1"/>
    </xf>
    <xf numFmtId="0" fontId="10" fillId="3" borderId="13" xfId="2" applyFont="1" applyFill="1" applyBorder="1" applyAlignment="1" applyProtection="1">
      <alignment horizontal="center" vertical="center" wrapText="1"/>
    </xf>
    <xf numFmtId="0" fontId="10" fillId="3" borderId="9" xfId="2" applyFont="1" applyFill="1" applyBorder="1" applyAlignment="1" applyProtection="1">
      <alignment horizontal="center" vertical="center" wrapText="1"/>
    </xf>
    <xf numFmtId="0" fontId="24" fillId="12" borderId="15" xfId="0" applyFont="1" applyFill="1" applyBorder="1" applyAlignment="1" applyProtection="1">
      <alignment horizontal="center"/>
    </xf>
    <xf numFmtId="0" fontId="24" fillId="12" borderId="16" xfId="0" applyFont="1" applyFill="1" applyBorder="1" applyAlignment="1" applyProtection="1">
      <alignment horizontal="center"/>
    </xf>
    <xf numFmtId="0" fontId="24" fillId="12" borderId="17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10" fillId="3" borderId="2" xfId="2" applyFont="1" applyFill="1" applyBorder="1" applyAlignment="1" applyProtection="1">
      <alignment horizontal="center" vertical="center" wrapText="1"/>
    </xf>
    <xf numFmtId="0" fontId="10" fillId="3" borderId="4" xfId="2" applyFont="1" applyFill="1" applyBorder="1" applyAlignment="1" applyProtection="1">
      <alignment horizontal="center" vertical="center" wrapText="1"/>
    </xf>
    <xf numFmtId="0" fontId="10" fillId="3" borderId="3" xfId="2" applyFont="1" applyFill="1" applyBorder="1" applyAlignment="1" applyProtection="1">
      <alignment horizontal="center" vertical="center" wrapText="1"/>
    </xf>
    <xf numFmtId="0" fontId="14" fillId="10" borderId="1" xfId="2" applyFont="1" applyFill="1" applyBorder="1" applyAlignment="1" applyProtection="1">
      <alignment horizontal="center" vertical="center" wrapText="1"/>
    </xf>
    <xf numFmtId="0" fontId="14" fillId="2" borderId="2" xfId="2" applyFont="1" applyFill="1" applyBorder="1" applyAlignment="1" applyProtection="1">
      <alignment horizontal="center" vertical="center" wrapText="1"/>
    </xf>
    <xf numFmtId="0" fontId="14" fillId="2" borderId="4" xfId="2" applyFont="1" applyFill="1" applyBorder="1" applyAlignment="1" applyProtection="1">
      <alignment horizontal="center" vertical="center" wrapText="1"/>
    </xf>
    <xf numFmtId="0" fontId="11" fillId="5" borderId="2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10" fillId="3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/>
    </xf>
    <xf numFmtId="0" fontId="2" fillId="7" borderId="2" xfId="0" applyFont="1" applyFill="1" applyBorder="1" applyAlignment="1" applyProtection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</xf>
    <xf numFmtId="0" fontId="10" fillId="10" borderId="2" xfId="2" applyFont="1" applyFill="1" applyBorder="1" applyAlignment="1" applyProtection="1">
      <alignment horizontal="center" vertical="center"/>
    </xf>
    <xf numFmtId="0" fontId="10" fillId="10" borderId="3" xfId="2" applyFont="1" applyFill="1" applyBorder="1" applyAlignment="1" applyProtection="1">
      <alignment horizontal="center" vertical="center"/>
    </xf>
    <xf numFmtId="0" fontId="18" fillId="9" borderId="8" xfId="0" applyFont="1" applyFill="1" applyBorder="1" applyAlignment="1" applyProtection="1">
      <alignment horizontal="center" vertical="center" wrapText="1"/>
    </xf>
    <xf numFmtId="0" fontId="18" fillId="9" borderId="9" xfId="0" applyFont="1" applyFill="1" applyBorder="1" applyAlignment="1" applyProtection="1">
      <alignment horizontal="center" vertical="center" wrapText="1"/>
    </xf>
    <xf numFmtId="0" fontId="18" fillId="9" borderId="10" xfId="0" applyFont="1" applyFill="1" applyBorder="1" applyAlignment="1" applyProtection="1">
      <alignment horizontal="center" vertical="center" wrapText="1"/>
    </xf>
    <xf numFmtId="0" fontId="18" fillId="9" borderId="11" xfId="0" applyFont="1" applyFill="1" applyBorder="1" applyAlignment="1" applyProtection="1">
      <alignment horizontal="center" vertical="center" wrapText="1"/>
    </xf>
    <xf numFmtId="0" fontId="18" fillId="9" borderId="6" xfId="0" applyFont="1" applyFill="1" applyBorder="1" applyAlignment="1" applyProtection="1">
      <alignment horizontal="center" vertical="center" wrapText="1"/>
    </xf>
    <xf numFmtId="0" fontId="18" fillId="9" borderId="1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 vertical="center"/>
    </xf>
    <xf numFmtId="0" fontId="10" fillId="2" borderId="2" xfId="2" applyFont="1" applyFill="1" applyBorder="1" applyAlignment="1" applyProtection="1">
      <alignment horizontal="center" vertical="center"/>
    </xf>
    <xf numFmtId="0" fontId="10" fillId="2" borderId="4" xfId="2" applyFont="1" applyFill="1" applyBorder="1" applyAlignment="1" applyProtection="1">
      <alignment horizontal="center" vertical="center"/>
    </xf>
    <xf numFmtId="0" fontId="10" fillId="2" borderId="3" xfId="2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 applyProtection="1">
      <alignment horizontal="center"/>
    </xf>
    <xf numFmtId="0" fontId="0" fillId="9" borderId="1" xfId="0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 vertical="center"/>
    </xf>
    <xf numFmtId="0" fontId="11" fillId="7" borderId="1" xfId="0" applyFont="1" applyFill="1" applyBorder="1" applyAlignment="1" applyProtection="1">
      <alignment horizontal="center"/>
    </xf>
  </cellXfs>
  <cellStyles count="6">
    <cellStyle name="Comma" xfId="1" builtinId="3"/>
    <cellStyle name="Hyperlink" xfId="4" builtinId="8"/>
    <cellStyle name="Normal" xfId="0" builtinId="0"/>
    <cellStyle name="Normal_Sheet1" xfId="2"/>
    <cellStyle name="Normal_Sheet2" xfId="3"/>
    <cellStyle name="Percent" xfId="5" builtinId="5"/>
  </cellStyles>
  <dxfs count="5"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0" tint="-0.14996795556505021"/>
      </font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sharedStrings" Target="sharedStrings.xml"/>
  <Relationship Id="rId11" Type="http://schemas.openxmlformats.org/officeDocument/2006/relationships/calcChain" Target="calcChain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5.xml"/>
  <Relationship Id="rId6" Type="http://schemas.openxmlformats.org/officeDocument/2006/relationships/worksheet" Target="worksheets/sheet6.xml"/>
  <Relationship Id="rId7" Type="http://schemas.openxmlformats.org/officeDocument/2006/relationships/worksheet" Target="worksheets/sheet7.xml"/>
  <Relationship Id="rId8" Type="http://schemas.openxmlformats.org/officeDocument/2006/relationships/theme" Target="theme/theme1.xml"/>
  <Relationship Id="rId9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vmlDrawing" Target="../drawings/vmlDrawing1.vml"/>
  <Relationship Id="rId3" Type="http://schemas.openxmlformats.org/officeDocument/2006/relationships/comments" Target="../comments1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  <Relationship Id="rId2" Type="http://schemas.openxmlformats.org/officeDocument/2006/relationships/vmlDrawing" Target="../drawings/vmlDrawing2.vml"/>
  <Relationship Id="rId3" Type="http://schemas.openxmlformats.org/officeDocument/2006/relationships/comments" Target="../comments2.xml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5.bin"/>
  <Relationship Id="rId2" Type="http://schemas.openxmlformats.org/officeDocument/2006/relationships/vmlDrawing" Target="../drawings/vmlDrawing3.vml"/>
  <Relationship Id="rId3" Type="http://schemas.openxmlformats.org/officeDocument/2006/relationships/comments" Target="../comments3.xml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hyperlink" TargetMode="External" Target="http://www.epa.gov/cleanenergy/energy-resources/refs.html"/>
  <Relationship Id="rId2" Type="http://schemas.openxmlformats.org/officeDocument/2006/relationships/printerSettings" Target="../printerSettings/printerSettings6.bin"/>
</Relationships>

</file>

<file path=xl/worksheets/_rels/sheet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7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L35"/>
  <sheetViews>
    <sheetView showGridLines="0" tabSelected="1" workbookViewId="0">
      <selection activeCell="C2" sqref="C2:J2"/>
    </sheetView>
  </sheetViews>
  <sheetFormatPr defaultColWidth="0" defaultRowHeight="15" zeroHeight="1" x14ac:dyDescent="0.25"/>
  <cols>
    <col min="1" max="9" width="9.140625" customWidth="1"/>
    <col min="10" max="10" width="14.85546875" customWidth="1"/>
    <col min="11" max="12" width="9.140625" customWidth="1"/>
    <col min="13" max="16384" width="9.140625" hidden="1"/>
  </cols>
  <sheetData>
    <row r="1" spans="1:12" ht="15.75" thickBot="1" x14ac:dyDescent="0.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25">
      <c r="A2" s="63"/>
      <c r="B2" s="63"/>
      <c r="C2" s="205" t="s">
        <v>175</v>
      </c>
      <c r="D2" s="206"/>
      <c r="E2" s="206"/>
      <c r="F2" s="206"/>
      <c r="G2" s="206"/>
      <c r="H2" s="206"/>
      <c r="I2" s="206"/>
      <c r="J2" s="207"/>
      <c r="K2" s="63"/>
      <c r="L2" s="63"/>
    </row>
    <row r="3" spans="1:12" x14ac:dyDescent="0.25">
      <c r="A3" s="63"/>
      <c r="B3" s="63"/>
      <c r="C3" s="64"/>
      <c r="D3" s="65"/>
      <c r="E3" s="65"/>
      <c r="F3" s="65"/>
      <c r="G3" s="65"/>
      <c r="H3" s="65"/>
      <c r="I3" s="65"/>
      <c r="J3" s="66"/>
      <c r="K3" s="63"/>
      <c r="L3" s="63"/>
    </row>
    <row r="4" spans="1:12" ht="15" customHeight="1" x14ac:dyDescent="0.25">
      <c r="A4" s="63"/>
      <c r="B4" s="63"/>
      <c r="C4" s="193" t="s">
        <v>176</v>
      </c>
      <c r="D4" s="194"/>
      <c r="E4" s="194"/>
      <c r="F4" s="194"/>
      <c r="G4" s="194"/>
      <c r="H4" s="194"/>
      <c r="I4" s="194"/>
      <c r="J4" s="195"/>
      <c r="K4" s="63"/>
      <c r="L4" s="63"/>
    </row>
    <row r="5" spans="1:12" ht="15.75" thickBot="1" x14ac:dyDescent="0.3">
      <c r="A5" s="63"/>
      <c r="B5" s="63"/>
      <c r="C5" s="208"/>
      <c r="D5" s="209"/>
      <c r="E5" s="209"/>
      <c r="F5" s="209"/>
      <c r="G5" s="209"/>
      <c r="H5" s="209"/>
      <c r="I5" s="209"/>
      <c r="J5" s="210"/>
      <c r="K5" s="63"/>
      <c r="L5" s="63"/>
    </row>
    <row r="6" spans="1:12" ht="15.75" thickBot="1" x14ac:dyDescent="0.3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2" x14ac:dyDescent="0.25">
      <c r="A7" s="63"/>
      <c r="B7" s="63"/>
      <c r="C7" s="205" t="s">
        <v>177</v>
      </c>
      <c r="D7" s="206"/>
      <c r="E7" s="206"/>
      <c r="F7" s="206"/>
      <c r="G7" s="206"/>
      <c r="H7" s="206"/>
      <c r="I7" s="206"/>
      <c r="J7" s="207"/>
      <c r="K7" s="63"/>
      <c r="L7" s="63"/>
    </row>
    <row r="8" spans="1:12" x14ac:dyDescent="0.25">
      <c r="A8" s="63"/>
      <c r="B8" s="63"/>
      <c r="C8" s="64"/>
      <c r="D8" s="65"/>
      <c r="E8" s="65"/>
      <c r="F8" s="65"/>
      <c r="G8" s="65"/>
      <c r="H8" s="65"/>
      <c r="I8" s="65"/>
      <c r="J8" s="66"/>
      <c r="K8" s="63"/>
      <c r="L8" s="63"/>
    </row>
    <row r="9" spans="1:12" ht="15" customHeight="1" x14ac:dyDescent="0.25">
      <c r="A9" s="63"/>
      <c r="B9" s="63"/>
      <c r="C9" s="193" t="s">
        <v>178</v>
      </c>
      <c r="D9" s="194"/>
      <c r="E9" s="194"/>
      <c r="F9" s="194"/>
      <c r="G9" s="194"/>
      <c r="H9" s="194"/>
      <c r="I9" s="194"/>
      <c r="J9" s="195"/>
      <c r="K9" s="63"/>
      <c r="L9" s="63"/>
    </row>
    <row r="10" spans="1:12" x14ac:dyDescent="0.25">
      <c r="A10" s="63"/>
      <c r="B10" s="63"/>
      <c r="C10" s="193"/>
      <c r="D10" s="194"/>
      <c r="E10" s="194"/>
      <c r="F10" s="194"/>
      <c r="G10" s="194"/>
      <c r="H10" s="194"/>
      <c r="I10" s="194"/>
      <c r="J10" s="195"/>
      <c r="K10" s="63"/>
      <c r="L10" s="63"/>
    </row>
    <row r="11" spans="1:12" x14ac:dyDescent="0.25">
      <c r="A11" s="63"/>
      <c r="B11" s="63"/>
      <c r="C11" s="129"/>
      <c r="D11" s="70"/>
      <c r="E11" s="70"/>
      <c r="F11" s="70"/>
      <c r="G11" s="70"/>
      <c r="H11" s="70"/>
      <c r="I11" s="70"/>
      <c r="J11" s="130"/>
      <c r="K11" s="63"/>
      <c r="L11" s="63"/>
    </row>
    <row r="12" spans="1:12" x14ac:dyDescent="0.25">
      <c r="A12" s="63"/>
      <c r="B12" s="63"/>
      <c r="C12" s="193" t="s">
        <v>179</v>
      </c>
      <c r="D12" s="194"/>
      <c r="E12" s="194"/>
      <c r="F12" s="194"/>
      <c r="G12" s="194"/>
      <c r="H12" s="194"/>
      <c r="I12" s="194"/>
      <c r="J12" s="195"/>
      <c r="K12" s="63"/>
      <c r="L12" s="63"/>
    </row>
    <row r="13" spans="1:12" x14ac:dyDescent="0.25">
      <c r="A13" s="63"/>
      <c r="B13" s="63"/>
      <c r="C13" s="193"/>
      <c r="D13" s="194"/>
      <c r="E13" s="194"/>
      <c r="F13" s="194"/>
      <c r="G13" s="194"/>
      <c r="H13" s="194"/>
      <c r="I13" s="194"/>
      <c r="J13" s="195"/>
      <c r="K13" s="63"/>
      <c r="L13" s="63"/>
    </row>
    <row r="14" spans="1:12" x14ac:dyDescent="0.25">
      <c r="A14" s="63"/>
      <c r="B14" s="63"/>
      <c r="C14" s="67"/>
      <c r="D14" s="68"/>
      <c r="E14" s="68"/>
      <c r="F14" s="68"/>
      <c r="G14" s="68"/>
      <c r="H14" s="68"/>
      <c r="I14" s="68"/>
      <c r="J14" s="66"/>
      <c r="K14" s="63"/>
      <c r="L14" s="63"/>
    </row>
    <row r="15" spans="1:12" x14ac:dyDescent="0.25">
      <c r="A15" s="63"/>
      <c r="B15" s="63"/>
      <c r="C15" s="193" t="s">
        <v>224</v>
      </c>
      <c r="D15" s="194"/>
      <c r="E15" s="194"/>
      <c r="F15" s="194"/>
      <c r="G15" s="194"/>
      <c r="H15" s="194"/>
      <c r="I15" s="194"/>
      <c r="J15" s="195"/>
      <c r="K15" s="63"/>
      <c r="L15" s="63"/>
    </row>
    <row r="16" spans="1:12" ht="15.75" thickBot="1" x14ac:dyDescent="0.3">
      <c r="A16" s="63"/>
      <c r="B16" s="63"/>
      <c r="C16" s="208"/>
      <c r="D16" s="209"/>
      <c r="E16" s="209"/>
      <c r="F16" s="209"/>
      <c r="G16" s="209"/>
      <c r="H16" s="209"/>
      <c r="I16" s="209"/>
      <c r="J16" s="210"/>
      <c r="K16" s="63"/>
      <c r="L16" s="63"/>
    </row>
    <row r="17" spans="1:12" ht="15.75" thickBot="1" x14ac:dyDescent="0.3">
      <c r="A17" s="63"/>
      <c r="B17" s="63"/>
      <c r="C17" s="70"/>
      <c r="D17" s="70"/>
      <c r="E17" s="70"/>
      <c r="F17" s="70"/>
      <c r="G17" s="70"/>
      <c r="H17" s="70"/>
      <c r="I17" s="70"/>
      <c r="J17" s="70"/>
      <c r="K17" s="63"/>
      <c r="L17" s="63"/>
    </row>
    <row r="18" spans="1:12" ht="15" customHeight="1" x14ac:dyDescent="0.25">
      <c r="A18" s="63"/>
      <c r="B18" s="63"/>
      <c r="C18" s="196" t="s">
        <v>180</v>
      </c>
      <c r="D18" s="197"/>
      <c r="E18" s="197"/>
      <c r="F18" s="197"/>
      <c r="G18" s="197"/>
      <c r="H18" s="197"/>
      <c r="I18" s="197"/>
      <c r="J18" s="198"/>
      <c r="K18" s="63"/>
      <c r="L18" s="63"/>
    </row>
    <row r="19" spans="1:12" ht="15.75" thickBot="1" x14ac:dyDescent="0.3">
      <c r="A19" s="63"/>
      <c r="B19" s="63"/>
      <c r="C19" s="202"/>
      <c r="D19" s="203"/>
      <c r="E19" s="203"/>
      <c r="F19" s="203"/>
      <c r="G19" s="203"/>
      <c r="H19" s="203"/>
      <c r="I19" s="203"/>
      <c r="J19" s="204"/>
      <c r="K19" s="63"/>
      <c r="L19" s="63"/>
    </row>
    <row r="20" spans="1:12" ht="15.75" thickBot="1" x14ac:dyDescent="0.3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</row>
    <row r="21" spans="1:12" x14ac:dyDescent="0.25">
      <c r="A21" s="63"/>
      <c r="B21" s="63"/>
      <c r="C21" s="196" t="s">
        <v>275</v>
      </c>
      <c r="D21" s="197"/>
      <c r="E21" s="197"/>
      <c r="F21" s="197"/>
      <c r="G21" s="197"/>
      <c r="H21" s="197"/>
      <c r="I21" s="197"/>
      <c r="J21" s="198"/>
      <c r="K21" s="63"/>
      <c r="L21" s="63"/>
    </row>
    <row r="22" spans="1:12" x14ac:dyDescent="0.25">
      <c r="A22" s="63"/>
      <c r="B22" s="63"/>
      <c r="C22" s="199"/>
      <c r="D22" s="200"/>
      <c r="E22" s="200"/>
      <c r="F22" s="200"/>
      <c r="G22" s="200"/>
      <c r="H22" s="200"/>
      <c r="I22" s="200"/>
      <c r="J22" s="201"/>
      <c r="K22" s="63"/>
      <c r="L22" s="63"/>
    </row>
    <row r="23" spans="1:12" x14ac:dyDescent="0.25">
      <c r="A23" s="63"/>
      <c r="B23" s="63"/>
      <c r="C23" s="199"/>
      <c r="D23" s="200"/>
      <c r="E23" s="200"/>
      <c r="F23" s="200"/>
      <c r="G23" s="200"/>
      <c r="H23" s="200"/>
      <c r="I23" s="200"/>
      <c r="J23" s="201"/>
      <c r="K23" s="63"/>
      <c r="L23" s="63"/>
    </row>
    <row r="24" spans="1:12" x14ac:dyDescent="0.25">
      <c r="A24" s="63"/>
      <c r="B24" s="63"/>
      <c r="C24" s="199"/>
      <c r="D24" s="200"/>
      <c r="E24" s="200"/>
      <c r="F24" s="200"/>
      <c r="G24" s="200"/>
      <c r="H24" s="200"/>
      <c r="I24" s="200"/>
      <c r="J24" s="201"/>
      <c r="K24" s="63"/>
      <c r="L24" s="63"/>
    </row>
    <row r="25" spans="1:12" x14ac:dyDescent="0.25">
      <c r="A25" s="63"/>
      <c r="B25" s="63"/>
      <c r="C25" s="199"/>
      <c r="D25" s="200"/>
      <c r="E25" s="200"/>
      <c r="F25" s="200"/>
      <c r="G25" s="200"/>
      <c r="H25" s="200"/>
      <c r="I25" s="200"/>
      <c r="J25" s="201"/>
      <c r="K25" s="63"/>
      <c r="L25" s="63"/>
    </row>
    <row r="26" spans="1:12" ht="15.75" thickBot="1" x14ac:dyDescent="0.3">
      <c r="A26" s="63"/>
      <c r="B26" s="63"/>
      <c r="C26" s="202"/>
      <c r="D26" s="203"/>
      <c r="E26" s="203"/>
      <c r="F26" s="203"/>
      <c r="G26" s="203"/>
      <c r="H26" s="203"/>
      <c r="I26" s="203"/>
      <c r="J26" s="204"/>
      <c r="K26" s="63"/>
      <c r="L26" s="63"/>
    </row>
    <row r="27" spans="1:12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</row>
    <row r="28" spans="1:12" x14ac:dyDescent="0.25">
      <c r="A28" s="63"/>
      <c r="B28" s="63"/>
      <c r="C28" s="69" t="s">
        <v>274</v>
      </c>
      <c r="D28" s="63"/>
      <c r="E28" s="63"/>
      <c r="F28" s="63"/>
      <c r="G28" s="63"/>
      <c r="H28" s="63"/>
      <c r="I28" s="63"/>
      <c r="J28" s="63"/>
      <c r="K28" s="63"/>
      <c r="L28" s="63"/>
    </row>
    <row r="29" spans="1:12" ht="14.25" customHeight="1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</row>
    <row r="30" spans="1:12" hidden="1" x14ac:dyDescent="0.25"/>
    <row r="31" spans="1:12" hidden="1" x14ac:dyDescent="0.25"/>
    <row r="32" spans="1:12" hidden="1" x14ac:dyDescent="0.25"/>
    <row r="33" hidden="1" x14ac:dyDescent="0.25"/>
    <row r="34" hidden="1" x14ac:dyDescent="0.25"/>
    <row r="35" hidden="1" x14ac:dyDescent="0.25"/>
  </sheetData>
  <mergeCells count="8">
    <mergeCell ref="C12:J13"/>
    <mergeCell ref="C21:J26"/>
    <mergeCell ref="C18:J19"/>
    <mergeCell ref="C2:J2"/>
    <mergeCell ref="C4:J5"/>
    <mergeCell ref="C7:J7"/>
    <mergeCell ref="C9:J10"/>
    <mergeCell ref="C15:J16"/>
  </mergeCells>
  <printOptions horizontalCentered="1" verticalCentered="1"/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VK49"/>
  <sheetViews>
    <sheetView showGridLines="0" workbookViewId="0">
      <selection sqref="A1:I1"/>
    </sheetView>
  </sheetViews>
  <sheetFormatPr defaultColWidth="0" defaultRowHeight="15" zeroHeight="1" x14ac:dyDescent="0.25"/>
  <cols>
    <col min="1" max="1" width="18.85546875" style="131" customWidth="1"/>
    <col min="2" max="2" width="22.42578125" style="131" bestFit="1" customWidth="1"/>
    <col min="3" max="3" width="22.85546875" style="17" customWidth="1"/>
    <col min="4" max="4" width="22.85546875" style="114" customWidth="1"/>
    <col min="5" max="5" width="22.85546875" style="116" customWidth="1"/>
    <col min="6" max="9" width="22.85546875" style="13" customWidth="1"/>
    <col min="10" max="11" width="9.140625" style="13" customWidth="1"/>
    <col min="12" max="254" width="9.140625" style="13" hidden="1"/>
    <col min="255" max="255" width="31" style="13" hidden="1"/>
    <col min="256" max="256" width="13.140625" style="13" hidden="1"/>
    <col min="257" max="257" width="36.42578125" style="13" hidden="1"/>
    <col min="258" max="258" width="11.42578125" style="13" hidden="1"/>
    <col min="259" max="259" width="25.7109375" style="13" hidden="1"/>
    <col min="260" max="510" width="9.140625" style="13" hidden="1"/>
    <col min="511" max="511" width="31" style="13" hidden="1"/>
    <col min="512" max="512" width="13.140625" style="13" hidden="1"/>
    <col min="513" max="513" width="36.42578125" style="13" hidden="1"/>
    <col min="514" max="514" width="11.42578125" style="13" hidden="1"/>
    <col min="515" max="515" width="25.7109375" style="13" hidden="1"/>
    <col min="516" max="766" width="9.140625" style="13" hidden="1"/>
    <col min="767" max="767" width="31" style="13" hidden="1"/>
    <col min="768" max="768" width="13.140625" style="13" hidden="1"/>
    <col min="769" max="769" width="36.42578125" style="13" hidden="1"/>
    <col min="770" max="770" width="11.42578125" style="13" hidden="1"/>
    <col min="771" max="771" width="25.7109375" style="13" hidden="1"/>
    <col min="772" max="1022" width="9.140625" style="13" hidden="1"/>
    <col min="1023" max="1023" width="31" style="13" hidden="1"/>
    <col min="1024" max="1024" width="13.140625" style="13" hidden="1"/>
    <col min="1025" max="1025" width="36.42578125" style="13" hidden="1"/>
    <col min="1026" max="1026" width="11.42578125" style="13" hidden="1"/>
    <col min="1027" max="1027" width="25.7109375" style="13" hidden="1"/>
    <col min="1028" max="1278" width="9.140625" style="13" hidden="1"/>
    <col min="1279" max="1279" width="31" style="13" hidden="1"/>
    <col min="1280" max="1280" width="13.140625" style="13" hidden="1"/>
    <col min="1281" max="1281" width="36.42578125" style="13" hidden="1"/>
    <col min="1282" max="1282" width="11.42578125" style="13" hidden="1"/>
    <col min="1283" max="1283" width="25.7109375" style="13" hidden="1"/>
    <col min="1284" max="1534" width="9.140625" style="13" hidden="1"/>
    <col min="1535" max="1535" width="31" style="13" hidden="1"/>
    <col min="1536" max="1536" width="13.140625" style="13" hidden="1"/>
    <col min="1537" max="1537" width="36.42578125" style="13" hidden="1"/>
    <col min="1538" max="1538" width="11.42578125" style="13" hidden="1"/>
    <col min="1539" max="1539" width="25.7109375" style="13" hidden="1"/>
    <col min="1540" max="1790" width="9.140625" style="13" hidden="1"/>
    <col min="1791" max="1791" width="31" style="13" hidden="1"/>
    <col min="1792" max="1792" width="13.140625" style="13" hidden="1"/>
    <col min="1793" max="1793" width="36.42578125" style="13" hidden="1"/>
    <col min="1794" max="1794" width="11.42578125" style="13" hidden="1"/>
    <col min="1795" max="1795" width="25.7109375" style="13" hidden="1"/>
    <col min="1796" max="2046" width="9.140625" style="13" hidden="1"/>
    <col min="2047" max="2047" width="31" style="13" hidden="1"/>
    <col min="2048" max="2048" width="13.140625" style="13" hidden="1"/>
    <col min="2049" max="2049" width="36.42578125" style="13" hidden="1"/>
    <col min="2050" max="2050" width="11.42578125" style="13" hidden="1"/>
    <col min="2051" max="2051" width="25.7109375" style="13" hidden="1"/>
    <col min="2052" max="2302" width="9.140625" style="13" hidden="1"/>
    <col min="2303" max="2303" width="31" style="13" hidden="1"/>
    <col min="2304" max="2304" width="13.140625" style="13" hidden="1"/>
    <col min="2305" max="2305" width="36.42578125" style="13" hidden="1"/>
    <col min="2306" max="2306" width="11.42578125" style="13" hidden="1"/>
    <col min="2307" max="2307" width="25.7109375" style="13" hidden="1"/>
    <col min="2308" max="2558" width="9.140625" style="13" hidden="1"/>
    <col min="2559" max="2559" width="31" style="13" hidden="1"/>
    <col min="2560" max="2560" width="13.140625" style="13" hidden="1"/>
    <col min="2561" max="2561" width="36.42578125" style="13" hidden="1"/>
    <col min="2562" max="2562" width="11.42578125" style="13" hidden="1"/>
    <col min="2563" max="2563" width="25.7109375" style="13" hidden="1"/>
    <col min="2564" max="2814" width="9.140625" style="13" hidden="1"/>
    <col min="2815" max="2815" width="31" style="13" hidden="1"/>
    <col min="2816" max="2816" width="13.140625" style="13" hidden="1"/>
    <col min="2817" max="2817" width="36.42578125" style="13" hidden="1"/>
    <col min="2818" max="2818" width="11.42578125" style="13" hidden="1"/>
    <col min="2819" max="2819" width="25.7109375" style="13" hidden="1"/>
    <col min="2820" max="3070" width="9.140625" style="13" hidden="1"/>
    <col min="3071" max="3071" width="31" style="13" hidden="1"/>
    <col min="3072" max="3072" width="13.140625" style="13" hidden="1"/>
    <col min="3073" max="3073" width="36.42578125" style="13" hidden="1"/>
    <col min="3074" max="3074" width="11.42578125" style="13" hidden="1"/>
    <col min="3075" max="3075" width="25.7109375" style="13" hidden="1"/>
    <col min="3076" max="3326" width="9.140625" style="13" hidden="1"/>
    <col min="3327" max="3327" width="31" style="13" hidden="1"/>
    <col min="3328" max="3328" width="13.140625" style="13" hidden="1"/>
    <col min="3329" max="3329" width="36.42578125" style="13" hidden="1"/>
    <col min="3330" max="3330" width="11.42578125" style="13" hidden="1"/>
    <col min="3331" max="3331" width="25.7109375" style="13" hidden="1"/>
    <col min="3332" max="3582" width="9.140625" style="13" hidden="1"/>
    <col min="3583" max="3583" width="31" style="13" hidden="1"/>
    <col min="3584" max="3584" width="13.140625" style="13" hidden="1"/>
    <col min="3585" max="3585" width="36.42578125" style="13" hidden="1"/>
    <col min="3586" max="3586" width="11.42578125" style="13" hidden="1"/>
    <col min="3587" max="3587" width="25.7109375" style="13" hidden="1"/>
    <col min="3588" max="3838" width="9.140625" style="13" hidden="1"/>
    <col min="3839" max="3839" width="31" style="13" hidden="1"/>
    <col min="3840" max="3840" width="13.140625" style="13" hidden="1"/>
    <col min="3841" max="3841" width="36.42578125" style="13" hidden="1"/>
    <col min="3842" max="3842" width="11.42578125" style="13" hidden="1"/>
    <col min="3843" max="3843" width="25.7109375" style="13" hidden="1"/>
    <col min="3844" max="4094" width="9.140625" style="13" hidden="1"/>
    <col min="4095" max="4095" width="31" style="13" hidden="1"/>
    <col min="4096" max="4096" width="13.140625" style="13" hidden="1"/>
    <col min="4097" max="4097" width="36.42578125" style="13" hidden="1"/>
    <col min="4098" max="4098" width="11.42578125" style="13" hidden="1"/>
    <col min="4099" max="4099" width="25.7109375" style="13" hidden="1"/>
    <col min="4100" max="4350" width="9.140625" style="13" hidden="1"/>
    <col min="4351" max="4351" width="31" style="13" hidden="1"/>
    <col min="4352" max="4352" width="13.140625" style="13" hidden="1"/>
    <col min="4353" max="4353" width="36.42578125" style="13" hidden="1"/>
    <col min="4354" max="4354" width="11.42578125" style="13" hidden="1"/>
    <col min="4355" max="4355" width="25.7109375" style="13" hidden="1"/>
    <col min="4356" max="4606" width="9.140625" style="13" hidden="1"/>
    <col min="4607" max="4607" width="31" style="13" hidden="1"/>
    <col min="4608" max="4608" width="13.140625" style="13" hidden="1"/>
    <col min="4609" max="4609" width="36.42578125" style="13" hidden="1"/>
    <col min="4610" max="4610" width="11.42578125" style="13" hidden="1"/>
    <col min="4611" max="4611" width="25.7109375" style="13" hidden="1"/>
    <col min="4612" max="4862" width="9.140625" style="13" hidden="1"/>
    <col min="4863" max="4863" width="31" style="13" hidden="1"/>
    <col min="4864" max="4864" width="13.140625" style="13" hidden="1"/>
    <col min="4865" max="4865" width="36.42578125" style="13" hidden="1"/>
    <col min="4866" max="4866" width="11.42578125" style="13" hidden="1"/>
    <col min="4867" max="4867" width="25.7109375" style="13" hidden="1"/>
    <col min="4868" max="5118" width="9.140625" style="13" hidden="1"/>
    <col min="5119" max="5119" width="31" style="13" hidden="1"/>
    <col min="5120" max="5120" width="13.140625" style="13" hidden="1"/>
    <col min="5121" max="5121" width="36.42578125" style="13" hidden="1"/>
    <col min="5122" max="5122" width="11.42578125" style="13" hidden="1"/>
    <col min="5123" max="5123" width="25.7109375" style="13" hidden="1"/>
    <col min="5124" max="5374" width="9.140625" style="13" hidden="1"/>
    <col min="5375" max="5375" width="31" style="13" hidden="1"/>
    <col min="5376" max="5376" width="13.140625" style="13" hidden="1"/>
    <col min="5377" max="5377" width="36.42578125" style="13" hidden="1"/>
    <col min="5378" max="5378" width="11.42578125" style="13" hidden="1"/>
    <col min="5379" max="5379" width="25.7109375" style="13" hidden="1"/>
    <col min="5380" max="5630" width="9.140625" style="13" hidden="1"/>
    <col min="5631" max="5631" width="31" style="13" hidden="1"/>
    <col min="5632" max="5632" width="13.140625" style="13" hidden="1"/>
    <col min="5633" max="5633" width="36.42578125" style="13" hidden="1"/>
    <col min="5634" max="5634" width="11.42578125" style="13" hidden="1"/>
    <col min="5635" max="5635" width="25.7109375" style="13" hidden="1"/>
    <col min="5636" max="5886" width="9.140625" style="13" hidden="1"/>
    <col min="5887" max="5887" width="31" style="13" hidden="1"/>
    <col min="5888" max="5888" width="13.140625" style="13" hidden="1"/>
    <col min="5889" max="5889" width="36.42578125" style="13" hidden="1"/>
    <col min="5890" max="5890" width="11.42578125" style="13" hidden="1"/>
    <col min="5891" max="5891" width="25.7109375" style="13" hidden="1"/>
    <col min="5892" max="6142" width="9.140625" style="13" hidden="1"/>
    <col min="6143" max="6143" width="31" style="13" hidden="1"/>
    <col min="6144" max="6144" width="13.140625" style="13" hidden="1"/>
    <col min="6145" max="6145" width="36.42578125" style="13" hidden="1"/>
    <col min="6146" max="6146" width="11.42578125" style="13" hidden="1"/>
    <col min="6147" max="6147" width="25.7109375" style="13" hidden="1"/>
    <col min="6148" max="6398" width="9.140625" style="13" hidden="1"/>
    <col min="6399" max="6399" width="31" style="13" hidden="1"/>
    <col min="6400" max="6400" width="13.140625" style="13" hidden="1"/>
    <col min="6401" max="6401" width="36.42578125" style="13" hidden="1"/>
    <col min="6402" max="6402" width="11.42578125" style="13" hidden="1"/>
    <col min="6403" max="6403" width="25.7109375" style="13" hidden="1"/>
    <col min="6404" max="6654" width="9.140625" style="13" hidden="1"/>
    <col min="6655" max="6655" width="31" style="13" hidden="1"/>
    <col min="6656" max="6656" width="13.140625" style="13" hidden="1"/>
    <col min="6657" max="6657" width="36.42578125" style="13" hidden="1"/>
    <col min="6658" max="6658" width="11.42578125" style="13" hidden="1"/>
    <col min="6659" max="6659" width="25.7109375" style="13" hidden="1"/>
    <col min="6660" max="6910" width="9.140625" style="13" hidden="1"/>
    <col min="6911" max="6911" width="31" style="13" hidden="1"/>
    <col min="6912" max="6912" width="13.140625" style="13" hidden="1"/>
    <col min="6913" max="6913" width="36.42578125" style="13" hidden="1"/>
    <col min="6914" max="6914" width="11.42578125" style="13" hidden="1"/>
    <col min="6915" max="6915" width="25.7109375" style="13" hidden="1"/>
    <col min="6916" max="7166" width="9.140625" style="13" hidden="1"/>
    <col min="7167" max="7167" width="31" style="13" hidden="1"/>
    <col min="7168" max="7168" width="13.140625" style="13" hidden="1"/>
    <col min="7169" max="7169" width="36.42578125" style="13" hidden="1"/>
    <col min="7170" max="7170" width="11.42578125" style="13" hidden="1"/>
    <col min="7171" max="7171" width="25.7109375" style="13" hidden="1"/>
    <col min="7172" max="7422" width="9.140625" style="13" hidden="1"/>
    <col min="7423" max="7423" width="31" style="13" hidden="1"/>
    <col min="7424" max="7424" width="13.140625" style="13" hidden="1"/>
    <col min="7425" max="7425" width="36.42578125" style="13" hidden="1"/>
    <col min="7426" max="7426" width="11.42578125" style="13" hidden="1"/>
    <col min="7427" max="7427" width="25.7109375" style="13" hidden="1"/>
    <col min="7428" max="7678" width="9.140625" style="13" hidden="1"/>
    <col min="7679" max="7679" width="31" style="13" hidden="1"/>
    <col min="7680" max="7680" width="13.140625" style="13" hidden="1"/>
    <col min="7681" max="7681" width="36.42578125" style="13" hidden="1"/>
    <col min="7682" max="7682" width="11.42578125" style="13" hidden="1"/>
    <col min="7683" max="7683" width="25.7109375" style="13" hidden="1"/>
    <col min="7684" max="7934" width="9.140625" style="13" hidden="1"/>
    <col min="7935" max="7935" width="31" style="13" hidden="1"/>
    <col min="7936" max="7936" width="13.140625" style="13" hidden="1"/>
    <col min="7937" max="7937" width="36.42578125" style="13" hidden="1"/>
    <col min="7938" max="7938" width="11.42578125" style="13" hidden="1"/>
    <col min="7939" max="7939" width="25.7109375" style="13" hidden="1"/>
    <col min="7940" max="8190" width="9.140625" style="13" hidden="1"/>
    <col min="8191" max="8191" width="31" style="13" hidden="1"/>
    <col min="8192" max="8192" width="13.140625" style="13" hidden="1"/>
    <col min="8193" max="8193" width="36.42578125" style="13" hidden="1"/>
    <col min="8194" max="8194" width="11.42578125" style="13" hidden="1"/>
    <col min="8195" max="8195" width="25.7109375" style="13" hidden="1"/>
    <col min="8196" max="8446" width="9.140625" style="13" hidden="1"/>
    <col min="8447" max="8447" width="31" style="13" hidden="1"/>
    <col min="8448" max="8448" width="13.140625" style="13" hidden="1"/>
    <col min="8449" max="8449" width="36.42578125" style="13" hidden="1"/>
    <col min="8450" max="8450" width="11.42578125" style="13" hidden="1"/>
    <col min="8451" max="8451" width="25.7109375" style="13" hidden="1"/>
    <col min="8452" max="8702" width="9.140625" style="13" hidden="1"/>
    <col min="8703" max="8703" width="31" style="13" hidden="1"/>
    <col min="8704" max="8704" width="13.140625" style="13" hidden="1"/>
    <col min="8705" max="8705" width="36.42578125" style="13" hidden="1"/>
    <col min="8706" max="8706" width="11.42578125" style="13" hidden="1"/>
    <col min="8707" max="8707" width="25.7109375" style="13" hidden="1"/>
    <col min="8708" max="8958" width="9.140625" style="13" hidden="1"/>
    <col min="8959" max="8959" width="31" style="13" hidden="1"/>
    <col min="8960" max="8960" width="13.140625" style="13" hidden="1"/>
    <col min="8961" max="8961" width="36.42578125" style="13" hidden="1"/>
    <col min="8962" max="8962" width="11.42578125" style="13" hidden="1"/>
    <col min="8963" max="8963" width="25.7109375" style="13" hidden="1"/>
    <col min="8964" max="9214" width="9.140625" style="13" hidden="1"/>
    <col min="9215" max="9215" width="31" style="13" hidden="1"/>
    <col min="9216" max="9216" width="13.140625" style="13" hidden="1"/>
    <col min="9217" max="9217" width="36.42578125" style="13" hidden="1"/>
    <col min="9218" max="9218" width="11.42578125" style="13" hidden="1"/>
    <col min="9219" max="9219" width="25.7109375" style="13" hidden="1"/>
    <col min="9220" max="9470" width="9.140625" style="13" hidden="1"/>
    <col min="9471" max="9471" width="31" style="13" hidden="1"/>
    <col min="9472" max="9472" width="13.140625" style="13" hidden="1"/>
    <col min="9473" max="9473" width="36.42578125" style="13" hidden="1"/>
    <col min="9474" max="9474" width="11.42578125" style="13" hidden="1"/>
    <col min="9475" max="9475" width="25.7109375" style="13" hidden="1"/>
    <col min="9476" max="9726" width="9.140625" style="13" hidden="1"/>
    <col min="9727" max="9727" width="31" style="13" hidden="1"/>
    <col min="9728" max="9728" width="13.140625" style="13" hidden="1"/>
    <col min="9729" max="9729" width="36.42578125" style="13" hidden="1"/>
    <col min="9730" max="9730" width="11.42578125" style="13" hidden="1"/>
    <col min="9731" max="9731" width="25.7109375" style="13" hidden="1"/>
    <col min="9732" max="9982" width="9.140625" style="13" hidden="1"/>
    <col min="9983" max="9983" width="31" style="13" hidden="1"/>
    <col min="9984" max="9984" width="13.140625" style="13" hidden="1"/>
    <col min="9985" max="9985" width="36.42578125" style="13" hidden="1"/>
    <col min="9986" max="9986" width="11.42578125" style="13" hidden="1"/>
    <col min="9987" max="9987" width="25.7109375" style="13" hidden="1"/>
    <col min="9988" max="10238" width="9.140625" style="13" hidden="1"/>
    <col min="10239" max="10239" width="31" style="13" hidden="1"/>
    <col min="10240" max="10240" width="13.140625" style="13" hidden="1"/>
    <col min="10241" max="10241" width="36.42578125" style="13" hidden="1"/>
    <col min="10242" max="10242" width="11.42578125" style="13" hidden="1"/>
    <col min="10243" max="10243" width="25.7109375" style="13" hidden="1"/>
    <col min="10244" max="10494" width="9.140625" style="13" hidden="1"/>
    <col min="10495" max="10495" width="31" style="13" hidden="1"/>
    <col min="10496" max="10496" width="13.140625" style="13" hidden="1"/>
    <col min="10497" max="10497" width="36.42578125" style="13" hidden="1"/>
    <col min="10498" max="10498" width="11.42578125" style="13" hidden="1"/>
    <col min="10499" max="10499" width="25.7109375" style="13" hidden="1"/>
    <col min="10500" max="10750" width="9.140625" style="13" hidden="1"/>
    <col min="10751" max="10751" width="31" style="13" hidden="1"/>
    <col min="10752" max="10752" width="13.140625" style="13" hidden="1"/>
    <col min="10753" max="10753" width="36.42578125" style="13" hidden="1"/>
    <col min="10754" max="10754" width="11.42578125" style="13" hidden="1"/>
    <col min="10755" max="10755" width="25.7109375" style="13" hidden="1"/>
    <col min="10756" max="11006" width="9.140625" style="13" hidden="1"/>
    <col min="11007" max="11007" width="31" style="13" hidden="1"/>
    <col min="11008" max="11008" width="13.140625" style="13" hidden="1"/>
    <col min="11009" max="11009" width="36.42578125" style="13" hidden="1"/>
    <col min="11010" max="11010" width="11.42578125" style="13" hidden="1"/>
    <col min="11011" max="11011" width="25.7109375" style="13" hidden="1"/>
    <col min="11012" max="11262" width="9.140625" style="13" hidden="1"/>
    <col min="11263" max="11263" width="31" style="13" hidden="1"/>
    <col min="11264" max="11264" width="13.140625" style="13" hidden="1"/>
    <col min="11265" max="11265" width="36.42578125" style="13" hidden="1"/>
    <col min="11266" max="11266" width="11.42578125" style="13" hidden="1"/>
    <col min="11267" max="11267" width="25.7109375" style="13" hidden="1"/>
    <col min="11268" max="11518" width="9.140625" style="13" hidden="1"/>
    <col min="11519" max="11519" width="31" style="13" hidden="1"/>
    <col min="11520" max="11520" width="13.140625" style="13" hidden="1"/>
    <col min="11521" max="11521" width="36.42578125" style="13" hidden="1"/>
    <col min="11522" max="11522" width="11.42578125" style="13" hidden="1"/>
    <col min="11523" max="11523" width="25.7109375" style="13" hidden="1"/>
    <col min="11524" max="11774" width="9.140625" style="13" hidden="1"/>
    <col min="11775" max="11775" width="31" style="13" hidden="1"/>
    <col min="11776" max="11776" width="13.140625" style="13" hidden="1"/>
    <col min="11777" max="11777" width="36.42578125" style="13" hidden="1"/>
    <col min="11778" max="11778" width="11.42578125" style="13" hidden="1"/>
    <col min="11779" max="11779" width="25.7109375" style="13" hidden="1"/>
    <col min="11780" max="12030" width="9.140625" style="13" hidden="1"/>
    <col min="12031" max="12031" width="31" style="13" hidden="1"/>
    <col min="12032" max="12032" width="13.140625" style="13" hidden="1"/>
    <col min="12033" max="12033" width="36.42578125" style="13" hidden="1"/>
    <col min="12034" max="12034" width="11.42578125" style="13" hidden="1"/>
    <col min="12035" max="12035" width="25.7109375" style="13" hidden="1"/>
    <col min="12036" max="12286" width="9.140625" style="13" hidden="1"/>
    <col min="12287" max="12287" width="31" style="13" hidden="1"/>
    <col min="12288" max="12288" width="13.140625" style="13" hidden="1"/>
    <col min="12289" max="12289" width="36.42578125" style="13" hidden="1"/>
    <col min="12290" max="12290" width="11.42578125" style="13" hidden="1"/>
    <col min="12291" max="12291" width="25.7109375" style="13" hidden="1"/>
    <col min="12292" max="12542" width="9.140625" style="13" hidden="1"/>
    <col min="12543" max="12543" width="31" style="13" hidden="1"/>
    <col min="12544" max="12544" width="13.140625" style="13" hidden="1"/>
    <col min="12545" max="12545" width="36.42578125" style="13" hidden="1"/>
    <col min="12546" max="12546" width="11.42578125" style="13" hidden="1"/>
    <col min="12547" max="12547" width="25.7109375" style="13" hidden="1"/>
    <col min="12548" max="12798" width="9.140625" style="13" hidden="1"/>
    <col min="12799" max="12799" width="31" style="13" hidden="1"/>
    <col min="12800" max="12800" width="13.140625" style="13" hidden="1"/>
    <col min="12801" max="12801" width="36.42578125" style="13" hidden="1"/>
    <col min="12802" max="12802" width="11.42578125" style="13" hidden="1"/>
    <col min="12803" max="12803" width="25.7109375" style="13" hidden="1"/>
    <col min="12804" max="13054" width="9.140625" style="13" hidden="1"/>
    <col min="13055" max="13055" width="31" style="13" hidden="1"/>
    <col min="13056" max="13056" width="13.140625" style="13" hidden="1"/>
    <col min="13057" max="13057" width="36.42578125" style="13" hidden="1"/>
    <col min="13058" max="13058" width="11.42578125" style="13" hidden="1"/>
    <col min="13059" max="13059" width="25.7109375" style="13" hidden="1"/>
    <col min="13060" max="13310" width="9.140625" style="13" hidden="1"/>
    <col min="13311" max="13311" width="31" style="13" hidden="1"/>
    <col min="13312" max="13312" width="13.140625" style="13" hidden="1"/>
    <col min="13313" max="13313" width="36.42578125" style="13" hidden="1"/>
    <col min="13314" max="13314" width="11.42578125" style="13" hidden="1"/>
    <col min="13315" max="13315" width="25.7109375" style="13" hidden="1"/>
    <col min="13316" max="13566" width="9.140625" style="13" hidden="1"/>
    <col min="13567" max="13567" width="31" style="13" hidden="1"/>
    <col min="13568" max="13568" width="13.140625" style="13" hidden="1"/>
    <col min="13569" max="13569" width="36.42578125" style="13" hidden="1"/>
    <col min="13570" max="13570" width="11.42578125" style="13" hidden="1"/>
    <col min="13571" max="13571" width="25.7109375" style="13" hidden="1"/>
    <col min="13572" max="13822" width="9.140625" style="13" hidden="1"/>
    <col min="13823" max="13823" width="31" style="13" hidden="1"/>
    <col min="13824" max="13824" width="13.140625" style="13" hidden="1"/>
    <col min="13825" max="13825" width="36.42578125" style="13" hidden="1"/>
    <col min="13826" max="13826" width="11.42578125" style="13" hidden="1"/>
    <col min="13827" max="13827" width="25.7109375" style="13" hidden="1"/>
    <col min="13828" max="14078" width="9.140625" style="13" hidden="1"/>
    <col min="14079" max="14079" width="31" style="13" hidden="1"/>
    <col min="14080" max="14080" width="13.140625" style="13" hidden="1"/>
    <col min="14081" max="14081" width="36.42578125" style="13" hidden="1"/>
    <col min="14082" max="14082" width="11.42578125" style="13" hidden="1"/>
    <col min="14083" max="14083" width="25.7109375" style="13" hidden="1"/>
    <col min="14084" max="14334" width="9.140625" style="13" hidden="1"/>
    <col min="14335" max="14335" width="31" style="13" hidden="1"/>
    <col min="14336" max="14336" width="13.140625" style="13" hidden="1"/>
    <col min="14337" max="14337" width="36.42578125" style="13" hidden="1"/>
    <col min="14338" max="14338" width="11.42578125" style="13" hidden="1"/>
    <col min="14339" max="14339" width="25.7109375" style="13" hidden="1"/>
    <col min="14340" max="14590" width="9.140625" style="13" hidden="1"/>
    <col min="14591" max="14591" width="31" style="13" hidden="1"/>
    <col min="14592" max="14592" width="13.140625" style="13" hidden="1"/>
    <col min="14593" max="14593" width="36.42578125" style="13" hidden="1"/>
    <col min="14594" max="14594" width="11.42578125" style="13" hidden="1"/>
    <col min="14595" max="14595" width="25.7109375" style="13" hidden="1"/>
    <col min="14596" max="14846" width="9.140625" style="13" hidden="1"/>
    <col min="14847" max="14847" width="31" style="13" hidden="1"/>
    <col min="14848" max="14848" width="13.140625" style="13" hidden="1"/>
    <col min="14849" max="14849" width="36.42578125" style="13" hidden="1"/>
    <col min="14850" max="14850" width="11.42578125" style="13" hidden="1"/>
    <col min="14851" max="14851" width="25.7109375" style="13" hidden="1"/>
    <col min="14852" max="15102" width="9.140625" style="13" hidden="1"/>
    <col min="15103" max="15103" width="31" style="13" hidden="1"/>
    <col min="15104" max="15104" width="13.140625" style="13" hidden="1"/>
    <col min="15105" max="15105" width="36.42578125" style="13" hidden="1"/>
    <col min="15106" max="15106" width="11.42578125" style="13" hidden="1"/>
    <col min="15107" max="15107" width="25.7109375" style="13" hidden="1"/>
    <col min="15108" max="15358" width="9.140625" style="13" hidden="1"/>
    <col min="15359" max="15359" width="31" style="13" hidden="1"/>
    <col min="15360" max="15360" width="13.140625" style="13" hidden="1"/>
    <col min="15361" max="15361" width="36.42578125" style="13" hidden="1"/>
    <col min="15362" max="15362" width="11.42578125" style="13" hidden="1"/>
    <col min="15363" max="15363" width="25.7109375" style="13" hidden="1"/>
    <col min="15364" max="15614" width="9.140625" style="13" hidden="1"/>
    <col min="15615" max="15615" width="31" style="13" hidden="1"/>
    <col min="15616" max="15616" width="13.140625" style="13" hidden="1"/>
    <col min="15617" max="15617" width="36.42578125" style="13" hidden="1"/>
    <col min="15618" max="15618" width="11.42578125" style="13" hidden="1"/>
    <col min="15619" max="15619" width="25.7109375" style="13" hidden="1"/>
    <col min="15620" max="15870" width="9.140625" style="13" hidden="1"/>
    <col min="15871" max="15871" width="31" style="13" hidden="1"/>
    <col min="15872" max="15872" width="13.140625" style="13" hidden="1"/>
    <col min="15873" max="15873" width="36.42578125" style="13" hidden="1"/>
    <col min="15874" max="15874" width="11.42578125" style="13" hidden="1"/>
    <col min="15875" max="15875" width="25.7109375" style="13" hidden="1"/>
    <col min="15876" max="16126" width="9.140625" style="13" hidden="1"/>
    <col min="16127" max="16127" width="31" style="13" hidden="1"/>
    <col min="16128" max="16128" width="13.140625" style="13" hidden="1"/>
    <col min="16129" max="16129" width="36.42578125" style="13" hidden="1"/>
    <col min="16130" max="16130" width="11.42578125" style="13" hidden="1"/>
    <col min="16131" max="16131" width="25.7109375" style="13" hidden="1"/>
    <col min="16132" max="16384" width="9.140625" style="13" hidden="1"/>
  </cols>
  <sheetData>
    <row r="1" spans="1:9" ht="15.75" x14ac:dyDescent="0.25">
      <c r="A1" s="211" t="s">
        <v>82</v>
      </c>
      <c r="B1" s="211"/>
      <c r="C1" s="211"/>
      <c r="D1" s="211"/>
      <c r="E1" s="211"/>
      <c r="F1" s="211"/>
      <c r="G1" s="211"/>
      <c r="H1" s="211"/>
      <c r="I1" s="211"/>
    </row>
    <row r="2" spans="1:9" ht="15.75" customHeight="1" x14ac:dyDescent="0.25">
      <c r="A2" s="214" t="s">
        <v>273</v>
      </c>
      <c r="B2" s="215"/>
      <c r="C2" s="215"/>
      <c r="D2" s="215"/>
      <c r="E2" s="215"/>
      <c r="F2" s="215"/>
      <c r="G2" s="215"/>
      <c r="H2" s="215"/>
      <c r="I2" s="216"/>
    </row>
    <row r="3" spans="1:9" x14ac:dyDescent="0.25">
      <c r="A3" s="186" t="s">
        <v>272</v>
      </c>
      <c r="C3" s="131"/>
      <c r="D3" s="131"/>
      <c r="E3" s="131"/>
      <c r="F3" s="131"/>
    </row>
    <row r="4" spans="1:9" ht="45" x14ac:dyDescent="0.25">
      <c r="A4" s="184" t="s">
        <v>268</v>
      </c>
      <c r="B4" s="184" t="s">
        <v>270</v>
      </c>
      <c r="C4" s="184" t="s">
        <v>250</v>
      </c>
      <c r="D4" s="184" t="s">
        <v>91</v>
      </c>
      <c r="E4" s="184" t="s">
        <v>210</v>
      </c>
      <c r="F4" s="184" t="s">
        <v>84</v>
      </c>
    </row>
    <row r="5" spans="1:9" x14ac:dyDescent="0.25">
      <c r="A5" s="178" t="s">
        <v>251</v>
      </c>
      <c r="B5" s="187">
        <f>Reference!B92</f>
        <v>0.1321</v>
      </c>
      <c r="C5" s="182"/>
      <c r="D5" s="115">
        <f>C5*1000*8760*Reference!B92/7600</f>
        <v>0</v>
      </c>
      <c r="E5" s="124">
        <f>C5*1000*8760*Reference!B92</f>
        <v>0</v>
      </c>
      <c r="F5" s="172">
        <f>E5*(Reference!$E$29)/Reference!$B$77</f>
        <v>0</v>
      </c>
    </row>
    <row r="6" spans="1:9" x14ac:dyDescent="0.25">
      <c r="A6" s="178" t="s">
        <v>252</v>
      </c>
      <c r="B6" s="183">
        <f>Reference!B93</f>
        <v>0.26</v>
      </c>
      <c r="C6" s="182"/>
      <c r="D6" s="115">
        <f>C6*1000*8760*Reference!B93/7600</f>
        <v>0</v>
      </c>
      <c r="E6" s="124">
        <f>C6*1000*8760*Reference!B93</f>
        <v>0</v>
      </c>
      <c r="F6" s="172">
        <f>E6*(Reference!$E$29)/Reference!$B$77</f>
        <v>0</v>
      </c>
    </row>
    <row r="7" spans="1:9" x14ac:dyDescent="0.25">
      <c r="A7" s="178" t="s">
        <v>253</v>
      </c>
      <c r="B7" s="183">
        <f>Reference!B94</f>
        <v>0.38</v>
      </c>
      <c r="C7" s="182"/>
      <c r="D7" s="115">
        <f>C7*1000*8760*Reference!B94/7600</f>
        <v>0</v>
      </c>
      <c r="E7" s="124">
        <f>C7*1000*8760*Reference!B94</f>
        <v>0</v>
      </c>
      <c r="F7" s="172">
        <f>E7*(Reference!$E$29)/Reference!$B$77</f>
        <v>0</v>
      </c>
    </row>
    <row r="8" spans="1:9" x14ac:dyDescent="0.25">
      <c r="A8" s="178" t="s">
        <v>248</v>
      </c>
      <c r="B8" s="192">
        <v>0.9</v>
      </c>
      <c r="C8" s="182"/>
      <c r="D8" s="115">
        <f>C8*1000*8760*Reference!B95/7600</f>
        <v>0</v>
      </c>
      <c r="E8" s="124">
        <f>C8*1000*8760*B8</f>
        <v>0</v>
      </c>
      <c r="F8" s="172">
        <f>E8*(Reference!$E$29)/Reference!$B$77</f>
        <v>0</v>
      </c>
    </row>
    <row r="9" spans="1:9" x14ac:dyDescent="0.25">
      <c r="A9" s="178" t="s">
        <v>249</v>
      </c>
      <c r="B9" s="192">
        <v>0.8</v>
      </c>
      <c r="C9" s="182"/>
      <c r="D9" s="115">
        <f>C9*1000*8760*Reference!B96/7600</f>
        <v>0</v>
      </c>
      <c r="E9" s="124">
        <f>C9*1000*8760*B9</f>
        <v>0</v>
      </c>
      <c r="F9" s="172">
        <f>E9*(Reference!$E$29)/Reference!$B$77</f>
        <v>0</v>
      </c>
    </row>
    <row r="10" spans="1:9" x14ac:dyDescent="0.25">
      <c r="A10" s="185"/>
      <c r="B10" s="170"/>
      <c r="C10" s="170"/>
      <c r="D10" s="170"/>
      <c r="E10" s="170"/>
      <c r="F10" s="170"/>
    </row>
    <row r="11" spans="1:9" x14ac:dyDescent="0.25">
      <c r="A11" s="186" t="s">
        <v>271</v>
      </c>
      <c r="B11" s="13"/>
      <c r="C11" s="13"/>
      <c r="D11" s="13"/>
      <c r="E11" s="13"/>
      <c r="F11" s="170"/>
    </row>
    <row r="12" spans="1:9" ht="45" x14ac:dyDescent="0.25">
      <c r="A12" s="184" t="s">
        <v>268</v>
      </c>
      <c r="B12" s="184" t="s">
        <v>270</v>
      </c>
      <c r="C12" s="184" t="s">
        <v>250</v>
      </c>
      <c r="D12" s="184" t="s">
        <v>91</v>
      </c>
      <c r="E12" s="184" t="s">
        <v>210</v>
      </c>
      <c r="F12" s="184" t="s">
        <v>84</v>
      </c>
    </row>
    <row r="13" spans="1:9" ht="15" customHeight="1" x14ac:dyDescent="0.25">
      <c r="A13" s="178" t="s">
        <v>251</v>
      </c>
      <c r="B13" s="187">
        <f>Reference!B92</f>
        <v>0.1321</v>
      </c>
      <c r="C13" s="182"/>
      <c r="D13" s="115">
        <f>C5*1000*8760*Reference!B92/7600</f>
        <v>0</v>
      </c>
      <c r="E13" s="124">
        <f>C5*1000*8760*Reference!B92</f>
        <v>0</v>
      </c>
      <c r="F13" s="172">
        <f>E5*(Reference!$E$14)/Reference!$B$77</f>
        <v>0</v>
      </c>
    </row>
    <row r="14" spans="1:9" x14ac:dyDescent="0.25">
      <c r="A14" s="178" t="s">
        <v>252</v>
      </c>
      <c r="B14" s="183">
        <f>Reference!B93</f>
        <v>0.26</v>
      </c>
      <c r="C14" s="182"/>
      <c r="D14" s="115">
        <f>C6*1000*8760*Reference!B93/7600</f>
        <v>0</v>
      </c>
      <c r="E14" s="124">
        <f>C6*1000*8760*Reference!B93</f>
        <v>0</v>
      </c>
      <c r="F14" s="172">
        <f>E6*(Reference!$E$14)/Reference!$B$77</f>
        <v>0</v>
      </c>
    </row>
    <row r="15" spans="1:9" x14ac:dyDescent="0.25">
      <c r="A15" s="178" t="s">
        <v>253</v>
      </c>
      <c r="B15" s="183">
        <f>Reference!B94</f>
        <v>0.38</v>
      </c>
      <c r="C15" s="182"/>
      <c r="D15" s="115">
        <f>C7*1000*8760*Reference!B94/7600</f>
        <v>0</v>
      </c>
      <c r="E15" s="124">
        <f>C7*1000*8760*Reference!B94</f>
        <v>0</v>
      </c>
      <c r="F15" s="172">
        <f>E7*(Reference!$E$14)/Reference!$B$77</f>
        <v>0</v>
      </c>
    </row>
    <row r="16" spans="1:9" x14ac:dyDescent="0.25">
      <c r="A16" s="178" t="s">
        <v>248</v>
      </c>
      <c r="B16" s="192">
        <v>0.9</v>
      </c>
      <c r="C16" s="182"/>
      <c r="D16" s="115">
        <f>C8*1000*8760*Reference!B95/7600</f>
        <v>0</v>
      </c>
      <c r="E16" s="124">
        <f>C16*1000*8760*B16</f>
        <v>0</v>
      </c>
      <c r="F16" s="172">
        <f>E8*(Reference!$E$14)/Reference!$B$77</f>
        <v>0</v>
      </c>
    </row>
    <row r="17" spans="1:9" x14ac:dyDescent="0.25">
      <c r="A17" s="178" t="s">
        <v>249</v>
      </c>
      <c r="B17" s="192">
        <v>0.8</v>
      </c>
      <c r="C17" s="182"/>
      <c r="D17" s="115">
        <f>C9*1000*8760*Reference!B96/7600</f>
        <v>0</v>
      </c>
      <c r="E17" s="124">
        <f>C17*1000*8760*B17</f>
        <v>0</v>
      </c>
      <c r="F17" s="172">
        <f>E9*(Reference!$E$14)/Reference!$B$77</f>
        <v>0</v>
      </c>
    </row>
    <row r="18" spans="1:9" x14ac:dyDescent="0.25">
      <c r="A18" s="166"/>
      <c r="B18" s="167"/>
      <c r="C18" s="168"/>
      <c r="D18" s="17"/>
      <c r="E18" s="169"/>
      <c r="F18" s="170"/>
    </row>
    <row r="19" spans="1:9" x14ac:dyDescent="0.25"/>
    <row r="20" spans="1:9" ht="15.75" x14ac:dyDescent="0.25">
      <c r="A20" s="211" t="s">
        <v>87</v>
      </c>
      <c r="B20" s="211"/>
      <c r="C20" s="211"/>
      <c r="D20" s="211"/>
      <c r="E20" s="211"/>
      <c r="F20" s="211"/>
      <c r="G20" s="211"/>
      <c r="H20" s="211"/>
      <c r="I20" s="211"/>
    </row>
    <row r="21" spans="1:9" x14ac:dyDescent="0.25">
      <c r="A21" s="13"/>
      <c r="B21" s="13"/>
      <c r="C21" s="13"/>
      <c r="D21" s="13"/>
      <c r="E21" s="13"/>
    </row>
    <row r="22" spans="1:9" x14ac:dyDescent="0.25">
      <c r="A22" s="212" t="s">
        <v>266</v>
      </c>
      <c r="B22" s="212"/>
      <c r="C22" s="212"/>
      <c r="D22" s="13"/>
      <c r="E22" s="13"/>
    </row>
    <row r="23" spans="1:9" ht="30" x14ac:dyDescent="0.25">
      <c r="A23" s="13"/>
      <c r="B23" s="75" t="s">
        <v>269</v>
      </c>
      <c r="C23" s="75" t="s">
        <v>115</v>
      </c>
      <c r="D23" s="13"/>
      <c r="E23" s="13"/>
    </row>
    <row r="24" spans="1:9" ht="30" x14ac:dyDescent="0.25">
      <c r="A24" s="176" t="s">
        <v>114</v>
      </c>
      <c r="B24" s="8"/>
      <c r="C24" s="115">
        <f>B24/129</f>
        <v>0</v>
      </c>
      <c r="D24" s="13"/>
      <c r="E24" s="13"/>
    </row>
    <row r="25" spans="1:9" x14ac:dyDescent="0.25">
      <c r="A25" s="13"/>
      <c r="B25" s="13"/>
      <c r="C25" s="13"/>
      <c r="D25" s="13"/>
      <c r="E25" s="13"/>
    </row>
    <row r="26" spans="1:9" x14ac:dyDescent="0.25">
      <c r="A26" s="212" t="s">
        <v>258</v>
      </c>
      <c r="B26" s="212"/>
      <c r="C26" s="212"/>
      <c r="D26" s="212"/>
      <c r="E26" s="13"/>
      <c r="F26" s="212" t="s">
        <v>259</v>
      </c>
      <c r="G26" s="212"/>
      <c r="H26" s="212"/>
      <c r="I26" s="212"/>
    </row>
    <row r="27" spans="1:9" ht="45" x14ac:dyDescent="0.25">
      <c r="A27" s="13"/>
      <c r="B27" s="75" t="s">
        <v>255</v>
      </c>
      <c r="C27" s="75" t="s">
        <v>91</v>
      </c>
      <c r="D27" s="75" t="s">
        <v>84</v>
      </c>
      <c r="E27" s="13"/>
      <c r="F27" s="177"/>
      <c r="G27" s="75" t="s">
        <v>254</v>
      </c>
      <c r="H27" s="75" t="s">
        <v>265</v>
      </c>
      <c r="I27" s="75" t="s">
        <v>84</v>
      </c>
    </row>
    <row r="28" spans="1:9" x14ac:dyDescent="0.25">
      <c r="A28" s="171" t="s">
        <v>88</v>
      </c>
      <c r="B28" s="191"/>
      <c r="C28" s="115">
        <f>B28/7600</f>
        <v>0</v>
      </c>
      <c r="D28" s="172">
        <f>B28*(Reference!E29)/Reference!$B$77</f>
        <v>0</v>
      </c>
      <c r="E28" s="13"/>
      <c r="F28" s="181" t="s">
        <v>260</v>
      </c>
      <c r="G28" s="190"/>
      <c r="H28" s="115">
        <f>G28/Reference!B70</f>
        <v>0</v>
      </c>
      <c r="I28" s="172">
        <f>(G28*Reference!E34)/Reference!$B$77</f>
        <v>0</v>
      </c>
    </row>
    <row r="29" spans="1:9" x14ac:dyDescent="0.25">
      <c r="A29" s="177" t="s">
        <v>89</v>
      </c>
      <c r="B29" s="8"/>
      <c r="C29" s="115">
        <f>(B29*1000)/7600</f>
        <v>0</v>
      </c>
      <c r="D29" s="172">
        <f>B29*(Reference!E29)*1000/Reference!$B$77</f>
        <v>0</v>
      </c>
      <c r="E29" s="13"/>
      <c r="F29" s="181" t="s">
        <v>261</v>
      </c>
      <c r="G29" s="8"/>
      <c r="H29" s="115">
        <f>G29/(Reference!B70*0.1)</f>
        <v>0</v>
      </c>
      <c r="I29" s="172">
        <f>((G29*1000)/Reference!H34)*Reference!E34/Reference!$B$77</f>
        <v>0</v>
      </c>
    </row>
    <row r="30" spans="1:9" x14ac:dyDescent="0.25">
      <c r="A30" s="177" t="s">
        <v>90</v>
      </c>
      <c r="B30" s="190"/>
      <c r="C30" s="115">
        <f>(B30*1000000)/7600</f>
        <v>0</v>
      </c>
      <c r="D30" s="172">
        <f>B30*(Reference!E29)*1000000/Reference!$B$77</f>
        <v>0</v>
      </c>
      <c r="E30" s="13"/>
      <c r="F30" s="181" t="s">
        <v>263</v>
      </c>
      <c r="G30" s="8"/>
      <c r="H30" s="115">
        <f>G30/Reference!B71</f>
        <v>0</v>
      </c>
      <c r="I30" s="172">
        <f>G30*Reference!E36/Reference!$B$77</f>
        <v>0</v>
      </c>
    </row>
    <row r="31" spans="1:9" ht="30" x14ac:dyDescent="0.25">
      <c r="A31" s="177" t="s">
        <v>262</v>
      </c>
      <c r="B31" s="8"/>
      <c r="C31" s="115">
        <f>B31/(7600*0.003412)</f>
        <v>0</v>
      </c>
      <c r="D31" s="172">
        <f>B31*1000*Reference!H29*Reference!E29/Reference!$B$77</f>
        <v>0</v>
      </c>
      <c r="E31" s="13"/>
      <c r="F31" s="181" t="s">
        <v>264</v>
      </c>
      <c r="G31" s="8"/>
      <c r="H31" s="115">
        <f>G31/(Reference!B71*0.13869)</f>
        <v>0</v>
      </c>
      <c r="I31" s="172">
        <f>((G31*1000)/Reference!H37)*Reference!E37/Reference!$B$77</f>
        <v>0</v>
      </c>
    </row>
    <row r="32" spans="1:9" x14ac:dyDescent="0.25">
      <c r="A32" s="173"/>
      <c r="B32" s="174"/>
      <c r="C32" s="175"/>
      <c r="D32" s="131"/>
      <c r="E32" s="170"/>
    </row>
    <row r="33" spans="1:9" x14ac:dyDescent="0.25">
      <c r="A33" s="213" t="s">
        <v>267</v>
      </c>
      <c r="B33" s="213"/>
      <c r="C33" s="213"/>
      <c r="D33" s="13"/>
      <c r="E33" s="13"/>
    </row>
    <row r="34" spans="1:9" ht="30" x14ac:dyDescent="0.25">
      <c r="A34" s="176"/>
      <c r="B34" s="75" t="s">
        <v>6</v>
      </c>
      <c r="C34" s="75" t="s">
        <v>84</v>
      </c>
      <c r="D34" s="170"/>
      <c r="E34" s="13"/>
    </row>
    <row r="35" spans="1:9" x14ac:dyDescent="0.25">
      <c r="A35" s="180" t="s">
        <v>6</v>
      </c>
      <c r="B35" s="8"/>
      <c r="C35" s="124">
        <f>(B35*Reference!E46)/Reference!B77</f>
        <v>0</v>
      </c>
      <c r="D35" s="13"/>
      <c r="E35" s="13"/>
      <c r="F35" s="18"/>
    </row>
    <row r="36" spans="1:9" x14ac:dyDescent="0.25">
      <c r="A36" s="13"/>
      <c r="B36" s="13"/>
      <c r="C36" s="13"/>
      <c r="D36" s="13"/>
      <c r="E36" s="13"/>
      <c r="F36" s="19"/>
    </row>
    <row r="37" spans="1:9" x14ac:dyDescent="0.25"/>
    <row r="38" spans="1:9" ht="15.75" x14ac:dyDescent="0.25">
      <c r="A38" s="211" t="s">
        <v>211</v>
      </c>
      <c r="B38" s="211"/>
      <c r="C38" s="211"/>
      <c r="D38" s="211"/>
      <c r="E38" s="211"/>
      <c r="F38" s="211"/>
      <c r="G38" s="211"/>
      <c r="H38" s="211"/>
      <c r="I38" s="211"/>
    </row>
    <row r="39" spans="1:9" x14ac:dyDescent="0.25">
      <c r="A39" s="114"/>
      <c r="B39" s="114"/>
      <c r="C39" s="114"/>
      <c r="E39" s="114"/>
      <c r="F39" s="114"/>
      <c r="G39" s="114"/>
      <c r="H39" s="114"/>
      <c r="I39" s="114"/>
    </row>
    <row r="40" spans="1:9" ht="30" x14ac:dyDescent="0.25">
      <c r="A40" s="179"/>
      <c r="B40" s="75" t="s">
        <v>225</v>
      </c>
      <c r="C40" s="75" t="s">
        <v>98</v>
      </c>
      <c r="D40" s="13"/>
      <c r="E40" s="188"/>
    </row>
    <row r="41" spans="1:9" ht="15.75" customHeight="1" x14ac:dyDescent="0.25">
      <c r="A41" s="171" t="s">
        <v>256</v>
      </c>
      <c r="B41" s="190"/>
      <c r="C41" s="172">
        <f>B41/Reference!$B$77</f>
        <v>0</v>
      </c>
      <c r="D41" s="13"/>
      <c r="F41" s="116"/>
      <c r="G41" s="189"/>
      <c r="H41" s="189"/>
    </row>
    <row r="42" spans="1:9" x14ac:dyDescent="0.25">
      <c r="A42" s="171" t="s">
        <v>257</v>
      </c>
      <c r="B42" s="8"/>
      <c r="C42" s="172">
        <f>(B42*1.1)/Reference!$B$77</f>
        <v>0</v>
      </c>
      <c r="D42" s="13"/>
      <c r="H42" s="189"/>
    </row>
    <row r="43" spans="1:9" x14ac:dyDescent="0.25">
      <c r="H43" s="19"/>
    </row>
    <row r="44" spans="1:9" x14ac:dyDescent="0.25"/>
    <row r="45" spans="1:9" x14ac:dyDescent="0.25"/>
    <row r="46" spans="1:9" hidden="1" x14ac:dyDescent="0.25">
      <c r="B46" s="132"/>
    </row>
    <row r="47" spans="1:9" hidden="1" x14ac:dyDescent="0.25">
      <c r="B47" s="132"/>
    </row>
    <row r="48" spans="1:9" hidden="1" x14ac:dyDescent="0.25">
      <c r="B48" s="132"/>
    </row>
    <row r="49" spans="2:2" hidden="1" x14ac:dyDescent="0.25">
      <c r="B49" s="132"/>
    </row>
  </sheetData>
  <sheetProtection password="CC30" sheet="1" objects="1" scenarios="1"/>
  <mergeCells count="8">
    <mergeCell ref="A38:I38"/>
    <mergeCell ref="A1:I1"/>
    <mergeCell ref="A26:D26"/>
    <mergeCell ref="F26:I26"/>
    <mergeCell ref="A22:C22"/>
    <mergeCell ref="A33:C33"/>
    <mergeCell ref="A20:I20"/>
    <mergeCell ref="A2:I2"/>
  </mergeCells>
  <pageMargins left="0.7" right="0.7" top="0.75" bottom="0.75" header="0.3" footer="0.3"/>
  <pageSetup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showGridLines="0" workbookViewId="0">
      <selection sqref="A1:C1"/>
    </sheetView>
  </sheetViews>
  <sheetFormatPr defaultColWidth="0" defaultRowHeight="15" zeroHeight="1" x14ac:dyDescent="0.25"/>
  <cols>
    <col min="1" max="1" width="38.140625" style="10" bestFit="1" customWidth="1"/>
    <col min="2" max="2" width="14.7109375" style="10" customWidth="1"/>
    <col min="3" max="3" width="18" style="10" bestFit="1" customWidth="1"/>
    <col min="4" max="4" width="20.5703125" style="39" bestFit="1" customWidth="1"/>
    <col min="5" max="5" width="22.28515625" style="30" bestFit="1" customWidth="1"/>
    <col min="6" max="6" width="11" style="13" bestFit="1" customWidth="1"/>
    <col min="7" max="7" width="22.140625" style="12" bestFit="1" customWidth="1"/>
    <col min="8" max="8" width="27.28515625" style="10" bestFit="1" customWidth="1"/>
    <col min="9" max="9" width="32.42578125" style="10" bestFit="1" customWidth="1"/>
    <col min="10" max="10" width="21.7109375" style="10" bestFit="1" customWidth="1"/>
    <col min="11" max="11" width="22.85546875" style="38" hidden="1" customWidth="1"/>
    <col min="12" max="12" width="11.140625" style="41" hidden="1" customWidth="1"/>
    <col min="13" max="13" width="106.28515625" style="13" hidden="1" customWidth="1"/>
    <col min="14" max="16384" width="9.140625" style="10" hidden="1"/>
  </cols>
  <sheetData>
    <row r="1" spans="1:13" s="9" customFormat="1" ht="36" customHeight="1" thickBot="1" x14ac:dyDescent="0.3">
      <c r="A1" s="223" t="s">
        <v>213</v>
      </c>
      <c r="B1" s="224"/>
      <c r="C1" s="225"/>
      <c r="D1" s="220" t="s">
        <v>182</v>
      </c>
      <c r="E1" s="221"/>
      <c r="F1" s="222" t="s">
        <v>32</v>
      </c>
      <c r="G1" s="222"/>
      <c r="H1" s="222"/>
      <c r="I1" s="222"/>
    </row>
    <row r="2" spans="1:13" ht="26.25" x14ac:dyDescent="0.4">
      <c r="A2" s="226" t="s">
        <v>223</v>
      </c>
      <c r="B2" s="227"/>
      <c r="C2" s="227"/>
      <c r="D2" s="227"/>
      <c r="E2" s="227"/>
      <c r="F2" s="227"/>
      <c r="G2" s="227"/>
      <c r="H2" s="227"/>
      <c r="I2" s="228"/>
      <c r="K2" s="37"/>
    </row>
    <row r="3" spans="1:13" s="9" customFormat="1" ht="45" x14ac:dyDescent="0.25">
      <c r="A3" s="142" t="s">
        <v>214</v>
      </c>
      <c r="B3" s="22" t="s">
        <v>215</v>
      </c>
      <c r="C3" s="22" t="s">
        <v>218</v>
      </c>
      <c r="D3" s="3" t="s">
        <v>78</v>
      </c>
      <c r="E3" s="3" t="s">
        <v>77</v>
      </c>
      <c r="F3" s="31" t="s">
        <v>101</v>
      </c>
      <c r="G3" s="35" t="s">
        <v>200</v>
      </c>
      <c r="H3" s="31" t="s">
        <v>201</v>
      </c>
      <c r="I3" s="143" t="s">
        <v>202</v>
      </c>
    </row>
    <row r="4" spans="1:13" x14ac:dyDescent="0.25">
      <c r="A4" s="144" t="s">
        <v>83</v>
      </c>
      <c r="B4" s="158"/>
      <c r="C4" s="124">
        <f>B4*1000*8760*0.1321</f>
        <v>0</v>
      </c>
      <c r="D4" s="99">
        <f>C4/Reference!$B$69</f>
        <v>0</v>
      </c>
      <c r="E4" s="100">
        <f>G4/Reference!$B$72</f>
        <v>0</v>
      </c>
      <c r="F4" s="128">
        <v>3.4119999999999999</v>
      </c>
      <c r="G4" s="117">
        <f>C4*F4/1000</f>
        <v>0</v>
      </c>
      <c r="H4" s="117">
        <f>C4*F4</f>
        <v>0</v>
      </c>
      <c r="I4" s="145">
        <f>H4*1000</f>
        <v>0</v>
      </c>
      <c r="K4" s="10"/>
      <c r="L4" s="10"/>
      <c r="M4" s="10"/>
    </row>
    <row r="5" spans="1:13" x14ac:dyDescent="0.25">
      <c r="A5" s="144" t="s">
        <v>85</v>
      </c>
      <c r="B5" s="158"/>
      <c r="C5" s="124">
        <f>B5*1000*8760*0.26</f>
        <v>0</v>
      </c>
      <c r="D5" s="99">
        <f>C5/Reference!$B$69</f>
        <v>0</v>
      </c>
      <c r="E5" s="100">
        <f>G5/Reference!$B$72</f>
        <v>0</v>
      </c>
      <c r="F5" s="128">
        <v>3.4119999999999999</v>
      </c>
      <c r="G5" s="117">
        <f>C5*F5/1000</f>
        <v>0</v>
      </c>
      <c r="H5" s="117">
        <f>C5*F5</f>
        <v>0</v>
      </c>
      <c r="I5" s="145">
        <f>H5*1000</f>
        <v>0</v>
      </c>
      <c r="K5" s="10"/>
      <c r="L5" s="10"/>
      <c r="M5" s="10"/>
    </row>
    <row r="6" spans="1:13" x14ac:dyDescent="0.25">
      <c r="A6" s="144" t="s">
        <v>86</v>
      </c>
      <c r="B6" s="158"/>
      <c r="C6" s="124">
        <f>B6*1000*8760*0.38</f>
        <v>0</v>
      </c>
      <c r="D6" s="99">
        <f>C6/Reference!$B$69</f>
        <v>0</v>
      </c>
      <c r="E6" s="100">
        <f>G6/Reference!$B$72</f>
        <v>0</v>
      </c>
      <c r="F6" s="128">
        <v>3.4119999999999999</v>
      </c>
      <c r="G6" s="117">
        <f>C6*F6/1000</f>
        <v>0</v>
      </c>
      <c r="H6" s="117">
        <f>C6*F6</f>
        <v>0</v>
      </c>
      <c r="I6" s="145">
        <f>H6*1000</f>
        <v>0</v>
      </c>
      <c r="K6" s="10"/>
      <c r="L6" s="10"/>
      <c r="M6" s="10"/>
    </row>
    <row r="7" spans="1:13" ht="18.75" x14ac:dyDescent="0.3">
      <c r="A7" s="146" t="s">
        <v>81</v>
      </c>
      <c r="B7" s="125"/>
      <c r="C7" s="125"/>
      <c r="D7" s="126">
        <f>SUM(D4:D6)</f>
        <v>0</v>
      </c>
      <c r="E7" s="126">
        <f>SUM(E4:E6)</f>
        <v>0</v>
      </c>
      <c r="F7" s="127"/>
      <c r="G7" s="126">
        <f>SUM(G4:G6)</f>
        <v>0</v>
      </c>
      <c r="H7" s="126">
        <f>SUM(H4:H6)</f>
        <v>0</v>
      </c>
      <c r="I7" s="147">
        <f>SUM(I4:I6)</f>
        <v>0</v>
      </c>
      <c r="K7" s="37"/>
    </row>
    <row r="8" spans="1:13" ht="18.75" x14ac:dyDescent="0.3">
      <c r="A8" s="148"/>
      <c r="B8" s="141"/>
      <c r="C8" s="141"/>
      <c r="D8" s="141"/>
      <c r="E8" s="141"/>
      <c r="F8" s="141"/>
      <c r="G8" s="141"/>
      <c r="H8" s="141"/>
      <c r="I8" s="149"/>
      <c r="K8" s="37"/>
    </row>
    <row r="9" spans="1:13" ht="45" x14ac:dyDescent="0.25">
      <c r="A9" s="142" t="s">
        <v>214</v>
      </c>
      <c r="B9" s="22" t="s">
        <v>241</v>
      </c>
      <c r="C9" s="22" t="s">
        <v>218</v>
      </c>
      <c r="D9" s="3" t="s">
        <v>78</v>
      </c>
      <c r="E9" s="3" t="s">
        <v>77</v>
      </c>
      <c r="F9" s="31" t="s">
        <v>101</v>
      </c>
      <c r="G9" s="35" t="s">
        <v>200</v>
      </c>
      <c r="H9" s="31" t="s">
        <v>201</v>
      </c>
      <c r="I9" s="143" t="s">
        <v>202</v>
      </c>
      <c r="K9" s="37"/>
    </row>
    <row r="10" spans="1:13" x14ac:dyDescent="0.25">
      <c r="A10" s="144" t="s">
        <v>238</v>
      </c>
      <c r="B10" s="158"/>
      <c r="C10" s="124">
        <f>B10*8760*0.1321</f>
        <v>0</v>
      </c>
      <c r="D10" s="99">
        <f>C10/Reference!$B$69</f>
        <v>0</v>
      </c>
      <c r="E10" s="100">
        <f>G10/Reference!$B$72</f>
        <v>0</v>
      </c>
      <c r="F10" s="128">
        <v>3.4119999999999999</v>
      </c>
      <c r="G10" s="117">
        <f>C10*F10/1000</f>
        <v>0</v>
      </c>
      <c r="H10" s="117">
        <f>C10*F10</f>
        <v>0</v>
      </c>
      <c r="I10" s="145">
        <f>H10*1000</f>
        <v>0</v>
      </c>
      <c r="K10" s="37"/>
    </row>
    <row r="11" spans="1:13" x14ac:dyDescent="0.25">
      <c r="A11" s="144" t="s">
        <v>239</v>
      </c>
      <c r="B11" s="158"/>
      <c r="C11" s="124">
        <f>B11*8760*0.26</f>
        <v>0</v>
      </c>
      <c r="D11" s="99">
        <f>C11/Reference!$B$69</f>
        <v>0</v>
      </c>
      <c r="E11" s="100">
        <f>G11/Reference!$B$72</f>
        <v>0</v>
      </c>
      <c r="F11" s="128">
        <v>3.4119999999999999</v>
      </c>
      <c r="G11" s="117">
        <f>C11*F11/1000</f>
        <v>0</v>
      </c>
      <c r="H11" s="117">
        <f>C11*F11</f>
        <v>0</v>
      </c>
      <c r="I11" s="145">
        <f>H11*1000</f>
        <v>0</v>
      </c>
      <c r="K11" s="37"/>
    </row>
    <row r="12" spans="1:13" x14ac:dyDescent="0.25">
      <c r="A12" s="144" t="s">
        <v>240</v>
      </c>
      <c r="B12" s="158"/>
      <c r="C12" s="124">
        <f>B12*8760*0.38</f>
        <v>0</v>
      </c>
      <c r="D12" s="99">
        <f>C12/Reference!$B$69</f>
        <v>0</v>
      </c>
      <c r="E12" s="100">
        <f>G12/Reference!$B$72</f>
        <v>0</v>
      </c>
      <c r="F12" s="128">
        <v>3.4119999999999999</v>
      </c>
      <c r="G12" s="117">
        <f>C12*F12/1000</f>
        <v>0</v>
      </c>
      <c r="H12" s="117">
        <f>C12*F12</f>
        <v>0</v>
      </c>
      <c r="I12" s="145">
        <f>H12*1000</f>
        <v>0</v>
      </c>
      <c r="K12" s="37"/>
    </row>
    <row r="13" spans="1:13" ht="18.75" x14ac:dyDescent="0.3">
      <c r="A13" s="146" t="s">
        <v>81</v>
      </c>
      <c r="B13" s="125"/>
      <c r="C13" s="125"/>
      <c r="D13" s="126">
        <f>SUM(D10:D12)</f>
        <v>0</v>
      </c>
      <c r="E13" s="126">
        <f>SUM(E10:E12)</f>
        <v>0</v>
      </c>
      <c r="F13" s="127"/>
      <c r="G13" s="126">
        <f>SUM(G10:G12)</f>
        <v>0</v>
      </c>
      <c r="H13" s="126">
        <f>SUM(H10:H12)</f>
        <v>0</v>
      </c>
      <c r="I13" s="147">
        <f>SUM(I10:I12)</f>
        <v>0</v>
      </c>
      <c r="K13" s="37"/>
    </row>
    <row r="14" spans="1:13" ht="9" customHeight="1" thickBot="1" x14ac:dyDescent="0.35">
      <c r="A14" s="217"/>
      <c r="B14" s="218"/>
      <c r="C14" s="218"/>
      <c r="D14" s="218"/>
      <c r="E14" s="218"/>
      <c r="F14" s="218"/>
      <c r="G14" s="218"/>
      <c r="H14" s="218"/>
      <c r="I14" s="219"/>
      <c r="K14" s="37"/>
    </row>
    <row r="15" spans="1:13" ht="11.25" customHeight="1" thickBot="1" x14ac:dyDescent="0.3">
      <c r="K15" s="37"/>
    </row>
    <row r="16" spans="1:13" ht="26.25" x14ac:dyDescent="0.4">
      <c r="A16" s="226" t="s">
        <v>222</v>
      </c>
      <c r="B16" s="227"/>
      <c r="C16" s="227"/>
      <c r="D16" s="227"/>
      <c r="E16" s="227"/>
      <c r="F16" s="227"/>
      <c r="G16" s="227"/>
      <c r="H16" s="227"/>
      <c r="I16" s="228"/>
      <c r="K16" s="37"/>
    </row>
    <row r="17" spans="1:13" s="9" customFormat="1" ht="60" x14ac:dyDescent="0.25">
      <c r="A17" s="142" t="s">
        <v>214</v>
      </c>
      <c r="B17" s="22" t="s">
        <v>216</v>
      </c>
      <c r="C17" s="22" t="s">
        <v>217</v>
      </c>
      <c r="D17" s="3" t="s">
        <v>78</v>
      </c>
      <c r="E17" s="3" t="s">
        <v>77</v>
      </c>
      <c r="F17" s="31" t="s">
        <v>101</v>
      </c>
      <c r="G17" s="35" t="s">
        <v>200</v>
      </c>
      <c r="H17" s="31" t="s">
        <v>201</v>
      </c>
      <c r="I17" s="143" t="s">
        <v>202</v>
      </c>
    </row>
    <row r="18" spans="1:13" x14ac:dyDescent="0.25">
      <c r="A18" s="144" t="s">
        <v>219</v>
      </c>
      <c r="B18" s="158"/>
      <c r="C18" s="124">
        <f>B18/(1000*8760*0.1321)</f>
        <v>0</v>
      </c>
      <c r="D18" s="99">
        <f>B18/Reference!$B$69</f>
        <v>0</v>
      </c>
      <c r="E18" s="100">
        <f>G18/Reference!$B$72</f>
        <v>0</v>
      </c>
      <c r="F18" s="128">
        <v>3.4119999999999999</v>
      </c>
      <c r="G18" s="117">
        <f>B18*F18/1000</f>
        <v>0</v>
      </c>
      <c r="H18" s="117">
        <f>B18*F18</f>
        <v>0</v>
      </c>
      <c r="I18" s="145">
        <f>H18*1000</f>
        <v>0</v>
      </c>
      <c r="K18" s="10"/>
      <c r="L18" s="10"/>
      <c r="M18" s="10"/>
    </row>
    <row r="19" spans="1:13" x14ac:dyDescent="0.25">
      <c r="A19" s="144" t="s">
        <v>220</v>
      </c>
      <c r="B19" s="158"/>
      <c r="C19" s="124">
        <f>B19/(1000*8760*0.26)</f>
        <v>0</v>
      </c>
      <c r="D19" s="99">
        <f>B19/Reference!$B$69</f>
        <v>0</v>
      </c>
      <c r="E19" s="100">
        <f>G19/Reference!$B$72</f>
        <v>0</v>
      </c>
      <c r="F19" s="128">
        <v>3.4119999999999999</v>
      </c>
      <c r="G19" s="117">
        <f>B19*F19/1000</f>
        <v>0</v>
      </c>
      <c r="H19" s="117">
        <f>B19*F19</f>
        <v>0</v>
      </c>
      <c r="I19" s="145">
        <f>H19*1000</f>
        <v>0</v>
      </c>
      <c r="K19" s="10"/>
      <c r="L19" s="10"/>
      <c r="M19" s="10"/>
    </row>
    <row r="20" spans="1:13" x14ac:dyDescent="0.25">
      <c r="A20" s="144" t="s">
        <v>221</v>
      </c>
      <c r="B20" s="158"/>
      <c r="C20" s="124">
        <f>B20/(1000*8760*0.38)</f>
        <v>0</v>
      </c>
      <c r="D20" s="99">
        <f>B20/Reference!$B$69</f>
        <v>0</v>
      </c>
      <c r="E20" s="100">
        <f>G20/Reference!$B$72</f>
        <v>0</v>
      </c>
      <c r="F20" s="128">
        <v>3.4119999999999999</v>
      </c>
      <c r="G20" s="117">
        <f>B20*F20/1000</f>
        <v>0</v>
      </c>
      <c r="H20" s="117">
        <f>B20*F20</f>
        <v>0</v>
      </c>
      <c r="I20" s="145">
        <f>H20*1000</f>
        <v>0</v>
      </c>
      <c r="K20" s="10"/>
      <c r="L20" s="10"/>
      <c r="M20" s="10"/>
    </row>
    <row r="21" spans="1:13" s="29" customFormat="1" ht="18.75" x14ac:dyDescent="0.3">
      <c r="A21" s="146" t="s">
        <v>81</v>
      </c>
      <c r="B21" s="125"/>
      <c r="C21" s="125"/>
      <c r="D21" s="126">
        <f>SUM(D18:D20)</f>
        <v>0</v>
      </c>
      <c r="E21" s="126">
        <f>SUM(E18:E20)</f>
        <v>0</v>
      </c>
      <c r="F21" s="127"/>
      <c r="G21" s="126">
        <f>SUM(G18:G20)</f>
        <v>0</v>
      </c>
      <c r="H21" s="126">
        <f>SUM(H18:H20)</f>
        <v>0</v>
      </c>
      <c r="I21" s="147">
        <f>SUM(I18:I20)</f>
        <v>0</v>
      </c>
    </row>
    <row r="22" spans="1:13" x14ac:dyDescent="0.25">
      <c r="A22" s="150"/>
      <c r="B22" s="151"/>
      <c r="C22" s="151"/>
      <c r="D22" s="152"/>
      <c r="E22" s="153"/>
      <c r="F22" s="151"/>
      <c r="G22" s="154"/>
      <c r="H22" s="151"/>
      <c r="I22" s="155"/>
      <c r="K22" s="36"/>
      <c r="M22" s="10"/>
    </row>
    <row r="23" spans="1:13" x14ac:dyDescent="0.25">
      <c r="A23" s="156"/>
      <c r="B23" s="14"/>
      <c r="C23" s="14"/>
      <c r="D23" s="152"/>
      <c r="E23" s="153"/>
      <c r="F23" s="157"/>
      <c r="G23" s="154"/>
      <c r="H23" s="151"/>
      <c r="I23" s="155"/>
      <c r="J23" s="15"/>
      <c r="K23" s="37"/>
    </row>
    <row r="24" spans="1:13" ht="60" x14ac:dyDescent="0.25">
      <c r="A24" s="142" t="s">
        <v>214</v>
      </c>
      <c r="B24" s="22" t="s">
        <v>216</v>
      </c>
      <c r="C24" s="22" t="s">
        <v>242</v>
      </c>
      <c r="D24" s="3" t="s">
        <v>78</v>
      </c>
      <c r="E24" s="3" t="s">
        <v>77</v>
      </c>
      <c r="F24" s="31" t="s">
        <v>101</v>
      </c>
      <c r="G24" s="35" t="s">
        <v>200</v>
      </c>
      <c r="H24" s="31" t="s">
        <v>201</v>
      </c>
      <c r="I24" s="143" t="s">
        <v>202</v>
      </c>
      <c r="K24" s="37"/>
    </row>
    <row r="25" spans="1:13" x14ac:dyDescent="0.25">
      <c r="A25" s="144" t="s">
        <v>219</v>
      </c>
      <c r="B25" s="158"/>
      <c r="C25" s="124">
        <f>B25/(8760*0.1321)</f>
        <v>0</v>
      </c>
      <c r="D25" s="99">
        <f>B25/Reference!$B$69</f>
        <v>0</v>
      </c>
      <c r="E25" s="100">
        <f>G25/Reference!$B$72</f>
        <v>0</v>
      </c>
      <c r="F25" s="128">
        <v>3.4119999999999999</v>
      </c>
      <c r="G25" s="117">
        <f>B25*F25/1000</f>
        <v>0</v>
      </c>
      <c r="H25" s="117">
        <f>B25*F25</f>
        <v>0</v>
      </c>
      <c r="I25" s="145">
        <f>H25*1000</f>
        <v>0</v>
      </c>
      <c r="K25" s="37"/>
    </row>
    <row r="26" spans="1:13" x14ac:dyDescent="0.25">
      <c r="A26" s="144" t="s">
        <v>220</v>
      </c>
      <c r="B26" s="158"/>
      <c r="C26" s="124">
        <f>B26/(8760*0.26)</f>
        <v>0</v>
      </c>
      <c r="D26" s="99">
        <f>B26/Reference!$B$69</f>
        <v>0</v>
      </c>
      <c r="E26" s="100">
        <f>G26/Reference!$B$72</f>
        <v>0</v>
      </c>
      <c r="F26" s="128">
        <v>3.4119999999999999</v>
      </c>
      <c r="G26" s="117">
        <f>B26*F26/1000</f>
        <v>0</v>
      </c>
      <c r="H26" s="117">
        <f>B26*F26</f>
        <v>0</v>
      </c>
      <c r="I26" s="145">
        <f>H26*1000</f>
        <v>0</v>
      </c>
      <c r="K26" s="37"/>
    </row>
    <row r="27" spans="1:13" x14ac:dyDescent="0.25">
      <c r="A27" s="144" t="s">
        <v>221</v>
      </c>
      <c r="B27" s="158"/>
      <c r="C27" s="124">
        <f>B27/(8760*0.38)</f>
        <v>0</v>
      </c>
      <c r="D27" s="99">
        <f>B27/Reference!$B$69</f>
        <v>0</v>
      </c>
      <c r="E27" s="100">
        <f>G27/Reference!$B$72</f>
        <v>0</v>
      </c>
      <c r="F27" s="128">
        <v>3.4119999999999999</v>
      </c>
      <c r="G27" s="117">
        <f>B27*F27/1000</f>
        <v>0</v>
      </c>
      <c r="H27" s="117">
        <f>B27*F27</f>
        <v>0</v>
      </c>
      <c r="I27" s="145">
        <f>H27*1000</f>
        <v>0</v>
      </c>
      <c r="J27" s="16"/>
      <c r="K27" s="37"/>
    </row>
    <row r="28" spans="1:13" ht="18.75" x14ac:dyDescent="0.3">
      <c r="A28" s="146" t="s">
        <v>81</v>
      </c>
      <c r="B28" s="125"/>
      <c r="C28" s="125"/>
      <c r="D28" s="126">
        <f>SUM(D25:D27)</f>
        <v>0</v>
      </c>
      <c r="E28" s="126">
        <f>SUM(E25:E27)</f>
        <v>0</v>
      </c>
      <c r="F28" s="127"/>
      <c r="G28" s="126">
        <f>SUM(G25:G27)</f>
        <v>0</v>
      </c>
      <c r="H28" s="126">
        <f>SUM(H25:H27)</f>
        <v>0</v>
      </c>
      <c r="I28" s="147">
        <f>SUM(I25:I27)</f>
        <v>0</v>
      </c>
    </row>
    <row r="29" spans="1:13" ht="10.5" customHeight="1" thickBot="1" x14ac:dyDescent="0.35">
      <c r="A29" s="217"/>
      <c r="B29" s="218"/>
      <c r="C29" s="218"/>
      <c r="D29" s="218"/>
      <c r="E29" s="218"/>
      <c r="F29" s="218"/>
      <c r="G29" s="218"/>
      <c r="H29" s="218"/>
      <c r="I29" s="219"/>
    </row>
    <row r="30" spans="1:13" x14ac:dyDescent="0.25"/>
    <row r="31" spans="1:13" x14ac:dyDescent="0.25"/>
  </sheetData>
  <sheetProtection password="CC30" sheet="1" objects="1" scenarios="1"/>
  <mergeCells count="7">
    <mergeCell ref="A29:I29"/>
    <mergeCell ref="D1:E1"/>
    <mergeCell ref="F1:I1"/>
    <mergeCell ref="A1:C1"/>
    <mergeCell ref="A16:I16"/>
    <mergeCell ref="A2:I2"/>
    <mergeCell ref="A14:I14"/>
  </mergeCells>
  <pageMargins left="0.7" right="0.7" top="0.75" bottom="0.75" header="0.3" footer="0.3"/>
  <pageSetup scale="3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showGridLines="0" workbookViewId="0">
      <selection sqref="A1:C1"/>
    </sheetView>
  </sheetViews>
  <sheetFormatPr defaultColWidth="0" defaultRowHeight="15" zeroHeight="1" x14ac:dyDescent="0.25"/>
  <cols>
    <col min="1" max="1" width="13.42578125" style="53" bestFit="1" customWidth="1"/>
    <col min="2" max="2" width="32" style="10" customWidth="1"/>
    <col min="3" max="3" width="25.28515625" style="10" bestFit="1" customWidth="1"/>
    <col min="4" max="4" width="10.85546875" style="45" customWidth="1"/>
    <col min="5" max="5" width="10.85546875" style="10" bestFit="1" customWidth="1"/>
    <col min="6" max="6" width="32.42578125" style="39" bestFit="1" customWidth="1"/>
    <col min="7" max="7" width="27.28515625" style="30" bestFit="1" customWidth="1"/>
    <col min="8" max="8" width="31.7109375" style="10" bestFit="1" customWidth="1"/>
    <col min="9" max="9" width="21.140625" style="10" customWidth="1"/>
    <col min="10" max="10" width="21.140625" style="13" customWidth="1"/>
    <col min="11" max="11" width="30.140625" style="13" bestFit="1" customWidth="1"/>
    <col min="12" max="12" width="30.140625" style="12" bestFit="1" customWidth="1"/>
    <col min="13" max="13" width="11" style="10" bestFit="1" customWidth="1"/>
    <col min="14" max="14" width="30.140625" style="10" bestFit="1" customWidth="1"/>
    <col min="15" max="15" width="35.28515625" style="10" bestFit="1" customWidth="1"/>
    <col min="16" max="16" width="40.42578125" style="38" bestFit="1" customWidth="1"/>
    <col min="17" max="17" width="11.140625" style="41" bestFit="1" customWidth="1"/>
    <col min="18" max="18" width="106.28515625" style="13" hidden="1" customWidth="1"/>
    <col min="19" max="16384" width="9.140625" style="10" hidden="1"/>
  </cols>
  <sheetData>
    <row r="1" spans="1:18" s="9" customFormat="1" ht="36" x14ac:dyDescent="0.25">
      <c r="A1" s="230" t="s">
        <v>184</v>
      </c>
      <c r="B1" s="231"/>
      <c r="C1" s="232"/>
      <c r="D1" s="234" t="s">
        <v>205</v>
      </c>
      <c r="E1" s="235"/>
      <c r="F1" s="235"/>
      <c r="G1" s="235"/>
      <c r="H1" s="236" t="s">
        <v>182</v>
      </c>
      <c r="I1" s="237"/>
      <c r="J1" s="237"/>
      <c r="K1" s="237"/>
      <c r="L1" s="237"/>
      <c r="M1" s="233" t="s">
        <v>32</v>
      </c>
      <c r="N1" s="233"/>
      <c r="O1" s="233"/>
      <c r="P1" s="233"/>
    </row>
    <row r="2" spans="1:18" s="9" customFormat="1" ht="90" x14ac:dyDescent="0.25">
      <c r="A2" s="22" t="s">
        <v>187</v>
      </c>
      <c r="B2" s="22" t="s">
        <v>25</v>
      </c>
      <c r="C2" s="22" t="s">
        <v>192</v>
      </c>
      <c r="D2" s="2" t="s">
        <v>196</v>
      </c>
      <c r="E2" s="2" t="s">
        <v>209</v>
      </c>
      <c r="F2" s="2" t="s">
        <v>203</v>
      </c>
      <c r="G2" s="2" t="s">
        <v>204</v>
      </c>
      <c r="H2" s="3" t="s">
        <v>78</v>
      </c>
      <c r="I2" s="25" t="s">
        <v>79</v>
      </c>
      <c r="J2" s="25" t="s">
        <v>80</v>
      </c>
      <c r="K2" s="3" t="s">
        <v>77</v>
      </c>
      <c r="L2" s="3" t="s">
        <v>183</v>
      </c>
      <c r="M2" s="31" t="s">
        <v>101</v>
      </c>
      <c r="N2" s="35" t="s">
        <v>200</v>
      </c>
      <c r="O2" s="31" t="s">
        <v>201</v>
      </c>
      <c r="P2" s="40" t="s">
        <v>202</v>
      </c>
    </row>
    <row r="3" spans="1:18" x14ac:dyDescent="0.25">
      <c r="A3" s="140" t="s">
        <v>243</v>
      </c>
      <c r="B3" s="5" t="s">
        <v>181</v>
      </c>
      <c r="C3" s="71"/>
      <c r="D3" s="46">
        <f>VLOOKUP(A3,source!$A$2:$D$31,3,FALSE)</f>
        <v>0</v>
      </c>
      <c r="E3" s="98">
        <f>VLOOKUP(A3,source!$A$2:$D$31,4,FALSE)</f>
        <v>0</v>
      </c>
      <c r="F3" s="96">
        <f>(C3*D3)</f>
        <v>0</v>
      </c>
      <c r="G3" s="96">
        <f t="shared" ref="G3:G12" si="0">C3*E3</f>
        <v>0</v>
      </c>
      <c r="H3" s="99">
        <f>C3/Reference!$B$69</f>
        <v>0</v>
      </c>
      <c r="I3" s="23"/>
      <c r="J3" s="23"/>
      <c r="K3" s="100">
        <f>N3/Reference!$B$72</f>
        <v>0</v>
      </c>
      <c r="L3" s="1">
        <f t="shared" ref="L3:L16" si="1">G3/4.8</f>
        <v>0</v>
      </c>
      <c r="M3" s="48">
        <v>3.4119999999999999</v>
      </c>
      <c r="N3" s="117">
        <f t="shared" ref="N3:N17" si="2">C3*M3/1000</f>
        <v>0</v>
      </c>
      <c r="O3" s="117">
        <f t="shared" ref="O3:O14" si="3">C3*M3</f>
        <v>0</v>
      </c>
      <c r="P3" s="59">
        <f>O3*1000</f>
        <v>0</v>
      </c>
      <c r="Q3" s="10"/>
      <c r="R3" s="10"/>
    </row>
    <row r="4" spans="1:18" x14ac:dyDescent="0.25">
      <c r="A4" s="122" t="s">
        <v>151</v>
      </c>
      <c r="B4" s="5" t="s">
        <v>7</v>
      </c>
      <c r="C4" s="77"/>
      <c r="D4" s="46">
        <f>Reference!D34</f>
        <v>11.728609767</v>
      </c>
      <c r="E4" s="98">
        <f>Reference!E34</f>
        <v>5.3190974000000002E-3</v>
      </c>
      <c r="F4" s="96">
        <f t="shared" ref="F4:F17" si="4">(C4*D4)</f>
        <v>0</v>
      </c>
      <c r="G4" s="96">
        <f t="shared" si="0"/>
        <v>0</v>
      </c>
      <c r="H4" s="23"/>
      <c r="I4" s="99">
        <f>C4/Reference!$B$70</f>
        <v>0</v>
      </c>
      <c r="J4" s="20"/>
      <c r="K4" s="100">
        <f>N4/Reference!$B$72</f>
        <v>0</v>
      </c>
      <c r="L4" s="1">
        <f t="shared" si="1"/>
        <v>0</v>
      </c>
      <c r="M4" s="48">
        <f>Reference!H34</f>
        <v>100</v>
      </c>
      <c r="N4" s="117">
        <f t="shared" si="2"/>
        <v>0</v>
      </c>
      <c r="O4" s="117">
        <f t="shared" si="3"/>
        <v>0</v>
      </c>
      <c r="P4" s="59">
        <f t="shared" ref="P4:P17" si="5">O4*1000</f>
        <v>0</v>
      </c>
      <c r="Q4" s="10"/>
      <c r="R4" s="10"/>
    </row>
    <row r="5" spans="1:18" x14ac:dyDescent="0.25">
      <c r="A5" s="122" t="s">
        <v>151</v>
      </c>
      <c r="B5" s="5" t="s">
        <v>67</v>
      </c>
      <c r="C5" s="71"/>
      <c r="D5" s="46">
        <f>Reference!D35</f>
        <v>11.998357799999999</v>
      </c>
      <c r="E5" s="98">
        <f>Reference!E35</f>
        <v>5.441432108843537E-3</v>
      </c>
      <c r="F5" s="96">
        <f t="shared" si="4"/>
        <v>0</v>
      </c>
      <c r="G5" s="96">
        <f t="shared" si="0"/>
        <v>0</v>
      </c>
      <c r="H5" s="20"/>
      <c r="I5" s="99">
        <f>C5/Reference!$B$70</f>
        <v>0</v>
      </c>
      <c r="J5" s="20"/>
      <c r="K5" s="100">
        <f>N5/Reference!$B$72</f>
        <v>0</v>
      </c>
      <c r="L5" s="1">
        <f t="shared" si="1"/>
        <v>0</v>
      </c>
      <c r="M5" s="48">
        <f>Reference!H35</f>
        <v>102.3</v>
      </c>
      <c r="N5" s="117">
        <f t="shared" si="2"/>
        <v>0</v>
      </c>
      <c r="O5" s="117">
        <f t="shared" si="3"/>
        <v>0</v>
      </c>
      <c r="P5" s="59">
        <f t="shared" si="5"/>
        <v>0</v>
      </c>
      <c r="Q5" s="10"/>
      <c r="R5" s="10"/>
    </row>
    <row r="6" spans="1:18" x14ac:dyDescent="0.25">
      <c r="A6" s="122" t="s">
        <v>151</v>
      </c>
      <c r="B6" s="5" t="s">
        <v>121</v>
      </c>
      <c r="C6" s="71"/>
      <c r="D6" s="46">
        <f>Reference!D36</f>
        <v>22.4940157785</v>
      </c>
      <c r="E6" s="98">
        <f>Reference!E36</f>
        <v>1.02013677E-2</v>
      </c>
      <c r="F6" s="96">
        <f t="shared" si="4"/>
        <v>0</v>
      </c>
      <c r="G6" s="96">
        <f t="shared" si="0"/>
        <v>0</v>
      </c>
      <c r="H6" s="20"/>
      <c r="I6" s="20"/>
      <c r="J6" s="100">
        <f>C6/Reference!$B$71</f>
        <v>0</v>
      </c>
      <c r="K6" s="100">
        <f>N6/Reference!$B$72</f>
        <v>0</v>
      </c>
      <c r="L6" s="1">
        <f t="shared" si="1"/>
        <v>0</v>
      </c>
      <c r="M6" s="48">
        <f>Reference!H36</f>
        <v>138.69047619047601</v>
      </c>
      <c r="N6" s="117">
        <f t="shared" si="2"/>
        <v>0</v>
      </c>
      <c r="O6" s="117">
        <f t="shared" si="3"/>
        <v>0</v>
      </c>
      <c r="P6" s="59">
        <f t="shared" si="5"/>
        <v>0</v>
      </c>
      <c r="Q6" s="10"/>
      <c r="R6" s="10"/>
    </row>
    <row r="7" spans="1:18" x14ac:dyDescent="0.25">
      <c r="A7" s="122" t="s">
        <v>151</v>
      </c>
      <c r="B7" s="5" t="s">
        <v>27</v>
      </c>
      <c r="C7" s="71"/>
      <c r="D7" s="46">
        <f>Reference!D37</f>
        <v>22.4940157785</v>
      </c>
      <c r="E7" s="98">
        <f>Reference!E37</f>
        <v>1.02013677E-2</v>
      </c>
      <c r="F7" s="96">
        <f t="shared" si="4"/>
        <v>0</v>
      </c>
      <c r="G7" s="96">
        <f t="shared" si="0"/>
        <v>0</v>
      </c>
      <c r="H7" s="20"/>
      <c r="I7" s="20"/>
      <c r="J7" s="100">
        <f>C7/Reference!$B$71</f>
        <v>0</v>
      </c>
      <c r="K7" s="100">
        <f>N7/Reference!$B$72</f>
        <v>0</v>
      </c>
      <c r="L7" s="1">
        <f t="shared" si="1"/>
        <v>0</v>
      </c>
      <c r="M7" s="48">
        <f>Reference!H37</f>
        <v>138.69047619047601</v>
      </c>
      <c r="N7" s="117">
        <f t="shared" si="2"/>
        <v>0</v>
      </c>
      <c r="O7" s="117">
        <f t="shared" si="3"/>
        <v>0</v>
      </c>
      <c r="P7" s="59">
        <f t="shared" si="5"/>
        <v>0</v>
      </c>
      <c r="Q7" s="10"/>
      <c r="R7" s="10"/>
    </row>
    <row r="8" spans="1:18" x14ac:dyDescent="0.25">
      <c r="A8" s="122" t="s">
        <v>151</v>
      </c>
      <c r="B8" s="5" t="s">
        <v>28</v>
      </c>
      <c r="C8" s="133"/>
      <c r="D8" s="46">
        <f>Reference!D38</f>
        <v>26.141554340999999</v>
      </c>
      <c r="E8" s="98">
        <f>Reference!E38</f>
        <v>1.18555802E-2</v>
      </c>
      <c r="F8" s="96">
        <f t="shared" si="4"/>
        <v>0</v>
      </c>
      <c r="G8" s="96">
        <f t="shared" si="0"/>
        <v>0</v>
      </c>
      <c r="H8" s="24"/>
      <c r="I8" s="20"/>
      <c r="J8" s="100">
        <f>C8/Reference!$B$71</f>
        <v>0</v>
      </c>
      <c r="K8" s="100">
        <f>N8/Reference!$B$72</f>
        <v>0</v>
      </c>
      <c r="L8" s="1">
        <f t="shared" si="1"/>
        <v>0</v>
      </c>
      <c r="M8" s="48">
        <f>Reference!H38</f>
        <v>149.69047619047601</v>
      </c>
      <c r="N8" s="117">
        <f t="shared" si="2"/>
        <v>0</v>
      </c>
      <c r="O8" s="117">
        <f t="shared" si="3"/>
        <v>0</v>
      </c>
      <c r="P8" s="59">
        <f t="shared" si="5"/>
        <v>0</v>
      </c>
      <c r="Q8" s="10"/>
      <c r="R8" s="10"/>
    </row>
    <row r="9" spans="1:18" x14ac:dyDescent="0.25">
      <c r="A9" s="122" t="s">
        <v>151</v>
      </c>
      <c r="B9" s="5" t="s">
        <v>72</v>
      </c>
      <c r="C9" s="71"/>
      <c r="D9" s="46">
        <f>Reference!D39</f>
        <v>0</v>
      </c>
      <c r="E9" s="98">
        <f>Reference!E39</f>
        <v>0</v>
      </c>
      <c r="F9" s="96">
        <f t="shared" si="4"/>
        <v>0</v>
      </c>
      <c r="G9" s="96">
        <f t="shared" si="0"/>
        <v>0</v>
      </c>
      <c r="H9" s="99">
        <f>C9/Reference!$B$69</f>
        <v>0</v>
      </c>
      <c r="I9" s="20"/>
      <c r="J9" s="20"/>
      <c r="K9" s="20"/>
      <c r="L9" s="1">
        <f t="shared" si="1"/>
        <v>0</v>
      </c>
      <c r="M9" s="48">
        <f>Reference!H39</f>
        <v>3.4119999999999999</v>
      </c>
      <c r="N9" s="117">
        <f t="shared" si="2"/>
        <v>0</v>
      </c>
      <c r="O9" s="117">
        <f t="shared" si="3"/>
        <v>0</v>
      </c>
      <c r="P9" s="59">
        <f t="shared" si="5"/>
        <v>0</v>
      </c>
      <c r="Q9" s="10"/>
      <c r="R9" s="10"/>
    </row>
    <row r="10" spans="1:18" x14ac:dyDescent="0.25">
      <c r="A10" s="122" t="s">
        <v>151</v>
      </c>
      <c r="B10" s="5" t="s">
        <v>191</v>
      </c>
      <c r="C10" s="71"/>
      <c r="D10" s="46">
        <f>Reference!D40</f>
        <v>0</v>
      </c>
      <c r="E10" s="98">
        <f>Reference!E40</f>
        <v>0</v>
      </c>
      <c r="F10" s="96">
        <f t="shared" si="4"/>
        <v>0</v>
      </c>
      <c r="G10" s="96">
        <f t="shared" si="0"/>
        <v>0</v>
      </c>
      <c r="H10" s="99">
        <f>C10/Reference!$B$69</f>
        <v>0</v>
      </c>
      <c r="I10" s="20"/>
      <c r="J10" s="20"/>
      <c r="K10" s="20"/>
      <c r="L10" s="1">
        <f t="shared" si="1"/>
        <v>0</v>
      </c>
      <c r="M10" s="48">
        <f>Reference!H40</f>
        <v>3.4119999999999999</v>
      </c>
      <c r="N10" s="117">
        <f t="shared" si="2"/>
        <v>0</v>
      </c>
      <c r="O10" s="117">
        <f t="shared" si="3"/>
        <v>0</v>
      </c>
      <c r="P10" s="59">
        <f t="shared" si="5"/>
        <v>0</v>
      </c>
      <c r="Q10" s="10"/>
      <c r="R10" s="10"/>
    </row>
    <row r="11" spans="1:18" x14ac:dyDescent="0.25">
      <c r="A11" s="122" t="s">
        <v>151</v>
      </c>
      <c r="B11" s="5" t="s">
        <v>71</v>
      </c>
      <c r="C11" s="71"/>
      <c r="D11" s="46">
        <f>Reference!D41</f>
        <v>0</v>
      </c>
      <c r="E11" s="98">
        <f>Reference!E41</f>
        <v>0</v>
      </c>
      <c r="F11" s="96">
        <f t="shared" si="4"/>
        <v>0</v>
      </c>
      <c r="G11" s="96">
        <f t="shared" si="0"/>
        <v>0</v>
      </c>
      <c r="H11" s="99">
        <f>C11/Reference!$B$69</f>
        <v>0</v>
      </c>
      <c r="I11" s="20"/>
      <c r="J11" s="20"/>
      <c r="K11" s="20"/>
      <c r="L11" s="1">
        <f t="shared" si="1"/>
        <v>0</v>
      </c>
      <c r="M11" s="48">
        <f>Reference!H41</f>
        <v>3.4119999999999999</v>
      </c>
      <c r="N11" s="117">
        <f t="shared" si="2"/>
        <v>0</v>
      </c>
      <c r="O11" s="117">
        <f t="shared" si="3"/>
        <v>0</v>
      </c>
      <c r="P11" s="59">
        <f t="shared" si="5"/>
        <v>0</v>
      </c>
      <c r="Q11" s="10"/>
      <c r="R11" s="10"/>
    </row>
    <row r="12" spans="1:18" x14ac:dyDescent="0.25">
      <c r="A12" s="122" t="s">
        <v>151</v>
      </c>
      <c r="B12" s="5" t="s">
        <v>70</v>
      </c>
      <c r="C12" s="78"/>
      <c r="D12" s="46">
        <f>Reference!D42</f>
        <v>0</v>
      </c>
      <c r="E12" s="98">
        <f>Reference!E42</f>
        <v>0</v>
      </c>
      <c r="F12" s="96">
        <f t="shared" si="4"/>
        <v>0</v>
      </c>
      <c r="G12" s="96">
        <f t="shared" si="0"/>
        <v>0</v>
      </c>
      <c r="H12" s="99">
        <f>C12/Reference!$B$69</f>
        <v>0</v>
      </c>
      <c r="I12" s="20"/>
      <c r="J12" s="20"/>
      <c r="K12" s="20"/>
      <c r="L12" s="1">
        <f t="shared" si="1"/>
        <v>0</v>
      </c>
      <c r="M12" s="48">
        <f>Reference!H42</f>
        <v>3.4119999999999999</v>
      </c>
      <c r="N12" s="117">
        <f t="shared" si="2"/>
        <v>0</v>
      </c>
      <c r="O12" s="117">
        <f t="shared" si="3"/>
        <v>0</v>
      </c>
      <c r="P12" s="59">
        <f t="shared" si="5"/>
        <v>0</v>
      </c>
      <c r="Q12" s="10"/>
      <c r="R12" s="10"/>
    </row>
    <row r="13" spans="1:18" x14ac:dyDescent="0.25">
      <c r="A13" s="122" t="s">
        <v>151</v>
      </c>
      <c r="B13" s="5" t="s">
        <v>3</v>
      </c>
      <c r="C13" s="71"/>
      <c r="D13" s="46">
        <f>Reference!D47</f>
        <v>12.782889945000001</v>
      </c>
      <c r="E13" s="98">
        <f>Reference!E47</f>
        <v>5.7972290000000001E-3</v>
      </c>
      <c r="F13" s="96">
        <f t="shared" si="4"/>
        <v>0</v>
      </c>
      <c r="G13" s="96">
        <f t="shared" ref="G13:G17" si="6">C13*E13</f>
        <v>0</v>
      </c>
      <c r="H13" s="20"/>
      <c r="I13" s="20"/>
      <c r="J13" s="20"/>
      <c r="K13" s="20"/>
      <c r="L13" s="1">
        <f t="shared" si="1"/>
        <v>0</v>
      </c>
      <c r="M13" s="48">
        <f>Reference!H47</f>
        <v>91.333333333333343</v>
      </c>
      <c r="N13" s="117">
        <f t="shared" si="2"/>
        <v>0</v>
      </c>
      <c r="O13" s="117">
        <f t="shared" si="3"/>
        <v>0</v>
      </c>
      <c r="P13" s="59">
        <f t="shared" si="5"/>
        <v>0</v>
      </c>
      <c r="Q13" s="10"/>
      <c r="R13" s="10"/>
    </row>
    <row r="14" spans="1:18" x14ac:dyDescent="0.25">
      <c r="A14" s="122" t="s">
        <v>151</v>
      </c>
      <c r="B14" s="5" t="s">
        <v>119</v>
      </c>
      <c r="C14" s="71"/>
      <c r="D14" s="46">
        <f>Reference!D57</f>
        <v>207.82178691749999</v>
      </c>
      <c r="E14" s="98">
        <f>Reference!E57</f>
        <v>9.4250243499999997E-2</v>
      </c>
      <c r="F14" s="96">
        <f t="shared" si="4"/>
        <v>0</v>
      </c>
      <c r="G14" s="96">
        <f t="shared" si="6"/>
        <v>0</v>
      </c>
      <c r="H14" s="20"/>
      <c r="I14" s="20"/>
      <c r="J14" s="20"/>
      <c r="K14" s="20"/>
      <c r="L14" s="1">
        <f t="shared" ref="L14" si="7">G14/4.8</f>
        <v>0</v>
      </c>
      <c r="M14" s="48">
        <f>Reference!H57</f>
        <v>1194</v>
      </c>
      <c r="N14" s="117">
        <f t="shared" si="2"/>
        <v>0</v>
      </c>
      <c r="O14" s="117">
        <f t="shared" si="3"/>
        <v>0</v>
      </c>
      <c r="P14" s="59">
        <f t="shared" si="5"/>
        <v>0</v>
      </c>
      <c r="Q14" s="10"/>
      <c r="R14" s="10"/>
    </row>
    <row r="15" spans="1:18" x14ac:dyDescent="0.25">
      <c r="A15" s="122" t="s">
        <v>151</v>
      </c>
      <c r="B15" s="5" t="s">
        <v>122</v>
      </c>
      <c r="C15" s="71"/>
      <c r="D15" s="46">
        <f>Reference!D58</f>
        <v>4192.1653267297497</v>
      </c>
      <c r="E15" s="98">
        <f>Reference!E58</f>
        <v>1.9012087649568026</v>
      </c>
      <c r="F15" s="96">
        <f t="shared" si="4"/>
        <v>0</v>
      </c>
      <c r="G15" s="96">
        <f t="shared" si="6"/>
        <v>0</v>
      </c>
      <c r="H15" s="20"/>
      <c r="I15" s="20"/>
      <c r="J15" s="20"/>
      <c r="K15" s="20"/>
      <c r="L15" s="1">
        <f t="shared" si="1"/>
        <v>0</v>
      </c>
      <c r="M15" s="48">
        <f>Reference!H58</f>
        <v>20191.5</v>
      </c>
      <c r="N15" s="117">
        <f t="shared" si="2"/>
        <v>0</v>
      </c>
      <c r="O15" s="117">
        <f>C15*M15</f>
        <v>0</v>
      </c>
      <c r="P15" s="59">
        <f t="shared" si="5"/>
        <v>0</v>
      </c>
      <c r="Q15" s="10"/>
      <c r="R15" s="10"/>
    </row>
    <row r="16" spans="1:18" x14ac:dyDescent="0.25">
      <c r="A16" s="122" t="s">
        <v>151</v>
      </c>
      <c r="B16" s="6" t="s">
        <v>207</v>
      </c>
      <c r="C16" s="71"/>
      <c r="D16" s="46">
        <f>Reference!D59</f>
        <v>0</v>
      </c>
      <c r="E16" s="98">
        <f>Reference!E59</f>
        <v>0</v>
      </c>
      <c r="F16" s="96">
        <f t="shared" si="4"/>
        <v>0</v>
      </c>
      <c r="G16" s="96">
        <f t="shared" si="6"/>
        <v>0</v>
      </c>
      <c r="H16" s="20"/>
      <c r="I16" s="20"/>
      <c r="J16" s="20"/>
      <c r="K16" s="20"/>
      <c r="L16" s="1">
        <f t="shared" si="1"/>
        <v>0</v>
      </c>
      <c r="M16" s="48">
        <f>Reference!H59</f>
        <v>16500</v>
      </c>
      <c r="N16" s="117">
        <f t="shared" si="2"/>
        <v>0</v>
      </c>
      <c r="O16" s="117">
        <f>C16*M16</f>
        <v>0</v>
      </c>
      <c r="P16" s="59">
        <f t="shared" si="5"/>
        <v>0</v>
      </c>
      <c r="Q16" s="10"/>
      <c r="R16" s="10"/>
    </row>
    <row r="17" spans="1:18" x14ac:dyDescent="0.25">
      <c r="A17" s="122" t="s">
        <v>151</v>
      </c>
      <c r="B17" s="6" t="s">
        <v>116</v>
      </c>
      <c r="C17" s="78"/>
      <c r="D17" s="46">
        <f>Reference!D60</f>
        <v>0</v>
      </c>
      <c r="E17" s="98">
        <f>Reference!E60</f>
        <v>0</v>
      </c>
      <c r="F17" s="96">
        <f t="shared" si="4"/>
        <v>0</v>
      </c>
      <c r="G17" s="96">
        <f t="shared" si="6"/>
        <v>0</v>
      </c>
      <c r="H17" s="24"/>
      <c r="I17" s="24"/>
      <c r="J17" s="24"/>
      <c r="K17" s="24"/>
      <c r="L17" s="1">
        <f t="shared" ref="L17" si="8">G17/4.8</f>
        <v>0</v>
      </c>
      <c r="M17" s="48">
        <f>Reference!H60</f>
        <v>20000</v>
      </c>
      <c r="N17" s="117">
        <f t="shared" si="2"/>
        <v>0</v>
      </c>
      <c r="O17" s="117">
        <f>C17*M17</f>
        <v>0</v>
      </c>
      <c r="P17" s="59">
        <f t="shared" si="5"/>
        <v>0</v>
      </c>
      <c r="Q17" s="10"/>
      <c r="R17" s="10"/>
    </row>
    <row r="18" spans="1:18" s="29" customFormat="1" ht="18.75" x14ac:dyDescent="0.3">
      <c r="A18" s="55"/>
      <c r="B18" s="26" t="s">
        <v>81</v>
      </c>
      <c r="C18" s="62"/>
      <c r="D18" s="42"/>
      <c r="E18" s="27"/>
      <c r="F18" s="105">
        <f>SUM(F3:F16)</f>
        <v>0</v>
      </c>
      <c r="G18" s="105">
        <f>SUM(G3:G16)</f>
        <v>0</v>
      </c>
      <c r="H18" s="159">
        <f>SUM(H3:H3)+SUM(H9:H12)</f>
        <v>0</v>
      </c>
      <c r="I18" s="123">
        <f>SUM(I4:I5)</f>
        <v>0</v>
      </c>
      <c r="J18" s="123">
        <f>SUM(J6:J8)</f>
        <v>0</v>
      </c>
      <c r="K18" s="160">
        <f>SUM(K3:K8)</f>
        <v>0</v>
      </c>
      <c r="L18" s="159">
        <f>SUM(L3:L16)</f>
        <v>0</v>
      </c>
      <c r="M18" s="106"/>
      <c r="N18" s="118">
        <f>SUM(N3:N16)</f>
        <v>0</v>
      </c>
      <c r="O18" s="118">
        <f>SUM(O3:O16)</f>
        <v>0</v>
      </c>
      <c r="P18" s="119">
        <f>SUM(P3:P16)</f>
        <v>0</v>
      </c>
    </row>
    <row r="19" spans="1:18" x14ac:dyDescent="0.25">
      <c r="C19" s="11"/>
      <c r="D19" s="43"/>
      <c r="J19" s="10"/>
      <c r="K19" s="10"/>
      <c r="P19" s="36"/>
      <c r="R19" s="10"/>
    </row>
    <row r="20" spans="1:18" x14ac:dyDescent="0.25">
      <c r="B20" s="14"/>
      <c r="D20" s="44"/>
      <c r="H20" s="15"/>
      <c r="I20" s="15"/>
      <c r="O20" s="15"/>
      <c r="P20" s="37"/>
    </row>
    <row r="21" spans="1:18" x14ac:dyDescent="0.25">
      <c r="A21" s="229" t="s">
        <v>206</v>
      </c>
      <c r="B21" s="229"/>
      <c r="C21" s="229"/>
      <c r="D21" s="229"/>
      <c r="E21" s="229"/>
      <c r="F21" s="229"/>
      <c r="G21" s="229"/>
      <c r="P21" s="37"/>
    </row>
    <row r="22" spans="1:18" x14ac:dyDescent="0.25">
      <c r="A22" s="229"/>
      <c r="B22" s="229"/>
      <c r="C22" s="229"/>
      <c r="D22" s="229"/>
      <c r="E22" s="229"/>
      <c r="F22" s="229"/>
      <c r="G22" s="229"/>
      <c r="P22" s="37"/>
    </row>
    <row r="23" spans="1:18" x14ac:dyDescent="0.25">
      <c r="P23" s="37"/>
    </row>
    <row r="24" spans="1:18" hidden="1" x14ac:dyDescent="0.25">
      <c r="H24" s="16"/>
      <c r="I24" s="16"/>
      <c r="O24" s="16"/>
      <c r="P24" s="37"/>
    </row>
    <row r="25" spans="1:18" hidden="1" x14ac:dyDescent="0.25">
      <c r="P25" s="37"/>
    </row>
    <row r="26" spans="1:18" hidden="1" x14ac:dyDescent="0.25">
      <c r="C26" s="45"/>
      <c r="P26" s="37"/>
    </row>
    <row r="27" spans="1:18" hidden="1" x14ac:dyDescent="0.25">
      <c r="P27" s="37"/>
    </row>
    <row r="28" spans="1:18" hidden="1" x14ac:dyDescent="0.25">
      <c r="H28" s="16"/>
      <c r="I28" s="16"/>
      <c r="O28" s="16"/>
      <c r="P28" s="37"/>
    </row>
  </sheetData>
  <sheetProtection password="CC30" sheet="1" objects="1" scenarios="1"/>
  <mergeCells count="5">
    <mergeCell ref="A21:G22"/>
    <mergeCell ref="A1:C1"/>
    <mergeCell ref="M1:P1"/>
    <mergeCell ref="D1:G1"/>
    <mergeCell ref="H1:L1"/>
  </mergeCells>
  <conditionalFormatting sqref="L2:L3">
    <cfRule type="containsErrors" dxfId="4" priority="6">
      <formula>ISERROR(L2)</formula>
    </cfRule>
  </conditionalFormatting>
  <dataValidations count="1">
    <dataValidation type="list" allowBlank="1" showInputMessage="1" showErrorMessage="1" sqref="A3">
      <formula1>year</formula1>
    </dataValidation>
  </dataValidations>
  <pageMargins left="0.7" right="0.7" top="0.75" bottom="0.75" header="0.3" footer="0.3"/>
  <pageSetup scale="32" fitToHeight="0" orientation="landscape" r:id="rId1"/>
  <ignoredErrors>
    <ignoredError sqref="G3 L3" evalError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showGridLines="0" workbookViewId="0">
      <selection sqref="A1:D1"/>
    </sheetView>
  </sheetViews>
  <sheetFormatPr defaultColWidth="0" defaultRowHeight="15" zeroHeight="1" x14ac:dyDescent="0.25"/>
  <cols>
    <col min="1" max="1" width="13.42578125" style="10" bestFit="1" customWidth="1"/>
    <col min="2" max="2" width="23.85546875" style="10" bestFit="1" customWidth="1"/>
    <col min="3" max="3" width="22.7109375" style="10" bestFit="1" customWidth="1"/>
    <col min="4" max="4" width="16.85546875" style="10" customWidth="1"/>
    <col min="5" max="5" width="14.42578125" style="10" bestFit="1" customWidth="1"/>
    <col min="6" max="6" width="15.5703125" style="10" bestFit="1" customWidth="1"/>
    <col min="7" max="7" width="32.42578125" style="39" bestFit="1" customWidth="1"/>
    <col min="8" max="8" width="27.28515625" style="30" bestFit="1" customWidth="1"/>
    <col min="9" max="9" width="29" style="103" customWidth="1"/>
    <col min="10" max="10" width="11" style="10" customWidth="1"/>
    <col min="11" max="11" width="27.28515625" style="38" bestFit="1" customWidth="1"/>
    <col min="12" max="12" width="32.42578125" style="12" bestFit="1" customWidth="1"/>
    <col min="13" max="13" width="37.5703125" style="41" bestFit="1" customWidth="1"/>
    <col min="14" max="14" width="9.140625" style="10" customWidth="1"/>
    <col min="15" max="16384" width="9.140625" style="10" hidden="1"/>
  </cols>
  <sheetData>
    <row r="1" spans="1:13" s="9" customFormat="1" ht="36" x14ac:dyDescent="0.25">
      <c r="A1" s="238" t="s">
        <v>150</v>
      </c>
      <c r="B1" s="238"/>
      <c r="C1" s="238"/>
      <c r="D1" s="238"/>
      <c r="E1" s="234" t="s">
        <v>205</v>
      </c>
      <c r="F1" s="235"/>
      <c r="G1" s="235"/>
      <c r="H1" s="235"/>
      <c r="I1" s="101" t="s">
        <v>182</v>
      </c>
      <c r="J1" s="233" t="s">
        <v>32</v>
      </c>
      <c r="K1" s="233"/>
      <c r="L1" s="233"/>
      <c r="M1" s="233"/>
    </row>
    <row r="2" spans="1:13" s="9" customFormat="1" ht="105" x14ac:dyDescent="0.25">
      <c r="A2" s="22" t="s">
        <v>187</v>
      </c>
      <c r="B2" s="22" t="s">
        <v>25</v>
      </c>
      <c r="C2" s="22" t="s">
        <v>192</v>
      </c>
      <c r="D2" s="22" t="s">
        <v>212</v>
      </c>
      <c r="E2" s="2" t="s">
        <v>196</v>
      </c>
      <c r="F2" s="2" t="s">
        <v>209</v>
      </c>
      <c r="G2" s="2" t="s">
        <v>203</v>
      </c>
      <c r="H2" s="2" t="s">
        <v>204</v>
      </c>
      <c r="I2" s="102" t="s">
        <v>183</v>
      </c>
      <c r="J2" s="31" t="s">
        <v>101</v>
      </c>
      <c r="K2" s="35" t="s">
        <v>200</v>
      </c>
      <c r="L2" s="31" t="s">
        <v>201</v>
      </c>
      <c r="M2" s="40" t="s">
        <v>202</v>
      </c>
    </row>
    <row r="3" spans="1:13" x14ac:dyDescent="0.25">
      <c r="A3" s="139" t="s">
        <v>243</v>
      </c>
      <c r="B3" s="5" t="s">
        <v>120</v>
      </c>
      <c r="C3" s="161"/>
      <c r="D3" s="76">
        <f>VLOOKUP($A3,source!$A$2:$B$31,2,FALSE)</f>
        <v>0</v>
      </c>
      <c r="E3" s="95">
        <f>Reference!D44</f>
        <v>22.376937864865344</v>
      </c>
      <c r="F3" s="98">
        <f>Reference!E44</f>
        <v>1.0148271140528501E-2</v>
      </c>
      <c r="G3" s="94">
        <f>((C3*F3)*2205)*(1+D3)</f>
        <v>0</v>
      </c>
      <c r="H3" s="96">
        <f>(C3*F3)*(1+D3)</f>
        <v>0</v>
      </c>
      <c r="I3" s="1">
        <f t="shared" ref="I3:I14" si="0">H3/4.8</f>
        <v>0</v>
      </c>
      <c r="J3" s="58">
        <f>Reference!H44</f>
        <v>138.69047619047601</v>
      </c>
      <c r="K3" s="117">
        <f t="shared" ref="K3:K14" si="1">C3*J3/1000</f>
        <v>0</v>
      </c>
      <c r="L3" s="117">
        <f t="shared" ref="L3:L14" si="2">C3*J3</f>
        <v>0</v>
      </c>
      <c r="M3" s="59">
        <f>L3*1000</f>
        <v>0</v>
      </c>
    </row>
    <row r="4" spans="1:13" x14ac:dyDescent="0.25">
      <c r="A4" s="139" t="s">
        <v>243</v>
      </c>
      <c r="B4" s="5" t="s">
        <v>66</v>
      </c>
      <c r="C4" s="133"/>
      <c r="D4" s="76">
        <f>VLOOKUP($A4,source!$A$2:$B$31,2,FALSE)</f>
        <v>0</v>
      </c>
      <c r="E4" s="95">
        <f>Reference!D45</f>
        <v>2.954196723046262</v>
      </c>
      <c r="F4" s="98">
        <f>Reference!E45</f>
        <v>1.3397717564835655E-3</v>
      </c>
      <c r="G4" s="94">
        <f>((C4*F4)*2205)*(1+D4)</f>
        <v>0</v>
      </c>
      <c r="H4" s="96">
        <f>(C4*F4)*(1+D4)</f>
        <v>0</v>
      </c>
      <c r="I4" s="1">
        <f t="shared" si="0"/>
        <v>0</v>
      </c>
      <c r="J4" s="58">
        <f>Reference!H45</f>
        <v>84.833333333333343</v>
      </c>
      <c r="K4" s="117">
        <f t="shared" si="1"/>
        <v>0</v>
      </c>
      <c r="L4" s="117">
        <f t="shared" si="2"/>
        <v>0</v>
      </c>
      <c r="M4" s="59">
        <f t="shared" ref="M4:M12" si="3">L4*1000</f>
        <v>0</v>
      </c>
    </row>
    <row r="5" spans="1:13" x14ac:dyDescent="0.25">
      <c r="A5" s="139" t="s">
        <v>243</v>
      </c>
      <c r="B5" s="5" t="s">
        <v>6</v>
      </c>
      <c r="C5" s="71"/>
      <c r="D5" s="76">
        <f>VLOOKUP($A5,source!$A$2:$B$31,2,FALSE)</f>
        <v>0</v>
      </c>
      <c r="E5" s="95">
        <f>Reference!D46</f>
        <v>19.643203583837458</v>
      </c>
      <c r="F5" s="98">
        <f>Reference!E46</f>
        <v>8.9084823509466924E-3</v>
      </c>
      <c r="G5" s="94">
        <f>((C5*F5)*2205)*(1+D5)</f>
        <v>0</v>
      </c>
      <c r="H5" s="96">
        <f>(C5*F5)*(1+D5)</f>
        <v>0</v>
      </c>
      <c r="I5" s="1">
        <f t="shared" si="0"/>
        <v>0</v>
      </c>
      <c r="J5" s="58">
        <f>Reference!H46</f>
        <v>125.07142857142858</v>
      </c>
      <c r="K5" s="117">
        <f t="shared" si="1"/>
        <v>0</v>
      </c>
      <c r="L5" s="117">
        <f t="shared" si="2"/>
        <v>0</v>
      </c>
      <c r="M5" s="59">
        <f t="shared" si="3"/>
        <v>0</v>
      </c>
    </row>
    <row r="6" spans="1:13" x14ac:dyDescent="0.25">
      <c r="A6" s="139" t="s">
        <v>243</v>
      </c>
      <c r="B6" s="5" t="s">
        <v>26</v>
      </c>
      <c r="C6" s="71"/>
      <c r="D6" s="76">
        <f>VLOOKUP($A6,source!$A$2:$B$31,2,FALSE)</f>
        <v>0</v>
      </c>
      <c r="E6" s="95">
        <f>Reference!D49</f>
        <v>21.098255701158752</v>
      </c>
      <c r="F6" s="79">
        <f>Reference!E49</f>
        <v>9.568369932498301E-3</v>
      </c>
      <c r="G6" s="94">
        <f>((C6*F6)*2205)*(1+D6)</f>
        <v>0</v>
      </c>
      <c r="H6" s="97">
        <f>(C6*F6)*(1+D6)</f>
        <v>0</v>
      </c>
      <c r="I6" s="1">
        <f t="shared" si="0"/>
        <v>0</v>
      </c>
      <c r="J6" s="60">
        <f>Reference!H49</f>
        <v>127.5</v>
      </c>
      <c r="K6" s="117">
        <f t="shared" si="1"/>
        <v>0</v>
      </c>
      <c r="L6" s="117">
        <f t="shared" si="2"/>
        <v>0</v>
      </c>
      <c r="M6" s="59">
        <f t="shared" si="3"/>
        <v>0</v>
      </c>
    </row>
    <row r="7" spans="1:13" x14ac:dyDescent="0.25">
      <c r="A7" s="139" t="s">
        <v>243</v>
      </c>
      <c r="B7" s="5" t="s">
        <v>112</v>
      </c>
      <c r="C7" s="71"/>
      <c r="D7" s="76">
        <f>VLOOKUP($A7,source!$A$2:$B$31,2,FALSE)</f>
        <v>0</v>
      </c>
      <c r="E7" s="95">
        <f>Reference!D50</f>
        <v>0</v>
      </c>
      <c r="F7" s="79">
        <f>Reference!E50</f>
        <v>0</v>
      </c>
      <c r="G7" s="94">
        <f>(C7*F7)*2205</f>
        <v>0</v>
      </c>
      <c r="H7" s="97">
        <f>C7*F7</f>
        <v>0</v>
      </c>
      <c r="I7" s="1">
        <f t="shared" si="0"/>
        <v>0</v>
      </c>
      <c r="J7" s="60">
        <f>Reference!H50</f>
        <v>120</v>
      </c>
      <c r="K7" s="117">
        <f t="shared" si="1"/>
        <v>0</v>
      </c>
      <c r="L7" s="117">
        <f t="shared" si="2"/>
        <v>0</v>
      </c>
      <c r="M7" s="59">
        <f t="shared" si="3"/>
        <v>0</v>
      </c>
    </row>
    <row r="8" spans="1:13" x14ac:dyDescent="0.25">
      <c r="A8" s="139" t="s">
        <v>243</v>
      </c>
      <c r="B8" s="5" t="s">
        <v>65</v>
      </c>
      <c r="C8" s="71"/>
      <c r="D8" s="76">
        <f>VLOOKUP($A8,source!$A$2:$B$31,2,FALSE)</f>
        <v>0</v>
      </c>
      <c r="E8" s="95">
        <f>Reference!D51</f>
        <v>0</v>
      </c>
      <c r="F8" s="79">
        <f>Reference!E51</f>
        <v>0</v>
      </c>
      <c r="G8" s="94">
        <f>(C8*F8)*2205</f>
        <v>0</v>
      </c>
      <c r="H8" s="97">
        <f>C8*F8</f>
        <v>0</v>
      </c>
      <c r="I8" s="1">
        <f t="shared" si="0"/>
        <v>0</v>
      </c>
      <c r="J8" s="60">
        <f>Reference!H51</f>
        <v>127.5952380952381</v>
      </c>
      <c r="K8" s="117">
        <f t="shared" si="1"/>
        <v>0</v>
      </c>
      <c r="L8" s="117">
        <f t="shared" si="2"/>
        <v>0</v>
      </c>
      <c r="M8" s="59">
        <f t="shared" si="3"/>
        <v>0</v>
      </c>
    </row>
    <row r="9" spans="1:13" x14ac:dyDescent="0.25">
      <c r="A9" s="139" t="s">
        <v>243</v>
      </c>
      <c r="B9" s="5" t="s">
        <v>63</v>
      </c>
      <c r="C9" s="71"/>
      <c r="D9" s="76">
        <f>VLOOKUP($A9,source!$A$2:$B$31,2,FALSE)</f>
        <v>0</v>
      </c>
      <c r="E9" s="95">
        <f>Reference!D52</f>
        <v>17.901550291892271</v>
      </c>
      <c r="F9" s="79">
        <f>Reference!E52</f>
        <v>8.1186169124227991E-3</v>
      </c>
      <c r="G9" s="94">
        <f t="shared" ref="G9:G14" si="4">((C9*F9)*2205)*(1+D9)</f>
        <v>0</v>
      </c>
      <c r="H9" s="97">
        <f t="shared" ref="H9:H14" si="5">(C9*F9)*(1+D9)</f>
        <v>0</v>
      </c>
      <c r="I9" s="1">
        <f t="shared" si="0"/>
        <v>0</v>
      </c>
      <c r="J9" s="60">
        <f>Reference!H52</f>
        <v>136</v>
      </c>
      <c r="K9" s="117">
        <f t="shared" si="1"/>
        <v>0</v>
      </c>
      <c r="L9" s="117">
        <f t="shared" si="2"/>
        <v>0</v>
      </c>
      <c r="M9" s="59">
        <f t="shared" si="3"/>
        <v>0</v>
      </c>
    </row>
    <row r="10" spans="1:13" x14ac:dyDescent="0.25">
      <c r="A10" s="139" t="s">
        <v>243</v>
      </c>
      <c r="B10" s="5" t="s">
        <v>64</v>
      </c>
      <c r="C10" s="71"/>
      <c r="D10" s="76">
        <f>VLOOKUP($A10,source!$A$2:$B$31,2,FALSE)</f>
        <v>0</v>
      </c>
      <c r="E10" s="95">
        <f>Reference!D53</f>
        <v>21.252579410571617</v>
      </c>
      <c r="F10" s="79">
        <f>Reference!E53</f>
        <v>9.6383580093295316E-3</v>
      </c>
      <c r="G10" s="94">
        <f t="shared" si="4"/>
        <v>0</v>
      </c>
      <c r="H10" s="97">
        <f t="shared" si="5"/>
        <v>0</v>
      </c>
      <c r="I10" s="1">
        <f t="shared" si="0"/>
        <v>0</v>
      </c>
      <c r="J10" s="60">
        <f>Reference!H53</f>
        <v>138</v>
      </c>
      <c r="K10" s="117">
        <f t="shared" si="1"/>
        <v>0</v>
      </c>
      <c r="L10" s="117">
        <f t="shared" si="2"/>
        <v>0</v>
      </c>
      <c r="M10" s="59">
        <f t="shared" si="3"/>
        <v>0</v>
      </c>
    </row>
    <row r="11" spans="1:13" x14ac:dyDescent="0.25">
      <c r="A11" s="139" t="s">
        <v>243</v>
      </c>
      <c r="B11" s="5" t="s">
        <v>2</v>
      </c>
      <c r="C11" s="71"/>
      <c r="D11" s="76">
        <f>VLOOKUP($A11,source!$A$2:$B$31,2,FALSE)</f>
        <v>0</v>
      </c>
      <c r="E11" s="95">
        <f>Reference!D54</f>
        <v>15.219657754105011</v>
      </c>
      <c r="F11" s="79">
        <f>Reference!E54</f>
        <v>6.9023391175079413E-3</v>
      </c>
      <c r="G11" s="94">
        <f t="shared" si="4"/>
        <v>0</v>
      </c>
      <c r="H11" s="97">
        <f t="shared" si="5"/>
        <v>0</v>
      </c>
      <c r="I11" s="1">
        <f t="shared" si="0"/>
        <v>0</v>
      </c>
      <c r="J11" s="60">
        <f>Reference!H54</f>
        <v>22.452999999999999</v>
      </c>
      <c r="K11" s="117">
        <f t="shared" si="1"/>
        <v>0</v>
      </c>
      <c r="L11" s="117">
        <f t="shared" si="2"/>
        <v>0</v>
      </c>
      <c r="M11" s="59">
        <f t="shared" si="3"/>
        <v>0</v>
      </c>
    </row>
    <row r="12" spans="1:13" x14ac:dyDescent="0.25">
      <c r="A12" s="139" t="s">
        <v>243</v>
      </c>
      <c r="B12" s="5" t="s">
        <v>73</v>
      </c>
      <c r="C12" s="71"/>
      <c r="D12" s="76">
        <f>VLOOKUP($A12,source!$A$2:$B$31,2,FALSE)</f>
        <v>0</v>
      </c>
      <c r="E12" s="95">
        <f>Reference!D55</f>
        <v>9.8326249140196484</v>
      </c>
      <c r="F12" s="79">
        <f>Reference!E55</f>
        <v>4.4592403238184345E-3</v>
      </c>
      <c r="G12" s="94">
        <f t="shared" si="4"/>
        <v>0</v>
      </c>
      <c r="H12" s="97">
        <f t="shared" si="5"/>
        <v>0</v>
      </c>
      <c r="I12" s="1">
        <f t="shared" si="0"/>
        <v>0</v>
      </c>
      <c r="J12" s="60">
        <f>Reference!H55</f>
        <v>84.82</v>
      </c>
      <c r="K12" s="117">
        <f t="shared" si="1"/>
        <v>0</v>
      </c>
      <c r="L12" s="117">
        <f t="shared" si="2"/>
        <v>0</v>
      </c>
      <c r="M12" s="59">
        <f t="shared" si="3"/>
        <v>0</v>
      </c>
    </row>
    <row r="13" spans="1:13" x14ac:dyDescent="0.25">
      <c r="A13" s="139" t="s">
        <v>243</v>
      </c>
      <c r="B13" s="5" t="s">
        <v>3</v>
      </c>
      <c r="C13" s="71"/>
      <c r="D13" s="76">
        <f>VLOOKUP($A13,source!$A$2:$B$31,2,FALSE)</f>
        <v>0</v>
      </c>
      <c r="E13" s="95">
        <f>Reference!D48</f>
        <v>12.654544171854884</v>
      </c>
      <c r="F13" s="79">
        <f>Reference!E48</f>
        <v>5.7390223001609446E-3</v>
      </c>
      <c r="G13" s="94">
        <f t="shared" si="4"/>
        <v>0</v>
      </c>
      <c r="H13" s="97">
        <f t="shared" si="5"/>
        <v>0</v>
      </c>
      <c r="I13" s="1">
        <f t="shared" si="0"/>
        <v>0</v>
      </c>
      <c r="J13" s="74">
        <f>Reference!H48</f>
        <v>91.333333333333343</v>
      </c>
      <c r="K13" s="117">
        <f t="shared" si="1"/>
        <v>0</v>
      </c>
      <c r="L13" s="117">
        <f t="shared" si="2"/>
        <v>0</v>
      </c>
      <c r="M13" s="59">
        <f t="shared" ref="M13" si="6">L13*1000</f>
        <v>0</v>
      </c>
    </row>
    <row r="14" spans="1:13" x14ac:dyDescent="0.25">
      <c r="A14" s="139" t="s">
        <v>243</v>
      </c>
      <c r="B14" s="5" t="s">
        <v>185</v>
      </c>
      <c r="C14" s="71"/>
      <c r="D14" s="76">
        <v>0</v>
      </c>
      <c r="E14" s="95">
        <f>VLOOKUP($A14,source!$A$2:$D$28,3,FALSE)</f>
        <v>0</v>
      </c>
      <c r="F14" s="79">
        <f>VLOOKUP($A14,source!$A$2:$D$28,4,FALSE)</f>
        <v>0</v>
      </c>
      <c r="G14" s="94">
        <f t="shared" si="4"/>
        <v>0</v>
      </c>
      <c r="H14" s="97">
        <f t="shared" si="5"/>
        <v>0</v>
      </c>
      <c r="I14" s="1">
        <f t="shared" si="0"/>
        <v>0</v>
      </c>
      <c r="J14" s="74">
        <v>3.4119999999999999</v>
      </c>
      <c r="K14" s="117">
        <f t="shared" si="1"/>
        <v>0</v>
      </c>
      <c r="L14" s="117">
        <f t="shared" si="2"/>
        <v>0</v>
      </c>
      <c r="M14" s="59">
        <f t="shared" ref="M14" si="7">L14*1000</f>
        <v>0</v>
      </c>
    </row>
    <row r="15" spans="1:13" s="29" customFormat="1" ht="18.75" x14ac:dyDescent="0.3">
      <c r="A15" s="10"/>
      <c r="B15" s="72" t="s">
        <v>81</v>
      </c>
      <c r="C15" s="73"/>
      <c r="D15" s="73"/>
      <c r="E15" s="73"/>
      <c r="F15" s="73"/>
      <c r="G15" s="28">
        <f>SUM(G3:G12)</f>
        <v>0</v>
      </c>
      <c r="H15" s="47">
        <f>SUM(H3:H12)</f>
        <v>0</v>
      </c>
      <c r="I15" s="28">
        <f>SUM(I3:I12)</f>
        <v>0</v>
      </c>
      <c r="J15" s="104"/>
      <c r="K15" s="123">
        <f>SUM(K3:K12)</f>
        <v>0</v>
      </c>
      <c r="L15" s="123">
        <f>SUM(L3:L12)</f>
        <v>0</v>
      </c>
      <c r="M15" s="123">
        <f>SUM(M3:M12)</f>
        <v>0</v>
      </c>
    </row>
    <row r="16" spans="1:13" x14ac:dyDescent="0.25">
      <c r="C16" s="11"/>
      <c r="E16" s="61"/>
      <c r="K16" s="36"/>
    </row>
    <row r="17" spans="1:13" x14ac:dyDescent="0.25">
      <c r="B17" s="14"/>
      <c r="D17" s="14"/>
      <c r="E17" s="15"/>
      <c r="J17" s="15"/>
      <c r="K17" s="37"/>
    </row>
    <row r="18" spans="1:13" x14ac:dyDescent="0.25">
      <c r="A18" s="229" t="s">
        <v>206</v>
      </c>
      <c r="B18" s="229"/>
      <c r="C18" s="229"/>
      <c r="D18" s="229"/>
      <c r="E18" s="229"/>
      <c r="F18" s="229"/>
      <c r="G18" s="229"/>
      <c r="K18" s="37"/>
    </row>
    <row r="19" spans="1:13" s="12" customFormat="1" x14ac:dyDescent="0.25">
      <c r="A19" s="229"/>
      <c r="B19" s="229"/>
      <c r="C19" s="229"/>
      <c r="D19" s="229"/>
      <c r="E19" s="229"/>
      <c r="F19" s="229"/>
      <c r="G19" s="229"/>
      <c r="H19" s="30"/>
      <c r="I19" s="103"/>
      <c r="J19" s="10"/>
      <c r="K19" s="37"/>
      <c r="M19" s="41"/>
    </row>
    <row r="20" spans="1:13" s="12" customFormat="1" x14ac:dyDescent="0.25">
      <c r="B20" s="10"/>
      <c r="C20" s="10"/>
      <c r="D20" s="10"/>
      <c r="E20" s="10"/>
      <c r="F20" s="10"/>
      <c r="G20" s="39"/>
      <c r="H20" s="30"/>
      <c r="I20" s="103"/>
      <c r="J20" s="10"/>
      <c r="K20" s="37"/>
      <c r="M20" s="41"/>
    </row>
    <row r="21" spans="1:13" s="12" customFormat="1" x14ac:dyDescent="0.25">
      <c r="B21" s="10"/>
      <c r="C21" s="10"/>
      <c r="D21" s="10"/>
      <c r="E21" s="10"/>
      <c r="F21" s="10"/>
      <c r="G21" s="39"/>
      <c r="H21" s="30"/>
      <c r="I21" s="103"/>
      <c r="J21" s="16"/>
      <c r="K21" s="37"/>
      <c r="M21" s="41"/>
    </row>
    <row r="22" spans="1:13" s="12" customFormat="1" hidden="1" x14ac:dyDescent="0.25">
      <c r="B22" s="10"/>
      <c r="C22" s="10"/>
      <c r="D22" s="10"/>
      <c r="E22" s="10"/>
      <c r="F22" s="10"/>
      <c r="G22" s="39"/>
      <c r="H22" s="30"/>
      <c r="I22" s="103"/>
      <c r="J22" s="10"/>
      <c r="K22" s="37"/>
      <c r="M22" s="41"/>
    </row>
    <row r="23" spans="1:13" s="12" customFormat="1" hidden="1" x14ac:dyDescent="0.25">
      <c r="B23" s="10"/>
      <c r="C23" s="10"/>
      <c r="D23" s="10"/>
      <c r="E23" s="10"/>
      <c r="F23" s="10"/>
      <c r="G23" s="39"/>
      <c r="H23" s="30"/>
      <c r="I23" s="103"/>
      <c r="J23" s="10"/>
      <c r="K23" s="37"/>
      <c r="M23" s="41"/>
    </row>
    <row r="24" spans="1:13" s="12" customFormat="1" hidden="1" x14ac:dyDescent="0.25">
      <c r="B24" s="10"/>
      <c r="C24" s="10"/>
      <c r="D24" s="10"/>
      <c r="E24" s="10"/>
      <c r="F24" s="10"/>
      <c r="G24" s="39"/>
      <c r="H24" s="30"/>
      <c r="I24" s="103"/>
      <c r="J24" s="10"/>
      <c r="K24" s="37"/>
      <c r="M24" s="41"/>
    </row>
    <row r="25" spans="1:13" s="12" customFormat="1" hidden="1" x14ac:dyDescent="0.25">
      <c r="B25" s="10"/>
      <c r="C25" s="10"/>
      <c r="D25" s="10"/>
      <c r="E25" s="10"/>
      <c r="F25" s="10"/>
      <c r="G25" s="39"/>
      <c r="H25" s="30"/>
      <c r="I25" s="103"/>
      <c r="J25" s="16"/>
      <c r="K25" s="37"/>
      <c r="M25" s="41"/>
    </row>
  </sheetData>
  <sheetProtection password="CC30" sheet="1" objects="1" scenarios="1"/>
  <mergeCells count="4">
    <mergeCell ref="A1:D1"/>
    <mergeCell ref="E1:H1"/>
    <mergeCell ref="J1:M1"/>
    <mergeCell ref="A18:G19"/>
  </mergeCells>
  <conditionalFormatting sqref="D3:D14 E14:F14">
    <cfRule type="containsErrors" dxfId="3" priority="11">
      <formula>ISERROR(D3)</formula>
    </cfRule>
  </conditionalFormatting>
  <conditionalFormatting sqref="I1:I1048576 G3:H15">
    <cfRule type="containsErrors" dxfId="2" priority="12">
      <formula>ISERROR(G1)</formula>
    </cfRule>
  </conditionalFormatting>
  <conditionalFormatting sqref="G14:H14">
    <cfRule type="containsErrors" dxfId="1" priority="2">
      <formula>ISERROR(G14)</formula>
    </cfRule>
  </conditionalFormatting>
  <conditionalFormatting sqref="G14:H14">
    <cfRule type="containsErrors" dxfId="0" priority="1">
      <formula>ISERROR(G14)</formula>
    </cfRule>
  </conditionalFormatting>
  <dataValidations count="1">
    <dataValidation type="list" allowBlank="1" showInputMessage="1" showErrorMessage="1" sqref="A3:A14">
      <formula1>year</formula1>
    </dataValidation>
  </dataValidations>
  <pageMargins left="0.7" right="0.7" top="0.75" bottom="0.75" header="0.3" footer="0.3"/>
  <pageSetup scale="32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0"/>
  <sheetViews>
    <sheetView showGridLines="0" topLeftCell="C1" workbookViewId="0">
      <selection sqref="A1:G1"/>
    </sheetView>
  </sheetViews>
  <sheetFormatPr defaultColWidth="0" defaultRowHeight="15" zeroHeight="1" x14ac:dyDescent="0.25"/>
  <cols>
    <col min="1" max="1" width="54.7109375" style="10" customWidth="1"/>
    <col min="2" max="2" width="32.85546875" style="10" customWidth="1"/>
    <col min="3" max="3" width="41.140625" style="10" bestFit="1" customWidth="1"/>
    <col min="4" max="4" width="15.5703125" style="10" bestFit="1" customWidth="1"/>
    <col min="5" max="5" width="32.42578125" style="30" bestFit="1" customWidth="1"/>
    <col min="6" max="6" width="57.7109375" style="10" customWidth="1"/>
    <col min="7" max="7" width="72.5703125" style="10" customWidth="1"/>
    <col min="8" max="8" width="22.140625" style="10" bestFit="1" customWidth="1"/>
    <col min="9" max="9" width="106.28515625" style="12" bestFit="1" customWidth="1"/>
    <col min="10" max="13" width="22.85546875" style="10" customWidth="1"/>
    <col min="14" max="16384" width="22.85546875" style="10" hidden="1"/>
  </cols>
  <sheetData>
    <row r="1" spans="1:9" ht="36" customHeight="1" x14ac:dyDescent="0.25">
      <c r="A1" s="259" t="s">
        <v>47</v>
      </c>
      <c r="B1" s="260"/>
      <c r="C1" s="260"/>
      <c r="D1" s="260"/>
      <c r="E1" s="260"/>
      <c r="F1" s="260"/>
      <c r="G1" s="261"/>
      <c r="H1" s="249" t="s">
        <v>32</v>
      </c>
      <c r="I1" s="250"/>
    </row>
    <row r="2" spans="1:9" s="9" customFormat="1" ht="45" x14ac:dyDescent="0.25">
      <c r="A2" s="7" t="str">
        <f>Building!B2</f>
        <v>Fuel</v>
      </c>
      <c r="B2" s="7" t="s">
        <v>198</v>
      </c>
      <c r="C2" s="7" t="s">
        <v>199</v>
      </c>
      <c r="D2" s="2" t="s">
        <v>196</v>
      </c>
      <c r="E2" s="2" t="s">
        <v>197</v>
      </c>
      <c r="F2" s="2" t="s">
        <v>193</v>
      </c>
      <c r="G2" s="2" t="s">
        <v>194</v>
      </c>
      <c r="H2" s="32" t="str">
        <f>Building!M2</f>
        <v>kBtu Conversion Factor</v>
      </c>
      <c r="I2" s="33" t="s">
        <v>195</v>
      </c>
    </row>
    <row r="3" spans="1:9" x14ac:dyDescent="0.25">
      <c r="A3" s="5" t="s">
        <v>152</v>
      </c>
      <c r="B3" s="79" t="s">
        <v>188</v>
      </c>
      <c r="C3" s="79" t="s">
        <v>188</v>
      </c>
      <c r="D3" s="4">
        <v>1.189247311827957</v>
      </c>
      <c r="E3" s="109">
        <f t="shared" ref="E3:E16" si="0">D3/$B$116</f>
        <v>5.3934118450247486E-4</v>
      </c>
      <c r="F3" s="121" t="s">
        <v>190</v>
      </c>
      <c r="G3" s="80"/>
      <c r="H3" s="74">
        <v>3.4119999999999999</v>
      </c>
      <c r="I3" s="121" t="s">
        <v>13</v>
      </c>
    </row>
    <row r="4" spans="1:9" x14ac:dyDescent="0.25">
      <c r="A4" s="5" t="s">
        <v>153</v>
      </c>
      <c r="B4" s="79" t="s">
        <v>188</v>
      </c>
      <c r="C4" s="79" t="s">
        <v>188</v>
      </c>
      <c r="D4" s="4">
        <v>1.1989247311827957</v>
      </c>
      <c r="E4" s="109">
        <f t="shared" si="0"/>
        <v>5.4373003681759441E-4</v>
      </c>
      <c r="F4" s="121" t="s">
        <v>190</v>
      </c>
      <c r="G4" s="80"/>
      <c r="H4" s="74">
        <v>3.4119999999999999</v>
      </c>
      <c r="I4" s="121" t="s">
        <v>13</v>
      </c>
    </row>
    <row r="5" spans="1:9" x14ac:dyDescent="0.25">
      <c r="A5" s="5" t="s">
        <v>154</v>
      </c>
      <c r="B5" s="79" t="s">
        <v>188</v>
      </c>
      <c r="C5" s="79" t="s">
        <v>188</v>
      </c>
      <c r="D5" s="4">
        <v>1.2505376344086023</v>
      </c>
      <c r="E5" s="109">
        <f t="shared" si="0"/>
        <v>5.67137249164899E-4</v>
      </c>
      <c r="F5" s="121" t="s">
        <v>190</v>
      </c>
      <c r="G5" s="80"/>
      <c r="H5" s="74">
        <v>3.4119999999999999</v>
      </c>
      <c r="I5" s="121" t="s">
        <v>13</v>
      </c>
    </row>
    <row r="6" spans="1:9" x14ac:dyDescent="0.25">
      <c r="A6" s="5" t="s">
        <v>155</v>
      </c>
      <c r="B6" s="79" t="s">
        <v>188</v>
      </c>
      <c r="C6" s="79" t="s">
        <v>188</v>
      </c>
      <c r="D6" s="4">
        <v>1.2182795698924731</v>
      </c>
      <c r="E6" s="109">
        <f t="shared" si="0"/>
        <v>5.5250774144783362E-4</v>
      </c>
      <c r="F6" s="121" t="s">
        <v>190</v>
      </c>
      <c r="G6" s="80"/>
      <c r="H6" s="74">
        <v>3.4119999999999999</v>
      </c>
      <c r="I6" s="121" t="s">
        <v>13</v>
      </c>
    </row>
    <row r="7" spans="1:9" x14ac:dyDescent="0.25">
      <c r="A7" s="5" t="s">
        <v>156</v>
      </c>
      <c r="B7" s="79" t="s">
        <v>188</v>
      </c>
      <c r="C7" s="79" t="s">
        <v>188</v>
      </c>
      <c r="D7" s="4">
        <v>1.2193429611670017</v>
      </c>
      <c r="E7" s="109">
        <f t="shared" si="0"/>
        <v>5.5299000506439991E-4</v>
      </c>
      <c r="F7" s="121" t="s">
        <v>190</v>
      </c>
      <c r="G7" s="80"/>
      <c r="H7" s="74">
        <v>3.4119999999999999</v>
      </c>
      <c r="I7" s="121" t="s">
        <v>13</v>
      </c>
    </row>
    <row r="8" spans="1:9" x14ac:dyDescent="0.25">
      <c r="A8" s="5" t="s">
        <v>157</v>
      </c>
      <c r="B8" s="79" t="s">
        <v>188</v>
      </c>
      <c r="C8" s="79" t="s">
        <v>188</v>
      </c>
      <c r="D8" s="4">
        <v>1.0848087291281086</v>
      </c>
      <c r="E8" s="109">
        <f t="shared" si="0"/>
        <v>4.9197674790390415E-4</v>
      </c>
      <c r="F8" s="121" t="s">
        <v>190</v>
      </c>
      <c r="G8" s="80"/>
      <c r="H8" s="74">
        <v>3.4119999999999999</v>
      </c>
      <c r="I8" s="121" t="s">
        <v>13</v>
      </c>
    </row>
    <row r="9" spans="1:9" x14ac:dyDescent="0.25">
      <c r="A9" s="5" t="s">
        <v>158</v>
      </c>
      <c r="B9" s="79" t="s">
        <v>188</v>
      </c>
      <c r="C9" s="79" t="s">
        <v>188</v>
      </c>
      <c r="D9" s="4">
        <v>1.1080456135852068</v>
      </c>
      <c r="E9" s="109">
        <f t="shared" si="0"/>
        <v>5.0251501749896E-4</v>
      </c>
      <c r="F9" s="121" t="s">
        <v>190</v>
      </c>
      <c r="G9" s="80"/>
      <c r="H9" s="74">
        <v>3.4119999999999999</v>
      </c>
      <c r="I9" s="121" t="s">
        <v>13</v>
      </c>
    </row>
    <row r="10" spans="1:9" x14ac:dyDescent="0.25">
      <c r="A10" s="5" t="s">
        <v>159</v>
      </c>
      <c r="B10" s="79" t="s">
        <v>188</v>
      </c>
      <c r="C10" s="79" t="s">
        <v>188</v>
      </c>
      <c r="D10" s="4">
        <v>1.0224199666277467</v>
      </c>
      <c r="E10" s="109">
        <f t="shared" si="0"/>
        <v>4.6368252454773092E-4</v>
      </c>
      <c r="F10" s="121" t="s">
        <v>190</v>
      </c>
      <c r="G10" s="80"/>
      <c r="H10" s="74">
        <v>3.4119999999999999</v>
      </c>
      <c r="I10" s="121" t="s">
        <v>13</v>
      </c>
    </row>
    <row r="11" spans="1:9" x14ac:dyDescent="0.25">
      <c r="A11" s="5" t="s">
        <v>160</v>
      </c>
      <c r="B11" s="79" t="s">
        <v>188</v>
      </c>
      <c r="C11" s="79" t="s">
        <v>188</v>
      </c>
      <c r="D11" s="4">
        <v>0.9572022719914004</v>
      </c>
      <c r="E11" s="109">
        <f t="shared" si="0"/>
        <v>4.3410533877161016E-4</v>
      </c>
      <c r="F11" s="121" t="s">
        <v>190</v>
      </c>
      <c r="G11" s="80"/>
      <c r="H11" s="74">
        <v>3.4119999999999999</v>
      </c>
      <c r="I11" s="121" t="s">
        <v>13</v>
      </c>
    </row>
    <row r="12" spans="1:9" x14ac:dyDescent="0.25">
      <c r="A12" s="5" t="s">
        <v>161</v>
      </c>
      <c r="B12" s="79" t="s">
        <v>188</v>
      </c>
      <c r="C12" s="79" t="s">
        <v>188</v>
      </c>
      <c r="D12" s="4">
        <v>0.96344086021505382</v>
      </c>
      <c r="E12" s="109">
        <f t="shared" si="0"/>
        <v>4.3693463048301762E-4</v>
      </c>
      <c r="F12" s="121" t="s">
        <v>190</v>
      </c>
      <c r="G12" s="80"/>
      <c r="H12" s="74">
        <v>3.4119999999999999</v>
      </c>
      <c r="I12" s="121" t="s">
        <v>13</v>
      </c>
    </row>
    <row r="13" spans="1:9" x14ac:dyDescent="0.25">
      <c r="A13" s="5" t="s">
        <v>162</v>
      </c>
      <c r="B13" s="79" t="s">
        <v>188</v>
      </c>
      <c r="C13" s="79" t="s">
        <v>188</v>
      </c>
      <c r="D13" s="4">
        <v>0.83370336476633722</v>
      </c>
      <c r="E13" s="135">
        <f t="shared" si="0"/>
        <v>3.7809676406636608E-4</v>
      </c>
      <c r="F13" s="121" t="s">
        <v>190</v>
      </c>
      <c r="G13" s="80"/>
      <c r="H13" s="74">
        <v>3.4119999999999999</v>
      </c>
      <c r="I13" s="121" t="s">
        <v>13</v>
      </c>
    </row>
    <row r="14" spans="1:9" x14ac:dyDescent="0.25">
      <c r="A14" s="5" t="s">
        <v>163</v>
      </c>
      <c r="B14" s="79" t="s">
        <v>188</v>
      </c>
      <c r="C14" s="79" t="s">
        <v>188</v>
      </c>
      <c r="D14" s="34">
        <v>0.74301075268817218</v>
      </c>
      <c r="E14" s="110">
        <f t="shared" si="0"/>
        <v>3.3696632774973795E-4</v>
      </c>
      <c r="F14" s="121" t="s">
        <v>190</v>
      </c>
      <c r="G14" s="80"/>
      <c r="H14" s="74">
        <v>3.4119999999999999</v>
      </c>
      <c r="I14" s="121" t="s">
        <v>13</v>
      </c>
    </row>
    <row r="15" spans="1:9" x14ac:dyDescent="0.25">
      <c r="A15" s="5" t="s">
        <v>226</v>
      </c>
      <c r="B15" s="79" t="s">
        <v>188</v>
      </c>
      <c r="C15" s="79" t="s">
        <v>188</v>
      </c>
      <c r="D15" s="164">
        <v>0.76129032258064522</v>
      </c>
      <c r="E15" s="165">
        <f t="shared" si="0"/>
        <v>3.452563821227416E-4</v>
      </c>
      <c r="F15" s="134" t="s">
        <v>190</v>
      </c>
      <c r="G15" s="80"/>
      <c r="H15" s="74">
        <v>3.4119999999999999</v>
      </c>
      <c r="I15" s="134" t="s">
        <v>13</v>
      </c>
    </row>
    <row r="16" spans="1:9" x14ac:dyDescent="0.25">
      <c r="A16" s="5" t="s">
        <v>227</v>
      </c>
      <c r="B16" s="79" t="s">
        <v>188</v>
      </c>
      <c r="C16" s="79" t="s">
        <v>188</v>
      </c>
      <c r="D16" s="164">
        <v>0.76129032258064522</v>
      </c>
      <c r="E16" s="165">
        <f t="shared" si="0"/>
        <v>3.452563821227416E-4</v>
      </c>
      <c r="F16" s="134" t="s">
        <v>190</v>
      </c>
      <c r="G16" s="80"/>
      <c r="H16" s="74">
        <v>3.4119999999999999</v>
      </c>
      <c r="I16" s="134" t="s">
        <v>13</v>
      </c>
    </row>
    <row r="17" spans="1:9" x14ac:dyDescent="0.25">
      <c r="A17" s="5" t="s">
        <v>234</v>
      </c>
      <c r="B17" s="79" t="s">
        <v>188</v>
      </c>
      <c r="C17" s="79" t="s">
        <v>188</v>
      </c>
      <c r="D17" s="164">
        <v>0.76129032258064522</v>
      </c>
      <c r="E17" s="165">
        <f t="shared" ref="E17" si="1">D17/$B$116</f>
        <v>3.452563821227416E-4</v>
      </c>
      <c r="F17" s="137" t="s">
        <v>190</v>
      </c>
      <c r="G17" s="80"/>
      <c r="H17" s="74">
        <v>3.4119999999999999</v>
      </c>
      <c r="I17" s="137" t="s">
        <v>13</v>
      </c>
    </row>
    <row r="18" spans="1:9" x14ac:dyDescent="0.25">
      <c r="A18" s="5" t="s">
        <v>246</v>
      </c>
      <c r="B18" s="79" t="s">
        <v>188</v>
      </c>
      <c r="C18" s="79" t="s">
        <v>188</v>
      </c>
      <c r="D18" s="164">
        <v>0.76129032258064522</v>
      </c>
      <c r="E18" s="165">
        <f t="shared" ref="E18" si="2">D18/$B$116</f>
        <v>3.452563821227416E-4</v>
      </c>
      <c r="F18" s="162" t="s">
        <v>190</v>
      </c>
      <c r="G18" s="80"/>
      <c r="H18" s="74">
        <v>3.4119999999999999</v>
      </c>
      <c r="I18" s="162" t="s">
        <v>13</v>
      </c>
    </row>
    <row r="19" spans="1:9" x14ac:dyDescent="0.25">
      <c r="A19" s="5" t="s">
        <v>164</v>
      </c>
      <c r="B19" s="79" t="s">
        <v>188</v>
      </c>
      <c r="C19" s="79" t="s">
        <v>188</v>
      </c>
      <c r="D19" s="4">
        <v>1.1940860215053763</v>
      </c>
      <c r="E19" s="109">
        <f t="shared" ref="E19:E31" si="3">D19/$B$116</f>
        <v>5.4153561066003458E-4</v>
      </c>
      <c r="F19" s="121" t="s">
        <v>190</v>
      </c>
      <c r="G19" s="80"/>
      <c r="H19" s="74">
        <v>3.4119999999999999</v>
      </c>
      <c r="I19" s="121" t="s">
        <v>13</v>
      </c>
    </row>
    <row r="20" spans="1:9" x14ac:dyDescent="0.25">
      <c r="A20" s="5" t="s">
        <v>165</v>
      </c>
      <c r="B20" s="79" t="s">
        <v>188</v>
      </c>
      <c r="C20" s="79" t="s">
        <v>188</v>
      </c>
      <c r="D20" s="4">
        <v>1.2247311827956993</v>
      </c>
      <c r="E20" s="109">
        <f t="shared" si="3"/>
        <v>5.5543364299124687E-4</v>
      </c>
      <c r="F20" s="121" t="s">
        <v>190</v>
      </c>
      <c r="G20" s="80"/>
      <c r="H20" s="74">
        <v>3.4119999999999999</v>
      </c>
      <c r="I20" s="121" t="s">
        <v>13</v>
      </c>
    </row>
    <row r="21" spans="1:9" x14ac:dyDescent="0.25">
      <c r="A21" s="5" t="s">
        <v>166</v>
      </c>
      <c r="B21" s="79" t="s">
        <v>188</v>
      </c>
      <c r="C21" s="79" t="s">
        <v>188</v>
      </c>
      <c r="D21" s="4">
        <v>1.2344086021505378</v>
      </c>
      <c r="E21" s="109">
        <f t="shared" si="3"/>
        <v>5.5982249530636631E-4</v>
      </c>
      <c r="F21" s="121" t="s">
        <v>190</v>
      </c>
      <c r="G21" s="80"/>
      <c r="H21" s="74">
        <v>3.4119999999999999</v>
      </c>
      <c r="I21" s="121" t="s">
        <v>13</v>
      </c>
    </row>
    <row r="22" spans="1:9" x14ac:dyDescent="0.25">
      <c r="A22" s="5" t="s">
        <v>167</v>
      </c>
      <c r="B22" s="79" t="s">
        <v>188</v>
      </c>
      <c r="C22" s="79" t="s">
        <v>188</v>
      </c>
      <c r="D22" s="4">
        <v>1.2188112655297374</v>
      </c>
      <c r="E22" s="109">
        <f t="shared" si="3"/>
        <v>5.5274887325611676E-4</v>
      </c>
      <c r="F22" s="121" t="s">
        <v>190</v>
      </c>
      <c r="G22" s="80"/>
      <c r="H22" s="74">
        <v>3.4119999999999999</v>
      </c>
      <c r="I22" s="121" t="s">
        <v>13</v>
      </c>
    </row>
    <row r="23" spans="1:9" x14ac:dyDescent="0.25">
      <c r="A23" s="5" t="s">
        <v>168</v>
      </c>
      <c r="B23" s="79" t="s">
        <v>188</v>
      </c>
      <c r="C23" s="79" t="s">
        <v>188</v>
      </c>
      <c r="D23" s="4">
        <v>1.1520758451475552</v>
      </c>
      <c r="E23" s="109">
        <f t="shared" si="3"/>
        <v>5.2248337648415203E-4</v>
      </c>
      <c r="F23" s="121" t="s">
        <v>190</v>
      </c>
      <c r="G23" s="80"/>
      <c r="H23" s="74">
        <v>3.4119999999999999</v>
      </c>
      <c r="I23" s="121" t="s">
        <v>13</v>
      </c>
    </row>
    <row r="24" spans="1:9" x14ac:dyDescent="0.25">
      <c r="A24" s="5" t="s">
        <v>169</v>
      </c>
      <c r="B24" s="79" t="s">
        <v>188</v>
      </c>
      <c r="C24" s="79" t="s">
        <v>188</v>
      </c>
      <c r="D24" s="4">
        <v>1.0964271713566578</v>
      </c>
      <c r="E24" s="109">
        <f t="shared" si="3"/>
        <v>4.9724588270143213E-4</v>
      </c>
      <c r="F24" s="121" t="s">
        <v>190</v>
      </c>
      <c r="G24" s="80"/>
      <c r="H24" s="74">
        <v>3.4119999999999999</v>
      </c>
      <c r="I24" s="121" t="s">
        <v>13</v>
      </c>
    </row>
    <row r="25" spans="1:9" x14ac:dyDescent="0.25">
      <c r="A25" s="5" t="s">
        <v>170</v>
      </c>
      <c r="B25" s="79" t="s">
        <v>188</v>
      </c>
      <c r="C25" s="79" t="s">
        <v>188</v>
      </c>
      <c r="D25" s="4">
        <v>1.0652327901064769</v>
      </c>
      <c r="E25" s="109">
        <f t="shared" si="3"/>
        <v>4.8309877102334554E-4</v>
      </c>
      <c r="F25" s="121" t="s">
        <v>190</v>
      </c>
      <c r="G25" s="80"/>
      <c r="H25" s="74">
        <v>3.4119999999999999</v>
      </c>
      <c r="I25" s="121" t="s">
        <v>13</v>
      </c>
    </row>
    <row r="26" spans="1:9" x14ac:dyDescent="0.25">
      <c r="A26" s="5" t="s">
        <v>171</v>
      </c>
      <c r="B26" s="79" t="s">
        <v>188</v>
      </c>
      <c r="C26" s="79" t="s">
        <v>188</v>
      </c>
      <c r="D26" s="4">
        <v>0.98981111930957355</v>
      </c>
      <c r="E26" s="109">
        <f t="shared" si="3"/>
        <v>4.4889393165967054E-4</v>
      </c>
      <c r="F26" s="121" t="s">
        <v>190</v>
      </c>
      <c r="G26" s="80"/>
      <c r="H26" s="74">
        <v>3.4119999999999999</v>
      </c>
      <c r="I26" s="121" t="s">
        <v>13</v>
      </c>
    </row>
    <row r="27" spans="1:9" x14ac:dyDescent="0.25">
      <c r="A27" s="5" t="s">
        <v>172</v>
      </c>
      <c r="B27" s="79" t="s">
        <v>188</v>
      </c>
      <c r="C27" s="79" t="s">
        <v>188</v>
      </c>
      <c r="D27" s="4">
        <v>0.96032156610322705</v>
      </c>
      <c r="E27" s="109">
        <f t="shared" si="3"/>
        <v>4.3551998462731386E-4</v>
      </c>
      <c r="F27" s="121" t="s">
        <v>190</v>
      </c>
      <c r="G27" s="80"/>
      <c r="H27" s="74">
        <v>3.4119999999999999</v>
      </c>
      <c r="I27" s="121" t="s">
        <v>13</v>
      </c>
    </row>
    <row r="28" spans="1:9" x14ac:dyDescent="0.25">
      <c r="A28" s="5" t="s">
        <v>173</v>
      </c>
      <c r="B28" s="79" t="s">
        <v>188</v>
      </c>
      <c r="C28" s="79" t="s">
        <v>188</v>
      </c>
      <c r="D28" s="4">
        <v>0.89857211249069557</v>
      </c>
      <c r="E28" s="135">
        <f t="shared" si="3"/>
        <v>4.0751569727469187E-4</v>
      </c>
      <c r="F28" s="121" t="s">
        <v>190</v>
      </c>
      <c r="G28" s="80"/>
      <c r="H28" s="74">
        <v>3.4119999999999999</v>
      </c>
      <c r="I28" s="121" t="s">
        <v>13</v>
      </c>
    </row>
    <row r="29" spans="1:9" x14ac:dyDescent="0.25">
      <c r="A29" s="5" t="s">
        <v>174</v>
      </c>
      <c r="B29" s="79" t="s">
        <v>188</v>
      </c>
      <c r="C29" s="79" t="s">
        <v>188</v>
      </c>
      <c r="D29" s="34">
        <v>0.78835705872725481</v>
      </c>
      <c r="E29" s="110">
        <f t="shared" si="3"/>
        <v>3.5753154590805207E-4</v>
      </c>
      <c r="F29" s="121" t="s">
        <v>190</v>
      </c>
      <c r="G29" s="80"/>
      <c r="H29" s="74">
        <v>3.4119999999999999</v>
      </c>
      <c r="I29" s="121" t="s">
        <v>13</v>
      </c>
    </row>
    <row r="30" spans="1:9" x14ac:dyDescent="0.25">
      <c r="A30" s="5" t="s">
        <v>228</v>
      </c>
      <c r="B30" s="79" t="s">
        <v>188</v>
      </c>
      <c r="C30" s="79" t="s">
        <v>188</v>
      </c>
      <c r="D30" s="164">
        <v>0.75215053763440876</v>
      </c>
      <c r="E30" s="165">
        <f t="shared" si="3"/>
        <v>3.411113549362398E-4</v>
      </c>
      <c r="F30" s="134" t="s">
        <v>190</v>
      </c>
      <c r="G30" s="80"/>
      <c r="H30" s="74">
        <v>3.4119999999999999</v>
      </c>
      <c r="I30" s="134" t="s">
        <v>13</v>
      </c>
    </row>
    <row r="31" spans="1:9" x14ac:dyDescent="0.25">
      <c r="A31" s="5" t="s">
        <v>229</v>
      </c>
      <c r="B31" s="79" t="s">
        <v>188</v>
      </c>
      <c r="C31" s="79" t="s">
        <v>188</v>
      </c>
      <c r="D31" s="164">
        <v>0.75215053763440876</v>
      </c>
      <c r="E31" s="165">
        <f t="shared" si="3"/>
        <v>3.411113549362398E-4</v>
      </c>
      <c r="F31" s="134" t="s">
        <v>190</v>
      </c>
      <c r="G31" s="80"/>
      <c r="H31" s="74">
        <v>3.4119999999999999</v>
      </c>
      <c r="I31" s="134" t="s">
        <v>13</v>
      </c>
    </row>
    <row r="32" spans="1:9" x14ac:dyDescent="0.25">
      <c r="A32" s="5" t="s">
        <v>235</v>
      </c>
      <c r="B32" s="79" t="s">
        <v>188</v>
      </c>
      <c r="C32" s="79" t="s">
        <v>188</v>
      </c>
      <c r="D32" s="164">
        <v>0.75215053763440876</v>
      </c>
      <c r="E32" s="165">
        <f t="shared" ref="E32" si="4">D32/$B$116</f>
        <v>3.411113549362398E-4</v>
      </c>
      <c r="F32" s="137" t="s">
        <v>190</v>
      </c>
      <c r="G32" s="80"/>
      <c r="H32" s="74">
        <v>3.4119999999999999</v>
      </c>
      <c r="I32" s="137" t="s">
        <v>13</v>
      </c>
    </row>
    <row r="33" spans="1:9" x14ac:dyDescent="0.25">
      <c r="A33" s="5" t="s">
        <v>247</v>
      </c>
      <c r="B33" s="79" t="s">
        <v>188</v>
      </c>
      <c r="C33" s="79" t="s">
        <v>188</v>
      </c>
      <c r="D33" s="164">
        <v>0.75215053763440876</v>
      </c>
      <c r="E33" s="165">
        <f t="shared" ref="E33" si="5">D33/$B$116</f>
        <v>3.411113549362398E-4</v>
      </c>
      <c r="F33" s="162" t="s">
        <v>190</v>
      </c>
      <c r="G33" s="80"/>
      <c r="H33" s="74">
        <v>3.4119999999999999</v>
      </c>
      <c r="I33" s="162" t="s">
        <v>13</v>
      </c>
    </row>
    <row r="34" spans="1:9" x14ac:dyDescent="0.25">
      <c r="A34" s="5" t="s">
        <v>7</v>
      </c>
      <c r="B34" s="79">
        <f>53.06/(0.453592*10)</f>
        <v>11.697737173495124</v>
      </c>
      <c r="C34" s="79">
        <f>B34/2205</f>
        <v>5.3050962238073126E-3</v>
      </c>
      <c r="D34" s="79">
        <v>11.728609767</v>
      </c>
      <c r="E34" s="109">
        <f t="shared" ref="E34:E42" si="6">D34/$B$116</f>
        <v>5.3190974000000002E-3</v>
      </c>
      <c r="F34" s="121" t="s">
        <v>123</v>
      </c>
      <c r="G34" s="121" t="s">
        <v>4</v>
      </c>
      <c r="H34" s="74">
        <v>100</v>
      </c>
      <c r="I34" s="121" t="s">
        <v>13</v>
      </c>
    </row>
    <row r="35" spans="1:9" x14ac:dyDescent="0.25">
      <c r="A35" s="5" t="s">
        <v>67</v>
      </c>
      <c r="B35" s="79">
        <f>B34*1.023</f>
        <v>11.96678512848551</v>
      </c>
      <c r="C35" s="79">
        <f>B35/2205</f>
        <v>5.4271134369548802E-3</v>
      </c>
      <c r="D35" s="79">
        <v>11.998357799999999</v>
      </c>
      <c r="E35" s="109">
        <f t="shared" si="6"/>
        <v>5.441432108843537E-3</v>
      </c>
      <c r="F35" s="121" t="s">
        <v>68</v>
      </c>
      <c r="G35" s="121" t="s">
        <v>68</v>
      </c>
      <c r="H35" s="74">
        <v>102.3</v>
      </c>
      <c r="I35" s="121" t="s">
        <v>30</v>
      </c>
    </row>
    <row r="36" spans="1:9" x14ac:dyDescent="0.25">
      <c r="A36" s="5" t="s">
        <v>121</v>
      </c>
      <c r="B36" s="79">
        <f>10.15/0.453592</f>
        <v>22.376937864865344</v>
      </c>
      <c r="C36" s="79">
        <f>B36/2205</f>
        <v>1.0148271140528501E-2</v>
      </c>
      <c r="D36" s="79">
        <v>22.4940157785</v>
      </c>
      <c r="E36" s="109">
        <f t="shared" si="6"/>
        <v>1.02013677E-2</v>
      </c>
      <c r="F36" s="121" t="s">
        <v>123</v>
      </c>
      <c r="G36" s="121" t="s">
        <v>4</v>
      </c>
      <c r="H36" s="74">
        <v>138.69047619047601</v>
      </c>
      <c r="I36" s="121" t="s">
        <v>13</v>
      </c>
    </row>
    <row r="37" spans="1:9" x14ac:dyDescent="0.25">
      <c r="A37" s="5" t="s">
        <v>27</v>
      </c>
      <c r="B37" s="79">
        <f>10.15/0.453592</f>
        <v>22.376937864865344</v>
      </c>
      <c r="C37" s="79">
        <f>B37/2205</f>
        <v>1.0148271140528501E-2</v>
      </c>
      <c r="D37" s="79">
        <v>22.4940157785</v>
      </c>
      <c r="E37" s="109">
        <f t="shared" si="6"/>
        <v>1.02013677E-2</v>
      </c>
      <c r="F37" s="121" t="s">
        <v>123</v>
      </c>
      <c r="G37" s="121" t="s">
        <v>4</v>
      </c>
      <c r="H37" s="74">
        <v>138.69047619047601</v>
      </c>
      <c r="I37" s="121" t="s">
        <v>13</v>
      </c>
    </row>
    <row r="38" spans="1:9" x14ac:dyDescent="0.25">
      <c r="A38" s="5" t="s">
        <v>28</v>
      </c>
      <c r="B38" s="79">
        <f>11.8/0.453592</f>
        <v>26.014568158168576</v>
      </c>
      <c r="C38" s="79">
        <f>B38/2205</f>
        <v>1.1797990094407518E-2</v>
      </c>
      <c r="D38" s="79">
        <v>26.141554340999999</v>
      </c>
      <c r="E38" s="109">
        <f t="shared" si="6"/>
        <v>1.18555802E-2</v>
      </c>
      <c r="F38" s="121" t="s">
        <v>123</v>
      </c>
      <c r="G38" s="121" t="s">
        <v>4</v>
      </c>
      <c r="H38" s="74">
        <v>149.69047619047601</v>
      </c>
      <c r="I38" s="121" t="s">
        <v>13</v>
      </c>
    </row>
    <row r="39" spans="1:9" x14ac:dyDescent="0.25">
      <c r="A39" s="5" t="s">
        <v>208</v>
      </c>
      <c r="B39" s="79">
        <v>0</v>
      </c>
      <c r="C39" s="79">
        <v>0</v>
      </c>
      <c r="D39" s="79">
        <v>0</v>
      </c>
      <c r="E39" s="109">
        <f t="shared" si="6"/>
        <v>0</v>
      </c>
      <c r="F39" s="21">
        <v>0</v>
      </c>
      <c r="G39" s="21">
        <v>0</v>
      </c>
      <c r="H39" s="74">
        <v>3.4119999999999999</v>
      </c>
      <c r="I39" s="121" t="s">
        <v>13</v>
      </c>
    </row>
    <row r="40" spans="1:9" x14ac:dyDescent="0.25">
      <c r="A40" s="5" t="s">
        <v>191</v>
      </c>
      <c r="B40" s="79">
        <v>0</v>
      </c>
      <c r="C40" s="79">
        <v>0</v>
      </c>
      <c r="D40" s="79">
        <v>0</v>
      </c>
      <c r="E40" s="109">
        <f t="shared" si="6"/>
        <v>0</v>
      </c>
      <c r="F40" s="21">
        <v>0</v>
      </c>
      <c r="G40" s="21">
        <v>0</v>
      </c>
      <c r="H40" s="74">
        <v>3.4119999999999999</v>
      </c>
      <c r="I40" s="121" t="s">
        <v>13</v>
      </c>
    </row>
    <row r="41" spans="1:9" x14ac:dyDescent="0.25">
      <c r="A41" s="5" t="s">
        <v>71</v>
      </c>
      <c r="B41" s="79">
        <v>0</v>
      </c>
      <c r="C41" s="79">
        <v>0</v>
      </c>
      <c r="D41" s="79">
        <v>0</v>
      </c>
      <c r="E41" s="109">
        <f t="shared" si="6"/>
        <v>0</v>
      </c>
      <c r="F41" s="21">
        <v>0</v>
      </c>
      <c r="G41" s="21">
        <v>0</v>
      </c>
      <c r="H41" s="74">
        <v>3.4119999999999999</v>
      </c>
      <c r="I41" s="121" t="s">
        <v>13</v>
      </c>
    </row>
    <row r="42" spans="1:9" x14ac:dyDescent="0.25">
      <c r="A42" s="5" t="s">
        <v>70</v>
      </c>
      <c r="B42" s="79">
        <v>0</v>
      </c>
      <c r="C42" s="79">
        <v>0</v>
      </c>
      <c r="D42" s="79">
        <v>0</v>
      </c>
      <c r="E42" s="109">
        <f t="shared" si="6"/>
        <v>0</v>
      </c>
      <c r="F42" s="21">
        <v>0</v>
      </c>
      <c r="G42" s="21">
        <v>0</v>
      </c>
      <c r="H42" s="74">
        <v>3.4119999999999999</v>
      </c>
      <c r="I42" s="121" t="s">
        <v>13</v>
      </c>
    </row>
    <row r="43" spans="1:9" x14ac:dyDescent="0.25">
      <c r="A43" s="5" t="s">
        <v>62</v>
      </c>
      <c r="B43" s="79" t="s">
        <v>188</v>
      </c>
      <c r="C43" s="79" t="s">
        <v>188</v>
      </c>
      <c r="D43" s="79" t="s">
        <v>61</v>
      </c>
      <c r="E43" s="79" t="s">
        <v>61</v>
      </c>
      <c r="F43" s="121" t="s">
        <v>190</v>
      </c>
      <c r="G43" s="21">
        <v>0</v>
      </c>
      <c r="H43" s="81">
        <v>0</v>
      </c>
      <c r="I43" s="21">
        <v>0</v>
      </c>
    </row>
    <row r="44" spans="1:9" x14ac:dyDescent="0.25">
      <c r="A44" s="5" t="s">
        <v>120</v>
      </c>
      <c r="B44" s="79">
        <f>10.15/0.453592</f>
        <v>22.376937864865344</v>
      </c>
      <c r="C44" s="79">
        <f t="shared" ref="C44:C49" si="7">B44/2205</f>
        <v>1.0148271140528501E-2</v>
      </c>
      <c r="D44" s="79">
        <v>22.376937864865344</v>
      </c>
      <c r="E44" s="109">
        <f t="shared" ref="E44:E60" si="8">D44/$B$116</f>
        <v>1.0148271140528501E-2</v>
      </c>
      <c r="F44" s="121" t="s">
        <v>124</v>
      </c>
      <c r="G44" s="121" t="s">
        <v>4</v>
      </c>
      <c r="H44" s="82">
        <v>138.69047619047601</v>
      </c>
      <c r="I44" s="82" t="s">
        <v>13</v>
      </c>
    </row>
    <row r="45" spans="1:9" x14ac:dyDescent="0.25">
      <c r="A45" s="5" t="s">
        <v>66</v>
      </c>
      <c r="B45" s="79">
        <f>1.34/0.453592</f>
        <v>2.954196723046262</v>
      </c>
      <c r="C45" s="79">
        <f>B45/2205</f>
        <v>1.3397717564835655E-3</v>
      </c>
      <c r="D45" s="79">
        <v>2.954196723046262</v>
      </c>
      <c r="E45" s="109">
        <f t="shared" si="8"/>
        <v>1.3397717564835655E-3</v>
      </c>
      <c r="F45" s="121" t="s">
        <v>124</v>
      </c>
      <c r="G45" s="121" t="s">
        <v>4</v>
      </c>
      <c r="H45" s="82">
        <v>84.833333333333343</v>
      </c>
      <c r="I45" s="82" t="s">
        <v>13</v>
      </c>
    </row>
    <row r="46" spans="1:9" x14ac:dyDescent="0.25">
      <c r="A46" s="5" t="s">
        <v>6</v>
      </c>
      <c r="B46" s="79">
        <f>8.91/0.453592</f>
        <v>19.643203583837458</v>
      </c>
      <c r="C46" s="79">
        <f t="shared" si="7"/>
        <v>8.9084823509466924E-3</v>
      </c>
      <c r="D46" s="79">
        <v>19.643203583837458</v>
      </c>
      <c r="E46" s="109">
        <f t="shared" si="8"/>
        <v>8.9084823509466924E-3</v>
      </c>
      <c r="F46" s="121" t="s">
        <v>124</v>
      </c>
      <c r="G46" s="121" t="s">
        <v>4</v>
      </c>
      <c r="H46" s="82">
        <v>125.07142857142858</v>
      </c>
      <c r="I46" s="82" t="s">
        <v>13</v>
      </c>
    </row>
    <row r="47" spans="1:9" x14ac:dyDescent="0.25">
      <c r="A47" s="5" t="s">
        <v>3</v>
      </c>
      <c r="B47" s="79">
        <f>5.74/0.453592</f>
        <v>12.654544171854884</v>
      </c>
      <c r="C47" s="79">
        <f t="shared" si="7"/>
        <v>5.7390223001609446E-3</v>
      </c>
      <c r="D47" s="79">
        <v>12.782889945000001</v>
      </c>
      <c r="E47" s="109">
        <f t="shared" si="8"/>
        <v>5.7972290000000001E-3</v>
      </c>
      <c r="F47" s="121" t="s">
        <v>123</v>
      </c>
      <c r="G47" s="121" t="s">
        <v>4</v>
      </c>
      <c r="H47" s="74">
        <v>91.333333333333343</v>
      </c>
      <c r="I47" s="121" t="s">
        <v>13</v>
      </c>
    </row>
    <row r="48" spans="1:9" x14ac:dyDescent="0.25">
      <c r="A48" s="5" t="s">
        <v>186</v>
      </c>
      <c r="B48" s="79">
        <f>5.74/0.453592</f>
        <v>12.654544171854884</v>
      </c>
      <c r="C48" s="79">
        <f t="shared" si="7"/>
        <v>5.7390223001609446E-3</v>
      </c>
      <c r="D48" s="79">
        <v>12.654544171854884</v>
      </c>
      <c r="E48" s="109">
        <f t="shared" si="8"/>
        <v>5.7390223001609446E-3</v>
      </c>
      <c r="F48" s="121" t="s">
        <v>123</v>
      </c>
      <c r="G48" s="121" t="s">
        <v>4</v>
      </c>
      <c r="H48" s="74">
        <v>91.333333333333343</v>
      </c>
      <c r="I48" s="121" t="s">
        <v>13</v>
      </c>
    </row>
    <row r="49" spans="1:10" x14ac:dyDescent="0.25">
      <c r="A49" s="5" t="s">
        <v>26</v>
      </c>
      <c r="B49" s="79">
        <f>9.57/0.453592</f>
        <v>21.098255701158752</v>
      </c>
      <c r="C49" s="79">
        <f t="shared" si="7"/>
        <v>9.568369932498301E-3</v>
      </c>
      <c r="D49" s="79">
        <v>21.098255701158752</v>
      </c>
      <c r="E49" s="109">
        <f t="shared" si="8"/>
        <v>9.568369932498301E-3</v>
      </c>
      <c r="F49" s="121" t="s">
        <v>124</v>
      </c>
      <c r="G49" s="121" t="s">
        <v>4</v>
      </c>
      <c r="H49" s="82">
        <v>127.5</v>
      </c>
      <c r="I49" s="82" t="s">
        <v>13</v>
      </c>
    </row>
    <row r="50" spans="1:10" x14ac:dyDescent="0.25">
      <c r="A50" s="5" t="s">
        <v>112</v>
      </c>
      <c r="B50" s="79">
        <v>0</v>
      </c>
      <c r="C50" s="79">
        <v>0</v>
      </c>
      <c r="D50" s="79">
        <v>0</v>
      </c>
      <c r="E50" s="109">
        <f t="shared" si="8"/>
        <v>0</v>
      </c>
      <c r="F50" s="121">
        <v>0</v>
      </c>
      <c r="G50" s="121">
        <v>0</v>
      </c>
      <c r="H50" s="82">
        <v>120</v>
      </c>
      <c r="I50" s="82" t="s">
        <v>113</v>
      </c>
    </row>
    <row r="51" spans="1:10" x14ac:dyDescent="0.25">
      <c r="A51" s="5" t="s">
        <v>65</v>
      </c>
      <c r="B51" s="79">
        <v>0</v>
      </c>
      <c r="C51" s="79">
        <v>0</v>
      </c>
      <c r="D51" s="79">
        <v>0</v>
      </c>
      <c r="E51" s="109">
        <f t="shared" si="8"/>
        <v>0</v>
      </c>
      <c r="F51" s="121" t="s">
        <v>4</v>
      </c>
      <c r="G51" s="121" t="s">
        <v>4</v>
      </c>
      <c r="H51" s="82">
        <v>127.5952380952381</v>
      </c>
      <c r="I51" s="82" t="s">
        <v>13</v>
      </c>
    </row>
    <row r="52" spans="1:10" x14ac:dyDescent="0.25">
      <c r="A52" s="5" t="s">
        <v>63</v>
      </c>
      <c r="B52" s="79">
        <f>8.12/0.453592</f>
        <v>17.901550291892271</v>
      </c>
      <c r="C52" s="79">
        <f>B52/2205</f>
        <v>8.1186169124227991E-3</v>
      </c>
      <c r="D52" s="79">
        <v>17.901550291892271</v>
      </c>
      <c r="E52" s="109">
        <f t="shared" si="8"/>
        <v>8.1186169124227991E-3</v>
      </c>
      <c r="F52" s="121" t="s">
        <v>124</v>
      </c>
      <c r="G52" s="121" t="s">
        <v>4</v>
      </c>
      <c r="H52" s="82">
        <v>136</v>
      </c>
      <c r="I52" s="82" t="s">
        <v>74</v>
      </c>
    </row>
    <row r="53" spans="1:10" x14ac:dyDescent="0.25">
      <c r="A53" s="5" t="s">
        <v>64</v>
      </c>
      <c r="B53" s="79">
        <f>9.64/0.453592</f>
        <v>21.252579410571617</v>
      </c>
      <c r="C53" s="79">
        <f>B53/2205</f>
        <v>9.6383580093295316E-3</v>
      </c>
      <c r="D53" s="79">
        <v>21.252579410571617</v>
      </c>
      <c r="E53" s="109">
        <f t="shared" si="8"/>
        <v>9.6383580093295316E-3</v>
      </c>
      <c r="F53" s="121" t="s">
        <v>124</v>
      </c>
      <c r="G53" s="121" t="s">
        <v>4</v>
      </c>
      <c r="H53" s="82">
        <v>138</v>
      </c>
      <c r="I53" s="82" t="s">
        <v>74</v>
      </c>
    </row>
    <row r="54" spans="1:10" x14ac:dyDescent="0.25">
      <c r="A54" s="5" t="s">
        <v>2</v>
      </c>
      <c r="B54" s="79">
        <f>(0.0545*126.67)/0.453592</f>
        <v>15.219657754105011</v>
      </c>
      <c r="C54" s="79">
        <f>B54/2205</f>
        <v>6.9023391175079413E-3</v>
      </c>
      <c r="D54" s="79">
        <v>15.219657754105011</v>
      </c>
      <c r="E54" s="109">
        <f t="shared" si="8"/>
        <v>6.9023391175079413E-3</v>
      </c>
      <c r="F54" s="121" t="s">
        <v>124</v>
      </c>
      <c r="G54" s="138" t="s">
        <v>245</v>
      </c>
      <c r="H54" s="82">
        <v>22.452999999999999</v>
      </c>
      <c r="I54" s="82" t="s">
        <v>69</v>
      </c>
    </row>
    <row r="55" spans="1:10" x14ac:dyDescent="0.25">
      <c r="A55" s="5" t="s">
        <v>73</v>
      </c>
      <c r="B55" s="79">
        <f>4.46/0.453592</f>
        <v>9.8326249140196484</v>
      </c>
      <c r="C55" s="79">
        <f>B55/2205</f>
        <v>4.4592403238184345E-3</v>
      </c>
      <c r="D55" s="79">
        <v>9.8326249140196484</v>
      </c>
      <c r="E55" s="109">
        <f t="shared" si="8"/>
        <v>4.4592403238184345E-3</v>
      </c>
      <c r="F55" s="121" t="s">
        <v>124</v>
      </c>
      <c r="G55" s="138" t="s">
        <v>245</v>
      </c>
      <c r="H55" s="82">
        <v>84.82</v>
      </c>
      <c r="I55" s="82" t="s">
        <v>69</v>
      </c>
    </row>
    <row r="56" spans="1:10" x14ac:dyDescent="0.25">
      <c r="A56" s="5" t="s">
        <v>244</v>
      </c>
      <c r="B56" s="79">
        <v>12.764749799999999</v>
      </c>
      <c r="C56" s="79">
        <v>5.7890021768707478E-3</v>
      </c>
      <c r="D56" s="79">
        <v>12.764749799999999</v>
      </c>
      <c r="E56" s="109">
        <f t="shared" si="8"/>
        <v>5.7890021768707478E-3</v>
      </c>
      <c r="F56" s="138" t="s">
        <v>124</v>
      </c>
      <c r="G56" s="138" t="s">
        <v>245</v>
      </c>
      <c r="H56" s="82">
        <v>91.42</v>
      </c>
      <c r="I56" s="82" t="s">
        <v>69</v>
      </c>
    </row>
    <row r="57" spans="1:10" x14ac:dyDescent="0.25">
      <c r="A57" s="5" t="s">
        <v>119</v>
      </c>
      <c r="B57" s="79" t="s">
        <v>189</v>
      </c>
      <c r="C57" s="79" t="s">
        <v>189</v>
      </c>
      <c r="D57" s="79">
        <v>207.82178691749999</v>
      </c>
      <c r="E57" s="109">
        <f t="shared" si="8"/>
        <v>9.4250243499999997E-2</v>
      </c>
      <c r="F57" s="121" t="s">
        <v>123</v>
      </c>
      <c r="G57" s="121" t="s">
        <v>102</v>
      </c>
      <c r="H57" s="74">
        <v>1194</v>
      </c>
      <c r="I57" s="121" t="s">
        <v>76</v>
      </c>
    </row>
    <row r="58" spans="1:10" x14ac:dyDescent="0.25">
      <c r="A58" s="5" t="s">
        <v>122</v>
      </c>
      <c r="B58" s="79">
        <f>(93.28*20191.5)/(0.453592*1000)</f>
        <v>4152.3287888675286</v>
      </c>
      <c r="C58" s="79">
        <f>B58/2205</f>
        <v>1.8831423078764302</v>
      </c>
      <c r="D58" s="79">
        <v>4192.1653267297497</v>
      </c>
      <c r="E58" s="109">
        <f t="shared" si="8"/>
        <v>1.9012087649568026</v>
      </c>
      <c r="F58" s="121" t="s">
        <v>123</v>
      </c>
      <c r="G58" s="121" t="s">
        <v>4</v>
      </c>
      <c r="H58" s="74">
        <v>20191.5</v>
      </c>
      <c r="I58" s="121" t="s">
        <v>13</v>
      </c>
    </row>
    <row r="59" spans="1:10" x14ac:dyDescent="0.25">
      <c r="A59" s="5" t="s">
        <v>207</v>
      </c>
      <c r="B59" s="79">
        <v>0</v>
      </c>
      <c r="C59" s="79">
        <v>0</v>
      </c>
      <c r="D59" s="79">
        <v>0</v>
      </c>
      <c r="E59" s="109">
        <f t="shared" si="8"/>
        <v>0</v>
      </c>
      <c r="F59" s="121" t="s">
        <v>75</v>
      </c>
      <c r="G59" s="121" t="s">
        <v>75</v>
      </c>
      <c r="H59" s="74">
        <v>16500</v>
      </c>
      <c r="I59" s="121" t="s">
        <v>31</v>
      </c>
    </row>
    <row r="60" spans="1:10" x14ac:dyDescent="0.25">
      <c r="A60" s="5" t="s">
        <v>116</v>
      </c>
      <c r="B60" s="79">
        <v>0</v>
      </c>
      <c r="C60" s="79">
        <v>0</v>
      </c>
      <c r="D60" s="79">
        <v>0</v>
      </c>
      <c r="E60" s="109">
        <f t="shared" si="8"/>
        <v>0</v>
      </c>
      <c r="F60" s="121" t="s">
        <v>75</v>
      </c>
      <c r="G60" s="121" t="s">
        <v>75</v>
      </c>
      <c r="H60" s="74">
        <v>20000</v>
      </c>
      <c r="I60" s="121" t="s">
        <v>31</v>
      </c>
    </row>
    <row r="61" spans="1:10" x14ac:dyDescent="0.25">
      <c r="I61" s="229" t="s">
        <v>97</v>
      </c>
      <c r="J61" s="229"/>
    </row>
    <row r="62" spans="1:10" x14ac:dyDescent="0.25">
      <c r="I62" s="229"/>
      <c r="J62" s="229"/>
    </row>
    <row r="63" spans="1:10" x14ac:dyDescent="0.25">
      <c r="I63" s="229"/>
      <c r="J63" s="229"/>
    </row>
    <row r="64" spans="1:10" x14ac:dyDescent="0.25">
      <c r="I64" s="229"/>
      <c r="J64" s="229"/>
    </row>
    <row r="65" spans="1:10" x14ac:dyDescent="0.25">
      <c r="I65" s="229"/>
      <c r="J65" s="229"/>
    </row>
    <row r="66" spans="1:10" x14ac:dyDescent="0.25">
      <c r="E66" s="10"/>
    </row>
    <row r="67" spans="1:10" ht="31.5" x14ac:dyDescent="0.5">
      <c r="A67" s="262" t="s">
        <v>44</v>
      </c>
      <c r="B67" s="262"/>
      <c r="C67" s="262"/>
      <c r="D67" s="262"/>
      <c r="E67" s="10"/>
      <c r="I67" s="10"/>
    </row>
    <row r="68" spans="1:10" x14ac:dyDescent="0.25">
      <c r="A68" s="83" t="s">
        <v>25</v>
      </c>
      <c r="B68" s="84" t="s">
        <v>94</v>
      </c>
      <c r="C68" s="83" t="s">
        <v>93</v>
      </c>
      <c r="D68" s="83" t="s">
        <v>46</v>
      </c>
      <c r="E68" s="10"/>
      <c r="I68" s="10"/>
    </row>
    <row r="69" spans="1:10" x14ac:dyDescent="0.25">
      <c r="A69" s="85" t="s">
        <v>103</v>
      </c>
      <c r="B69" s="86">
        <v>7600</v>
      </c>
      <c r="C69" s="251" t="s">
        <v>117</v>
      </c>
      <c r="D69" s="252"/>
      <c r="E69" s="10"/>
      <c r="I69" s="10"/>
    </row>
    <row r="70" spans="1:10" x14ac:dyDescent="0.25">
      <c r="A70" s="85" t="s">
        <v>104</v>
      </c>
      <c r="B70" s="86">
        <v>943</v>
      </c>
      <c r="C70" s="253"/>
      <c r="D70" s="254"/>
      <c r="E70" s="10"/>
      <c r="I70" s="10"/>
    </row>
    <row r="71" spans="1:10" x14ac:dyDescent="0.25">
      <c r="A71" s="85" t="s">
        <v>105</v>
      </c>
      <c r="B71" s="86">
        <v>800</v>
      </c>
      <c r="C71" s="253"/>
      <c r="D71" s="254"/>
      <c r="E71" s="10"/>
      <c r="I71" s="10"/>
    </row>
    <row r="72" spans="1:10" x14ac:dyDescent="0.25">
      <c r="A72" s="85" t="s">
        <v>106</v>
      </c>
      <c r="B72" s="86">
        <v>129</v>
      </c>
      <c r="C72" s="255"/>
      <c r="D72" s="256"/>
      <c r="E72" s="10"/>
      <c r="I72" s="10"/>
    </row>
    <row r="73" spans="1:10" x14ac:dyDescent="0.25">
      <c r="A73" s="87" t="s">
        <v>107</v>
      </c>
      <c r="B73" s="88">
        <v>7200</v>
      </c>
      <c r="C73" s="243" t="s">
        <v>118</v>
      </c>
      <c r="D73" s="244"/>
      <c r="E73" s="10"/>
      <c r="I73" s="10"/>
    </row>
    <row r="74" spans="1:10" x14ac:dyDescent="0.25">
      <c r="A74" s="87" t="s">
        <v>108</v>
      </c>
      <c r="B74" s="88">
        <v>1020</v>
      </c>
      <c r="C74" s="245"/>
      <c r="D74" s="246"/>
      <c r="E74" s="10"/>
      <c r="I74" s="10"/>
    </row>
    <row r="75" spans="1:10" x14ac:dyDescent="0.25">
      <c r="A75" s="87" t="s">
        <v>109</v>
      </c>
      <c r="B75" s="88">
        <v>800</v>
      </c>
      <c r="C75" s="245"/>
      <c r="D75" s="246"/>
      <c r="E75" s="10"/>
      <c r="I75" s="10"/>
    </row>
    <row r="76" spans="1:10" x14ac:dyDescent="0.25">
      <c r="A76" s="87" t="s">
        <v>110</v>
      </c>
      <c r="B76" s="88">
        <v>131.19999999999999</v>
      </c>
      <c r="C76" s="247"/>
      <c r="D76" s="248"/>
      <c r="E76" s="10"/>
      <c r="I76" s="10"/>
    </row>
    <row r="77" spans="1:10" ht="75" x14ac:dyDescent="0.25">
      <c r="A77" s="87" t="s">
        <v>92</v>
      </c>
      <c r="B77" s="54">
        <v>4.75</v>
      </c>
      <c r="C77" s="93" t="s">
        <v>24</v>
      </c>
      <c r="D77" s="75" t="s">
        <v>45</v>
      </c>
      <c r="E77" s="10"/>
      <c r="I77" s="10"/>
    </row>
    <row r="78" spans="1:10" x14ac:dyDescent="0.25">
      <c r="A78" s="263" t="s">
        <v>111</v>
      </c>
      <c r="B78" s="263"/>
      <c r="C78" s="263"/>
      <c r="D78" s="263"/>
    </row>
    <row r="79" spans="1:10" x14ac:dyDescent="0.25"/>
    <row r="80" spans="1:10" ht="31.5" x14ac:dyDescent="0.5">
      <c r="A80" s="262" t="s">
        <v>48</v>
      </c>
      <c r="B80" s="262"/>
      <c r="E80" s="10"/>
    </row>
    <row r="81" spans="1:9" x14ac:dyDescent="0.25">
      <c r="A81" s="83" t="s">
        <v>50</v>
      </c>
      <c r="B81" s="83" t="s">
        <v>49</v>
      </c>
      <c r="E81" s="10"/>
      <c r="F81" s="12"/>
      <c r="I81" s="10"/>
    </row>
    <row r="82" spans="1:9" x14ac:dyDescent="0.25">
      <c r="A82" s="87" t="s">
        <v>51</v>
      </c>
      <c r="B82" s="87" t="s">
        <v>52</v>
      </c>
      <c r="E82" s="10"/>
      <c r="F82" s="12"/>
      <c r="I82" s="10"/>
    </row>
    <row r="83" spans="1:9" x14ac:dyDescent="0.25">
      <c r="A83" s="87" t="s">
        <v>58</v>
      </c>
      <c r="B83" s="89" t="s">
        <v>53</v>
      </c>
      <c r="E83" s="10"/>
      <c r="F83" s="12"/>
      <c r="I83" s="10"/>
    </row>
    <row r="84" spans="1:9" x14ac:dyDescent="0.25">
      <c r="A84" s="87" t="s">
        <v>59</v>
      </c>
      <c r="B84" s="89" t="s">
        <v>54</v>
      </c>
      <c r="E84" s="10"/>
      <c r="F84" s="12"/>
      <c r="I84" s="10"/>
    </row>
    <row r="85" spans="1:9" x14ac:dyDescent="0.25">
      <c r="A85" s="87" t="s">
        <v>60</v>
      </c>
      <c r="B85" s="89" t="s">
        <v>55</v>
      </c>
      <c r="E85" s="10"/>
      <c r="I85" s="10"/>
    </row>
    <row r="86" spans="1:9" x14ac:dyDescent="0.25">
      <c r="A86" s="87" t="s">
        <v>56</v>
      </c>
      <c r="B86" s="87"/>
      <c r="E86" s="10"/>
      <c r="I86" s="10"/>
    </row>
    <row r="87" spans="1:9" x14ac:dyDescent="0.25">
      <c r="A87" s="87" t="s">
        <v>57</v>
      </c>
      <c r="B87" s="87"/>
      <c r="E87" s="10"/>
      <c r="I87" s="10"/>
    </row>
    <row r="88" spans="1:9" x14ac:dyDescent="0.25">
      <c r="E88" s="10"/>
    </row>
    <row r="89" spans="1:9" x14ac:dyDescent="0.25">
      <c r="E89" s="10"/>
    </row>
    <row r="90" spans="1:9" x14ac:dyDescent="0.25">
      <c r="A90" s="264" t="s">
        <v>22</v>
      </c>
      <c r="B90" s="264"/>
      <c r="C90" s="264"/>
      <c r="E90" s="10"/>
    </row>
    <row r="91" spans="1:9" x14ac:dyDescent="0.25">
      <c r="A91" s="163" t="s">
        <v>40</v>
      </c>
      <c r="B91" s="90" t="s">
        <v>29</v>
      </c>
      <c r="C91" s="163" t="s">
        <v>1</v>
      </c>
      <c r="E91" s="10"/>
      <c r="I91" s="10"/>
    </row>
    <row r="92" spans="1:9" x14ac:dyDescent="0.25">
      <c r="A92" s="89" t="s">
        <v>41</v>
      </c>
      <c r="B92" s="91">
        <v>0.1321</v>
      </c>
      <c r="C92" s="87" t="s">
        <v>23</v>
      </c>
      <c r="E92" s="10"/>
      <c r="F92" s="12"/>
      <c r="I92" s="10"/>
    </row>
    <row r="93" spans="1:9" x14ac:dyDescent="0.25">
      <c r="A93" s="89" t="s">
        <v>42</v>
      </c>
      <c r="B93" s="91">
        <v>0.26</v>
      </c>
      <c r="C93" s="87"/>
      <c r="E93" s="10"/>
      <c r="F93" s="12"/>
      <c r="I93" s="10"/>
    </row>
    <row r="94" spans="1:9" x14ac:dyDescent="0.25">
      <c r="A94" s="89" t="s">
        <v>43</v>
      </c>
      <c r="B94" s="91">
        <v>0.38</v>
      </c>
      <c r="C94" s="87"/>
      <c r="D94" s="11"/>
      <c r="E94" s="10"/>
      <c r="F94" s="12"/>
      <c r="I94" s="10"/>
    </row>
    <row r="95" spans="1:9" x14ac:dyDescent="0.25">
      <c r="A95" s="89" t="s">
        <v>248</v>
      </c>
      <c r="B95" s="91">
        <v>0.8</v>
      </c>
      <c r="C95" s="87"/>
      <c r="D95" s="11"/>
      <c r="E95" s="10"/>
      <c r="F95" s="12"/>
      <c r="I95" s="10"/>
    </row>
    <row r="96" spans="1:9" x14ac:dyDescent="0.25">
      <c r="A96" s="89" t="s">
        <v>249</v>
      </c>
      <c r="B96" s="91">
        <v>0.8</v>
      </c>
      <c r="C96" s="87"/>
      <c r="D96" s="11"/>
      <c r="E96" s="10"/>
      <c r="F96" s="12"/>
      <c r="I96" s="10"/>
    </row>
    <row r="97" spans="1:9" x14ac:dyDescent="0.25">
      <c r="A97" s="136"/>
      <c r="E97" s="10"/>
    </row>
    <row r="98" spans="1:9" ht="31.5" x14ac:dyDescent="0.5">
      <c r="A98" s="265" t="s">
        <v>44</v>
      </c>
      <c r="B98" s="265"/>
      <c r="C98" s="265"/>
      <c r="D98" s="265"/>
      <c r="E98" s="10"/>
    </row>
    <row r="99" spans="1:9" x14ac:dyDescent="0.25">
      <c r="A99" s="120" t="s">
        <v>39</v>
      </c>
      <c r="B99" s="120" t="s">
        <v>95</v>
      </c>
      <c r="C99" s="258" t="s">
        <v>96</v>
      </c>
      <c r="D99" s="258"/>
      <c r="E99" s="10"/>
      <c r="F99" s="12"/>
      <c r="I99" s="10"/>
    </row>
    <row r="100" spans="1:9" x14ac:dyDescent="0.25">
      <c r="A100" s="87" t="s">
        <v>14</v>
      </c>
      <c r="B100" s="54">
        <v>1.1023099999999999</v>
      </c>
      <c r="C100" s="257" t="s">
        <v>15</v>
      </c>
      <c r="D100" s="257"/>
      <c r="E100" s="10"/>
      <c r="F100" s="12"/>
      <c r="I100" s="10"/>
    </row>
    <row r="101" spans="1:9" x14ac:dyDescent="0.25">
      <c r="A101" s="87" t="s">
        <v>17</v>
      </c>
      <c r="B101" s="54">
        <v>1000</v>
      </c>
      <c r="C101" s="257" t="s">
        <v>16</v>
      </c>
      <c r="D101" s="257"/>
      <c r="E101" s="10"/>
      <c r="F101" s="12"/>
      <c r="I101" s="10"/>
    </row>
    <row r="102" spans="1:9" x14ac:dyDescent="0.25">
      <c r="A102" s="92" t="s">
        <v>16</v>
      </c>
      <c r="B102" s="54">
        <v>8760</v>
      </c>
      <c r="C102" s="257" t="s">
        <v>18</v>
      </c>
      <c r="D102" s="257"/>
      <c r="E102" s="10"/>
      <c r="F102" s="12"/>
      <c r="I102" s="10"/>
    </row>
    <row r="103" spans="1:9" x14ac:dyDescent="0.25">
      <c r="A103" s="87" t="s">
        <v>19</v>
      </c>
      <c r="B103" s="54">
        <v>1000000</v>
      </c>
      <c r="C103" s="257" t="s">
        <v>16</v>
      </c>
      <c r="D103" s="257"/>
      <c r="E103" s="10"/>
      <c r="F103" s="12"/>
      <c r="I103" s="10"/>
    </row>
    <row r="104" spans="1:9" x14ac:dyDescent="0.25">
      <c r="A104" s="87" t="s">
        <v>20</v>
      </c>
      <c r="B104" s="54">
        <v>100</v>
      </c>
      <c r="C104" s="257" t="s">
        <v>0</v>
      </c>
      <c r="D104" s="257"/>
      <c r="E104" s="10"/>
      <c r="F104" s="12"/>
      <c r="I104" s="10"/>
    </row>
    <row r="105" spans="1:9" x14ac:dyDescent="0.25">
      <c r="A105" s="87" t="s">
        <v>0</v>
      </c>
      <c r="B105" s="54">
        <v>1000</v>
      </c>
      <c r="C105" s="257" t="s">
        <v>21</v>
      </c>
      <c r="D105" s="257"/>
      <c r="E105" s="10"/>
      <c r="F105" s="12"/>
      <c r="I105" s="10"/>
    </row>
    <row r="106" spans="1:9" x14ac:dyDescent="0.25">
      <c r="A106" s="87" t="s">
        <v>5</v>
      </c>
      <c r="B106" s="54">
        <v>1000000</v>
      </c>
      <c r="C106" s="257" t="s">
        <v>21</v>
      </c>
      <c r="D106" s="257"/>
      <c r="E106" s="10"/>
      <c r="F106" s="12"/>
      <c r="I106" s="10"/>
    </row>
    <row r="107" spans="1:9" x14ac:dyDescent="0.25">
      <c r="A107" s="87" t="s">
        <v>5</v>
      </c>
      <c r="B107" s="54">
        <v>10</v>
      </c>
      <c r="C107" s="257" t="s">
        <v>20</v>
      </c>
      <c r="D107" s="257"/>
      <c r="E107" s="10"/>
      <c r="F107" s="12"/>
      <c r="I107" s="10"/>
    </row>
    <row r="108" spans="1:9" x14ac:dyDescent="0.25">
      <c r="B108" s="30"/>
      <c r="E108" s="10"/>
      <c r="F108" s="12"/>
      <c r="I108" s="10"/>
    </row>
    <row r="109" spans="1:9" x14ac:dyDescent="0.25">
      <c r="A109" s="120" t="s">
        <v>25</v>
      </c>
      <c r="B109" s="120" t="s">
        <v>29</v>
      </c>
      <c r="C109" s="120" t="s">
        <v>39</v>
      </c>
      <c r="D109" s="240" t="s">
        <v>1</v>
      </c>
      <c r="E109" s="241"/>
      <c r="F109" s="12"/>
      <c r="I109" s="10"/>
    </row>
    <row r="110" spans="1:9" x14ac:dyDescent="0.25">
      <c r="A110" s="87" t="s">
        <v>33</v>
      </c>
      <c r="B110" s="87">
        <v>42</v>
      </c>
      <c r="C110" s="87" t="s">
        <v>8</v>
      </c>
      <c r="D110" s="239" t="s">
        <v>13</v>
      </c>
      <c r="E110" s="239"/>
      <c r="F110" s="12"/>
      <c r="I110" s="10"/>
    </row>
    <row r="111" spans="1:9" x14ac:dyDescent="0.25">
      <c r="A111" s="87" t="s">
        <v>34</v>
      </c>
      <c r="B111" s="87">
        <v>2000</v>
      </c>
      <c r="C111" s="87" t="s">
        <v>9</v>
      </c>
      <c r="D111" s="239" t="s">
        <v>13</v>
      </c>
      <c r="E111" s="239"/>
      <c r="F111" s="12"/>
      <c r="I111" s="10"/>
    </row>
    <row r="112" spans="1:9" x14ac:dyDescent="0.25">
      <c r="A112" s="87" t="s">
        <v>35</v>
      </c>
      <c r="B112" s="87">
        <v>2240</v>
      </c>
      <c r="C112" s="87" t="s">
        <v>9</v>
      </c>
      <c r="D112" s="239" t="s">
        <v>13</v>
      </c>
      <c r="E112" s="239"/>
      <c r="F112" s="12"/>
      <c r="I112" s="10"/>
    </row>
    <row r="113" spans="1:9" x14ac:dyDescent="0.25">
      <c r="A113" s="87" t="s">
        <v>36</v>
      </c>
      <c r="B113" s="87">
        <v>1000</v>
      </c>
      <c r="C113" s="87" t="s">
        <v>10</v>
      </c>
      <c r="D113" s="239" t="s">
        <v>13</v>
      </c>
      <c r="E113" s="239"/>
      <c r="F113" s="12"/>
      <c r="I113" s="10"/>
    </row>
    <row r="114" spans="1:9" x14ac:dyDescent="0.25">
      <c r="A114" s="87" t="s">
        <v>37</v>
      </c>
      <c r="B114" s="87">
        <v>1.25</v>
      </c>
      <c r="C114" s="87" t="s">
        <v>11</v>
      </c>
      <c r="D114" s="239" t="s">
        <v>13</v>
      </c>
      <c r="E114" s="239"/>
      <c r="F114" s="12"/>
      <c r="I114" s="10"/>
    </row>
    <row r="115" spans="1:9" x14ac:dyDescent="0.25">
      <c r="A115" s="87" t="s">
        <v>37</v>
      </c>
      <c r="B115" s="87">
        <v>128</v>
      </c>
      <c r="C115" s="87" t="s">
        <v>12</v>
      </c>
      <c r="D115" s="239" t="s">
        <v>13</v>
      </c>
      <c r="E115" s="239"/>
      <c r="F115" s="12"/>
      <c r="I115" s="10"/>
    </row>
    <row r="116" spans="1:9" x14ac:dyDescent="0.25">
      <c r="A116" s="87" t="s">
        <v>38</v>
      </c>
      <c r="B116" s="89">
        <v>2205</v>
      </c>
      <c r="C116" s="87" t="s">
        <v>9</v>
      </c>
      <c r="D116" s="242"/>
      <c r="E116" s="242"/>
      <c r="F116" s="12"/>
      <c r="I116" s="10"/>
    </row>
    <row r="117" spans="1:9" x14ac:dyDescent="0.25">
      <c r="B117" s="30"/>
      <c r="E117" s="10"/>
      <c r="F117" s="12"/>
      <c r="I117" s="10"/>
    </row>
    <row r="118" spans="1:9" x14ac:dyDescent="0.25"/>
    <row r="119" spans="1:9" x14ac:dyDescent="0.25"/>
    <row r="120" spans="1:9" x14ac:dyDescent="0.25"/>
  </sheetData>
  <sheetProtection password="CC30" sheet="1" objects="1" scenarios="1"/>
  <mergeCells count="27">
    <mergeCell ref="C107:D107"/>
    <mergeCell ref="C100:D100"/>
    <mergeCell ref="C101:D101"/>
    <mergeCell ref="C102:D102"/>
    <mergeCell ref="C103:D103"/>
    <mergeCell ref="C104:D104"/>
    <mergeCell ref="C105:D105"/>
    <mergeCell ref="C73:D76"/>
    <mergeCell ref="H1:I1"/>
    <mergeCell ref="C69:D72"/>
    <mergeCell ref="C106:D106"/>
    <mergeCell ref="C99:D99"/>
    <mergeCell ref="A1:G1"/>
    <mergeCell ref="I61:J65"/>
    <mergeCell ref="A67:D67"/>
    <mergeCell ref="A78:D78"/>
    <mergeCell ref="A80:B80"/>
    <mergeCell ref="A90:C90"/>
    <mergeCell ref="A98:D98"/>
    <mergeCell ref="D111:E111"/>
    <mergeCell ref="D110:E110"/>
    <mergeCell ref="D109:E109"/>
    <mergeCell ref="D116:E116"/>
    <mergeCell ref="D115:E115"/>
    <mergeCell ref="D114:E114"/>
    <mergeCell ref="D113:E113"/>
    <mergeCell ref="D112:E112"/>
  </mergeCells>
  <hyperlinks>
    <hyperlink ref="C77" r:id="rId1" location="vehicles"/>
  </hyperlinks>
  <pageMargins left="0.25" right="0.25" top="0.25" bottom="0.25" header="0.25" footer="0.25"/>
  <pageSetup scale="30" fitToHeight="5" orientation="landscape" r:id="rId2"/>
  <headerFooter>
    <oddFooter>&amp;R&amp;"-,Italic"&amp;8Edits made by A. Urrutia 02-11-2013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C29" sqref="C29"/>
    </sheetView>
  </sheetViews>
  <sheetFormatPr defaultRowHeight="15" x14ac:dyDescent="0.25"/>
  <cols>
    <col min="1" max="1" width="11.85546875" bestFit="1" customWidth="1"/>
    <col min="2" max="2" width="18.7109375" bestFit="1" customWidth="1"/>
    <col min="3" max="3" width="42.5703125" style="50" bestFit="1" customWidth="1"/>
    <col min="4" max="4" width="31.140625" bestFit="1" customWidth="1"/>
  </cols>
  <sheetData>
    <row r="1" spans="1:4" x14ac:dyDescent="0.25">
      <c r="A1" s="49" t="s">
        <v>125</v>
      </c>
      <c r="B1" s="49" t="s">
        <v>126</v>
      </c>
      <c r="C1" s="49" t="s">
        <v>99</v>
      </c>
      <c r="D1" s="2" t="s">
        <v>100</v>
      </c>
    </row>
    <row r="2" spans="1:4" s="57" customFormat="1" x14ac:dyDescent="0.25">
      <c r="A2" s="5" t="s">
        <v>243</v>
      </c>
      <c r="B2" s="56">
        <v>0</v>
      </c>
      <c r="C2" s="4">
        <f>D2*2205</f>
        <v>0</v>
      </c>
      <c r="D2" s="108">
        <v>0</v>
      </c>
    </row>
    <row r="3" spans="1:4" x14ac:dyDescent="0.25">
      <c r="A3" s="5" t="s">
        <v>127</v>
      </c>
      <c r="B3" s="51">
        <v>3.624518264892479E-2</v>
      </c>
      <c r="C3" s="98">
        <f>Reference!D19</f>
        <v>1.1940860215053763</v>
      </c>
      <c r="D3" s="98">
        <f>Reference!E19</f>
        <v>5.4153561066003458E-4</v>
      </c>
    </row>
    <row r="4" spans="1:4" x14ac:dyDescent="0.25">
      <c r="A4" s="5" t="s">
        <v>128</v>
      </c>
      <c r="B4" s="51">
        <v>3.3292450407367807E-2</v>
      </c>
      <c r="C4" s="98">
        <f>Reference!D20</f>
        <v>1.2247311827956993</v>
      </c>
      <c r="D4" s="98">
        <f>Reference!E20</f>
        <v>5.5543364299124687E-4</v>
      </c>
    </row>
    <row r="5" spans="1:4" x14ac:dyDescent="0.25">
      <c r="A5" s="5" t="s">
        <v>129</v>
      </c>
      <c r="B5" s="51">
        <v>3.0436296748425892E-2</v>
      </c>
      <c r="C5" s="98">
        <f>Reference!D21</f>
        <v>1.2344086021505378</v>
      </c>
      <c r="D5" s="98">
        <f>Reference!E21</f>
        <v>5.5982249530636631E-4</v>
      </c>
    </row>
    <row r="6" spans="1:4" x14ac:dyDescent="0.25">
      <c r="A6" s="5" t="s">
        <v>130</v>
      </c>
      <c r="B6" s="51">
        <v>2.9026282340043254E-2</v>
      </c>
      <c r="C6" s="98">
        <f>Reference!D22</f>
        <v>1.2188112655297374</v>
      </c>
      <c r="D6" s="98">
        <f>Reference!E22</f>
        <v>5.5274887325611676E-4</v>
      </c>
    </row>
    <row r="7" spans="1:4" x14ac:dyDescent="0.25">
      <c r="A7" s="5" t="s">
        <v>131</v>
      </c>
      <c r="B7" s="51">
        <v>2.6779598226026859E-2</v>
      </c>
      <c r="C7" s="98">
        <f>Reference!D23</f>
        <v>1.1520758451475552</v>
      </c>
      <c r="D7" s="98">
        <f>Reference!E23</f>
        <v>5.2248337648415203E-4</v>
      </c>
    </row>
    <row r="8" spans="1:4" x14ac:dyDescent="0.25">
      <c r="A8" s="5" t="s">
        <v>132</v>
      </c>
      <c r="B8" s="51">
        <v>2.3510667697623906E-2</v>
      </c>
      <c r="C8" s="98">
        <f>Reference!D24</f>
        <v>1.0964271713566578</v>
      </c>
      <c r="D8" s="98">
        <f>Reference!E24</f>
        <v>4.9724588270143213E-4</v>
      </c>
    </row>
    <row r="9" spans="1:4" x14ac:dyDescent="0.25">
      <c r="A9" s="5" t="s">
        <v>133</v>
      </c>
      <c r="B9" s="51">
        <v>2.1204477933741108E-2</v>
      </c>
      <c r="C9" s="98">
        <f>Reference!D25</f>
        <v>1.0652327901064769</v>
      </c>
      <c r="D9" s="98">
        <f>Reference!E25</f>
        <v>4.8309877102334554E-4</v>
      </c>
    </row>
    <row r="10" spans="1:4" x14ac:dyDescent="0.25">
      <c r="A10" s="5" t="s">
        <v>134</v>
      </c>
      <c r="B10" s="51">
        <v>1.9096468540002007E-2</v>
      </c>
      <c r="C10" s="98">
        <f>Reference!D26</f>
        <v>0.98981111930957355</v>
      </c>
      <c r="D10" s="98">
        <f>Reference!E26</f>
        <v>4.4889393165967054E-4</v>
      </c>
    </row>
    <row r="11" spans="1:4" x14ac:dyDescent="0.25">
      <c r="A11" s="5" t="s">
        <v>135</v>
      </c>
      <c r="B11" s="52">
        <v>1.9096468540002007E-2</v>
      </c>
      <c r="C11" s="98">
        <f>Reference!D27</f>
        <v>0.96032156610322705</v>
      </c>
      <c r="D11" s="98">
        <f>Reference!E27</f>
        <v>4.3551998462731386E-4</v>
      </c>
    </row>
    <row r="12" spans="1:4" x14ac:dyDescent="0.25">
      <c r="A12" s="5" t="s">
        <v>136</v>
      </c>
      <c r="B12" s="107">
        <v>1.9096468540002007E-2</v>
      </c>
      <c r="C12" s="111">
        <f>Reference!D28</f>
        <v>0.89857211249069557</v>
      </c>
      <c r="D12" s="111">
        <f>Reference!E28</f>
        <v>4.0751569727469187E-4</v>
      </c>
    </row>
    <row r="13" spans="1:4" x14ac:dyDescent="0.25">
      <c r="A13" s="5" t="s">
        <v>137</v>
      </c>
      <c r="B13" s="107">
        <v>1.9096468540002007E-2</v>
      </c>
      <c r="C13" s="111">
        <f>Reference!D29</f>
        <v>0.78835705872725481</v>
      </c>
      <c r="D13" s="111">
        <f>Reference!E29</f>
        <v>3.5753154590805207E-4</v>
      </c>
    </row>
    <row r="14" spans="1:4" x14ac:dyDescent="0.25">
      <c r="A14" s="5" t="s">
        <v>230</v>
      </c>
      <c r="B14" s="107">
        <v>1.9096468540002007E-2</v>
      </c>
      <c r="C14" s="111">
        <f>Reference!D30</f>
        <v>0.75215053763440876</v>
      </c>
      <c r="D14" s="111">
        <f>Reference!E30</f>
        <v>3.411113549362398E-4</v>
      </c>
    </row>
    <row r="15" spans="1:4" x14ac:dyDescent="0.25">
      <c r="A15" s="5" t="s">
        <v>231</v>
      </c>
      <c r="B15" s="107">
        <v>1.9096468540002007E-2</v>
      </c>
      <c r="C15" s="111">
        <f>Reference!D31</f>
        <v>0.75215053763440876</v>
      </c>
      <c r="D15" s="111">
        <f>Reference!E31</f>
        <v>3.411113549362398E-4</v>
      </c>
    </row>
    <row r="16" spans="1:4" x14ac:dyDescent="0.25">
      <c r="A16" s="5" t="s">
        <v>236</v>
      </c>
      <c r="B16" s="107">
        <v>1.9096468540002007E-2</v>
      </c>
      <c r="C16" s="111">
        <f>Reference!D32</f>
        <v>0.75215053763440876</v>
      </c>
      <c r="D16" s="111">
        <f>Reference!E32</f>
        <v>3.411113549362398E-4</v>
      </c>
    </row>
    <row r="17" spans="1:4" x14ac:dyDescent="0.25">
      <c r="A17" s="5" t="s">
        <v>138</v>
      </c>
      <c r="B17" s="51">
        <v>4.2357553297331492E-2</v>
      </c>
      <c r="C17" s="112">
        <f>Reference!D3</f>
        <v>1.189247311827957</v>
      </c>
      <c r="D17" s="112">
        <f>Reference!E3</f>
        <v>5.3934118450247486E-4</v>
      </c>
    </row>
    <row r="18" spans="1:4" x14ac:dyDescent="0.25">
      <c r="A18" s="5" t="s">
        <v>139</v>
      </c>
      <c r="B18" s="51">
        <v>3.7287028472943559E-2</v>
      </c>
      <c r="C18" s="112">
        <f>Reference!D4</f>
        <v>1.1989247311827957</v>
      </c>
      <c r="D18" s="112">
        <f>Reference!E4</f>
        <v>5.4373003681759441E-4</v>
      </c>
    </row>
    <row r="19" spans="1:4" x14ac:dyDescent="0.25">
      <c r="A19" s="5" t="s">
        <v>140</v>
      </c>
      <c r="B19" s="51">
        <v>3.5193591897110355E-2</v>
      </c>
      <c r="C19" s="112">
        <f>Reference!D5</f>
        <v>1.2505376344086023</v>
      </c>
      <c r="D19" s="112">
        <f>Reference!E5</f>
        <v>5.67137249164899E-4</v>
      </c>
    </row>
    <row r="20" spans="1:4" x14ac:dyDescent="0.25">
      <c r="A20" s="5" t="s">
        <v>141</v>
      </c>
      <c r="B20" s="51">
        <v>3.1493404344884741E-2</v>
      </c>
      <c r="C20" s="112">
        <f>Reference!D6</f>
        <v>1.2182795698924731</v>
      </c>
      <c r="D20" s="112">
        <f>Reference!E6</f>
        <v>5.5250774144783362E-4</v>
      </c>
    </row>
    <row r="21" spans="1:4" x14ac:dyDescent="0.25">
      <c r="A21" s="5" t="s">
        <v>142</v>
      </c>
      <c r="B21" s="51">
        <v>2.9392098563964388E-2</v>
      </c>
      <c r="C21" s="112">
        <f>Reference!D7</f>
        <v>1.2193429611670017</v>
      </c>
      <c r="D21" s="112">
        <f>Reference!E7</f>
        <v>5.5299000506439991E-4</v>
      </c>
    </row>
    <row r="22" spans="1:4" x14ac:dyDescent="0.25">
      <c r="A22" s="5" t="s">
        <v>143</v>
      </c>
      <c r="B22" s="51">
        <v>2.8649933835153008E-2</v>
      </c>
      <c r="C22" s="112">
        <f>Reference!D8</f>
        <v>1.0848087291281086</v>
      </c>
      <c r="D22" s="112">
        <f>Reference!E8</f>
        <v>4.9197674790390415E-4</v>
      </c>
    </row>
    <row r="23" spans="1:4" x14ac:dyDescent="0.25">
      <c r="A23" s="5" t="s">
        <v>144</v>
      </c>
      <c r="B23" s="51">
        <v>2.4933498466175468E-2</v>
      </c>
      <c r="C23" s="112">
        <f>Reference!D9</f>
        <v>1.1080456135852068</v>
      </c>
      <c r="D23" s="112">
        <f>Reference!E9</f>
        <v>5.0251501749896E-4</v>
      </c>
    </row>
    <row r="24" spans="1:4" x14ac:dyDescent="0.25">
      <c r="A24" s="5" t="s">
        <v>145</v>
      </c>
      <c r="B24" s="51">
        <v>2.2084856189643648E-2</v>
      </c>
      <c r="C24" s="112">
        <f>Reference!D10</f>
        <v>1.0224199666277467</v>
      </c>
      <c r="D24" s="112">
        <f>Reference!E10</f>
        <v>4.6368252454773092E-4</v>
      </c>
    </row>
    <row r="25" spans="1:4" x14ac:dyDescent="0.25">
      <c r="A25" s="5" t="s">
        <v>146</v>
      </c>
      <c r="B25" s="51">
        <v>2.0242226038035917E-2</v>
      </c>
      <c r="C25" s="112">
        <f>Reference!D11</f>
        <v>0.9572022719914004</v>
      </c>
      <c r="D25" s="112">
        <f>Reference!E11</f>
        <v>4.3410533877161016E-4</v>
      </c>
    </row>
    <row r="26" spans="1:4" x14ac:dyDescent="0.25">
      <c r="A26" s="5" t="s">
        <v>147</v>
      </c>
      <c r="B26" s="51">
        <v>1.7955906343407796E-2</v>
      </c>
      <c r="C26" s="112">
        <f>Reference!D12</f>
        <v>0.96344086021505382</v>
      </c>
      <c r="D26" s="112">
        <f>Reference!E12</f>
        <v>4.3693463048301762E-4</v>
      </c>
    </row>
    <row r="27" spans="1:4" x14ac:dyDescent="0.25">
      <c r="A27" s="5" t="s">
        <v>148</v>
      </c>
      <c r="B27" s="107">
        <v>1.7955906343407796E-2</v>
      </c>
      <c r="C27" s="113">
        <f>Reference!D13</f>
        <v>0.83370336476633722</v>
      </c>
      <c r="D27" s="113">
        <f>Reference!E13</f>
        <v>3.7809676406636608E-4</v>
      </c>
    </row>
    <row r="28" spans="1:4" x14ac:dyDescent="0.25">
      <c r="A28" s="5" t="s">
        <v>149</v>
      </c>
      <c r="B28" s="107">
        <v>1.7955906343407796E-2</v>
      </c>
      <c r="C28" s="113">
        <f>Reference!D14</f>
        <v>0.74301075268817218</v>
      </c>
      <c r="D28" s="113">
        <f>Reference!E14</f>
        <v>3.3696632774973795E-4</v>
      </c>
    </row>
    <row r="29" spans="1:4" x14ac:dyDescent="0.25">
      <c r="A29" s="5" t="s">
        <v>232</v>
      </c>
      <c r="B29" s="107">
        <v>1.7955906343407796E-2</v>
      </c>
      <c r="C29" s="113">
        <f>Reference!D15</f>
        <v>0.76129032258064522</v>
      </c>
      <c r="D29" s="113">
        <f>Reference!E15</f>
        <v>3.452563821227416E-4</v>
      </c>
    </row>
    <row r="30" spans="1:4" x14ac:dyDescent="0.25">
      <c r="A30" s="5" t="s">
        <v>233</v>
      </c>
      <c r="B30" s="107">
        <v>1.7955906343407796E-2</v>
      </c>
      <c r="C30" s="113">
        <f>Reference!D15</f>
        <v>0.76129032258064522</v>
      </c>
      <c r="D30" s="113">
        <f>Reference!E15</f>
        <v>3.452563821227416E-4</v>
      </c>
    </row>
    <row r="31" spans="1:4" x14ac:dyDescent="0.25">
      <c r="A31" s="5" t="s">
        <v>237</v>
      </c>
      <c r="B31" s="107">
        <v>1.7955906343407796E-2</v>
      </c>
      <c r="C31" s="113">
        <f>Reference!D15</f>
        <v>0.76129032258064522</v>
      </c>
      <c r="D31" s="113">
        <f>Reference!E15</f>
        <v>3.452563821227416E-4</v>
      </c>
    </row>
    <row r="32" spans="1:4" x14ac:dyDescent="0.25">
      <c r="C32"/>
    </row>
    <row r="33" spans="3:3" x14ac:dyDescent="0.25">
      <c r="C3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30</vt:i4>
      </vt:variant>
    </vt:vector>
  </HeadingPairs>
  <TitlesOfParts>
    <vt:vector size="37" baseType="lpstr">
      <vt:lpstr>INTRO</vt:lpstr>
      <vt:lpstr>Quick Calculations</vt:lpstr>
      <vt:lpstr>RE</vt:lpstr>
      <vt:lpstr>Building</vt:lpstr>
      <vt:lpstr>Vehicles</vt:lpstr>
      <vt:lpstr>Reference</vt:lpstr>
      <vt:lpstr>source</vt:lpstr>
      <vt:lpstr>blank</vt:lpstr>
      <vt:lpstr>CY_2001</vt:lpstr>
      <vt:lpstr>CY_2002</vt:lpstr>
      <vt:lpstr>CY_2003</vt:lpstr>
      <vt:lpstr>CY_2004</vt:lpstr>
      <vt:lpstr>CY_2005</vt:lpstr>
      <vt:lpstr>CY_2006</vt:lpstr>
      <vt:lpstr>CY_2007</vt:lpstr>
      <vt:lpstr>CY_2008</vt:lpstr>
      <vt:lpstr>CY_2009</vt:lpstr>
      <vt:lpstr>CY_2010</vt:lpstr>
      <vt:lpstr>CY_2011</vt:lpstr>
      <vt:lpstr>CY_2012</vt:lpstr>
      <vt:lpstr>CY_2013</vt:lpstr>
      <vt:lpstr>CY_2014</vt:lpstr>
      <vt:lpstr>FY_2002</vt:lpstr>
      <vt:lpstr>FY_2003</vt:lpstr>
      <vt:lpstr>FY_2004</vt:lpstr>
      <vt:lpstr>FY_2005</vt:lpstr>
      <vt:lpstr>FY_2006</vt:lpstr>
      <vt:lpstr>FY_2007</vt:lpstr>
      <vt:lpstr>FY_2008</vt:lpstr>
      <vt:lpstr>FY_2009</vt:lpstr>
      <vt:lpstr>FY_2010</vt:lpstr>
      <vt:lpstr>FY_2011</vt:lpstr>
      <vt:lpstr>FY_2012</vt:lpstr>
      <vt:lpstr>FY_2013</vt:lpstr>
      <vt:lpstr>FY_2014</vt:lpstr>
      <vt:lpstr>INTRO!Print_Area</vt:lpstr>
      <vt:lpstr>year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2013-01-17T20:24:41Z</dcterms:created>
  <dc:creator>murrutia</dc:creator>
  <lastModifiedBy>echeung</lastModifiedBy>
  <lastPrinted>2013-05-24T17:26:35Z</lastPrinted>
  <dcterms:modified xsi:type="dcterms:W3CDTF">2017-06-06T18:11:01Z</dcterms:modified>
</coreProperties>
</file>